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never" codeName="ThisWorkbook"/>
  <mc:AlternateContent xmlns:mc="http://schemas.openxmlformats.org/markup-compatibility/2006">
    <mc:Choice Requires="x15">
      <x15ac:absPath xmlns:x15ac="http://schemas.microsoft.com/office/spreadsheetml/2010/11/ac" url="P:\Research\SB - Research\5. Wagering\1. TAH\"/>
    </mc:Choice>
  </mc:AlternateContent>
  <xr:revisionPtr revIDLastSave="0" documentId="13_ncr:1_{511263B8-6541-42F4-BB31-ED015B1F0A3D}" xr6:coauthVersionLast="47" xr6:coauthVersionMax="47" xr10:uidLastSave="{00000000-0000-0000-0000-000000000000}"/>
  <bookViews>
    <workbookView xWindow="28680" yWindow="-120" windowWidth="29040" windowHeight="15720" firstSheet="2" activeTab="12" xr2:uid="{00000000-000D-0000-FFFF-FFFF00000000}"/>
  </bookViews>
  <sheets>
    <sheet name="NAV" sheetId="25" state="hidden" r:id="rId1"/>
    <sheet name="NAV 2" sheetId="26" state="hidden" r:id="rId2"/>
    <sheet name="BM" sheetId="7" r:id="rId3"/>
    <sheet name="I" sheetId="32" r:id="rId4"/>
    <sheet name="HY" sheetId="1" r:id="rId5"/>
    <sheet name="FY" sheetId="4" r:id="rId6"/>
    <sheet name="II" sheetId="34" r:id="rId7"/>
    <sheet name="FT Tables" sheetId="51" r:id="rId8"/>
    <sheet name="Rev Tables" sheetId="40" r:id="rId9"/>
    <sheet name="Revisions" sheetId="42" r:id="rId10"/>
    <sheet name="Vs Cons" sheetId="49" r:id="rId11"/>
    <sheet name="III" sheetId="30" r:id="rId12"/>
    <sheet name="IR" sheetId="48" r:id="rId13"/>
    <sheet name="Pen" sheetId="50" r:id="rId14"/>
    <sheet name="IV" sheetId="39" r:id="rId15"/>
    <sheet name="Snips" sheetId="46"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_1__123Graph_ACHART_1" hidden="1">'[1]Long Term Prices'!$DI$827:$DI$855</definedName>
    <definedName name="__10__123Graph_CCHART_1" localSheetId="2" hidden="1">[2]AnnualData!#REF!</definedName>
    <definedName name="__10__123Graph_CCHART_1" hidden="1">[2]AnnualData!#REF!</definedName>
    <definedName name="__11__123Graph_DCHART_5" localSheetId="2" hidden="1">[2]AnnualData!#REF!</definedName>
    <definedName name="__11__123Graph_DCHART_5" hidden="1">[2]AnnualData!#REF!</definedName>
    <definedName name="__12__123Graph_XCHART_1" hidden="1">'[1]Long Term Prices'!$A$827:$A$855</definedName>
    <definedName name="__123Graph_A" hidden="1">'[1]Long Term Prices'!$U$270:$U$549</definedName>
    <definedName name="__123Graph_AAL" hidden="1">'[1]Long Term Prices'!$P$450:$P$533</definedName>
    <definedName name="__123Graph_ACU" hidden="1">'[1]Long Term Prices'!$O$450:$O$533</definedName>
    <definedName name="__123Graph_AGRAPH1" localSheetId="9" hidden="1">#REF!</definedName>
    <definedName name="__123Graph_AGRAPH1" localSheetId="10" hidden="1">#REF!</definedName>
    <definedName name="__123Graph_AGRAPH1" hidden="1">[3]Fin!$C$14:$F$14</definedName>
    <definedName name="__123Graph_ALME" hidden="1">'[1]Long Term Prices'!$S$438:$S$505</definedName>
    <definedName name="__123Graph_APB" hidden="1">'[1]Long Term Prices'!$R$450:$R$533</definedName>
    <definedName name="__123Graph_AZN" hidden="1">'[1]Long Term Prices'!$Q$450:$Q$533</definedName>
    <definedName name="__123Graph_B" hidden="1">'[1]Long Term Prices'!$BI$270:$BI$548</definedName>
    <definedName name="__123Graph_BGRAPH1" localSheetId="9" hidden="1">#REF!</definedName>
    <definedName name="__123Graph_BGRAPH1" localSheetId="10" hidden="1">#REF!</definedName>
    <definedName name="__123Graph_BGRAPH1" hidden="1">[3]Fin!$C$17:$F$17</definedName>
    <definedName name="__123Graph_CGRAPH1" localSheetId="9" hidden="1">#REF!</definedName>
    <definedName name="__123Graph_CGRAPH1" localSheetId="10" hidden="1">#REF!</definedName>
    <definedName name="__123Graph_CGRAPH1" hidden="1">[3]Fin!$C$16:$F$16</definedName>
    <definedName name="__123Graph_E" hidden="1">#REF!</definedName>
    <definedName name="__123Graph_F" hidden="1">#REF!</definedName>
    <definedName name="__123Graph_XAL" hidden="1">'[1]Long Term Prices'!$A$450:$A$533</definedName>
    <definedName name="__123Graph_XCU" hidden="1">'[1]Long Term Prices'!$A$450:$A$533</definedName>
    <definedName name="__123Graph_XGRAPH1" localSheetId="9" hidden="1">#REF!</definedName>
    <definedName name="__123Graph_XGRAPH1" localSheetId="10" hidden="1">#REF!</definedName>
    <definedName name="__123Graph_XGRAPH1" hidden="1">[3]Fin!$A$7:$A$7</definedName>
    <definedName name="__123Graph_XLME" hidden="1">'[1]Long Term Prices'!$A$438:$A$505</definedName>
    <definedName name="__123Graph_XPB" hidden="1">'[1]Long Term Prices'!$A$450:$A$533</definedName>
    <definedName name="__123Graph_XZN" hidden="1">'[1]Long Term Prices'!$A$450:$A$533</definedName>
    <definedName name="__13__123Graph_XCHART_2" localSheetId="2" hidden="1">'[1]Long Term Prices'!#REF!</definedName>
    <definedName name="__13__123Graph_XCHART_2" hidden="1">'[1]Long Term Prices'!#REF!</definedName>
    <definedName name="__14__123Graph_XCHART_3" localSheetId="2" hidden="1">[2]AnnualData!#REF!</definedName>
    <definedName name="__14__123Graph_XCHART_3" hidden="1">[2]AnnualData!#REF!</definedName>
    <definedName name="__15__123Graph_XCHART_4" localSheetId="2" hidden="1">[2]AnnualData!#REF!</definedName>
    <definedName name="__15__123Graph_XCHART_4" hidden="1">[2]AnnualData!#REF!</definedName>
    <definedName name="__16__123Graph_XCHART_5" localSheetId="2" hidden="1">[2]AnnualData!#REF!</definedName>
    <definedName name="__16__123Graph_XCHART_5" hidden="1">[2]AnnualData!#REF!</definedName>
    <definedName name="__2__123Graph_ACHART_2" hidden="1">'[1]Long Term Prices'!$BZ$486:$BZ$548</definedName>
    <definedName name="__3__123Graph_ACHART_3" localSheetId="2" hidden="1">[2]AnnualData!#REF!</definedName>
    <definedName name="__3__123Graph_ACHART_3" hidden="1">[2]AnnualData!#REF!</definedName>
    <definedName name="__4__123Graph_ACHART_4" localSheetId="2" hidden="1">[2]AnnualData!#REF!</definedName>
    <definedName name="__4__123Graph_ACHART_4" hidden="1">[2]AnnualData!#REF!</definedName>
    <definedName name="__5__123Graph_ACHART_5" localSheetId="2" hidden="1">[2]AnnualData!#REF!</definedName>
    <definedName name="__5__123Graph_ACHART_5" hidden="1">[2]AnnualData!#REF!</definedName>
    <definedName name="__6__123Graph_BCHART_1" localSheetId="2" hidden="1">[2]AnnualData!#REF!</definedName>
    <definedName name="__6__123Graph_BCHART_1" hidden="1">[2]AnnualData!#REF!</definedName>
    <definedName name="__7__123Graph_BCHART_2" localSheetId="2" hidden="1">[2]AnnualData!#REF!</definedName>
    <definedName name="__7__123Graph_BCHART_2" hidden="1">[2]AnnualData!#REF!</definedName>
    <definedName name="__8__123Graph_BCHART_3" hidden="1">[2]AnnualData!#REF!</definedName>
    <definedName name="__9__123Graph_BCHART_4" hidden="1">[2]AnnualData!#REF!</definedName>
    <definedName name="__FDS_HYPERLINK_TOGGLE_STATE__" hidden="1">"ON"</definedName>
    <definedName name="__FDS_UNIQUE_RANGE_ID_GENERATOR_COUNTER" hidden="1">1</definedName>
    <definedName name="_1__123Graph_ACHART_1" hidden="1">'[1]Long Term Prices'!$DI$827:$DI$855</definedName>
    <definedName name="_10__123Graph_CCHART_1" localSheetId="2" hidden="1">[2]AnnualData!#REF!</definedName>
    <definedName name="_10__123Graph_CCHART_1" hidden="1">[2]AnnualData!#REF!</definedName>
    <definedName name="_11__123Graph_DCHART_5" localSheetId="2" hidden="1">[2]AnnualData!#REF!</definedName>
    <definedName name="_11__123Graph_DCHART_5" hidden="1">[2]AnnualData!#REF!</definedName>
    <definedName name="_12__123Graph_BCHART_21A" hidden="1">#REF!</definedName>
    <definedName name="_12__123Graph_BCHART_8A" localSheetId="9" hidden="1">[4]SHELL!#REF!</definedName>
    <definedName name="_12__123Graph_BCHART_8A" localSheetId="10" hidden="1">[4]SHELL!#REF!</definedName>
    <definedName name="_12__123Graph_BCHART_8A" hidden="1">[4]SHELL!#REF!</definedName>
    <definedName name="_12__123Graph_XCHART_1" hidden="1">'[1]Long Term Prices'!$A$827:$A$855</definedName>
    <definedName name="_13__123Graph_XCHART_2" localSheetId="2" hidden="1">'[1]Long Term Prices'!#REF!</definedName>
    <definedName name="_13__123Graph_XCHART_2" hidden="1">'[1]Long Term Prices'!#REF!</definedName>
    <definedName name="_14__123Graph_XCHART_3" localSheetId="2" hidden="1">[2]AnnualData!#REF!</definedName>
    <definedName name="_14__123Graph_XCHART_3" hidden="1">[2]AnnualData!#REF!</definedName>
    <definedName name="_15__123Graph_BCHART_8A" hidden="1">#REF!</definedName>
    <definedName name="_15__123Graph_CCHART_21A" localSheetId="9" hidden="1">[4]SHELL!#REF!</definedName>
    <definedName name="_15__123Graph_CCHART_21A" localSheetId="10" hidden="1">[4]SHELL!#REF!</definedName>
    <definedName name="_15__123Graph_CCHART_21A" hidden="1">[4]SHELL!#REF!</definedName>
    <definedName name="_15__123Graph_XCHART_4" localSheetId="2" hidden="1">[2]AnnualData!#REF!</definedName>
    <definedName name="_15__123Graph_XCHART_4" hidden="1">[2]AnnualData!#REF!</definedName>
    <definedName name="_16__123Graph_XCHART_5" localSheetId="2" hidden="1">[2]AnnualData!#REF!</definedName>
    <definedName name="_16__123Graph_XCHART_5" hidden="1">[2]AnnualData!#REF!</definedName>
    <definedName name="_18__123Graph_CCHART_21A" hidden="1">#REF!</definedName>
    <definedName name="_18__123Graph_CCHART_8A" hidden="1">[4]SHELL!#REF!</definedName>
    <definedName name="_2__123Graph_ACHART_2" hidden="1">'[1]Long Term Prices'!$BZ$486:$BZ$548</definedName>
    <definedName name="_21__123Graph_CCHART_8A" hidden="1">#REF!</definedName>
    <definedName name="_21__123Graph_DCHART_21A" localSheetId="9" hidden="1">[4]SHELL!#REF!</definedName>
    <definedName name="_21__123Graph_DCHART_21A" localSheetId="10" hidden="1">[4]SHELL!#REF!</definedName>
    <definedName name="_21__123Graph_DCHART_21A" hidden="1">[4]SHELL!#REF!</definedName>
    <definedName name="_24__123Graph_DCHART_21A" hidden="1">#REF!</definedName>
    <definedName name="_24__123Graph_DCHART_8A" localSheetId="9" hidden="1">[4]SHELL!#REF!</definedName>
    <definedName name="_24__123Graph_DCHART_8A" localSheetId="10" hidden="1">[4]SHELL!#REF!</definedName>
    <definedName name="_24__123Graph_DCHART_8A" hidden="1">[4]SHELL!#REF!</definedName>
    <definedName name="_27__123Graph_DCHART_8A" hidden="1">#REF!</definedName>
    <definedName name="_27__123Graph_ECHART_21A" localSheetId="9" hidden="1">[4]SHELL!#REF!</definedName>
    <definedName name="_27__123Graph_ECHART_21A" localSheetId="10" hidden="1">[4]SHELL!#REF!</definedName>
    <definedName name="_27__123Graph_ECHART_21A" hidden="1">[4]SHELL!#REF!</definedName>
    <definedName name="_3__123Graph_ACHART_21A" localSheetId="9" hidden="1">[4]SHELL!#REF!</definedName>
    <definedName name="_3__123Graph_ACHART_21A" localSheetId="10" hidden="1">[4]SHELL!#REF!</definedName>
    <definedName name="_3__123Graph_ACHART_21A" hidden="1">[4]SHELL!#REF!</definedName>
    <definedName name="_3__123Graph_ACHART_3" localSheetId="2" hidden="1">[2]AnnualData!#REF!</definedName>
    <definedName name="_3__123Graph_ACHART_3" localSheetId="9" hidden="1">[2]AnnualData!#REF!</definedName>
    <definedName name="_3__123Graph_ACHART_3" localSheetId="10" hidden="1">[2]AnnualData!#REF!</definedName>
    <definedName name="_3__123Graph_ACHART_3" hidden="1">[2]AnnualData!#REF!</definedName>
    <definedName name="_30__123Graph_ECHART_21A" hidden="1">#REF!</definedName>
    <definedName name="_30__123Graph_ECHART_8A" localSheetId="9" hidden="1">[4]SHELL!#REF!</definedName>
    <definedName name="_30__123Graph_ECHART_8A" localSheetId="10" hidden="1">[4]SHELL!#REF!</definedName>
    <definedName name="_30__123Graph_ECHART_8A" hidden="1">[4]SHELL!#REF!</definedName>
    <definedName name="_33__123Graph_ECHART_8A" hidden="1">#REF!</definedName>
    <definedName name="_33__123Graph_FCHART_21A" localSheetId="9" hidden="1">[4]SHELL!#REF!</definedName>
    <definedName name="_33__123Graph_FCHART_21A" localSheetId="10" hidden="1">[4]SHELL!#REF!</definedName>
    <definedName name="_33__123Graph_FCHART_21A" hidden="1">[4]SHELL!#REF!</definedName>
    <definedName name="_36__123Graph_FCHART_21A" hidden="1">#REF!</definedName>
    <definedName name="_36__123Graph_XCHART_21A" localSheetId="9" hidden="1">[4]SHELL!#REF!</definedName>
    <definedName name="_36__123Graph_XCHART_21A" localSheetId="10" hidden="1">[4]SHELL!#REF!</definedName>
    <definedName name="_36__123Graph_XCHART_21A" hidden="1">[4]SHELL!#REF!</definedName>
    <definedName name="_39__123Graph_XCHART_21A" hidden="1">#REF!</definedName>
    <definedName name="_4__123Graph_ACHART_4" localSheetId="2" hidden="1">[2]AnnualData!#REF!</definedName>
    <definedName name="_4__123Graph_ACHART_4" localSheetId="9" hidden="1">[2]AnnualData!#REF!</definedName>
    <definedName name="_4__123Graph_ACHART_4" localSheetId="10" hidden="1">[2]AnnualData!#REF!</definedName>
    <definedName name="_4__123Graph_ACHART_4" hidden="1">[2]AnnualData!#REF!</definedName>
    <definedName name="_5__123Graph_ACHART_5" localSheetId="2" hidden="1">[2]AnnualData!#REF!</definedName>
    <definedName name="_5__123Graph_ACHART_5" hidden="1">[2]AnnualData!#REF!</definedName>
    <definedName name="_6__123Graph_ACHART_21A" hidden="1">#REF!</definedName>
    <definedName name="_6__123Graph_ACHART_8A" hidden="1">[4]SHELL!#REF!</definedName>
    <definedName name="_6__123Graph_BCHART_1" localSheetId="2" hidden="1">[2]AnnualData!#REF!</definedName>
    <definedName name="_6__123Graph_BCHART_1" hidden="1">[2]AnnualData!#REF!</definedName>
    <definedName name="_7__123Graph_BCHART_2" localSheetId="2" hidden="1">[2]AnnualData!#REF!</definedName>
    <definedName name="_7__123Graph_BCHART_2" hidden="1">[2]AnnualData!#REF!</definedName>
    <definedName name="_8__123Graph_BCHART_3" hidden="1">[2]AnnualData!#REF!</definedName>
    <definedName name="_9__123Graph_ACHART_8A" hidden="1">#REF!</definedName>
    <definedName name="_9__123Graph_BCHART_21A" hidden="1">[4]SHELL!#REF!</definedName>
    <definedName name="_9__123Graph_BCHART_4" hidden="1">[2]AnnualData!#REF!</definedName>
    <definedName name="_AMO_UniqueIdentifier" hidden="1">"'2995e12c-7f92-4103-a2d1-a1d598d57c6f'"</definedName>
    <definedName name="_bdm.050D39CD650D4F2095D8D24650D7326B.edm" hidden="1">'[5]Win per Visitor'!$A:$IV</definedName>
    <definedName name="_bdm.2A10043F760B4BDFB6F9D8DB5014AD69.edm" hidden="1">'[5]Mainland China Visitors'!$A:$IV</definedName>
    <definedName name="_bdm.30AE078D04674B0581A83DC0BB71CAE9.edm" hidden="1">[5]Charts2!$A:$IV</definedName>
    <definedName name="_bdm.400015F9721047F2AE12F65177C08B38.edm" hidden="1">[5]Timeline!$A:$IV</definedName>
    <definedName name="_bdm.408316A99C924475A002B539D6B19081.edm" localSheetId="9" hidden="1">#REF!</definedName>
    <definedName name="_bdm.408316A99C924475A002B539D6B19081.edm" localSheetId="10" hidden="1">#REF!</definedName>
    <definedName name="_bdm.408316A99C924475A002B539D6B19081.edm" hidden="1">#REF!</definedName>
    <definedName name="_bdm.607844024ECD4A758B546863D50AC585.edm" hidden="1">[5]Gaming!$A:$IV</definedName>
    <definedName name="_bdm.6C3132C4E18240B19A2542E06B6496E8.edm" hidden="1">'[5]Gaming Detail'!$A:$IV</definedName>
    <definedName name="_bdm.9083CA28584C43EE98009F3577D43C4B.edm" hidden="1">[5]Exhibits!$A:$IV</definedName>
    <definedName name="_bdm.A9747668DA694B539C05FB076C09D3D2.edm" hidden="1">#REF!</definedName>
    <definedName name="_bdm.AA02C9D3B8C541E8BBDF9C677034FBDA.edm" hidden="1">'[5]Monthly Data'!$A:$IV</definedName>
    <definedName name="_bdm.ACC583D0D3094FA89BCB4D4AEC1005C1.edm" hidden="1">[5]IVS!$A:$IV</definedName>
    <definedName name="_bdm.AE6209C86C4741CFBFB6DD9A1DBF58D1.edm" hidden="1">[5]Charts!$A:$IV</definedName>
    <definedName name="_bdm.CF80122F6E9B4FFC98957A0CF584493D.edm" hidden="1">'[5]Macau Market Share'!$A:$IV</definedName>
    <definedName name="_bdm.E0A73A124C724002A7E42D1DD632219A.edm" hidden="1">[5]Sensitivity!$A:$IV</definedName>
    <definedName name="_ct2" localSheetId="2" hidden="1">{"Qtr Op Mgd Q3",#N/A,FALSE,"Qtr-Op (Mng)";"Qtr Op Rpt Q3",#N/A,FALSE,"Qtr-Op (Rpt)";"Operating Vs Reported",#N/A,FALSE,"Rpt-Op Inc"}</definedName>
    <definedName name="_ct2" localSheetId="9" hidden="1">{"Qtr Op Mgd Q3",#N/A,FALSE,"Qtr-Op (Mng)";"Qtr Op Rpt Q3",#N/A,FALSE,"Qtr-Op (Rpt)";"Operating Vs Reported",#N/A,FALSE,"Rpt-Op Inc"}</definedName>
    <definedName name="_ct2" localSheetId="10" hidden="1">{"Qtr Op Mgd Q3",#N/A,FALSE,"Qtr-Op (Mng)";"Qtr Op Rpt Q3",#N/A,FALSE,"Qtr-Op (Rpt)";"Operating Vs Reported",#N/A,FALSE,"Rpt-Op Inc"}</definedName>
    <definedName name="_ct2" hidden="1">{"Qtr Op Mgd Q3",#N/A,FALSE,"Qtr-Op (Mng)";"Qtr Op Rpt Q3",#N/A,FALSE,"Qtr-Op (Rpt)";"Operating Vs Reported",#N/A,FALSE,"Rpt-Op Inc"}</definedName>
    <definedName name="_GSRATES_1" hidden="1">"CF3000012000063019980601"</definedName>
    <definedName name="_GSRATES_2" hidden="1">"CF3000011997073119970701"</definedName>
    <definedName name="_GSRATES_3" hidden="1">"CF3000011998063019980601"</definedName>
    <definedName name="_GSRATES_4" hidden="1">"CF3000011998033119980301"</definedName>
    <definedName name="_GSRATES_COUNT" hidden="1">4</definedName>
    <definedName name="_Order1" hidden="1">0</definedName>
    <definedName name="_Order1_1" hidden="1">255</definedName>
    <definedName name="_Order2" hidden="1">255</definedName>
    <definedName name="_Regression_Int" hidden="1">1</definedName>
    <definedName name="_Regression_Out" localSheetId="9" hidden="1">#REF!</definedName>
    <definedName name="_Regression_Out" localSheetId="10" hidden="1">#REF!</definedName>
    <definedName name="_Regression_Out" hidden="1">[6]ICTSI!#REF!</definedName>
    <definedName name="_Regression_X" localSheetId="9" hidden="1">#REF!</definedName>
    <definedName name="_Regression_X" localSheetId="10" hidden="1">#REF!</definedName>
    <definedName name="_Regression_X" hidden="1">[6]ICTSI!#REF!</definedName>
    <definedName name="_Regression_Y" localSheetId="9" hidden="1">#REF!</definedName>
    <definedName name="_Regression_Y" localSheetId="10" hidden="1">#REF!</definedName>
    <definedName name="_Regression_Y" hidden="1">[6]ICTSI!#REF!</definedName>
    <definedName name="_Table2_In1" localSheetId="0" hidden="1">#REF!</definedName>
    <definedName name="_Table2_In1" localSheetId="9" hidden="1">#REF!</definedName>
    <definedName name="_Table2_In1" localSheetId="10" hidden="1">#REF!</definedName>
    <definedName name="_Table2_In1" hidden="1">#REF!</definedName>
    <definedName name="_Table2_In2" localSheetId="0" hidden="1">#REF!</definedName>
    <definedName name="_Table2_In2" localSheetId="9" hidden="1">#REF!</definedName>
    <definedName name="_Table2_In2" localSheetId="10" hidden="1">#REF!</definedName>
    <definedName name="_Table2_In2" hidden="1">#REF!</definedName>
    <definedName name="AAA_DOCTOPS" hidden="1">"AAA_SET"</definedName>
    <definedName name="AAA_duser" hidden="1">"OFF"</definedName>
    <definedName name="aaaa"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B_Addin5" hidden="1">"AAB_Description for addin 5,Description for addin 5,Description for addin 5,Description for addin 5,Description for addin 5,Description for addin 5"</definedName>
    <definedName name="ACwvu.bal_98." localSheetId="9" hidden="1">#REF!</definedName>
    <definedName name="ACwvu.bal_98." localSheetId="10" hidden="1">#REF!</definedName>
    <definedName name="ACwvu.bal_98." hidden="1">[7]BALSHT_S!$A$1:$M$65536</definedName>
    <definedName name="ACwvu.Detail." localSheetId="9" hidden="1">#REF!</definedName>
    <definedName name="ACwvu.Detail." localSheetId="10" hidden="1">#REF!</definedName>
    <definedName name="ACwvu.Detail." hidden="1">'[8]Fert. &amp; Chem.'!$J$8</definedName>
    <definedName name="ACwvu.Forestry." localSheetId="9" hidden="1">#REF!</definedName>
    <definedName name="ACwvu.Forestry." localSheetId="10" hidden="1">#REF!</definedName>
    <definedName name="ACwvu.Forestry." hidden="1">[8]Bunnings!$D$384</definedName>
    <definedName name="ACwvu.Full_Year." localSheetId="9" hidden="1">#REF!</definedName>
    <definedName name="ACwvu.Full_Year." localSheetId="10" hidden="1">#REF!</definedName>
    <definedName name="ACwvu.Full_Year." hidden="1">[7]PE1_S!$A$1:$Z$65536</definedName>
    <definedName name="ACwvu.Merch_Summary." localSheetId="9" hidden="1">#REF!</definedName>
    <definedName name="ACwvu.Merch_Summary." localSheetId="10" hidden="1">#REF!</definedName>
    <definedName name="ACwvu.Merch_Summary." hidden="1">[8]Bunnings!$F$106</definedName>
    <definedName name="ACwvu.Summary." localSheetId="9" hidden="1">#REF!</definedName>
    <definedName name="ACwvu.Summary." localSheetId="10" hidden="1">#REF!</definedName>
    <definedName name="ACwvu.Summary." hidden="1">'[8]Fert. &amp; Chem.'!$A$35:$IV$35</definedName>
    <definedName name="ACwvu.Warehouse." localSheetId="9" hidden="1">#REF!</definedName>
    <definedName name="ACwvu.Warehouse." localSheetId="10" hidden="1">#REF!</definedName>
    <definedName name="ACwvu.Warehouse." hidden="1">[8]Bunnings!$G$102</definedName>
    <definedName name="arse" localSheetId="9" hidden="1">{"PAGE1",#N/A,FALSE,"Consolidation";"PAGE2",#N/A,FALSE,"Consolidation";"PAGE3",#N/A,FALSE,"Consolidation";"PAGE4",#N/A,FALSE,"Consolidation";"PAGE5",#N/A,FALSE,"Consolidation";"PAGE6",#N/A,FALSE,"Consolidation";"PAGE7",#N/A,FALSE,"Consolidation"}</definedName>
    <definedName name="arse" localSheetId="10" hidden="1">{"PAGE1",#N/A,FALSE,"Consolidation";"PAGE2",#N/A,FALSE,"Consolidation";"PAGE3",#N/A,FALSE,"Consolidation";"PAGE4",#N/A,FALSE,"Consolidation";"PAGE5",#N/A,FALSE,"Consolidation";"PAGE6",#N/A,FALSE,"Consolidation";"PAGE7",#N/A,FALSE,"Consolidation"}</definedName>
    <definedName name="arse" hidden="1">{"PAGE1",#N/A,FALSE,"Consolidation";"PAGE2",#N/A,FALSE,"Consolidation";"PAGE3",#N/A,FALSE,"Consolidation";"PAGE4",#N/A,FALSE,"Consolidation";"PAGE5",#N/A,FALSE,"Consolidation";"PAGE6",#N/A,FALSE,"Consolidation";"PAGE7",#N/A,FALSE,"Consolidation"}</definedName>
    <definedName name="arse_1" hidden="1">{"PAGE1",#N/A,FALSE,"Consolidation";"PAGE2",#N/A,FALSE,"Consolidation";"PAGE3",#N/A,FALSE,"Consolidation";"PAGE4",#N/A,FALSE,"Consolidation";"PAGE5",#N/A,FALSE,"Consolidation";"PAGE6",#N/A,FALSE,"Consolidation";"PAGE7",#N/A,FALSE,"Consolidation"}</definedName>
    <definedName name="arse_2" hidden="1">{"PAGE1",#N/A,FALSE,"Consolidation";"PAGE2",#N/A,FALSE,"Consolidation";"PAGE3",#N/A,FALSE,"Consolidation";"PAGE4",#N/A,FALSE,"Consolidation";"PAGE5",#N/A,FALSE,"Consolidation";"PAGE6",#N/A,FALSE,"Consolidation";"PAGE7",#N/A,FALSE,"Consolidation"}</definedName>
    <definedName name="arse_CWN" localSheetId="9" hidden="1">{"PAGE1",#N/A,FALSE,"Consolidation";"PAGE2",#N/A,FALSE,"Consolidation";"PAGE3",#N/A,FALSE,"Consolidation";"PAGE4",#N/A,FALSE,"Consolidation";"PAGE5",#N/A,FALSE,"Consolidation";"PAGE6",#N/A,FALSE,"Consolidation";"PAGE7",#N/A,FALSE,"Consolidation"}</definedName>
    <definedName name="arse_CWN" localSheetId="10" hidden="1">{"PAGE1",#N/A,FALSE,"Consolidation";"PAGE2",#N/A,FALSE,"Consolidation";"PAGE3",#N/A,FALSE,"Consolidation";"PAGE4",#N/A,FALSE,"Consolidation";"PAGE5",#N/A,FALSE,"Consolidation";"PAGE6",#N/A,FALSE,"Consolidation";"PAGE7",#N/A,FALSE,"Consolidation"}</definedName>
    <definedName name="arse_CWN" hidden="1">{"PAGE1",#N/A,FALSE,"Consolidation";"PAGE2",#N/A,FALSE,"Consolidation";"PAGE3",#N/A,FALSE,"Consolidation";"PAGE4",#N/A,FALSE,"Consolidation";"PAGE5",#N/A,FALSE,"Consolidation";"PAGE6",#N/A,FALSE,"Consolidation";"PAGE7",#N/A,FALSE,"Consolidation"}</definedName>
    <definedName name="arse_SKC" localSheetId="9" hidden="1">{"PAGE1",#N/A,FALSE,"Consolidation";"PAGE2",#N/A,FALSE,"Consolidation";"PAGE3",#N/A,FALSE,"Consolidation";"PAGE4",#N/A,FALSE,"Consolidation";"PAGE5",#N/A,FALSE,"Consolidation";"PAGE6",#N/A,FALSE,"Consolidation";"PAGE7",#N/A,FALSE,"Consolidation"}</definedName>
    <definedName name="arse_SKC" localSheetId="10" hidden="1">{"PAGE1",#N/A,FALSE,"Consolidation";"PAGE2",#N/A,FALSE,"Consolidation";"PAGE3",#N/A,FALSE,"Consolidation";"PAGE4",#N/A,FALSE,"Consolidation";"PAGE5",#N/A,FALSE,"Consolidation";"PAGE6",#N/A,FALSE,"Consolidation";"PAGE7",#N/A,FALSE,"Consolidation"}</definedName>
    <definedName name="arse_SKC" hidden="1">{"PAGE1",#N/A,FALSE,"Consolidation";"PAGE2",#N/A,FALSE,"Consolidation";"PAGE3",#N/A,FALSE,"Consolidation";"PAGE4",#N/A,FALSE,"Consolidation";"PAGE5",#N/A,FALSE,"Consolidation";"PAGE6",#N/A,FALSE,"Consolidation";"PAGE7",#N/A,FALSE,"Consolidation"}</definedName>
    <definedName name="arse1"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 localSheetId="10"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localSheetId="10"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localSheetId="10"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2" localSheetId="9" hidden="1">{"Print Summary",#N/A,FALSE,"Bal_Graphs";"Print Summary",#N/A,FALSE,"DCF";"Print Summary",#N/A,FALSE,"Graphs";"Print Summary",#N/A,FALSE,"Summary"}</definedName>
    <definedName name="arse2" localSheetId="10" hidden="1">{"Print Summary",#N/A,FALSE,"Bal_Graphs";"Print Summary",#N/A,FALSE,"DCF";"Print Summary",#N/A,FALSE,"Graphs";"Print Summary",#N/A,FALSE,"Summary"}</definedName>
    <definedName name="arse2" hidden="1">{"Print Summary",#N/A,FALSE,"Bal_Graphs";"Print Summary",#N/A,FALSE,"DCF";"Print Summary",#N/A,FALSE,"Graphs";"Print Summary",#N/A,FALSE,"Summary"}</definedName>
    <definedName name="arse2_1" hidden="1">{"Print Summary",#N/A,FALSE,"Bal_Graphs";"Print Summary",#N/A,FALSE,"DCF";"Print Summary",#N/A,FALSE,"Graphs";"Print Summary",#N/A,FALSE,"Summary"}</definedName>
    <definedName name="arse2_2" hidden="1">{"Print Summary",#N/A,FALSE,"Bal_Graphs";"Print Summary",#N/A,FALSE,"DCF";"Print Summary",#N/A,FALSE,"Graphs";"Print Summary",#N/A,FALSE,"Summary"}</definedName>
    <definedName name="arse2_CWN" localSheetId="9" hidden="1">{"Print Summary",#N/A,FALSE,"Bal_Graphs";"Print Summary",#N/A,FALSE,"DCF";"Print Summary",#N/A,FALSE,"Graphs";"Print Summary",#N/A,FALSE,"Summary"}</definedName>
    <definedName name="arse2_CWN" localSheetId="10" hidden="1">{"Print Summary",#N/A,FALSE,"Bal_Graphs";"Print Summary",#N/A,FALSE,"DCF";"Print Summary",#N/A,FALSE,"Graphs";"Print Summary",#N/A,FALSE,"Summary"}</definedName>
    <definedName name="arse2_CWN" hidden="1">{"Print Summary",#N/A,FALSE,"Bal_Graphs";"Print Summary",#N/A,FALSE,"DCF";"Print Summary",#N/A,FALSE,"Graphs";"Print Summary",#N/A,FALSE,"Summary"}</definedName>
    <definedName name="berkshire" localSheetId="2" hidden="1">{"Revenue by Industry Chart",#N/A,FALSE,"Mix";"Annual Revenue Detail",#N/A,FALSE,"Mix";"Quarterly Revenue Detail",#N/A,FALSE,"Mix"}</definedName>
    <definedName name="berkshire" localSheetId="9" hidden="1">{"Revenue by Industry Chart",#N/A,FALSE,"Mix";"Annual Revenue Detail",#N/A,FALSE,"Mix";"Quarterly Revenue Detail",#N/A,FALSE,"Mix"}</definedName>
    <definedName name="berkshire" localSheetId="10" hidden="1">{"Revenue by Industry Chart",#N/A,FALSE,"Mix";"Annual Revenue Detail",#N/A,FALSE,"Mix";"Quarterly Revenue Detail",#N/A,FALSE,"Mix"}</definedName>
    <definedName name="berkshire" hidden="1">{"Revenue by Industry Chart",#N/A,FALSE,"Mix";"Annual Revenue Detail",#N/A,FALSE,"Mix";"Quarterly Revenue Detail",#N/A,FALSE,"Mix"}</definedName>
    <definedName name="BLPH1" hidden="1">#REF!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0" hidden="1">#REF!</definedName>
    <definedName name="BLPH121" hidden="1">#REF!</definedName>
    <definedName name="BLPH122"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0" hidden="1">#REF!</definedName>
    <definedName name="BLPH241" hidden="1">#REF!</definedName>
    <definedName name="BLPH242" hidden="1">#REF!</definedName>
    <definedName name="BLPH243" hidden="1">#REF!</definedName>
    <definedName name="BLPH244" hidden="1">#REF!</definedName>
    <definedName name="BLPH25" localSheetId="9" hidden="1">#REF!</definedName>
    <definedName name="BLPH25" localSheetId="10" hidden="1">#REF!</definedName>
    <definedName name="BLPH25" hidden="1">[9]bloomberg!$D$3</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localSheetId="9" hidden="1">#REF!</definedName>
    <definedName name="BLPH26" localSheetId="10" hidden="1">#REF!</definedName>
    <definedName name="BLPH26" hidden="1">[9]bloomberg!$G$3</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localSheetId="9" hidden="1">#REF!</definedName>
    <definedName name="BLPH27" localSheetId="10" hidden="1">#REF!</definedName>
    <definedName name="BLPH27" hidden="1">[9]bloomberg!$A$3</definedName>
    <definedName name="BLPH294" hidden="1">#REF!</definedName>
    <definedName name="BLPH3" localSheetId="9" hidden="1">#REF!</definedName>
    <definedName name="BLPH3" localSheetId="10" hidden="1">#REF!</definedName>
    <definedName name="BLPH3" hidden="1">#REF!</definedName>
    <definedName name="BLPH30" localSheetId="9" hidden="1">#REF!</definedName>
    <definedName name="BLPH30" localSheetId="10" hidden="1">#REF!</definedName>
    <definedName name="BLPH30" hidden="1">[9]bloomberg!$J$3</definedName>
    <definedName name="BLPH31" localSheetId="9" hidden="1">#REF!</definedName>
    <definedName name="BLPH31" localSheetId="10" hidden="1">#REF!</definedName>
    <definedName name="BLPH31" hidden="1">[9]bloomberg!$M$3</definedName>
    <definedName name="BLPH34" localSheetId="9" hidden="1">#REF!</definedName>
    <definedName name="BLPH34" localSheetId="10" hidden="1">#REF!</definedName>
    <definedName name="BLPH34" hidden="1">[9]bloomberg!$P$3</definedName>
    <definedName name="BLPH4" localSheetId="9" hidden="1">#REF!</definedName>
    <definedName name="BLPH4" localSheetId="10" hidden="1">#REF!</definedName>
    <definedName name="BLPH4" hidden="1">#REF!</definedName>
    <definedName name="BLPH5" localSheetId="9" hidden="1">#REF!</definedName>
    <definedName name="BLPH5" localSheetId="10" hidden="1">#REF!</definedName>
    <definedName name="BLPH5" hidden="1">#REF!</definedName>
    <definedName name="BLPH60" hidden="1">#REF!</definedName>
    <definedName name="BLPH61" hidden="1">#REF!</definedName>
    <definedName name="BLPH67" hidden="1">#REF!</definedName>
    <definedName name="BLPH68" hidden="1">#REF!</definedName>
    <definedName name="BLPH69"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charft" localSheetId="2" hidden="1">[2]AnnualData!#REF!</definedName>
    <definedName name="charft" localSheetId="9" hidden="1">[2]AnnualData!#REF!</definedName>
    <definedName name="charft" localSheetId="10" hidden="1">[2]AnnualData!#REF!</definedName>
    <definedName name="charft" hidden="1">[2]AnnualData!#REF!</definedName>
    <definedName name="chart1" localSheetId="2" hidden="1">'[1]Long Term Prices'!#REF!</definedName>
    <definedName name="chart1" localSheetId="9" hidden="1">'[1]Long Term Prices'!#REF!</definedName>
    <definedName name="chart1" localSheetId="10" hidden="1">'[1]Long Term Prices'!#REF!</definedName>
    <definedName name="chart1" hidden="1">'[1]Long Term Prices'!#REF!</definedName>
    <definedName name="charts" localSheetId="9" hidden="1">{"IND","COMPANIES",TRUE}</definedName>
    <definedName name="charts" localSheetId="10" hidden="1">{"IND","COMPANIES",TRUE}</definedName>
    <definedName name="charts" hidden="1">{"IND","COMPANIES",TRUE}</definedName>
    <definedName name="cu103.EmployeeScalingFactor" hidden="1">1000</definedName>
    <definedName name="cu107.EPSSymbol" hidden="1">"A$"</definedName>
    <definedName name="cu71.ScalingFactor" hidden="1">1000000</definedName>
    <definedName name="Cwvu.Full_Year." localSheetId="9" hidden="1">#REF!</definedName>
    <definedName name="Cwvu.Full_Year." localSheetId="10" hidden="1">#REF!</definedName>
    <definedName name="Cwvu.Full_Year." hidden="1">[7]PE1_S!$A$22:$IV$23</definedName>
    <definedName name="Cwvu.Summary." localSheetId="9" hidden="1">#REF!,#REF!,#REF!,#REF!</definedName>
    <definedName name="Cwvu.Summary." localSheetId="10" hidden="1">#REF!,#REF!,#REF!,#REF!</definedName>
    <definedName name="Cwvu.Summary." hidden="1">'[10]Fert. &amp; Chem.'!$A$16:$IV$23,'[10]Fert. &amp; Chem.'!#REF!,'[10]Fert. &amp; Chem.'!$A$46:$IV$54,'[10]Fert. &amp; Chem.'!$A$66:$IV$128</definedName>
    <definedName name="ddddd"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ME_BeforeCloseCompleted" hidden="1">"False"</definedName>
    <definedName name="DME_Dirty" hidden="1">"False"</definedName>
    <definedName name="DME_LocalFile" hidden="1">"True"</definedName>
    <definedName name="DS" localSheetId="9" hidden="1">{"Full_Year",#N/A,FALSE,"PE1_S";#N/A,#N/A,FALSE,"DIVIS_S"}</definedName>
    <definedName name="DS" localSheetId="10" hidden="1">{"Full_Year",#N/A,FALSE,"PE1_S";#N/A,#N/A,FALSE,"DIVIS_S"}</definedName>
    <definedName name="DS" hidden="1">{"Full_Year",#N/A,FALSE,"PE1_S";#N/A,#N/A,FALSE,"DIVIS_S"}</definedName>
    <definedName name="DS_1" hidden="1">{"Full_Year",#N/A,FALSE,"PE1_S";#N/A,#N/A,FALSE,"DIVIS_S"}</definedName>
    <definedName name="DS_2" hidden="1">{"Full_Year",#N/A,FALSE,"PE1_S";#N/A,#N/A,FALSE,"DIVIS_S"}</definedName>
    <definedName name="DS_CWN" localSheetId="9" hidden="1">{"Full_Year",#N/A,FALSE,"PE1_S";#N/A,#N/A,FALSE,"DIVIS_S"}</definedName>
    <definedName name="DS_CWN" localSheetId="10" hidden="1">{"Full_Year",#N/A,FALSE,"PE1_S";#N/A,#N/A,FALSE,"DIVIS_S"}</definedName>
    <definedName name="DS_CWN" hidden="1">{"Full_Year",#N/A,FALSE,"PE1_S";#N/A,#N/A,FALSE,"DIVIS_S"}</definedName>
    <definedName name="DSHiddenYear1" hidden="1">[11]RBCCM_Valuation_Measures!$D$1</definedName>
    <definedName name="DSHiddenYear2" hidden="1">[11]RBCCM_Valuation_Measures!$E$1</definedName>
    <definedName name="DSHiddenYear3" hidden="1">[11]RBCCM_Valuation_Measures!$F$1</definedName>
    <definedName name="DSHiddenYear4" hidden="1">[11]RBCCM_Valuation_Measures!$G$1</definedName>
    <definedName name="DSIndHiddenYear1" hidden="1">[11]RBCCM_Industry_Specif!$D$1</definedName>
    <definedName name="DSIndHiddenYear2" hidden="1">[11]RBCCM_Industry_Specif!$E$1</definedName>
    <definedName name="DSIndHiddenYear3" hidden="1">[11]RBCCM_Industry_Specif!$F$1</definedName>
    <definedName name="DSIndHiddenYear4" hidden="1">[11]RBCCM_Industry_Specif!$G$1</definedName>
    <definedName name="DSIndHistHiddenYear1" localSheetId="2" hidden="1">[12]RBCCM_Industry_Specif!#REF!</definedName>
    <definedName name="DSIndHistHiddenYear1" hidden="1">[12]RBCCM_Industry_Specif!#REF!</definedName>
    <definedName name="DSIndHistHiddenYear2" localSheetId="2" hidden="1">[12]RBCCM_Industry_Specif!#REF!</definedName>
    <definedName name="DSIndHistHiddenYear2" hidden="1">[12]RBCCM_Industry_Specif!#REF!</definedName>
    <definedName name="DSIndHistHiddenYear3" localSheetId="2" hidden="1">[12]RBCCM_Industry_Specif!#REF!</definedName>
    <definedName name="DSIndHistHiddenYear3" hidden="1">[12]RBCCM_Industry_Specif!#REF!</definedName>
    <definedName name="DSIndHistHiddenYear4" hidden="1">[11]RBCCM_Industry_Specif!$B$1</definedName>
    <definedName name="DSIndHistHiddenYear5" hidden="1">[11]RBCCM_Industry_Specif!$C$1</definedName>
    <definedName name="esnrc100c1_values" localSheetId="9" hidden="1">{"FTSE100","COMPANIES",TRUE}</definedName>
    <definedName name="esnrc100c1_values" localSheetId="10" hidden="1">{"FTSE100","COMPANIES",TRUE}</definedName>
    <definedName name="esnrc100c1_values" hidden="1">{"FTSE100","COMPANIES",TRUE}</definedName>
    <definedName name="esnrc100c1_values_1" hidden="1">{"FTSE100","COMPANIES",TRUE}</definedName>
    <definedName name="esnrc100c1_values_2" hidden="1">{"FTSE100","COMPANIES",TRUE}</definedName>
    <definedName name="esnrc33c1_values" localSheetId="9" hidden="1">{"EUMOT","COMPANIES",TRUE}</definedName>
    <definedName name="esnrc33c1_values" localSheetId="10" hidden="1">{"EUMOT","COMPANIES",TRUE}</definedName>
    <definedName name="esnrc33c1_values" hidden="1">{"EUMOT","COMPANIES",TRUE}</definedName>
    <definedName name="esnrc33c1_values_1" hidden="1">{"EUMOT","COMPANIES",TRUE}</definedName>
    <definedName name="esnrc33c1_values_2" hidden="1">{"EUMOT","COMPANIES",TRUE}</definedName>
    <definedName name="esnrc56c1_values" localSheetId="9" hidden="1">{"ASCONGRP","COMPANIES",TRUE}</definedName>
    <definedName name="esnrc56c1_values" localSheetId="10" hidden="1">{"ASCONGRP","COMPANIES",TRUE}</definedName>
    <definedName name="esnrc56c1_values" hidden="1">{"ASCONGRP","COMPANIES",TRUE}</definedName>
    <definedName name="esnrc56c1_values_1" hidden="1">{"ASCONGRP","COMPANIES",TRUE}</definedName>
    <definedName name="esnrc56c1_values_2" hidden="1">{"ASCONGRP","COMPANIES",TRUE}</definedName>
    <definedName name="esnrc63c1_values" localSheetId="9" hidden="1">{"EUUTIGRP","COMPANIES",TRUE}</definedName>
    <definedName name="esnrc63c1_values" localSheetId="10" hidden="1">{"EUUTIGRP","COMPANIES",TRUE}</definedName>
    <definedName name="esnrc63c1_values" hidden="1">{"EUUTIGRP","COMPANIES",TRUE}</definedName>
    <definedName name="esnrc63c1_values_1" hidden="1">{"EUUTIGRP","COMPANIES",TRUE}</definedName>
    <definedName name="esnrc63c1_values_2" hidden="1">{"EUUTIGRP","COMPANIES",TRUE}</definedName>
    <definedName name="esnrc65c1_values" localSheetId="9" hidden="1">{"IND","COMPANIES",TRUE}</definedName>
    <definedName name="esnrc65c1_values" localSheetId="10" hidden="1">{"IND","COMPANIES",TRUE}</definedName>
    <definedName name="esnrc65c1_values" hidden="1">{"IND","COMPANIES",TRUE}</definedName>
    <definedName name="esnrc65c1_values_1" hidden="1">{"IND","COMPANIES",TRUE}</definedName>
    <definedName name="esnrc65c1_values_2" hidden="1">{"IND","COMPANIES",TRUE}</definedName>
    <definedName name="esnrc65c1_values_CWN" localSheetId="9" hidden="1">{"IND","COMPANIES",TRUE}</definedName>
    <definedName name="esnrc65c1_values_CWN" localSheetId="10" hidden="1">{"IND","COMPANIES",TRUE}</definedName>
    <definedName name="esnrc65c1_values_CWN" hidden="1">{"IND","COMPANIES",TRUE}</definedName>
    <definedName name="esnrc65c2_values" localSheetId="9" hidden="1">{"IND","COMPANIES",TRUE}</definedName>
    <definedName name="esnrc65c2_values" localSheetId="10" hidden="1">{"IND","COMPANIES",TRUE}</definedName>
    <definedName name="esnrc65c2_values" hidden="1">{"IND","COMPANIES",TRUE}</definedName>
    <definedName name="esnrc65c2_values_1" hidden="1">{"IND","COMPANIES",TRUE}</definedName>
    <definedName name="esnrc65c2_values_2" hidden="1">{"IND","COMPANIES",TRUE}</definedName>
    <definedName name="esnrc65c2_values_CWN" localSheetId="9" hidden="1">{"IND","COMPANIES",TRUE}</definedName>
    <definedName name="esnrc65c2_values_CWN" localSheetId="10" hidden="1">{"IND","COMPANIES",TRUE}</definedName>
    <definedName name="esnrc65c2_values_CWN" hidden="1">{"IND","COMPANIES",TRUE}</definedName>
    <definedName name="esnrc91c1_values" localSheetId="9" hidden="1">{"EUUTI","COMPANIES",TRUE}</definedName>
    <definedName name="esnrc91c1_values" localSheetId="10" hidden="1">{"EUUTI","COMPANIES",TRUE}</definedName>
    <definedName name="esnrc91c1_values" hidden="1">{"EUUTI","COMPANIES",TRUE}</definedName>
    <definedName name="esnrc91c1_values_1" hidden="1">{"EUUTI","COMPANIES",TRUE}</definedName>
    <definedName name="esnrc91c1_values_2" hidden="1">{"EUUTI","COMPANIES",TRUE}</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P_0_1_aUrv" localSheetId="2" hidden="1">#REF!</definedName>
    <definedName name="FDP_0_1_aUrv" localSheetId="9" hidden="1">#REF!</definedName>
    <definedName name="FDP_0_1_aUrv" localSheetId="10" hidden="1">#REF!</definedName>
    <definedName name="FDP_0_1_aUrv" hidden="1">#REF!</definedName>
    <definedName name="FDP_1_1_aUrv" localSheetId="2" hidden="1">#REF!</definedName>
    <definedName name="FDP_1_1_aUrv" localSheetId="9" hidden="1">#REF!</definedName>
    <definedName name="FDP_1_1_aUrv" localSheetId="10" hidden="1">#REF!</definedName>
    <definedName name="FDP_1_1_aUrv" hidden="1">#REF!</definedName>
    <definedName name="FDP_10_1_aDrv" localSheetId="2" hidden="1">#REF!</definedName>
    <definedName name="FDP_10_1_aDrv" localSheetId="9" hidden="1">#REF!</definedName>
    <definedName name="FDP_10_1_aDrv" localSheetId="10" hidden="1">#REF!</definedName>
    <definedName name="FDP_10_1_aDrv" hidden="1">#REF!</definedName>
    <definedName name="FDP_100_1_aUrv" localSheetId="2" hidden="1">#REF!</definedName>
    <definedName name="FDP_100_1_aUrv" localSheetId="9" hidden="1">#REF!</definedName>
    <definedName name="FDP_100_1_aUrv" localSheetId="10" hidden="1">#REF!</definedName>
    <definedName name="FDP_100_1_aUrv" hidden="1">#REF!</definedName>
    <definedName name="FDP_101_1_aUrv" localSheetId="2" hidden="1">#REF!</definedName>
    <definedName name="FDP_101_1_aUrv" localSheetId="9" hidden="1">#REF!</definedName>
    <definedName name="FDP_101_1_aUrv" localSheetId="10" hidden="1">#REF!</definedName>
    <definedName name="FDP_101_1_aUrv" hidden="1">#REF!</definedName>
    <definedName name="FDP_102_1_aUrv" localSheetId="2" hidden="1">#REF!</definedName>
    <definedName name="FDP_102_1_aUrv" localSheetId="9" hidden="1">#REF!</definedName>
    <definedName name="FDP_102_1_aUrv" localSheetId="10" hidden="1">#REF!</definedName>
    <definedName name="FDP_102_1_aUrv" hidden="1">#REF!</definedName>
    <definedName name="FDP_103_1_aUrv" localSheetId="2" hidden="1">#REF!</definedName>
    <definedName name="FDP_103_1_aUrv" localSheetId="9" hidden="1">#REF!</definedName>
    <definedName name="FDP_103_1_aUrv" localSheetId="10" hidden="1">#REF!</definedName>
    <definedName name="FDP_103_1_aUrv" hidden="1">#REF!</definedName>
    <definedName name="FDP_104_1_aUrv" localSheetId="2" hidden="1">#REF!</definedName>
    <definedName name="FDP_104_1_aUrv" localSheetId="9" hidden="1">#REF!</definedName>
    <definedName name="FDP_104_1_aUrv" localSheetId="10" hidden="1">#REF!</definedName>
    <definedName name="FDP_104_1_aUrv" hidden="1">#REF!</definedName>
    <definedName name="FDP_105_1_aUrv" localSheetId="2" hidden="1">#REF!</definedName>
    <definedName name="FDP_105_1_aUrv" localSheetId="9" hidden="1">#REF!</definedName>
    <definedName name="FDP_105_1_aUrv" localSheetId="10" hidden="1">#REF!</definedName>
    <definedName name="FDP_105_1_aUrv" hidden="1">#REF!</definedName>
    <definedName name="FDP_106_1_aUrv" localSheetId="2" hidden="1">#REF!</definedName>
    <definedName name="FDP_106_1_aUrv" localSheetId="9" hidden="1">#REF!</definedName>
    <definedName name="FDP_106_1_aUrv" localSheetId="10" hidden="1">#REF!</definedName>
    <definedName name="FDP_106_1_aUrv" hidden="1">#REF!</definedName>
    <definedName name="FDP_108_1_aUrv" localSheetId="2" hidden="1">#REF!</definedName>
    <definedName name="FDP_108_1_aUrv" localSheetId="9" hidden="1">#REF!</definedName>
    <definedName name="FDP_108_1_aUrv" localSheetId="10" hidden="1">#REF!</definedName>
    <definedName name="FDP_108_1_aUrv" hidden="1">#REF!</definedName>
    <definedName name="FDP_109_1_aUrv" localSheetId="2" hidden="1">#REF!</definedName>
    <definedName name="FDP_109_1_aUrv" localSheetId="9" hidden="1">#REF!</definedName>
    <definedName name="FDP_109_1_aUrv" localSheetId="10" hidden="1">#REF!</definedName>
    <definedName name="FDP_109_1_aUrv" hidden="1">#REF!</definedName>
    <definedName name="FDP_11_1_aUrv" localSheetId="2" hidden="1">#REF!</definedName>
    <definedName name="FDP_11_1_aUrv" localSheetId="9" hidden="1">#REF!</definedName>
    <definedName name="FDP_11_1_aUrv" localSheetId="10" hidden="1">#REF!</definedName>
    <definedName name="FDP_11_1_aUrv" hidden="1">#REF!</definedName>
    <definedName name="FDP_110_1_aUrv" localSheetId="2" hidden="1">#REF!</definedName>
    <definedName name="FDP_110_1_aUrv" localSheetId="9" hidden="1">#REF!</definedName>
    <definedName name="FDP_110_1_aUrv" localSheetId="10" hidden="1">#REF!</definedName>
    <definedName name="FDP_110_1_aUrv" hidden="1">#REF!</definedName>
    <definedName name="FDP_111_1_aUrv" localSheetId="2" hidden="1">#REF!</definedName>
    <definedName name="FDP_111_1_aUrv" localSheetId="9" hidden="1">#REF!</definedName>
    <definedName name="FDP_111_1_aUrv" localSheetId="10" hidden="1">#REF!</definedName>
    <definedName name="FDP_111_1_aUrv" hidden="1">#REF!</definedName>
    <definedName name="FDP_112_1_aUrv" localSheetId="2" hidden="1">#REF!</definedName>
    <definedName name="FDP_112_1_aUrv" localSheetId="9" hidden="1">#REF!</definedName>
    <definedName name="FDP_112_1_aUrv" localSheetId="10" hidden="1">#REF!</definedName>
    <definedName name="FDP_112_1_aUrv" hidden="1">#REF!</definedName>
    <definedName name="FDP_113_1_aUrv" localSheetId="2" hidden="1">#REF!</definedName>
    <definedName name="FDP_113_1_aUrv" localSheetId="9" hidden="1">#REF!</definedName>
    <definedName name="FDP_113_1_aUrv" localSheetId="10" hidden="1">#REF!</definedName>
    <definedName name="FDP_113_1_aUrv" hidden="1">#REF!</definedName>
    <definedName name="FDP_114_1_aUrv" localSheetId="2" hidden="1">#REF!</definedName>
    <definedName name="FDP_114_1_aUrv" localSheetId="9" hidden="1">#REF!</definedName>
    <definedName name="FDP_114_1_aUrv" localSheetId="10" hidden="1">#REF!</definedName>
    <definedName name="FDP_114_1_aUrv" hidden="1">#REF!</definedName>
    <definedName name="FDP_115_1_aUrv" localSheetId="2" hidden="1">#REF!</definedName>
    <definedName name="FDP_115_1_aUrv" localSheetId="9" hidden="1">#REF!</definedName>
    <definedName name="FDP_115_1_aUrv" localSheetId="10" hidden="1">#REF!</definedName>
    <definedName name="FDP_115_1_aUrv" hidden="1">#REF!</definedName>
    <definedName name="FDP_116_1_aUrv" localSheetId="2" hidden="1">#REF!</definedName>
    <definedName name="FDP_116_1_aUrv" localSheetId="9" hidden="1">#REF!</definedName>
    <definedName name="FDP_116_1_aUrv" localSheetId="10" hidden="1">#REF!</definedName>
    <definedName name="FDP_116_1_aUrv" hidden="1">#REF!</definedName>
    <definedName name="FDP_117_1_aUrv" localSheetId="2" hidden="1">#REF!</definedName>
    <definedName name="FDP_117_1_aUrv" localSheetId="9" hidden="1">#REF!</definedName>
    <definedName name="FDP_117_1_aUrv" localSheetId="10" hidden="1">#REF!</definedName>
    <definedName name="FDP_117_1_aUrv" hidden="1">#REF!</definedName>
    <definedName name="FDP_118_1_aUrv" localSheetId="2" hidden="1">#REF!</definedName>
    <definedName name="FDP_118_1_aUrv" localSheetId="9" hidden="1">#REF!</definedName>
    <definedName name="FDP_118_1_aUrv" localSheetId="10" hidden="1">#REF!</definedName>
    <definedName name="FDP_118_1_aUrv" hidden="1">#REF!</definedName>
    <definedName name="FDP_119_1_aUrv" localSheetId="2" hidden="1">#REF!</definedName>
    <definedName name="FDP_119_1_aUrv" localSheetId="9" hidden="1">#REF!</definedName>
    <definedName name="FDP_119_1_aUrv" localSheetId="10" hidden="1">#REF!</definedName>
    <definedName name="FDP_119_1_aUrv" hidden="1">#REF!</definedName>
    <definedName name="FDP_12_1_aUrv" localSheetId="2" hidden="1">#REF!</definedName>
    <definedName name="FDP_12_1_aUrv" localSheetId="9" hidden="1">#REF!</definedName>
    <definedName name="FDP_12_1_aUrv" localSheetId="10" hidden="1">#REF!</definedName>
    <definedName name="FDP_12_1_aUrv" hidden="1">#REF!</definedName>
    <definedName name="FDP_120_1_aUrv" localSheetId="2" hidden="1">#REF!</definedName>
    <definedName name="FDP_120_1_aUrv" localSheetId="9" hidden="1">#REF!</definedName>
    <definedName name="FDP_120_1_aUrv" localSheetId="10" hidden="1">#REF!</definedName>
    <definedName name="FDP_120_1_aUrv" hidden="1">#REF!</definedName>
    <definedName name="FDP_121_1_aUrv" localSheetId="2" hidden="1">#REF!</definedName>
    <definedName name="FDP_121_1_aUrv" localSheetId="9" hidden="1">#REF!</definedName>
    <definedName name="FDP_121_1_aUrv" localSheetId="10" hidden="1">#REF!</definedName>
    <definedName name="FDP_121_1_aUrv" hidden="1">#REF!</definedName>
    <definedName name="FDP_124_1_aUrv" localSheetId="2" hidden="1">#REF!</definedName>
    <definedName name="FDP_124_1_aUrv" localSheetId="9" hidden="1">#REF!</definedName>
    <definedName name="FDP_124_1_aUrv" localSheetId="10" hidden="1">#REF!</definedName>
    <definedName name="FDP_124_1_aUrv" hidden="1">#REF!</definedName>
    <definedName name="FDP_125_1_aUrv" localSheetId="2" hidden="1">#REF!</definedName>
    <definedName name="FDP_125_1_aUrv" localSheetId="9" hidden="1">#REF!</definedName>
    <definedName name="FDP_125_1_aUrv" localSheetId="10" hidden="1">#REF!</definedName>
    <definedName name="FDP_125_1_aUrv" hidden="1">#REF!</definedName>
    <definedName name="FDP_126_1_aUrv" localSheetId="2" hidden="1">#REF!</definedName>
    <definedName name="FDP_126_1_aUrv" localSheetId="9" hidden="1">#REF!</definedName>
    <definedName name="FDP_126_1_aUrv" localSheetId="10" hidden="1">#REF!</definedName>
    <definedName name="FDP_126_1_aUrv" hidden="1">#REF!</definedName>
    <definedName name="FDP_127_1_aUrv" localSheetId="2" hidden="1">#REF!</definedName>
    <definedName name="FDP_127_1_aUrv" localSheetId="9" hidden="1">#REF!</definedName>
    <definedName name="FDP_127_1_aUrv" localSheetId="10" hidden="1">#REF!</definedName>
    <definedName name="FDP_127_1_aUrv" hidden="1">#REF!</definedName>
    <definedName name="FDP_128_1_aUrv" localSheetId="2" hidden="1">#REF!</definedName>
    <definedName name="FDP_128_1_aUrv" localSheetId="9" hidden="1">#REF!</definedName>
    <definedName name="FDP_128_1_aUrv" localSheetId="10" hidden="1">#REF!</definedName>
    <definedName name="FDP_128_1_aUrv" hidden="1">#REF!</definedName>
    <definedName name="FDP_129_1_aUrv" localSheetId="2" hidden="1">#REF!</definedName>
    <definedName name="FDP_129_1_aUrv" localSheetId="9" hidden="1">#REF!</definedName>
    <definedName name="FDP_129_1_aUrv" localSheetId="10" hidden="1">#REF!</definedName>
    <definedName name="FDP_129_1_aUrv" hidden="1">#REF!</definedName>
    <definedName name="FDP_13_1_aUrv" localSheetId="2" hidden="1">#REF!</definedName>
    <definedName name="FDP_13_1_aUrv" localSheetId="9" hidden="1">#REF!</definedName>
    <definedName name="FDP_13_1_aUrv" localSheetId="10" hidden="1">#REF!</definedName>
    <definedName name="FDP_13_1_aUrv" hidden="1">#REF!</definedName>
    <definedName name="FDP_130_1_aUrv" localSheetId="2" hidden="1">#REF!</definedName>
    <definedName name="FDP_130_1_aUrv" localSheetId="9" hidden="1">#REF!</definedName>
    <definedName name="FDP_130_1_aUrv" localSheetId="10" hidden="1">#REF!</definedName>
    <definedName name="FDP_130_1_aUrv" hidden="1">#REF!</definedName>
    <definedName name="FDP_132_1_aUrv" localSheetId="2" hidden="1">#REF!</definedName>
    <definedName name="FDP_132_1_aUrv" localSheetId="9" hidden="1">#REF!</definedName>
    <definedName name="FDP_132_1_aUrv" localSheetId="10" hidden="1">#REF!</definedName>
    <definedName name="FDP_132_1_aUrv" hidden="1">#REF!</definedName>
    <definedName name="FDP_133_1_aUrv" localSheetId="2" hidden="1">#REF!</definedName>
    <definedName name="FDP_133_1_aUrv" localSheetId="9" hidden="1">#REF!</definedName>
    <definedName name="FDP_133_1_aUrv" localSheetId="10" hidden="1">#REF!</definedName>
    <definedName name="FDP_133_1_aUrv" hidden="1">#REF!</definedName>
    <definedName name="FDP_134_1_aUrv" localSheetId="2" hidden="1">#REF!</definedName>
    <definedName name="FDP_134_1_aUrv" localSheetId="9" hidden="1">#REF!</definedName>
    <definedName name="FDP_134_1_aUrv" localSheetId="10" hidden="1">#REF!</definedName>
    <definedName name="FDP_134_1_aUrv" hidden="1">#REF!</definedName>
    <definedName name="FDP_135_1_aUrv" localSheetId="2" hidden="1">#REF!</definedName>
    <definedName name="FDP_135_1_aUrv" localSheetId="9" hidden="1">#REF!</definedName>
    <definedName name="FDP_135_1_aUrv" localSheetId="10" hidden="1">#REF!</definedName>
    <definedName name="FDP_135_1_aUrv" hidden="1">#REF!</definedName>
    <definedName name="FDP_136_1_aUrv" localSheetId="2" hidden="1">#REF!</definedName>
    <definedName name="FDP_136_1_aUrv" localSheetId="9" hidden="1">#REF!</definedName>
    <definedName name="FDP_136_1_aUrv" localSheetId="10" hidden="1">#REF!</definedName>
    <definedName name="FDP_136_1_aUrv" hidden="1">#REF!</definedName>
    <definedName name="FDP_137_1_aUrv" localSheetId="2" hidden="1">#REF!</definedName>
    <definedName name="FDP_137_1_aUrv" localSheetId="9" hidden="1">#REF!</definedName>
    <definedName name="FDP_137_1_aUrv" localSheetId="10" hidden="1">#REF!</definedName>
    <definedName name="FDP_137_1_aUrv" hidden="1">#REF!</definedName>
    <definedName name="FDP_139_1_aSrv" localSheetId="2" hidden="1">#REF!</definedName>
    <definedName name="FDP_139_1_aSrv" localSheetId="9" hidden="1">#REF!</definedName>
    <definedName name="FDP_139_1_aSrv" localSheetId="10" hidden="1">#REF!</definedName>
    <definedName name="FDP_139_1_aSrv" hidden="1">#REF!</definedName>
    <definedName name="FDP_14_1_aUrv" localSheetId="2" hidden="1">#REF!</definedName>
    <definedName name="FDP_14_1_aUrv" localSheetId="9" hidden="1">#REF!</definedName>
    <definedName name="FDP_14_1_aUrv" localSheetId="10" hidden="1">#REF!</definedName>
    <definedName name="FDP_14_1_aUrv" hidden="1">#REF!</definedName>
    <definedName name="FDP_140_1_aUrv" localSheetId="2" hidden="1">#REF!</definedName>
    <definedName name="FDP_140_1_aUrv" localSheetId="9" hidden="1">#REF!</definedName>
    <definedName name="FDP_140_1_aUrv" localSheetId="10" hidden="1">#REF!</definedName>
    <definedName name="FDP_140_1_aUrv" hidden="1">#REF!</definedName>
    <definedName name="FDP_141_1_aUrv" localSheetId="2" hidden="1">#REF!</definedName>
    <definedName name="FDP_141_1_aUrv" localSheetId="9" hidden="1">#REF!</definedName>
    <definedName name="FDP_141_1_aUrv" localSheetId="10" hidden="1">#REF!</definedName>
    <definedName name="FDP_141_1_aUrv" hidden="1">#REF!</definedName>
    <definedName name="FDP_142_1_aUrv" localSheetId="2" hidden="1">#REF!</definedName>
    <definedName name="FDP_142_1_aUrv" localSheetId="9" hidden="1">#REF!</definedName>
    <definedName name="FDP_142_1_aUrv" localSheetId="10" hidden="1">#REF!</definedName>
    <definedName name="FDP_142_1_aUrv" hidden="1">#REF!</definedName>
    <definedName name="FDP_143_1_aUrv" localSheetId="2" hidden="1">#REF!</definedName>
    <definedName name="FDP_143_1_aUrv" localSheetId="9" hidden="1">#REF!</definedName>
    <definedName name="FDP_143_1_aUrv" localSheetId="10" hidden="1">#REF!</definedName>
    <definedName name="FDP_143_1_aUrv" hidden="1">#REF!</definedName>
    <definedName name="FDP_144_1_aUrv" localSheetId="2" hidden="1">#REF!</definedName>
    <definedName name="FDP_144_1_aUrv" localSheetId="9" hidden="1">#REF!</definedName>
    <definedName name="FDP_144_1_aUrv" localSheetId="10" hidden="1">#REF!</definedName>
    <definedName name="FDP_144_1_aUrv" hidden="1">#REF!</definedName>
    <definedName name="FDP_145_1_aUrv" localSheetId="2" hidden="1">#REF!</definedName>
    <definedName name="FDP_145_1_aUrv" localSheetId="9" hidden="1">#REF!</definedName>
    <definedName name="FDP_145_1_aUrv" localSheetId="10" hidden="1">#REF!</definedName>
    <definedName name="FDP_145_1_aUrv" hidden="1">#REF!</definedName>
    <definedName name="FDP_146_1_aUrv" localSheetId="2" hidden="1">#REF!</definedName>
    <definedName name="FDP_146_1_aUrv" localSheetId="9" hidden="1">#REF!</definedName>
    <definedName name="FDP_146_1_aUrv" localSheetId="10" hidden="1">#REF!</definedName>
    <definedName name="FDP_146_1_aUrv" hidden="1">#REF!</definedName>
    <definedName name="FDP_147_1_aUrv" localSheetId="2" hidden="1">#REF!</definedName>
    <definedName name="FDP_147_1_aUrv" localSheetId="9" hidden="1">#REF!</definedName>
    <definedName name="FDP_147_1_aUrv" localSheetId="10" hidden="1">#REF!</definedName>
    <definedName name="FDP_147_1_aUrv" hidden="1">#REF!</definedName>
    <definedName name="FDP_148_1_aUrv" localSheetId="2" hidden="1">#REF!</definedName>
    <definedName name="FDP_148_1_aUrv" localSheetId="9" hidden="1">#REF!</definedName>
    <definedName name="FDP_148_1_aUrv" localSheetId="10" hidden="1">#REF!</definedName>
    <definedName name="FDP_148_1_aUrv" hidden="1">#REF!</definedName>
    <definedName name="FDP_149_1_aUrv" localSheetId="2" hidden="1">#REF!</definedName>
    <definedName name="FDP_149_1_aUrv" localSheetId="9" hidden="1">#REF!</definedName>
    <definedName name="FDP_149_1_aUrv" localSheetId="10" hidden="1">#REF!</definedName>
    <definedName name="FDP_149_1_aUrv" hidden="1">#REF!</definedName>
    <definedName name="FDP_151_1_aUrv" localSheetId="2" hidden="1">#REF!</definedName>
    <definedName name="FDP_151_1_aUrv" localSheetId="9" hidden="1">#REF!</definedName>
    <definedName name="FDP_151_1_aUrv" localSheetId="10" hidden="1">#REF!</definedName>
    <definedName name="FDP_151_1_aUrv" hidden="1">#REF!</definedName>
    <definedName name="FDP_153_1_aUrv" localSheetId="2" hidden="1">#REF!</definedName>
    <definedName name="FDP_153_1_aUrv" localSheetId="9" hidden="1">#REF!</definedName>
    <definedName name="FDP_153_1_aUrv" localSheetId="10" hidden="1">#REF!</definedName>
    <definedName name="FDP_153_1_aUrv" hidden="1">#REF!</definedName>
    <definedName name="FDP_155_1_aUrv" localSheetId="2" hidden="1">#REF!</definedName>
    <definedName name="FDP_155_1_aUrv" localSheetId="9" hidden="1">#REF!</definedName>
    <definedName name="FDP_155_1_aUrv" localSheetId="10" hidden="1">#REF!</definedName>
    <definedName name="FDP_155_1_aUrv" hidden="1">#REF!</definedName>
    <definedName name="FDP_156_1_aSrv" localSheetId="2" hidden="1">#REF!</definedName>
    <definedName name="FDP_156_1_aSrv" localSheetId="9" hidden="1">#REF!</definedName>
    <definedName name="FDP_156_1_aSrv" localSheetId="10" hidden="1">#REF!</definedName>
    <definedName name="FDP_156_1_aSrv" hidden="1">#REF!</definedName>
    <definedName name="FDP_157_1_aUrv" localSheetId="2" hidden="1">#REF!</definedName>
    <definedName name="FDP_157_1_aUrv" localSheetId="9" hidden="1">#REF!</definedName>
    <definedName name="FDP_157_1_aUrv" localSheetId="10" hidden="1">#REF!</definedName>
    <definedName name="FDP_157_1_aUrv" hidden="1">#REF!</definedName>
    <definedName name="FDP_159_1_aUrv" localSheetId="2" hidden="1">#REF!</definedName>
    <definedName name="FDP_159_1_aUrv" localSheetId="9" hidden="1">#REF!</definedName>
    <definedName name="FDP_159_1_aUrv" localSheetId="10" hidden="1">#REF!</definedName>
    <definedName name="FDP_159_1_aUrv" hidden="1">#REF!</definedName>
    <definedName name="FDP_16_1_aUrv" localSheetId="2" hidden="1">#REF!</definedName>
    <definedName name="FDP_16_1_aUrv" localSheetId="9" hidden="1">#REF!</definedName>
    <definedName name="FDP_16_1_aUrv" localSheetId="10" hidden="1">#REF!</definedName>
    <definedName name="FDP_16_1_aUrv" hidden="1">#REF!</definedName>
    <definedName name="FDP_165_1_aUrv" localSheetId="9" hidden="1">#REF!</definedName>
    <definedName name="FDP_165_1_aUrv" localSheetId="10" hidden="1">#REF!</definedName>
    <definedName name="FDP_165_1_aUrv" hidden="1">[13]Indexes!$E$4</definedName>
    <definedName name="FDP_166_1_aUrv" localSheetId="9" hidden="1">#REF!</definedName>
    <definedName name="FDP_166_1_aUrv" localSheetId="10" hidden="1">#REF!</definedName>
    <definedName name="FDP_166_1_aUrv" hidden="1">[13]Indexes!$E$5</definedName>
    <definedName name="FDP_167_1_aUrv" localSheetId="9" hidden="1">#REF!</definedName>
    <definedName name="FDP_167_1_aUrv" localSheetId="10" hidden="1">#REF!</definedName>
    <definedName name="FDP_167_1_aUrv" hidden="1">[13]Indexes!$E$6</definedName>
    <definedName name="FDP_168_1_aSrv" localSheetId="9" hidden="1">#REF!</definedName>
    <definedName name="FDP_168_1_aSrv" localSheetId="10" hidden="1">#REF!</definedName>
    <definedName name="FDP_168_1_aSrv" hidden="1">[13]Indexes!$E$7</definedName>
    <definedName name="FDP_169_1_aUrv" localSheetId="9" hidden="1">#REF!</definedName>
    <definedName name="FDP_169_1_aUrv" localSheetId="10" hidden="1">#REF!</definedName>
    <definedName name="FDP_169_1_aUrv" hidden="1">[13]Indexes!$E$8</definedName>
    <definedName name="FDP_170_1_aSrv" localSheetId="9" hidden="1">#REF!</definedName>
    <definedName name="FDP_170_1_aSrv" localSheetId="10" hidden="1">#REF!</definedName>
    <definedName name="FDP_170_1_aSrv" hidden="1">[13]Indexes!$E$9</definedName>
    <definedName name="FDP_171_1_aUrv" localSheetId="9" hidden="1">#REF!</definedName>
    <definedName name="FDP_171_1_aUrv" localSheetId="10" hidden="1">#REF!</definedName>
    <definedName name="FDP_171_1_aUrv" hidden="1">[13]Indexes!$E$10</definedName>
    <definedName name="FDP_172_1_aUrv" localSheetId="9" hidden="1">#REF!</definedName>
    <definedName name="FDP_172_1_aUrv" localSheetId="10" hidden="1">#REF!</definedName>
    <definedName name="FDP_172_1_aUrv" hidden="1">[13]Indexes!$E$11</definedName>
    <definedName name="FDP_173_1_aUrv" localSheetId="9" hidden="1">#REF!</definedName>
    <definedName name="FDP_173_1_aUrv" localSheetId="10" hidden="1">#REF!</definedName>
    <definedName name="FDP_173_1_aUrv" hidden="1">[13]Indexes!$E$12</definedName>
    <definedName name="FDP_174_1_aSrv" localSheetId="9" hidden="1">#REF!</definedName>
    <definedName name="FDP_174_1_aSrv" localSheetId="10" hidden="1">#REF!</definedName>
    <definedName name="FDP_174_1_aSrv" hidden="1">[13]Indexes!$E$13</definedName>
    <definedName name="FDP_174_1_aUrv" localSheetId="2" hidden="1">#REF!</definedName>
    <definedName name="FDP_174_1_aUrv" localSheetId="9" hidden="1">#REF!</definedName>
    <definedName name="FDP_174_1_aUrv" localSheetId="10" hidden="1">#REF!</definedName>
    <definedName name="FDP_174_1_aUrv" hidden="1">#REF!</definedName>
    <definedName name="FDP_175_1_aUrv" localSheetId="2" hidden="1">#REF!</definedName>
    <definedName name="FDP_175_1_aUrv" localSheetId="0" hidden="1">[13]Indexes!$E$14</definedName>
    <definedName name="FDP_175_1_aUrv" localSheetId="9" hidden="1">#REF!</definedName>
    <definedName name="FDP_175_1_aUrv" localSheetId="10" hidden="1">#REF!</definedName>
    <definedName name="FDP_175_1_aUrv" hidden="1">#REF!</definedName>
    <definedName name="FDP_176_1_aUrv" localSheetId="2" hidden="1">#REF!</definedName>
    <definedName name="FDP_176_1_aUrv" localSheetId="0" hidden="1">[13]Indexes!$E$15</definedName>
    <definedName name="FDP_176_1_aUrv" localSheetId="9" hidden="1">#REF!</definedName>
    <definedName name="FDP_176_1_aUrv" localSheetId="10" hidden="1">#REF!</definedName>
    <definedName name="FDP_176_1_aUrv" hidden="1">#REF!</definedName>
    <definedName name="FDP_177_1_aSrv" localSheetId="9" hidden="1">#REF!</definedName>
    <definedName name="FDP_177_1_aSrv" localSheetId="10" hidden="1">#REF!</definedName>
    <definedName name="FDP_177_1_aSrv" hidden="1">[13]Indexes!$E$16</definedName>
    <definedName name="FDP_177_1_aUrv" localSheetId="2" hidden="1">#REF!</definedName>
    <definedName name="FDP_177_1_aUrv" localSheetId="9" hidden="1">#REF!</definedName>
    <definedName name="FDP_177_1_aUrv" localSheetId="10" hidden="1">#REF!</definedName>
    <definedName name="FDP_177_1_aUrv" hidden="1">#REF!</definedName>
    <definedName name="FDP_178_1_aSrv" localSheetId="9" hidden="1">#REF!</definedName>
    <definedName name="FDP_178_1_aSrv" localSheetId="10" hidden="1">#REF!</definedName>
    <definedName name="FDP_178_1_aSrv" hidden="1">[13]Indexes!$E$17</definedName>
    <definedName name="FDP_178_1_aUrv" localSheetId="2" hidden="1">#REF!</definedName>
    <definedName name="FDP_178_1_aUrv" localSheetId="9" hidden="1">#REF!</definedName>
    <definedName name="FDP_178_1_aUrv" localSheetId="10" hidden="1">#REF!</definedName>
    <definedName name="FDP_178_1_aUrv" hidden="1">#REF!</definedName>
    <definedName name="FDP_179_1_aSrv" localSheetId="9" hidden="1">#REF!</definedName>
    <definedName name="FDP_179_1_aSrv" localSheetId="10" hidden="1">#REF!</definedName>
    <definedName name="FDP_179_1_aSrv" hidden="1">[13]Indexes!$E$19</definedName>
    <definedName name="FDP_179_1_aUrv" localSheetId="2" hidden="1">#REF!</definedName>
    <definedName name="FDP_179_1_aUrv" localSheetId="9" hidden="1">#REF!</definedName>
    <definedName name="FDP_179_1_aUrv" localSheetId="10" hidden="1">#REF!</definedName>
    <definedName name="FDP_179_1_aUrv" hidden="1">#REF!</definedName>
    <definedName name="FDP_18_1_aUrv" localSheetId="2" hidden="1">#REF!</definedName>
    <definedName name="FDP_18_1_aUrv" localSheetId="9" hidden="1">#REF!</definedName>
    <definedName name="FDP_18_1_aUrv" localSheetId="10" hidden="1">#REF!</definedName>
    <definedName name="FDP_18_1_aUrv" hidden="1">#REF!</definedName>
    <definedName name="FDP_180_1_aSrv" localSheetId="9" hidden="1">#REF!</definedName>
    <definedName name="FDP_180_1_aSrv" localSheetId="10" hidden="1">#REF!</definedName>
    <definedName name="FDP_180_1_aSrv" hidden="1">[13]Indexes!$E$21</definedName>
    <definedName name="FDP_181_1_aUrv" localSheetId="9" hidden="1">#REF!</definedName>
    <definedName name="FDP_181_1_aUrv" localSheetId="10" hidden="1">#REF!</definedName>
    <definedName name="FDP_181_1_aUrv" hidden="1">[13]Indexes!$E$22</definedName>
    <definedName name="FDP_182_1_aSrv" localSheetId="9" hidden="1">#REF!</definedName>
    <definedName name="FDP_182_1_aSrv" localSheetId="10" hidden="1">#REF!</definedName>
    <definedName name="FDP_182_1_aSrv" hidden="1">[13]Indexes!$E$23</definedName>
    <definedName name="FDP_183_1_aSrv" localSheetId="9" hidden="1">#REF!</definedName>
    <definedName name="FDP_183_1_aSrv" localSheetId="10" hidden="1">#REF!</definedName>
    <definedName name="FDP_183_1_aSrv" hidden="1">[13]Indexes!$E$25</definedName>
    <definedName name="FDP_184_1_aUrv" localSheetId="9" hidden="1">#REF!</definedName>
    <definedName name="FDP_184_1_aUrv" localSheetId="10" hidden="1">#REF!</definedName>
    <definedName name="FDP_184_1_aUrv" hidden="1">[13]Indexes!$E$26</definedName>
    <definedName name="FDP_185_1_aSrv" localSheetId="9" hidden="1">#REF!</definedName>
    <definedName name="FDP_185_1_aSrv" localSheetId="10" hidden="1">#REF!</definedName>
    <definedName name="FDP_185_1_aSrv" hidden="1">[13]Indexes!$E$27</definedName>
    <definedName name="FDP_186_1_aUrv" localSheetId="9" hidden="1">#REF!</definedName>
    <definedName name="FDP_186_1_aUrv" localSheetId="10" hidden="1">#REF!</definedName>
    <definedName name="FDP_186_1_aUrv" hidden="1">[13]Indexes!$E$28</definedName>
    <definedName name="FDP_187_1_aSrv" localSheetId="9" hidden="1">#REF!</definedName>
    <definedName name="FDP_187_1_aSrv" localSheetId="10" hidden="1">#REF!</definedName>
    <definedName name="FDP_187_1_aSrv" hidden="1">[13]Indexes!$E$29</definedName>
    <definedName name="FDP_188_1_aUrv" localSheetId="9" hidden="1">#REF!</definedName>
    <definedName name="FDP_188_1_aUrv" localSheetId="10" hidden="1">#REF!</definedName>
    <definedName name="FDP_188_1_aUrv" hidden="1">[13]Indexes!$E$32</definedName>
    <definedName name="FDP_189_1_aUrv" localSheetId="9" hidden="1">#REF!</definedName>
    <definedName name="FDP_189_1_aUrv" localSheetId="10" hidden="1">#REF!</definedName>
    <definedName name="FDP_189_1_aUrv" hidden="1">[13]Indexes!$E$33</definedName>
    <definedName name="FDP_19_1_aUrv" localSheetId="2" hidden="1">#REF!</definedName>
    <definedName name="FDP_19_1_aUrv" localSheetId="9" hidden="1">#REF!</definedName>
    <definedName name="FDP_19_1_aUrv" localSheetId="10" hidden="1">#REF!</definedName>
    <definedName name="FDP_19_1_aUrv" hidden="1">#REF!</definedName>
    <definedName name="FDP_190_1_aUrv" localSheetId="9" hidden="1">#REF!</definedName>
    <definedName name="FDP_190_1_aUrv" localSheetId="10" hidden="1">#REF!</definedName>
    <definedName name="FDP_190_1_aUrv" hidden="1">[13]Indexes!$E$35</definedName>
    <definedName name="FDP_191_1_aUrv" localSheetId="9" hidden="1">#REF!</definedName>
    <definedName name="FDP_191_1_aUrv" localSheetId="10" hidden="1">#REF!</definedName>
    <definedName name="FDP_191_1_aUrv" hidden="1">[13]Indexes!$E$36</definedName>
    <definedName name="FDP_192_1_aSrv" localSheetId="9" hidden="1">#REF!</definedName>
    <definedName name="FDP_192_1_aSrv" localSheetId="10" hidden="1">#REF!</definedName>
    <definedName name="FDP_192_1_aSrv" hidden="1">[13]Indexes!$E$37</definedName>
    <definedName name="FDP_193_1_aUrv" localSheetId="9" hidden="1">#REF!</definedName>
    <definedName name="FDP_193_1_aUrv" localSheetId="10" hidden="1">#REF!</definedName>
    <definedName name="FDP_193_1_aUrv" hidden="1">[13]Indexes!$E$38</definedName>
    <definedName name="FDP_194_1_aUrv" localSheetId="9" hidden="1">#REF!</definedName>
    <definedName name="FDP_194_1_aUrv" localSheetId="10" hidden="1">#REF!</definedName>
    <definedName name="FDP_194_1_aUrv" hidden="1">[13]Indexes!$E$39</definedName>
    <definedName name="FDP_195_1_aUrv" localSheetId="9" hidden="1">#REF!</definedName>
    <definedName name="FDP_195_1_aUrv" localSheetId="10" hidden="1">#REF!</definedName>
    <definedName name="FDP_195_1_aUrv" hidden="1">[13]Indexes!$E$41</definedName>
    <definedName name="FDP_196_1_aSrv" localSheetId="9" hidden="1">#REF!</definedName>
    <definedName name="FDP_196_1_aSrv" localSheetId="10" hidden="1">#REF!</definedName>
    <definedName name="FDP_196_1_aSrv" hidden="1">[13]Indexes!$E$42</definedName>
    <definedName name="FDP_197_1_aUrv" localSheetId="9" hidden="1">#REF!</definedName>
    <definedName name="FDP_197_1_aUrv" localSheetId="10" hidden="1">#REF!</definedName>
    <definedName name="FDP_197_1_aUrv" hidden="1">[13]Indexes!$E$44</definedName>
    <definedName name="FDP_198_1_aSrv" localSheetId="9" hidden="1">#REF!</definedName>
    <definedName name="FDP_198_1_aSrv" localSheetId="10" hidden="1">#REF!</definedName>
    <definedName name="FDP_198_1_aSrv" hidden="1">[13]Indexes!$E$45</definedName>
    <definedName name="FDP_199_1_aUrv" localSheetId="9" hidden="1">#REF!</definedName>
    <definedName name="FDP_199_1_aUrv" localSheetId="10" hidden="1">#REF!</definedName>
    <definedName name="FDP_199_1_aUrv" hidden="1">[13]Indexes!$E$47</definedName>
    <definedName name="FDP_2_1_aUrv" localSheetId="2" hidden="1">#REF!</definedName>
    <definedName name="FDP_2_1_aUrv" localSheetId="9" hidden="1">#REF!</definedName>
    <definedName name="FDP_2_1_aUrv" localSheetId="10" hidden="1">#REF!</definedName>
    <definedName name="FDP_2_1_aUrv" hidden="1">#REF!</definedName>
    <definedName name="FDP_20_1_aUrv" localSheetId="2" hidden="1">#REF!</definedName>
    <definedName name="FDP_20_1_aUrv" localSheetId="9" hidden="1">#REF!</definedName>
    <definedName name="FDP_20_1_aUrv" localSheetId="10" hidden="1">#REF!</definedName>
    <definedName name="FDP_20_1_aUrv" hidden="1">#REF!</definedName>
    <definedName name="FDP_200_1_aUrv" localSheetId="9" hidden="1">#REF!</definedName>
    <definedName name="FDP_200_1_aUrv" localSheetId="10" hidden="1">#REF!</definedName>
    <definedName name="FDP_200_1_aUrv" hidden="1">[13]Indexes!$E$48</definedName>
    <definedName name="FDP_201_1_aUrv" localSheetId="9" hidden="1">#REF!</definedName>
    <definedName name="FDP_201_1_aUrv" localSheetId="10" hidden="1">#REF!</definedName>
    <definedName name="FDP_201_1_aUrv" hidden="1">[13]Indexes!$E$49</definedName>
    <definedName name="FDP_202_1_aUrv" localSheetId="9" hidden="1">#REF!</definedName>
    <definedName name="FDP_202_1_aUrv" localSheetId="10" hidden="1">#REF!</definedName>
    <definedName name="FDP_202_1_aUrv" hidden="1">[13]Indexes!$E$50</definedName>
    <definedName name="FDP_203_1_aSrv" localSheetId="9" hidden="1">#REF!</definedName>
    <definedName name="FDP_203_1_aSrv" localSheetId="10" hidden="1">#REF!</definedName>
    <definedName name="FDP_203_1_aSrv" hidden="1">[13]Indexes!$E$54</definedName>
    <definedName name="FDP_204_1_aUrv" localSheetId="9" hidden="1">#REF!</definedName>
    <definedName name="FDP_204_1_aUrv" localSheetId="10" hidden="1">#REF!</definedName>
    <definedName name="FDP_204_1_aUrv" hidden="1">[13]Indexes!$H$54</definedName>
    <definedName name="FDP_205_1_aUrv" localSheetId="9" hidden="1">#REF!</definedName>
    <definedName name="FDP_205_1_aUrv" localSheetId="10" hidden="1">#REF!</definedName>
    <definedName name="FDP_205_1_aUrv" hidden="1">[13]Indexes!$I$54</definedName>
    <definedName name="FDP_206_1_aUrv" localSheetId="9" hidden="1">#REF!</definedName>
    <definedName name="FDP_206_1_aUrv" localSheetId="10" hidden="1">#REF!</definedName>
    <definedName name="FDP_206_1_aUrv" hidden="1">[13]Indexes!$J$54</definedName>
    <definedName name="FDP_207_1_aUrv" localSheetId="9" hidden="1">#REF!</definedName>
    <definedName name="FDP_207_1_aUrv" localSheetId="10" hidden="1">#REF!</definedName>
    <definedName name="FDP_207_1_aUrv" hidden="1">[13]Indexes!$K$54</definedName>
    <definedName name="FDP_208_1_aSrv" localSheetId="9" hidden="1">#REF!</definedName>
    <definedName name="FDP_208_1_aSrv" localSheetId="10" hidden="1">#REF!</definedName>
    <definedName name="FDP_208_1_aSrv" hidden="1">[13]Indexes!$E$55</definedName>
    <definedName name="FDP_209_1_aUrv" localSheetId="9" hidden="1">#REF!</definedName>
    <definedName name="FDP_209_1_aUrv" localSheetId="10" hidden="1">#REF!</definedName>
    <definedName name="FDP_209_1_aUrv" hidden="1">[13]Indexes!$H$55</definedName>
    <definedName name="FDP_21_1_aUrv" localSheetId="2" hidden="1">#REF!</definedName>
    <definedName name="FDP_21_1_aUrv" localSheetId="9" hidden="1">#REF!</definedName>
    <definedName name="FDP_21_1_aUrv" localSheetId="10" hidden="1">#REF!</definedName>
    <definedName name="FDP_21_1_aUrv" hidden="1">#REF!</definedName>
    <definedName name="FDP_210_1_aUrv" localSheetId="9" hidden="1">#REF!</definedName>
    <definedName name="FDP_210_1_aUrv" localSheetId="10" hidden="1">#REF!</definedName>
    <definedName name="FDP_210_1_aUrv" hidden="1">[13]Indexes!$I$55</definedName>
    <definedName name="FDP_211_1_aUrv" localSheetId="9" hidden="1">#REF!</definedName>
    <definedName name="FDP_211_1_aUrv" localSheetId="10" hidden="1">#REF!</definedName>
    <definedName name="FDP_211_1_aUrv" hidden="1">[13]Indexes!$J$55</definedName>
    <definedName name="FDP_212_1_aUrv" localSheetId="9" hidden="1">#REF!</definedName>
    <definedName name="FDP_212_1_aUrv" localSheetId="10" hidden="1">#REF!</definedName>
    <definedName name="FDP_212_1_aUrv" hidden="1">[13]Indexes!$K$55</definedName>
    <definedName name="FDP_213_1_aSrv" localSheetId="9" hidden="1">#REF!</definedName>
    <definedName name="FDP_213_1_aSrv" localSheetId="10" hidden="1">#REF!</definedName>
    <definedName name="FDP_213_1_aSrv" hidden="1">[13]Indexes!$E$56</definedName>
    <definedName name="FDP_214_1_aUrv" localSheetId="9" hidden="1">#REF!</definedName>
    <definedName name="FDP_214_1_aUrv" localSheetId="10" hidden="1">#REF!</definedName>
    <definedName name="FDP_214_1_aUrv" hidden="1">[13]Indexes!$H$56</definedName>
    <definedName name="FDP_215_1_aUrv" localSheetId="9" hidden="1">#REF!</definedName>
    <definedName name="FDP_215_1_aUrv" localSheetId="10" hidden="1">#REF!</definedName>
    <definedName name="FDP_215_1_aUrv" hidden="1">[13]Indexes!$I$56</definedName>
    <definedName name="FDP_216_1_aUrv" localSheetId="9" hidden="1">#REF!</definedName>
    <definedName name="FDP_216_1_aUrv" localSheetId="10" hidden="1">#REF!</definedName>
    <definedName name="FDP_216_1_aUrv" hidden="1">[13]Indexes!$J$56</definedName>
    <definedName name="FDP_217_1_aUrv" localSheetId="9" hidden="1">#REF!</definedName>
    <definedName name="FDP_217_1_aUrv" localSheetId="10" hidden="1">#REF!</definedName>
    <definedName name="FDP_217_1_aUrv" hidden="1">[13]Indexes!$K$56</definedName>
    <definedName name="FDP_218_1_aSrv" localSheetId="9" hidden="1">#REF!</definedName>
    <definedName name="FDP_218_1_aSrv" localSheetId="10" hidden="1">#REF!</definedName>
    <definedName name="FDP_218_1_aSrv" hidden="1">[13]Indexes!$E$57</definedName>
    <definedName name="FDP_219_1_aSrv" localSheetId="9" hidden="1">#REF!</definedName>
    <definedName name="FDP_219_1_aSrv" localSheetId="10" hidden="1">#REF!</definedName>
    <definedName name="FDP_219_1_aSrv" hidden="1">[13]Indexes!$H$57</definedName>
    <definedName name="FDP_22_1_aUrv" localSheetId="2" hidden="1">#REF!</definedName>
    <definedName name="FDP_22_1_aUrv" localSheetId="9" hidden="1">#REF!</definedName>
    <definedName name="FDP_22_1_aUrv" localSheetId="10" hidden="1">#REF!</definedName>
    <definedName name="FDP_22_1_aUrv" hidden="1">#REF!</definedName>
    <definedName name="FDP_220_1_aSrv" localSheetId="9" hidden="1">#REF!</definedName>
    <definedName name="FDP_220_1_aSrv" localSheetId="10" hidden="1">#REF!</definedName>
    <definedName name="FDP_220_1_aSrv" hidden="1">[13]Indexes!$I$57</definedName>
    <definedName name="FDP_221_1_aSrv" localSheetId="9" hidden="1">#REF!</definedName>
    <definedName name="FDP_221_1_aSrv" localSheetId="10" hidden="1">#REF!</definedName>
    <definedName name="FDP_221_1_aSrv" hidden="1">[13]Indexes!$J$57</definedName>
    <definedName name="FDP_222_1_aSrv" localSheetId="9" hidden="1">#REF!</definedName>
    <definedName name="FDP_222_1_aSrv" localSheetId="10" hidden="1">#REF!</definedName>
    <definedName name="FDP_222_1_aSrv" hidden="1">[13]Indexes!$K$57</definedName>
    <definedName name="FDP_223_1_aSrv" localSheetId="9" hidden="1">#REF!</definedName>
    <definedName name="FDP_223_1_aSrv" localSheetId="10" hidden="1">#REF!</definedName>
    <definedName name="FDP_223_1_aSrv" hidden="1">[13]Indexes!$E$58</definedName>
    <definedName name="FDP_224_1_aUrv" localSheetId="9" hidden="1">#REF!</definedName>
    <definedName name="FDP_224_1_aUrv" localSheetId="10" hidden="1">#REF!</definedName>
    <definedName name="FDP_224_1_aUrv" hidden="1">[13]Indexes!$H$58</definedName>
    <definedName name="FDP_225_1_aUrv" localSheetId="9" hidden="1">#REF!</definedName>
    <definedName name="FDP_225_1_aUrv" localSheetId="10" hidden="1">#REF!</definedName>
    <definedName name="FDP_225_1_aUrv" hidden="1">[13]Indexes!$I$58</definedName>
    <definedName name="FDP_226_1_aUrv" localSheetId="9" hidden="1">#REF!</definedName>
    <definedName name="FDP_226_1_aUrv" localSheetId="10" hidden="1">#REF!</definedName>
    <definedName name="FDP_226_1_aUrv" hidden="1">[13]Indexes!$J$58</definedName>
    <definedName name="FDP_227_1_aUrv" localSheetId="9" hidden="1">#REF!</definedName>
    <definedName name="FDP_227_1_aUrv" localSheetId="10" hidden="1">#REF!</definedName>
    <definedName name="FDP_227_1_aUrv" hidden="1">[13]Indexes!$K$58</definedName>
    <definedName name="FDP_228_1_aSrv" localSheetId="9" hidden="1">#REF!</definedName>
    <definedName name="FDP_228_1_aSrv" localSheetId="10" hidden="1">#REF!</definedName>
    <definedName name="FDP_228_1_aSrv" hidden="1">[13]Indexes!$E$59</definedName>
    <definedName name="FDP_229_1_aSrv" localSheetId="9" hidden="1">#REF!</definedName>
    <definedName name="FDP_229_1_aSrv" localSheetId="10" hidden="1">#REF!</definedName>
    <definedName name="FDP_229_1_aSrv" hidden="1">[13]Indexes!$H$59</definedName>
    <definedName name="FDP_23_1_aUrv" localSheetId="2" hidden="1">#REF!</definedName>
    <definedName name="FDP_23_1_aUrv" localSheetId="9" hidden="1">#REF!</definedName>
    <definedName name="FDP_23_1_aUrv" localSheetId="10" hidden="1">#REF!</definedName>
    <definedName name="FDP_23_1_aUrv" hidden="1">#REF!</definedName>
    <definedName name="FDP_230_1_aSrv" localSheetId="9" hidden="1">#REF!</definedName>
    <definedName name="FDP_230_1_aSrv" localSheetId="10" hidden="1">#REF!</definedName>
    <definedName name="FDP_230_1_aSrv" hidden="1">[13]Indexes!$I$59</definedName>
    <definedName name="FDP_231_1_aSrv" localSheetId="9" hidden="1">#REF!</definedName>
    <definedName name="FDP_231_1_aSrv" localSheetId="10" hidden="1">#REF!</definedName>
    <definedName name="FDP_231_1_aSrv" hidden="1">[13]Indexes!$J$59</definedName>
    <definedName name="FDP_232_1_aSrv" localSheetId="9" hidden="1">#REF!</definedName>
    <definedName name="FDP_232_1_aSrv" localSheetId="10" hidden="1">#REF!</definedName>
    <definedName name="FDP_232_1_aSrv" hidden="1">[13]Indexes!$K$59</definedName>
    <definedName name="FDP_233_1_aSrv" localSheetId="9" hidden="1">#REF!</definedName>
    <definedName name="FDP_233_1_aSrv" localSheetId="10" hidden="1">#REF!</definedName>
    <definedName name="FDP_233_1_aSrv" hidden="1">[13]Indexes!$E$60</definedName>
    <definedName name="FDP_234_1_aUrv" localSheetId="9" hidden="1">#REF!</definedName>
    <definedName name="FDP_234_1_aUrv" localSheetId="10" hidden="1">#REF!</definedName>
    <definedName name="FDP_234_1_aUrv" hidden="1">[13]Indexes!$H$60</definedName>
    <definedName name="FDP_235_1_aUrv" localSheetId="9" hidden="1">#REF!</definedName>
    <definedName name="FDP_235_1_aUrv" localSheetId="10" hidden="1">#REF!</definedName>
    <definedName name="FDP_235_1_aUrv" hidden="1">[13]Indexes!$I$60</definedName>
    <definedName name="FDP_236_1_aUrv" localSheetId="9" hidden="1">#REF!</definedName>
    <definedName name="FDP_236_1_aUrv" localSheetId="10" hidden="1">#REF!</definedName>
    <definedName name="FDP_236_1_aUrv" hidden="1">[13]Indexes!$J$60</definedName>
    <definedName name="FDP_237_1_aUrv" localSheetId="9" hidden="1">#REF!</definedName>
    <definedName name="FDP_237_1_aUrv" localSheetId="10" hidden="1">#REF!</definedName>
    <definedName name="FDP_237_1_aUrv" hidden="1">[13]Indexes!$K$60</definedName>
    <definedName name="FDP_238_1_aSrv" localSheetId="9" hidden="1">#REF!</definedName>
    <definedName name="FDP_238_1_aSrv" localSheetId="10" hidden="1">#REF!</definedName>
    <definedName name="FDP_238_1_aSrv" hidden="1">[13]Indexes!$E$61</definedName>
    <definedName name="FDP_24_1_aUrv" localSheetId="2" hidden="1">#REF!</definedName>
    <definedName name="FDP_24_1_aUrv" localSheetId="9" hidden="1">#REF!</definedName>
    <definedName name="FDP_24_1_aUrv" localSheetId="10" hidden="1">#REF!</definedName>
    <definedName name="FDP_24_1_aUrv" hidden="1">#REF!</definedName>
    <definedName name="FDP_243_1_aSrv" localSheetId="9" hidden="1">#REF!</definedName>
    <definedName name="FDP_243_1_aSrv" localSheetId="10" hidden="1">#REF!</definedName>
    <definedName name="FDP_243_1_aSrv" hidden="1">[13]Indexes!$E$62</definedName>
    <definedName name="FDP_244_1_aSrv" localSheetId="9" hidden="1">#REF!</definedName>
    <definedName name="FDP_244_1_aSrv" localSheetId="10" hidden="1">#REF!</definedName>
    <definedName name="FDP_244_1_aSrv" hidden="1">[13]Indexes!$H$62</definedName>
    <definedName name="FDP_245_1_aSrv" localSheetId="9" hidden="1">#REF!</definedName>
    <definedName name="FDP_245_1_aSrv" localSheetId="10" hidden="1">#REF!</definedName>
    <definedName name="FDP_245_1_aSrv" hidden="1">[13]Indexes!$I$62</definedName>
    <definedName name="FDP_246_1_aSrv" localSheetId="9" hidden="1">#REF!</definedName>
    <definedName name="FDP_246_1_aSrv" localSheetId="10" hidden="1">#REF!</definedName>
    <definedName name="FDP_246_1_aSrv" hidden="1">[13]Indexes!$J$62</definedName>
    <definedName name="FDP_247_1_aSrv" localSheetId="9" hidden="1">#REF!</definedName>
    <definedName name="FDP_247_1_aSrv" localSheetId="10" hidden="1">#REF!</definedName>
    <definedName name="FDP_247_1_aSrv" hidden="1">[13]Indexes!$K$62</definedName>
    <definedName name="FDP_248_1_aSrv" localSheetId="9" hidden="1">#REF!</definedName>
    <definedName name="FDP_248_1_aSrv" localSheetId="10" hidden="1">#REF!</definedName>
    <definedName name="FDP_248_1_aSrv" hidden="1">[13]Indexes!$E$63</definedName>
    <definedName name="FDP_249_1_aSrv" localSheetId="9" hidden="1">#REF!</definedName>
    <definedName name="FDP_249_1_aSrv" localSheetId="10" hidden="1">#REF!</definedName>
    <definedName name="FDP_249_1_aSrv" hidden="1">[13]Indexes!$H$63</definedName>
    <definedName name="FDP_25_1_aUrv" localSheetId="2" hidden="1">#REF!</definedName>
    <definedName name="FDP_25_1_aUrv" localSheetId="9" hidden="1">#REF!</definedName>
    <definedName name="FDP_25_1_aUrv" localSheetId="10" hidden="1">#REF!</definedName>
    <definedName name="FDP_25_1_aUrv" hidden="1">#REF!</definedName>
    <definedName name="FDP_250_1_aSrv" localSheetId="9" hidden="1">#REF!</definedName>
    <definedName name="FDP_250_1_aSrv" localSheetId="10" hidden="1">#REF!</definedName>
    <definedName name="FDP_250_1_aSrv" hidden="1">[13]Indexes!$I$63</definedName>
    <definedName name="FDP_251_1_aSrv" localSheetId="9" hidden="1">#REF!</definedName>
    <definedName name="FDP_251_1_aSrv" localSheetId="10" hidden="1">#REF!</definedName>
    <definedName name="FDP_251_1_aSrv" hidden="1">[13]Indexes!$J$63</definedName>
    <definedName name="FDP_252_1_aSrv" localSheetId="9" hidden="1">#REF!</definedName>
    <definedName name="FDP_252_1_aSrv" localSheetId="10" hidden="1">#REF!</definedName>
    <definedName name="FDP_252_1_aSrv" hidden="1">[13]Indexes!$K$63</definedName>
    <definedName name="FDP_253_1_aSrv" localSheetId="9" hidden="1">#REF!</definedName>
    <definedName name="FDP_253_1_aSrv" localSheetId="10" hidden="1">#REF!</definedName>
    <definedName name="FDP_253_1_aSrv" hidden="1">[13]Indexes!$E$64</definedName>
    <definedName name="FDP_254_1_aSrv" localSheetId="9" hidden="1">#REF!</definedName>
    <definedName name="FDP_254_1_aSrv" localSheetId="10" hidden="1">#REF!</definedName>
    <definedName name="FDP_254_1_aSrv" hidden="1">[13]Indexes!$E$65</definedName>
    <definedName name="FDP_255_1_aSrv" localSheetId="9" hidden="1">#REF!</definedName>
    <definedName name="FDP_255_1_aSrv" localSheetId="10" hidden="1">#REF!</definedName>
    <definedName name="FDP_255_1_aSrv" hidden="1">[13]Indexes!$E$66</definedName>
    <definedName name="FDP_256_1_aSrv" localSheetId="9" hidden="1">#REF!</definedName>
    <definedName name="FDP_256_1_aSrv" localSheetId="10" hidden="1">#REF!</definedName>
    <definedName name="FDP_256_1_aSrv" hidden="1">[13]Indexes!$E$67</definedName>
    <definedName name="FDP_257_1_aSrv" localSheetId="9" hidden="1">#REF!</definedName>
    <definedName name="FDP_257_1_aSrv" localSheetId="10" hidden="1">#REF!</definedName>
    <definedName name="FDP_257_1_aSrv" hidden="1">[13]Indexes!$E$68</definedName>
    <definedName name="FDP_258_1_aSrv" localSheetId="9" hidden="1">#REF!</definedName>
    <definedName name="FDP_258_1_aSrv" localSheetId="10" hidden="1">#REF!</definedName>
    <definedName name="FDP_258_1_aSrv" hidden="1">[13]Indexes!$E$69</definedName>
    <definedName name="FDP_259_1_aSrv" localSheetId="9" hidden="1">#REF!</definedName>
    <definedName name="FDP_259_1_aSrv" localSheetId="10" hidden="1">#REF!</definedName>
    <definedName name="FDP_259_1_aSrv" hidden="1">[13]Indexes!$E$70</definedName>
    <definedName name="FDP_26_1_aUrv" localSheetId="2" hidden="1">#REF!</definedName>
    <definedName name="FDP_26_1_aUrv" localSheetId="9" hidden="1">#REF!</definedName>
    <definedName name="FDP_26_1_aUrv" localSheetId="10" hidden="1">#REF!</definedName>
    <definedName name="FDP_26_1_aUrv" hidden="1">#REF!</definedName>
    <definedName name="FDP_260_1_aSrv" localSheetId="9" hidden="1">#REF!</definedName>
    <definedName name="FDP_260_1_aSrv" localSheetId="10" hidden="1">#REF!</definedName>
    <definedName name="FDP_260_1_aSrv" hidden="1">[13]Indexes!$E$71</definedName>
    <definedName name="FDP_261_1_aSrv" localSheetId="9" hidden="1">#REF!</definedName>
    <definedName name="FDP_261_1_aSrv" localSheetId="10" hidden="1">#REF!</definedName>
    <definedName name="FDP_261_1_aSrv" hidden="1">[13]Indexes!$E$72</definedName>
    <definedName name="FDP_264_1_aUrv" localSheetId="9" hidden="1">#REF!</definedName>
    <definedName name="FDP_264_1_aUrv" localSheetId="10" hidden="1">#REF!</definedName>
    <definedName name="FDP_264_1_aUrv" hidden="1">[13]Indexes!$E$81</definedName>
    <definedName name="FDP_265_1_aUrv" localSheetId="9" hidden="1">#REF!</definedName>
    <definedName name="FDP_265_1_aUrv" localSheetId="10" hidden="1">#REF!</definedName>
    <definedName name="FDP_265_1_aUrv" hidden="1">[13]Indexes!$H$81</definedName>
    <definedName name="FDP_266_1_aUrv" localSheetId="9" hidden="1">#REF!</definedName>
    <definedName name="FDP_266_1_aUrv" localSheetId="10" hidden="1">#REF!</definedName>
    <definedName name="FDP_266_1_aUrv" hidden="1">[13]Indexes!$I$81</definedName>
    <definedName name="FDP_267_1_aUrv" localSheetId="9" hidden="1">#REF!</definedName>
    <definedName name="FDP_267_1_aUrv" localSheetId="10" hidden="1">#REF!</definedName>
    <definedName name="FDP_267_1_aUrv" hidden="1">[13]Indexes!$J$81</definedName>
    <definedName name="FDP_268_1_aUrv" localSheetId="9" hidden="1">#REF!</definedName>
    <definedName name="FDP_268_1_aUrv" localSheetId="10" hidden="1">#REF!</definedName>
    <definedName name="FDP_268_1_aUrv" hidden="1">[13]Indexes!$K$81</definedName>
    <definedName name="FDP_269_1_aUrv" localSheetId="9" hidden="1">#REF!</definedName>
    <definedName name="FDP_269_1_aUrv" localSheetId="10" hidden="1">#REF!</definedName>
    <definedName name="FDP_269_1_aUrv" hidden="1">[13]Indexes!$E$82</definedName>
    <definedName name="FDP_27_1_aUrv" localSheetId="2" hidden="1">#REF!</definedName>
    <definedName name="FDP_27_1_aUrv" localSheetId="9" hidden="1">#REF!</definedName>
    <definedName name="FDP_27_1_aUrv" localSheetId="10" hidden="1">#REF!</definedName>
    <definedName name="FDP_27_1_aUrv" hidden="1">#REF!</definedName>
    <definedName name="FDP_270_1_aUrv" localSheetId="9" hidden="1">#REF!</definedName>
    <definedName name="FDP_270_1_aUrv" localSheetId="10" hidden="1">#REF!</definedName>
    <definedName name="FDP_270_1_aUrv" hidden="1">[13]Indexes!$H$82</definedName>
    <definedName name="FDP_271_1_aUrv" localSheetId="9" hidden="1">#REF!</definedName>
    <definedName name="FDP_271_1_aUrv" localSheetId="10" hidden="1">#REF!</definedName>
    <definedName name="FDP_271_1_aUrv" hidden="1">[13]Indexes!$I$82</definedName>
    <definedName name="FDP_272_1_aUrv" localSheetId="9" hidden="1">#REF!</definedName>
    <definedName name="FDP_272_1_aUrv" localSheetId="10" hidden="1">#REF!</definedName>
    <definedName name="FDP_272_1_aUrv" hidden="1">[13]Indexes!$J$82</definedName>
    <definedName name="FDP_273_1_aUrv" localSheetId="9" hidden="1">#REF!</definedName>
    <definedName name="FDP_273_1_aUrv" localSheetId="10" hidden="1">#REF!</definedName>
    <definedName name="FDP_273_1_aUrv" hidden="1">[13]Indexes!$K$82</definedName>
    <definedName name="FDP_274_1_aUrv" localSheetId="9" hidden="1">#REF!</definedName>
    <definedName name="FDP_274_1_aUrv" localSheetId="10" hidden="1">#REF!</definedName>
    <definedName name="FDP_274_1_aUrv" hidden="1">[13]Indexes!$E$83</definedName>
    <definedName name="FDP_275_1_aUrv" localSheetId="9" hidden="1">#REF!</definedName>
    <definedName name="FDP_275_1_aUrv" localSheetId="10" hidden="1">#REF!</definedName>
    <definedName name="FDP_275_1_aUrv" hidden="1">[13]Indexes!$H$83</definedName>
    <definedName name="FDP_276_1_aUrv" localSheetId="9" hidden="1">#REF!</definedName>
    <definedName name="FDP_276_1_aUrv" localSheetId="10" hidden="1">#REF!</definedName>
    <definedName name="FDP_276_1_aUrv" hidden="1">[13]Indexes!$I$83</definedName>
    <definedName name="FDP_277_1_aUrv" localSheetId="9" hidden="1">#REF!</definedName>
    <definedName name="FDP_277_1_aUrv" localSheetId="10" hidden="1">#REF!</definedName>
    <definedName name="FDP_277_1_aUrv" hidden="1">[13]Indexes!$J$83</definedName>
    <definedName name="FDP_278_1_aUrv" localSheetId="9" hidden="1">#REF!</definedName>
    <definedName name="FDP_278_1_aUrv" localSheetId="10" hidden="1">#REF!</definedName>
    <definedName name="FDP_278_1_aUrv" hidden="1">[13]Indexes!$K$83</definedName>
    <definedName name="FDP_279_1_aSrv" localSheetId="9" hidden="1">#REF!</definedName>
    <definedName name="FDP_279_1_aSrv" localSheetId="10" hidden="1">#REF!</definedName>
    <definedName name="FDP_279_1_aSrv" hidden="1">[13]Indexes!$E$84</definedName>
    <definedName name="FDP_28_1_aUrv" localSheetId="2" hidden="1">#REF!</definedName>
    <definedName name="FDP_28_1_aUrv" localSheetId="9" hidden="1">#REF!</definedName>
    <definedName name="FDP_28_1_aUrv" localSheetId="10" hidden="1">#REF!</definedName>
    <definedName name="FDP_28_1_aUrv" hidden="1">#REF!</definedName>
    <definedName name="FDP_3_1_aUrv" localSheetId="2" hidden="1">#REF!</definedName>
    <definedName name="FDP_3_1_aUrv" localSheetId="9" hidden="1">#REF!</definedName>
    <definedName name="FDP_3_1_aUrv" localSheetId="10" hidden="1">#REF!</definedName>
    <definedName name="FDP_3_1_aUrv" hidden="1">#REF!</definedName>
    <definedName name="FDP_30_1_aUrv" localSheetId="2" hidden="1">#REF!</definedName>
    <definedName name="FDP_30_1_aUrv" localSheetId="9" hidden="1">#REF!</definedName>
    <definedName name="FDP_30_1_aUrv" localSheetId="10" hidden="1">#REF!</definedName>
    <definedName name="FDP_30_1_aUrv" hidden="1">#REF!</definedName>
    <definedName name="FDP_31_1_aUrv" localSheetId="2" hidden="1">#REF!</definedName>
    <definedName name="FDP_31_1_aUrv" localSheetId="9" hidden="1">#REF!</definedName>
    <definedName name="FDP_31_1_aUrv" localSheetId="10" hidden="1">#REF!</definedName>
    <definedName name="FDP_31_1_aUrv" hidden="1">#REF!</definedName>
    <definedName name="FDP_33_1_aUrv" localSheetId="2" hidden="1">#REF!</definedName>
    <definedName name="FDP_33_1_aUrv" localSheetId="9" hidden="1">#REF!</definedName>
    <definedName name="FDP_33_1_aUrv" localSheetId="10" hidden="1">#REF!</definedName>
    <definedName name="FDP_33_1_aUrv" hidden="1">#REF!</definedName>
    <definedName name="FDP_34_1_aUrv" localSheetId="2" hidden="1">#REF!</definedName>
    <definedName name="FDP_34_1_aUrv" localSheetId="9" hidden="1">#REF!</definedName>
    <definedName name="FDP_34_1_aUrv" localSheetId="10" hidden="1">#REF!</definedName>
    <definedName name="FDP_34_1_aUrv" hidden="1">#REF!</definedName>
    <definedName name="FDP_36_1_aUrv" localSheetId="2" hidden="1">#REF!</definedName>
    <definedName name="FDP_36_1_aUrv" localSheetId="9" hidden="1">#REF!</definedName>
    <definedName name="FDP_36_1_aUrv" localSheetId="10" hidden="1">#REF!</definedName>
    <definedName name="FDP_36_1_aUrv" hidden="1">#REF!</definedName>
    <definedName name="FDP_37_1_aUrv" localSheetId="2" hidden="1">#REF!</definedName>
    <definedName name="FDP_37_1_aUrv" localSheetId="9" hidden="1">#REF!</definedName>
    <definedName name="FDP_37_1_aUrv" localSheetId="10" hidden="1">#REF!</definedName>
    <definedName name="FDP_37_1_aUrv" hidden="1">#REF!</definedName>
    <definedName name="FDP_38_1_aUrv" localSheetId="2" hidden="1">#REF!</definedName>
    <definedName name="FDP_38_1_aUrv" localSheetId="9" hidden="1">#REF!</definedName>
    <definedName name="FDP_38_1_aUrv" localSheetId="10" hidden="1">#REF!</definedName>
    <definedName name="FDP_38_1_aUrv" hidden="1">#REF!</definedName>
    <definedName name="FDP_39_1_aUrv" localSheetId="2" hidden="1">#REF!</definedName>
    <definedName name="FDP_39_1_aUrv" localSheetId="9" hidden="1">#REF!</definedName>
    <definedName name="FDP_39_1_aUrv" localSheetId="10" hidden="1">#REF!</definedName>
    <definedName name="FDP_39_1_aUrv" hidden="1">#REF!</definedName>
    <definedName name="FDP_4_1_aUrv" localSheetId="2" hidden="1">#REF!</definedName>
    <definedName name="FDP_4_1_aUrv" localSheetId="9" hidden="1">#REF!</definedName>
    <definedName name="FDP_4_1_aUrv" localSheetId="10" hidden="1">#REF!</definedName>
    <definedName name="FDP_4_1_aUrv" hidden="1">#REF!</definedName>
    <definedName name="FDP_40_1_aUrv" localSheetId="2" hidden="1">#REF!</definedName>
    <definedName name="FDP_40_1_aUrv" localSheetId="9" hidden="1">#REF!</definedName>
    <definedName name="FDP_40_1_aUrv" localSheetId="10" hidden="1">#REF!</definedName>
    <definedName name="FDP_40_1_aUrv" hidden="1">#REF!</definedName>
    <definedName name="FDP_41_1_aUrv" localSheetId="2" hidden="1">#REF!</definedName>
    <definedName name="FDP_41_1_aUrv" localSheetId="9" hidden="1">#REF!</definedName>
    <definedName name="FDP_41_1_aUrv" localSheetId="10" hidden="1">#REF!</definedName>
    <definedName name="FDP_41_1_aUrv" hidden="1">#REF!</definedName>
    <definedName name="FDP_42_1_aUrv" localSheetId="2" hidden="1">#REF!</definedName>
    <definedName name="FDP_42_1_aUrv" localSheetId="9" hidden="1">#REF!</definedName>
    <definedName name="FDP_42_1_aUrv" localSheetId="10" hidden="1">#REF!</definedName>
    <definedName name="FDP_42_1_aUrv" hidden="1">#REF!</definedName>
    <definedName name="FDP_44_1_aUrv" localSheetId="2" hidden="1">#REF!</definedName>
    <definedName name="FDP_44_1_aUrv" localSheetId="9" hidden="1">#REF!</definedName>
    <definedName name="FDP_44_1_aUrv" localSheetId="10" hidden="1">#REF!</definedName>
    <definedName name="FDP_44_1_aUrv" hidden="1">#REF!</definedName>
    <definedName name="FDP_45_1_aUrv" localSheetId="2" hidden="1">#REF!</definedName>
    <definedName name="FDP_45_1_aUrv" localSheetId="9" hidden="1">#REF!</definedName>
    <definedName name="FDP_45_1_aUrv" localSheetId="10" hidden="1">#REF!</definedName>
    <definedName name="FDP_45_1_aUrv" hidden="1">#REF!</definedName>
    <definedName name="FDP_46_1_aUrv" localSheetId="2" hidden="1">#REF!</definedName>
    <definedName name="FDP_46_1_aUrv" localSheetId="9" hidden="1">#REF!</definedName>
    <definedName name="FDP_46_1_aUrv" localSheetId="10" hidden="1">#REF!</definedName>
    <definedName name="FDP_46_1_aUrv" hidden="1">#REF!</definedName>
    <definedName name="FDP_47_1_aUrv" localSheetId="2" hidden="1">#REF!</definedName>
    <definedName name="FDP_47_1_aUrv" localSheetId="9" hidden="1">#REF!</definedName>
    <definedName name="FDP_47_1_aUrv" localSheetId="10" hidden="1">#REF!</definedName>
    <definedName name="FDP_47_1_aUrv" hidden="1">#REF!</definedName>
    <definedName name="FDP_49_1_aUrv" localSheetId="2" hidden="1">#REF!</definedName>
    <definedName name="FDP_49_1_aUrv" localSheetId="9" hidden="1">#REF!</definedName>
    <definedName name="FDP_49_1_aUrv" localSheetId="10" hidden="1">#REF!</definedName>
    <definedName name="FDP_49_1_aUrv" hidden="1">#REF!</definedName>
    <definedName name="FDP_5_1_aUrv" localSheetId="2" hidden="1">#REF!</definedName>
    <definedName name="FDP_5_1_aUrv" localSheetId="9" hidden="1">#REF!</definedName>
    <definedName name="FDP_5_1_aUrv" localSheetId="10" hidden="1">#REF!</definedName>
    <definedName name="FDP_5_1_aUrv" hidden="1">#REF!</definedName>
    <definedName name="FDP_50_1_aUrv" localSheetId="2" hidden="1">#REF!</definedName>
    <definedName name="FDP_50_1_aUrv" localSheetId="9" hidden="1">#REF!</definedName>
    <definedName name="FDP_50_1_aUrv" localSheetId="10" hidden="1">#REF!</definedName>
    <definedName name="FDP_50_1_aUrv" hidden="1">#REF!</definedName>
    <definedName name="FDP_51_1_aSrv" localSheetId="2" hidden="1">#REF!</definedName>
    <definedName name="FDP_51_1_aSrv" localSheetId="9" hidden="1">#REF!</definedName>
    <definedName name="FDP_51_1_aSrv" localSheetId="10" hidden="1">#REF!</definedName>
    <definedName name="FDP_51_1_aSrv" hidden="1">#REF!</definedName>
    <definedName name="FDP_52_1_aUrv" localSheetId="2" hidden="1">#REF!</definedName>
    <definedName name="FDP_52_1_aUrv" localSheetId="9" hidden="1">#REF!</definedName>
    <definedName name="FDP_52_1_aUrv" localSheetId="10" hidden="1">#REF!</definedName>
    <definedName name="FDP_52_1_aUrv" hidden="1">#REF!</definedName>
    <definedName name="FDP_53_1_aUrv" localSheetId="2" hidden="1">#REF!</definedName>
    <definedName name="FDP_53_1_aUrv" localSheetId="9" hidden="1">#REF!</definedName>
    <definedName name="FDP_53_1_aUrv" localSheetId="10" hidden="1">#REF!</definedName>
    <definedName name="FDP_53_1_aUrv" hidden="1">#REF!</definedName>
    <definedName name="FDP_54_1_aUrv" localSheetId="2" hidden="1">#REF!</definedName>
    <definedName name="FDP_54_1_aUrv" localSheetId="9" hidden="1">#REF!</definedName>
    <definedName name="FDP_54_1_aUrv" localSheetId="10" hidden="1">#REF!</definedName>
    <definedName name="FDP_54_1_aUrv" hidden="1">#REF!</definedName>
    <definedName name="FDP_56_1_aUrv" localSheetId="2" hidden="1">#REF!</definedName>
    <definedName name="FDP_56_1_aUrv" localSheetId="9" hidden="1">#REF!</definedName>
    <definedName name="FDP_56_1_aUrv" localSheetId="10" hidden="1">#REF!</definedName>
    <definedName name="FDP_56_1_aUrv" hidden="1">#REF!</definedName>
    <definedName name="FDP_57_1_aUrv" localSheetId="2" hidden="1">#REF!</definedName>
    <definedName name="FDP_57_1_aUrv" localSheetId="9" hidden="1">#REF!</definedName>
    <definedName name="FDP_57_1_aUrv" localSheetId="10" hidden="1">#REF!</definedName>
    <definedName name="FDP_57_1_aUrv" hidden="1">#REF!</definedName>
    <definedName name="FDP_58_1_aUrv" localSheetId="2" hidden="1">#REF!</definedName>
    <definedName name="FDP_58_1_aUrv" localSheetId="9" hidden="1">#REF!</definedName>
    <definedName name="FDP_58_1_aUrv" localSheetId="10" hidden="1">#REF!</definedName>
    <definedName name="FDP_58_1_aUrv" hidden="1">#REF!</definedName>
    <definedName name="FDP_59_1_aUrv" localSheetId="2" hidden="1">#REF!</definedName>
    <definedName name="FDP_59_1_aUrv" localSheetId="9" hidden="1">#REF!</definedName>
    <definedName name="FDP_59_1_aUrv" localSheetId="10" hidden="1">#REF!</definedName>
    <definedName name="FDP_59_1_aUrv" hidden="1">#REF!</definedName>
    <definedName name="FDP_6_1_aUrv" localSheetId="2" hidden="1">#REF!</definedName>
    <definedName name="FDP_6_1_aUrv" localSheetId="9" hidden="1">#REF!</definedName>
    <definedName name="FDP_6_1_aUrv" localSheetId="10" hidden="1">#REF!</definedName>
    <definedName name="FDP_6_1_aUrv" hidden="1">#REF!</definedName>
    <definedName name="FDP_60_1_aUrv" localSheetId="2" hidden="1">#REF!</definedName>
    <definedName name="FDP_60_1_aUrv" localSheetId="9" hidden="1">#REF!</definedName>
    <definedName name="FDP_60_1_aUrv" localSheetId="10" hidden="1">#REF!</definedName>
    <definedName name="FDP_60_1_aUrv" hidden="1">#REF!</definedName>
    <definedName name="FDP_61_1_aUrv" localSheetId="2" hidden="1">#REF!</definedName>
    <definedName name="FDP_61_1_aUrv" localSheetId="9" hidden="1">#REF!</definedName>
    <definedName name="FDP_61_1_aUrv" localSheetId="10" hidden="1">#REF!</definedName>
    <definedName name="FDP_61_1_aUrv" hidden="1">#REF!</definedName>
    <definedName name="FDP_62_1_aUrv" localSheetId="2" hidden="1">#REF!</definedName>
    <definedName name="FDP_62_1_aUrv" localSheetId="9" hidden="1">#REF!</definedName>
    <definedName name="FDP_62_1_aUrv" localSheetId="10" hidden="1">#REF!</definedName>
    <definedName name="FDP_62_1_aUrv" hidden="1">#REF!</definedName>
    <definedName name="FDP_63_1_aUrv" localSheetId="2" hidden="1">#REF!</definedName>
    <definedName name="FDP_63_1_aUrv" localSheetId="9" hidden="1">#REF!</definedName>
    <definedName name="FDP_63_1_aUrv" localSheetId="10" hidden="1">#REF!</definedName>
    <definedName name="FDP_63_1_aUrv" hidden="1">#REF!</definedName>
    <definedName name="FDP_64_1_aUrv" localSheetId="2" hidden="1">#REF!</definedName>
    <definedName name="FDP_64_1_aUrv" localSheetId="9" hidden="1">#REF!</definedName>
    <definedName name="FDP_64_1_aUrv" localSheetId="10" hidden="1">#REF!</definedName>
    <definedName name="FDP_64_1_aUrv" hidden="1">#REF!</definedName>
    <definedName name="FDP_66_1_aUrv" localSheetId="2" hidden="1">#REF!</definedName>
    <definedName name="FDP_66_1_aUrv" localSheetId="9" hidden="1">#REF!</definedName>
    <definedName name="FDP_66_1_aUrv" localSheetId="10" hidden="1">#REF!</definedName>
    <definedName name="FDP_66_1_aUrv" hidden="1">#REF!</definedName>
    <definedName name="FDP_67_1_aUrv" localSheetId="2" hidden="1">#REF!</definedName>
    <definedName name="FDP_67_1_aUrv" localSheetId="9" hidden="1">#REF!</definedName>
    <definedName name="FDP_67_1_aUrv" localSheetId="10" hidden="1">#REF!</definedName>
    <definedName name="FDP_67_1_aUrv" hidden="1">#REF!</definedName>
    <definedName name="FDP_68_1_aUrv" localSheetId="2" hidden="1">#REF!</definedName>
    <definedName name="FDP_68_1_aUrv" localSheetId="9" hidden="1">#REF!</definedName>
    <definedName name="FDP_68_1_aUrv" localSheetId="10" hidden="1">#REF!</definedName>
    <definedName name="FDP_68_1_aUrv" hidden="1">#REF!</definedName>
    <definedName name="FDP_69_1_aUrv" localSheetId="2" hidden="1">#REF!</definedName>
    <definedName name="FDP_69_1_aUrv" localSheetId="9" hidden="1">#REF!</definedName>
    <definedName name="FDP_69_1_aUrv" localSheetId="10" hidden="1">#REF!</definedName>
    <definedName name="FDP_69_1_aUrv" hidden="1">#REF!</definedName>
    <definedName name="FDP_7_1_aUrv" localSheetId="2" hidden="1">#REF!</definedName>
    <definedName name="FDP_7_1_aUrv" localSheetId="9" hidden="1">#REF!</definedName>
    <definedName name="FDP_7_1_aUrv" localSheetId="10" hidden="1">#REF!</definedName>
    <definedName name="FDP_7_1_aUrv" hidden="1">#REF!</definedName>
    <definedName name="FDP_70_1_aUrv" localSheetId="2" hidden="1">#REF!</definedName>
    <definedName name="FDP_70_1_aUrv" localSheetId="9" hidden="1">#REF!</definedName>
    <definedName name="FDP_70_1_aUrv" localSheetId="10" hidden="1">#REF!</definedName>
    <definedName name="FDP_70_1_aUrv" hidden="1">#REF!</definedName>
    <definedName name="FDP_71_1_aSrv" localSheetId="2" hidden="1">#REF!</definedName>
    <definedName name="FDP_71_1_aSrv" localSheetId="9" hidden="1">#REF!</definedName>
    <definedName name="FDP_71_1_aSrv" localSheetId="10" hidden="1">#REF!</definedName>
    <definedName name="FDP_71_1_aSrv" hidden="1">#REF!</definedName>
    <definedName name="FDP_72_1_aUrv" localSheetId="2" hidden="1">#REF!</definedName>
    <definedName name="FDP_72_1_aUrv" localSheetId="9" hidden="1">#REF!</definedName>
    <definedName name="FDP_72_1_aUrv" localSheetId="10" hidden="1">#REF!</definedName>
    <definedName name="FDP_72_1_aUrv" hidden="1">#REF!</definedName>
    <definedName name="FDP_73_1_aUrv" localSheetId="2" hidden="1">#REF!</definedName>
    <definedName name="FDP_73_1_aUrv" localSheetId="9" hidden="1">#REF!</definedName>
    <definedName name="FDP_73_1_aUrv" localSheetId="10" hidden="1">#REF!</definedName>
    <definedName name="FDP_73_1_aUrv" hidden="1">#REF!</definedName>
    <definedName name="FDP_74_1_aUrv" localSheetId="2" hidden="1">#REF!</definedName>
    <definedName name="FDP_74_1_aUrv" localSheetId="9" hidden="1">#REF!</definedName>
    <definedName name="FDP_74_1_aUrv" localSheetId="10" hidden="1">#REF!</definedName>
    <definedName name="FDP_74_1_aUrv" hidden="1">#REF!</definedName>
    <definedName name="FDP_76_1_aUrv" localSheetId="2" hidden="1">#REF!</definedName>
    <definedName name="FDP_76_1_aUrv" localSheetId="9" hidden="1">#REF!</definedName>
    <definedName name="FDP_76_1_aUrv" localSheetId="10" hidden="1">#REF!</definedName>
    <definedName name="FDP_76_1_aUrv" hidden="1">#REF!</definedName>
    <definedName name="FDP_77_1_aUrv" localSheetId="2" hidden="1">#REF!</definedName>
    <definedName name="FDP_77_1_aUrv" localSheetId="9" hidden="1">#REF!</definedName>
    <definedName name="FDP_77_1_aUrv" localSheetId="10" hidden="1">#REF!</definedName>
    <definedName name="FDP_77_1_aUrv" hidden="1">#REF!</definedName>
    <definedName name="FDP_79_1_aUrv" localSheetId="2" hidden="1">#REF!</definedName>
    <definedName name="FDP_79_1_aUrv" localSheetId="9" hidden="1">#REF!</definedName>
    <definedName name="FDP_79_1_aUrv" localSheetId="10" hidden="1">#REF!</definedName>
    <definedName name="FDP_79_1_aUrv" hidden="1">#REF!</definedName>
    <definedName name="FDP_8_1_aUrv" localSheetId="2" hidden="1">#REF!</definedName>
    <definedName name="FDP_8_1_aUrv" localSheetId="9" hidden="1">#REF!</definedName>
    <definedName name="FDP_8_1_aUrv" localSheetId="10" hidden="1">#REF!</definedName>
    <definedName name="FDP_8_1_aUrv" hidden="1">#REF!</definedName>
    <definedName name="FDP_80_1_aUrv" localSheetId="2" hidden="1">#REF!</definedName>
    <definedName name="FDP_80_1_aUrv" localSheetId="9" hidden="1">#REF!</definedName>
    <definedName name="FDP_80_1_aUrv" localSheetId="10" hidden="1">#REF!</definedName>
    <definedName name="FDP_80_1_aUrv" hidden="1">#REF!</definedName>
    <definedName name="FDP_81_1_aUrv" localSheetId="2" hidden="1">#REF!</definedName>
    <definedName name="FDP_81_1_aUrv" localSheetId="9" hidden="1">#REF!</definedName>
    <definedName name="FDP_81_1_aUrv" localSheetId="10" hidden="1">#REF!</definedName>
    <definedName name="FDP_81_1_aUrv" hidden="1">#REF!</definedName>
    <definedName name="FDP_82_1_aUrv" localSheetId="2" hidden="1">#REF!</definedName>
    <definedName name="FDP_82_1_aUrv" localSheetId="9" hidden="1">#REF!</definedName>
    <definedName name="FDP_82_1_aUrv" localSheetId="10" hidden="1">#REF!</definedName>
    <definedName name="FDP_82_1_aUrv" hidden="1">#REF!</definedName>
    <definedName name="FDP_83_1_aUrv" localSheetId="2" hidden="1">#REF!</definedName>
    <definedName name="FDP_83_1_aUrv" localSheetId="9" hidden="1">#REF!</definedName>
    <definedName name="FDP_83_1_aUrv" localSheetId="10" hidden="1">#REF!</definedName>
    <definedName name="FDP_83_1_aUrv" hidden="1">#REF!</definedName>
    <definedName name="FDP_84_1_aUrv" localSheetId="2" hidden="1">#REF!</definedName>
    <definedName name="FDP_84_1_aUrv" localSheetId="9" hidden="1">#REF!</definedName>
    <definedName name="FDP_84_1_aUrv" localSheetId="10" hidden="1">#REF!</definedName>
    <definedName name="FDP_84_1_aUrv" hidden="1">#REF!</definedName>
    <definedName name="FDP_85_1_aUrv" localSheetId="2" hidden="1">#REF!</definedName>
    <definedName name="FDP_85_1_aUrv" localSheetId="9" hidden="1">#REF!</definedName>
    <definedName name="FDP_85_1_aUrv" localSheetId="10" hidden="1">#REF!</definedName>
    <definedName name="FDP_85_1_aUrv" hidden="1">#REF!</definedName>
    <definedName name="FDP_86_1_aUrv" localSheetId="2" hidden="1">#REF!</definedName>
    <definedName name="FDP_86_1_aUrv" localSheetId="9" hidden="1">#REF!</definedName>
    <definedName name="FDP_86_1_aUrv" localSheetId="10" hidden="1">#REF!</definedName>
    <definedName name="FDP_86_1_aUrv" hidden="1">#REF!</definedName>
    <definedName name="FDP_87_1_aUrv" localSheetId="2" hidden="1">#REF!</definedName>
    <definedName name="FDP_87_1_aUrv" localSheetId="9" hidden="1">#REF!</definedName>
    <definedName name="FDP_87_1_aUrv" localSheetId="10" hidden="1">#REF!</definedName>
    <definedName name="FDP_87_1_aUrv" hidden="1">#REF!</definedName>
    <definedName name="FDP_88_1_aUrv" localSheetId="2" hidden="1">#REF!</definedName>
    <definedName name="FDP_88_1_aUrv" localSheetId="9" hidden="1">#REF!</definedName>
    <definedName name="FDP_88_1_aUrv" localSheetId="10" hidden="1">#REF!</definedName>
    <definedName name="FDP_88_1_aUrv" hidden="1">#REF!</definedName>
    <definedName name="FDP_89_1_aUrv" localSheetId="2" hidden="1">#REF!</definedName>
    <definedName name="FDP_89_1_aUrv" localSheetId="9" hidden="1">#REF!</definedName>
    <definedName name="FDP_89_1_aUrv" localSheetId="10" hidden="1">#REF!</definedName>
    <definedName name="FDP_89_1_aUrv" hidden="1">#REF!</definedName>
    <definedName name="FDP_9_1_aUrv" localSheetId="2" hidden="1">#REF!</definedName>
    <definedName name="FDP_9_1_aUrv" localSheetId="9" hidden="1">#REF!</definedName>
    <definedName name="FDP_9_1_aUrv" localSheetId="10" hidden="1">#REF!</definedName>
    <definedName name="FDP_9_1_aUrv" hidden="1">#REF!</definedName>
    <definedName name="FDP_90_1_aUrv" localSheetId="2" hidden="1">#REF!</definedName>
    <definedName name="FDP_90_1_aUrv" localSheetId="9" hidden="1">#REF!</definedName>
    <definedName name="FDP_90_1_aUrv" localSheetId="10" hidden="1">#REF!</definedName>
    <definedName name="FDP_90_1_aUrv" hidden="1">#REF!</definedName>
    <definedName name="FDP_92_1_aSrv" localSheetId="2" hidden="1">#REF!</definedName>
    <definedName name="FDP_92_1_aSrv" localSheetId="9" hidden="1">#REF!</definedName>
    <definedName name="FDP_92_1_aSrv" localSheetId="10" hidden="1">#REF!</definedName>
    <definedName name="FDP_92_1_aSrv" hidden="1">#REF!</definedName>
    <definedName name="FDP_93_1_aUrv" localSheetId="2" hidden="1">#REF!</definedName>
    <definedName name="FDP_93_1_aUrv" localSheetId="9" hidden="1">#REF!</definedName>
    <definedName name="FDP_93_1_aUrv" localSheetId="10" hidden="1">#REF!</definedName>
    <definedName name="FDP_93_1_aUrv" hidden="1">#REF!</definedName>
    <definedName name="FDP_94_1_aUrv" localSheetId="2" hidden="1">#REF!</definedName>
    <definedName name="FDP_94_1_aUrv" localSheetId="9" hidden="1">#REF!</definedName>
    <definedName name="FDP_94_1_aUrv" localSheetId="10" hidden="1">#REF!</definedName>
    <definedName name="FDP_94_1_aUrv" hidden="1">#REF!</definedName>
    <definedName name="FDP_95_1_aUrv" localSheetId="2" hidden="1">#REF!</definedName>
    <definedName name="FDP_95_1_aUrv" localSheetId="9" hidden="1">#REF!</definedName>
    <definedName name="FDP_95_1_aUrv" localSheetId="10" hidden="1">#REF!</definedName>
    <definedName name="FDP_95_1_aUrv" hidden="1">#REF!</definedName>
    <definedName name="FDP_96_1_aUrv" localSheetId="2" hidden="1">#REF!</definedName>
    <definedName name="FDP_96_1_aUrv" localSheetId="9" hidden="1">#REF!</definedName>
    <definedName name="FDP_96_1_aUrv" localSheetId="10" hidden="1">#REF!</definedName>
    <definedName name="FDP_96_1_aUrv" hidden="1">#REF!</definedName>
    <definedName name="FDP_97_1_aUrv" localSheetId="2" hidden="1">#REF!</definedName>
    <definedName name="FDP_97_1_aUrv" localSheetId="9" hidden="1">#REF!</definedName>
    <definedName name="FDP_97_1_aUrv" localSheetId="10" hidden="1">#REF!</definedName>
    <definedName name="FDP_97_1_aUrv" hidden="1">#REF!</definedName>
    <definedName name="FDP_98_1_aUrv" localSheetId="2" hidden="1">#REF!</definedName>
    <definedName name="FDP_98_1_aUrv" localSheetId="9" hidden="1">#REF!</definedName>
    <definedName name="FDP_98_1_aUrv" localSheetId="10" hidden="1">#REF!</definedName>
    <definedName name="FDP_98_1_aUrv" hidden="1">#REF!</definedName>
    <definedName name="FDP_99_1_aUrv" localSheetId="2" hidden="1">#REF!</definedName>
    <definedName name="FDP_99_1_aUrv" localSheetId="9" hidden="1">#REF!</definedName>
    <definedName name="FDP_99_1_aUrv" localSheetId="10" hidden="1">#REF!</definedName>
    <definedName name="FDP_99_1_aUrv" hidden="1">#REF!</definedName>
    <definedName name="fferw" localSheetId="9"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localSheetId="10"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ferw"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orecast" localSheetId="2"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9"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10" hidden="1">{"cover a","1q",FALSE,"Cover";"Op Earn Mgd Q1",#N/A,FALSE,"Op-Earn (Mng)";"Op Earn Rpt Q1",#N/A,FALSE,"Op-Earn (Rpt)";"Loans",#N/A,FALSE,"Loans";"Credit Costs",#N/A,FALSE,"CCosts";"Net Interest Margin",#N/A,FALSE,"Margin";"Nonint Income",#N/A,FALSE,"NonII";"Nonint Exp",#N/A,FALSE,"NonIE";"Valuation",#N/A,FALSE,"Valuation"}</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gls_ACT_EST_ROW" hidden="1">#REF!</definedName>
    <definedName name="gls_ACT_FORM_OFFSET" localSheetId="9" hidden="1">#REF!</definedName>
    <definedName name="gls_ACT_FORM_OFFSET" localSheetId="10" hidden="1">#REF!</definedName>
    <definedName name="gls_ACT_FORM_OFFSET" hidden="1">#REF!</definedName>
    <definedName name="gls_ADMIN" localSheetId="9" hidden="1">#REF!</definedName>
    <definedName name="gls_ADMIN" localSheetId="10" hidden="1">#REF!</definedName>
    <definedName name="gls_ADMIN" hidden="1">[14]_Control!$D$30</definedName>
    <definedName name="gls_ALLOW_BOTH_PC" localSheetId="9" hidden="1">#REF!</definedName>
    <definedName name="gls_ALLOW_BOTH_PC" localSheetId="10" hidden="1">#REF!</definedName>
    <definedName name="gls_ALLOW_BOTH_PC" hidden="1">[14]_Control!$D$52</definedName>
    <definedName name="gls_ALLOW_PARENT_OR_CONSOLIDATED" localSheetId="9" hidden="1">#REF!</definedName>
    <definedName name="gls_ALLOW_PARENT_OR_CONSOLIDATED" localSheetId="10" hidden="1">#REF!</definedName>
    <definedName name="gls_ALLOW_PARENT_OR_CONSOLIDATED" hidden="1">[14]_Control!$D$41</definedName>
    <definedName name="gls_ALLOW_PUBLISH" localSheetId="9" hidden="1">#REF!</definedName>
    <definedName name="gls_ALLOW_PUBLISH" localSheetId="10" hidden="1">#REF!</definedName>
    <definedName name="gls_ALLOW_PUBLISH" hidden="1">[14]_Control!$D$27</definedName>
    <definedName name="gls_CF_BEGINS" localSheetId="9" hidden="1">#REF!</definedName>
    <definedName name="gls_CF_BEGINS" localSheetId="10" hidden="1">#REF!</definedName>
    <definedName name="gls_CF_BEGINS" hidden="1">[14]_Control!$D$38</definedName>
    <definedName name="gls_CFD_CHANGEACT" localSheetId="9" hidden="1">#REF!</definedName>
    <definedName name="gls_CFD_CHANGEACT" localSheetId="10" hidden="1">#REF!</definedName>
    <definedName name="gls_CFD_CHANGEACT" hidden="1">[14]_Control!$D$45</definedName>
    <definedName name="gls_CFD_CHANGEEST" localSheetId="9" hidden="1">#REF!</definedName>
    <definedName name="gls_CFD_CHANGEEST" localSheetId="10" hidden="1">#REF!</definedName>
    <definedName name="gls_CFD_CHANGEEST" hidden="1">[14]_Control!$D$46</definedName>
    <definedName name="gls_CFD_FIRSTAVAIL" localSheetId="9" hidden="1">#REF!</definedName>
    <definedName name="gls_CFD_FIRSTAVAIL" localSheetId="10" hidden="1">#REF!</definedName>
    <definedName name="gls_CFD_FIRSTAVAIL" hidden="1">[14]_Control!$D$47</definedName>
    <definedName name="gls_CFD_LISTAVAIL" localSheetId="9" hidden="1">#REF!</definedName>
    <definedName name="gls_CFD_LISTAVAIL" localSheetId="10" hidden="1">#REF!</definedName>
    <definedName name="gls_CFD_LISTAVAIL" hidden="1">[14]_Control!$D$48</definedName>
    <definedName name="gls_CFD_SELECTED" localSheetId="9" hidden="1">#REF!</definedName>
    <definedName name="gls_CFD_SELECTED" localSheetId="10" hidden="1">#REF!</definedName>
    <definedName name="gls_CFD_SELECTED" hidden="1">[14]_Control!$D$44</definedName>
    <definedName name="gls_CHANGED_NAMES" localSheetId="9" hidden="1">#REF!</definedName>
    <definedName name="gls_CHANGED_NAMES" localSheetId="10" hidden="1">#REF!</definedName>
    <definedName name="gls_CHANGED_NAMES" hidden="1">[14]_Control!$D$25</definedName>
    <definedName name="gls_CHG_KEY_USER" localSheetId="9" hidden="1">#REF!</definedName>
    <definedName name="gls_CHG_KEY_USER" localSheetId="10" hidden="1">#REF!</definedName>
    <definedName name="gls_CHG_KEY_USER" hidden="1">[14]_Control!$D$10</definedName>
    <definedName name="gls_CHG_SEL_ONLY" localSheetId="9" hidden="1">#REF!</definedName>
    <definedName name="gls_CHG_SEL_ONLY" localSheetId="10" hidden="1">#REF!</definedName>
    <definedName name="gls_CHG_SEL_ONLY" hidden="1">[14]_Control!$D$9</definedName>
    <definedName name="gls_COMPANY_WORKBOOK_ID" localSheetId="9" hidden="1">#REF!</definedName>
    <definedName name="gls_COMPANY_WORKBOOK_ID" localSheetId="10" hidden="1">#REF!</definedName>
    <definedName name="gls_COMPANY_WORKBOOK_ID" hidden="1">[14]_Control!$D$17</definedName>
    <definedName name="gls_DELETED_PERIODS" localSheetId="9" hidden="1">#REF!</definedName>
    <definedName name="gls_DELETED_PERIODS" localSheetId="10" hidden="1">#REF!</definedName>
    <definedName name="gls_DELETED_PERIODS" hidden="1">[14]_Control!$J$1</definedName>
    <definedName name="gls_EST_FORM_OFFSET" localSheetId="9" hidden="1">#REF!</definedName>
    <definedName name="gls_EST_FORM_OFFSET" localSheetId="10" hidden="1">#REF!</definedName>
    <definedName name="gls_EST_FORM_OFFSET" hidden="1">#REF!</definedName>
    <definedName name="gls_EXC_NOT_EXT" localSheetId="9" hidden="1">#REF!</definedName>
    <definedName name="gls_EXC_NOT_EXT" localSheetId="10" hidden="1">#REF!</definedName>
    <definedName name="gls_EXC_NOT_EXT" hidden="1">[14]_Control!$D$35</definedName>
    <definedName name="gls_EXISTING_PERIODS" localSheetId="9" hidden="1">#REF!</definedName>
    <definedName name="gls_EXISTING_PERIODS" localSheetId="10" hidden="1">#REF!</definedName>
    <definedName name="gls_EXISTING_PERIODS" hidden="1">[14]_Control!$G$1</definedName>
    <definedName name="gls_EXT_BELOW_PBT" localSheetId="9" hidden="1">#REF!</definedName>
    <definedName name="gls_EXT_BELOW_PBT" localSheetId="10" hidden="1">#REF!</definedName>
    <definedName name="gls_EXT_BELOW_PBT" hidden="1">[14]_Control!$D$39</definedName>
    <definedName name="gls_EXT_LINK_GLOSS" localSheetId="9" hidden="1">#REF!</definedName>
    <definedName name="gls_EXT_LINK_GLOSS" localSheetId="10" hidden="1">#REF!</definedName>
    <definedName name="gls_EXT_LINK_GLOSS" hidden="1">[14]_Control!$D$50</definedName>
    <definedName name="gls_EXTERNAL_COL_REF" localSheetId="9" hidden="1">#REF!</definedName>
    <definedName name="gls_EXTERNAL_COL_REF" localSheetId="10" hidden="1">#REF!</definedName>
    <definedName name="gls_EXTERNAL_COL_REF" hidden="1">#REF!</definedName>
    <definedName name="gls_FIRST_ITEM" localSheetId="9" hidden="1">#REF!</definedName>
    <definedName name="gls_FIRST_ITEM" localSheetId="10" hidden="1">#REF!</definedName>
    <definedName name="gls_FIRST_ITEM" hidden="1">#REF!</definedName>
    <definedName name="gls_FIRST_PK" localSheetId="9" hidden="1">#REF!</definedName>
    <definedName name="gls_FIRST_PK" localSheetId="10" hidden="1">#REF!</definedName>
    <definedName name="gls_FIRST_PK" hidden="1">#REF!</definedName>
    <definedName name="gls_FIRST_ROWMULT" localSheetId="9" hidden="1">#REF!</definedName>
    <definedName name="gls_FIRST_ROWMULT" localSheetId="10" hidden="1">#REF!</definedName>
    <definedName name="gls_FIRST_ROWMULT" hidden="1">#REF!</definedName>
    <definedName name="gls_FIRST_UNITS" localSheetId="9" hidden="1">#REF!</definedName>
    <definedName name="gls_FIRST_UNITS" localSheetId="10" hidden="1">#REF!</definedName>
    <definedName name="gls_FIRST_UNITS" hidden="1">#REF!</definedName>
    <definedName name="gls_FIXED_NAMES" localSheetId="9" hidden="1">#REF!</definedName>
    <definedName name="gls_FIXED_NAMES" localSheetId="10" hidden="1">#REF!</definedName>
    <definedName name="gls_FIXED_NAMES" hidden="1">#REF!</definedName>
    <definedName name="gls_FONT_STATUS" localSheetId="9" hidden="1">#REF!</definedName>
    <definedName name="gls_FONT_STATUS" localSheetId="10" hidden="1">#REF!</definedName>
    <definedName name="gls_FONT_STATUS" hidden="1">#REF!</definedName>
    <definedName name="gls_GLOSS_MONTHS" localSheetId="9" hidden="1">#REF!</definedName>
    <definedName name="gls_GLOSS_MONTHS" localSheetId="10" hidden="1">#REF!</definedName>
    <definedName name="gls_GLOSS_MONTHS" hidden="1">[14]_Control!$A$1:$A$12</definedName>
    <definedName name="gls_GW_IN" localSheetId="9" hidden="1">#REF!</definedName>
    <definedName name="gls_GW_IN" localSheetId="10" hidden="1">#REF!</definedName>
    <definedName name="gls_GW_IN" hidden="1">[14]_Control!$D$36</definedName>
    <definedName name="gls_IIAA_IN" localSheetId="9" hidden="1">#REF!</definedName>
    <definedName name="gls_IIAA_IN" localSheetId="10" hidden="1">#REF!</definedName>
    <definedName name="gls_IIAA_IN" hidden="1">[14]_Control!$D$37</definedName>
    <definedName name="gls_InterimValue" localSheetId="9" hidden="1">#REF!</definedName>
    <definedName name="gls_InterimValue" localSheetId="10" hidden="1">#REF!</definedName>
    <definedName name="gls_InterimValue" hidden="1">[14]_Control!$D$22</definedName>
    <definedName name="gls_KEY_DATA" localSheetId="9" hidden="1">#REF!</definedName>
    <definedName name="gls_KEY_DATA" localSheetId="10" hidden="1">#REF!</definedName>
    <definedName name="gls_KEY_DATA" hidden="1">#REF!</definedName>
    <definedName name="gls_KEY_VALUE" localSheetId="9" hidden="1">#REF!</definedName>
    <definedName name="gls_KEY_VALUE" localSheetId="10" hidden="1">#REF!</definedName>
    <definedName name="gls_KEY_VALUE" hidden="1">#REF!</definedName>
    <definedName name="gls_LANGUAGE" localSheetId="9" hidden="1">#REF!</definedName>
    <definedName name="gls_LANGUAGE" localSheetId="10" hidden="1">#REF!</definedName>
    <definedName name="gls_LANGUAGE" hidden="1">[14]_Control!$D$23</definedName>
    <definedName name="gls_NEXT_PK" localSheetId="9" hidden="1">#REF!</definedName>
    <definedName name="gls_NEXT_PK" localSheetId="10" hidden="1">#REF!</definedName>
    <definedName name="gls_NEXT_PK" hidden="1">[14]_Control!$D$21</definedName>
    <definedName name="gls_PERIOD_CODE" localSheetId="9" hidden="1">#REF!</definedName>
    <definedName name="gls_PERIOD_CODE" localSheetId="10" hidden="1">#REF!</definedName>
    <definedName name="gls_PERIOD_CODE" hidden="1">#REF!</definedName>
    <definedName name="gls_PERIOD_INDICATOR" localSheetId="9" hidden="1">#REF!</definedName>
    <definedName name="gls_PERIOD_INDICATOR" localSheetId="10" hidden="1">#REF!</definedName>
    <definedName name="gls_PERIOD_INDICATOR" hidden="1">#REF!</definedName>
    <definedName name="gls_PERIOD_PARENT_OR_CONSOL" localSheetId="9" hidden="1">#REF!</definedName>
    <definedName name="gls_PERIOD_PARENT_OR_CONSOL" localSheetId="10" hidden="1">#REF!</definedName>
    <definedName name="gls_PERIOD_PARENT_OR_CONSOL" hidden="1">#REF!</definedName>
    <definedName name="gls_PERIOD_TYPE" localSheetId="9" hidden="1">#REF!</definedName>
    <definedName name="gls_PERIOD_TYPE" localSheetId="10" hidden="1">#REF!</definedName>
    <definedName name="gls_PERIOD_TYPE" hidden="1">#REF!</definedName>
    <definedName name="gls_PROFILE_NAME" localSheetId="9" hidden="1">#REF!</definedName>
    <definedName name="gls_PROFILE_NAME" localSheetId="10" hidden="1">#REF!</definedName>
    <definedName name="gls_PROFILE_NAME" hidden="1">[14]_Control!$D$19</definedName>
    <definedName name="gls_SaveBeforePublish" localSheetId="9" hidden="1">#REF!</definedName>
    <definedName name="gls_SaveBeforePublish" localSheetId="10" hidden="1">#REF!</definedName>
    <definedName name="gls_SaveBeforePublish" hidden="1">[14]_Control!$D$26</definedName>
    <definedName name="gls_SaveWkbForNewPeriodCodes" localSheetId="9" hidden="1">#REF!</definedName>
    <definedName name="gls_SaveWkbForNewPeriodCodes" localSheetId="10" hidden="1">#REF!</definedName>
    <definedName name="gls_SaveWkbForNewPeriodCodes" hidden="1">[14]_Control!$D$28</definedName>
    <definedName name="gls_SHOW_CONTROL_VALUE" localSheetId="9" hidden="1">#REF!</definedName>
    <definedName name="gls_SHOW_CONTROL_VALUE" localSheetId="10" hidden="1">#REF!</definedName>
    <definedName name="gls_SHOW_CONTROL_VALUE" hidden="1">[14]_Control!$D$1</definedName>
    <definedName name="gls_SHOW_KEY_VAL_COLUMN" localSheetId="9" hidden="1">#REF!</definedName>
    <definedName name="gls_SHOW_KEY_VAL_COLUMN" localSheetId="10" hidden="1">#REF!</definedName>
    <definedName name="gls_SHOW_KEY_VAL_COLUMN" hidden="1">[14]_Control!$D$11</definedName>
    <definedName name="gls_SHOW_KEY_VALUES" localSheetId="9" hidden="1">#REF!</definedName>
    <definedName name="gls_SHOW_KEY_VALUES" localSheetId="10" hidden="1">#REF!</definedName>
    <definedName name="gls_SHOW_KEY_VALUES" hidden="1">[14]_Control!$D$8</definedName>
    <definedName name="gls_SHOW_LINKED_ITEMS" localSheetId="9" hidden="1">#REF!</definedName>
    <definedName name="gls_SHOW_LINKED_ITEMS" localSheetId="10" hidden="1">#REF!</definedName>
    <definedName name="gls_SHOW_LINKED_ITEMS" hidden="1">[14]_Control!$D$6</definedName>
    <definedName name="gls_SHOW_LOCAL_NAMES" localSheetId="9" hidden="1">#REF!</definedName>
    <definedName name="gls_SHOW_LOCAL_NAMES" localSheetId="10" hidden="1">#REF!</definedName>
    <definedName name="gls_SHOW_LOCAL_NAMES" hidden="1">[14]_Control!$D$2</definedName>
    <definedName name="gls_SHOW_MULTIPLIERS" localSheetId="9" hidden="1">#REF!</definedName>
    <definedName name="gls_SHOW_MULTIPLIERS" localSheetId="10" hidden="1">#REF!</definedName>
    <definedName name="gls_SHOW_MULTIPLIERS" hidden="1">[14]_Control!$D$7</definedName>
    <definedName name="gls_SHOW_PK_COLUMN" localSheetId="9" hidden="1">#REF!</definedName>
    <definedName name="gls_SHOW_PK_COLUMN" localSheetId="10" hidden="1">#REF!</definedName>
    <definedName name="gls_SHOW_PK_COLUMN" hidden="1">[14]_Control!$D$5</definedName>
    <definedName name="gls_SHOW_STATUS_INFORMATION" localSheetId="9" hidden="1">#REF!</definedName>
    <definedName name="gls_SHOW_STATUS_INFORMATION" localSheetId="10" hidden="1">#REF!</definedName>
    <definedName name="gls_SHOW_STATUS_INFORMATION" hidden="1">[14]_Control!$D$3</definedName>
    <definedName name="gls_SHOW_UNITS" localSheetId="9" hidden="1">#REF!</definedName>
    <definedName name="gls_SHOW_UNITS" localSheetId="10" hidden="1">#REF!</definedName>
    <definedName name="gls_SHOW_UNITS" hidden="1">[14]_Control!$D$4</definedName>
    <definedName name="gls_SPARE_YEARS" localSheetId="9" hidden="1">#REF!</definedName>
    <definedName name="gls_SPARE_YEARS" localSheetId="10" hidden="1">#REF!</definedName>
    <definedName name="gls_SPARE_YEARS" hidden="1">#REF!</definedName>
    <definedName name="gls_SPECIAL_DIALOG" localSheetId="9" hidden="1">#REF!</definedName>
    <definedName name="gls_SPECIAL_DIALOG" localSheetId="10" hidden="1">#REF!</definedName>
    <definedName name="gls_SPECIAL_DIALOG" hidden="1">[14]_Control!$D$49</definedName>
    <definedName name="gls_START_FORMULA_OVERRIDEABLE" localSheetId="9" hidden="1">#REF!</definedName>
    <definedName name="gls_START_FORMULA_OVERRIDEABLE" localSheetId="10" hidden="1">#REF!</definedName>
    <definedName name="gls_START_FORMULA_OVERRIDEABLE" hidden="1">#REF!</definedName>
    <definedName name="gls_START_LOCAL_NAMES" localSheetId="9" hidden="1">#REF!</definedName>
    <definedName name="gls_START_LOCAL_NAMES" localSheetId="10" hidden="1">#REF!</definedName>
    <definedName name="gls_START_LOCAL_NAMES" hidden="1">#REF!</definedName>
    <definedName name="gls_START_PERIOD_CURRENCY" localSheetId="9" hidden="1">#REF!</definedName>
    <definedName name="gls_START_PERIOD_CURRENCY" localSheetId="10" hidden="1">#REF!</definedName>
    <definedName name="gls_START_PERIOD_CURRENCY" hidden="1">#REF!</definedName>
    <definedName name="gls_START_STATUS" localSheetId="9" hidden="1">#REF!</definedName>
    <definedName name="gls_START_STATUS" localSheetId="10" hidden="1">#REF!</definedName>
    <definedName name="gls_START_STATUS" hidden="1">#REF!</definedName>
    <definedName name="gls_START_USER_STATUS" localSheetId="9" hidden="1">#REF!</definedName>
    <definedName name="gls_START_USER_STATUS" localSheetId="10" hidden="1">#REF!</definedName>
    <definedName name="gls_START_USER_STATUS" hidden="1">#REF!</definedName>
    <definedName name="gls_START_VALIDATION" localSheetId="9" hidden="1">#REF!</definedName>
    <definedName name="gls_START_VALIDATION" localSheetId="10" hidden="1">#REF!</definedName>
    <definedName name="gls_START_VALIDATION" hidden="1">#REF!</definedName>
    <definedName name="gls_START_WHAT" localSheetId="9" hidden="1">#REF!</definedName>
    <definedName name="gls_START_WHAT" localSheetId="10" hidden="1">#REF!</definedName>
    <definedName name="gls_START_WHAT" hidden="1">#REF!</definedName>
    <definedName name="gls_START_YEAR" localSheetId="9" hidden="1">#REF!</definedName>
    <definedName name="gls_START_YEAR" localSheetId="10" hidden="1">#REF!</definedName>
    <definedName name="gls_START_YEAR" hidden="1">#REF!</definedName>
    <definedName name="gls_StockTicker" localSheetId="9" hidden="1">#REF!</definedName>
    <definedName name="gls_StockTicker" localSheetId="10" hidden="1">#REF!</definedName>
    <definedName name="gls_StockTicker" hidden="1">[14]_Control!$D$20</definedName>
    <definedName name="gls_TEMP_PERIOD_CODE" localSheetId="9" hidden="1">#REF!</definedName>
    <definedName name="gls_TEMP_PERIOD_CODE" localSheetId="10" hidden="1">#REF!</definedName>
    <definedName name="gls_TEMP_PERIOD_CODE" hidden="1">#REF!</definedName>
    <definedName name="gls_THISWORKBOOK_NAME" localSheetId="9" hidden="1">#REF!</definedName>
    <definedName name="gls_THISWORKBOOK_NAME" localSheetId="10" hidden="1">#REF!</definedName>
    <definedName name="gls_THISWORKBOOK_NAME" hidden="1">[14]_Control!$D$18</definedName>
    <definedName name="gls_UNUSUAL_POS" localSheetId="9" hidden="1">#REF!</definedName>
    <definedName name="gls_UNUSUAL_POS" localSheetId="10" hidden="1">#REF!</definedName>
    <definedName name="gls_UNUSUAL_POS" hidden="1">[14]_Control!$D$40</definedName>
    <definedName name="gls_USER_CELL_FORMAT" localSheetId="9" hidden="1">#REF!</definedName>
    <definedName name="gls_USER_CELL_FORMAT" localSheetId="10" hidden="1">#REF!</definedName>
    <definedName name="gls_USER_CELL_FORMAT" hidden="1">[14]_Control!$D$51</definedName>
    <definedName name="gls_USING_CONSOLIDATED" localSheetId="9" hidden="1">#REF!</definedName>
    <definedName name="gls_USING_CONSOLIDATED" localSheetId="10" hidden="1">#REF!</definedName>
    <definedName name="gls_USING_CONSOLIDATED" hidden="1">[14]_Control!$D$34</definedName>
    <definedName name="gls_YEAR_AE_CONTROL" localSheetId="9" hidden="1">#REF!</definedName>
    <definedName name="gls_YEAR_AE_CONTROL" localSheetId="10" hidden="1">#REF!</definedName>
    <definedName name="gls_YEAR_AE_CONTROL" hidden="1">#REF!</definedName>
    <definedName name="gls_YEAR_END_ROW" localSheetId="9" hidden="1">#REF!</definedName>
    <definedName name="gls_YEAR_END_ROW" localSheetId="10" hidden="1">#REF!</definedName>
    <definedName name="gls_YEAR_END_ROW" hidden="1">#REF!</definedName>
    <definedName name="gls_YetToRunStartupWizard" localSheetId="9" hidden="1">#REF!</definedName>
    <definedName name="gls_YetToRunStartupWizard" localSheetId="10" hidden="1">#REF!</definedName>
    <definedName name="gls_YetToRunStartupWizard" hidden="1">[14]_Control!$D$29</definedName>
    <definedName name="HTML_CodePage" hidden="1">1252</definedName>
    <definedName name="HTML_Control" localSheetId="9" hidden="1">{"'Outline (2)'!$A$1:$Q$7"}</definedName>
    <definedName name="HTML_Control" localSheetId="10" hidden="1">{"'Outline (2)'!$A$1:$Q$7"}</definedName>
    <definedName name="HTML_Control" hidden="1">{"'Outline (2)'!$A$1:$Q$7"}</definedName>
    <definedName name="HTML_Description" hidden="1">""</definedName>
    <definedName name="HTML_Email" hidden="1">""</definedName>
    <definedName name="HTML_Header" hidden="1">"Outline (2)"</definedName>
    <definedName name="HTML_LastUpdate" hidden="1">"2/9/98"</definedName>
    <definedName name="HTML_LineAfter" hidden="1">FALSE</definedName>
    <definedName name="HTML_LineBefore" hidden="1">FALSE</definedName>
    <definedName name="HTML_Name" hidden="1">"Kenfil Training Centre"</definedName>
    <definedName name="HTML_OBDlg2" hidden="1">TRUE</definedName>
    <definedName name="HTML_OBDlg4" hidden="1">TRUE</definedName>
    <definedName name="HTML_OS" hidden="1">0</definedName>
    <definedName name="HTML_PathFile" hidden="1">"F:\USERS\STUDENT\KAREEN\EXCEL97\MyHTML.htm"</definedName>
    <definedName name="HTML_Title" hidden="1">"XL97_ADV"</definedName>
    <definedName name="HTML1_1" hidden="1">"[firstpacpg59withformula.xls]Sheet1!$A$1:$G$23"</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 hidden="1">"[firstpacpg58.xls]Sheet1!$A$1:$F$15"</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i" localSheetId="2" hidden="1">{"Qtr Op Mgd Q3",#N/A,FALSE,"Qtr-Op (Mng)";"Qtr Op Rpt Q3",#N/A,FALSE,"Qtr-Op (Rpt)";"Operating Vs Reported",#N/A,FALSE,"Rpt-Op Inc"}</definedName>
    <definedName name="i" localSheetId="9" hidden="1">{"Qtr Op Mgd Q3",#N/A,FALSE,"Qtr-Op (Mng)";"Qtr Op Rpt Q3",#N/A,FALSE,"Qtr-Op (Rpt)";"Operating Vs Reported",#N/A,FALSE,"Rpt-Op Inc"}</definedName>
    <definedName name="i" localSheetId="10" hidden="1">{"Qtr Op Mgd Q3",#N/A,FALSE,"Qtr-Op (Mng)";"Qtr Op Rpt Q3",#N/A,FALSE,"Qtr-Op (Rpt)";"Operating Vs Reported",#N/A,FALSE,"Rpt-Op Inc"}</definedName>
    <definedName name="i" hidden="1">{"Qtr Op Mgd Q3",#N/A,FALSE,"Qtr-Op (Mng)";"Qtr Op Rpt Q3",#N/A,FALSE,"Qtr-Op (Rpt)";"Operating Vs Reported",#N/A,FALSE,"Rpt-Op Inc"}</definedName>
    <definedName name="Img_ML_1c3d1n6n" hidden="1">"IMG_11"</definedName>
    <definedName name="Img_ML_1d1b5x3i" hidden="1">"IMG_18"</definedName>
    <definedName name="Img_ML_1e1k9n5y" hidden="1">"IMG_10"</definedName>
    <definedName name="Img_ML_1g9i6j4i" hidden="1">"IMG_6"</definedName>
    <definedName name="Img_ML_1h4n3h8h" hidden="1">"IMG_18"</definedName>
    <definedName name="Img_ML_1k2d3y6g" hidden="1">"IMG_18"</definedName>
    <definedName name="Img_ML_1k4g9u7k" hidden="1">"IMG_10"</definedName>
    <definedName name="Img_ML_1k4u6z9q" hidden="1">"IMG_12"</definedName>
    <definedName name="Img_ML_1q6n1r3y" hidden="1">"IMG_18"</definedName>
    <definedName name="Img_ML_1q7t4c5p" hidden="1">"IMG_18"</definedName>
    <definedName name="Img_ML_1q9i2k7i" hidden="1">"IMG_6"</definedName>
    <definedName name="Img_ML_1s9s8u2q" hidden="1">"IMG_12"</definedName>
    <definedName name="Img_ML_1t5s6u1f" hidden="1">"IMG_18"</definedName>
    <definedName name="Img_ML_1u3g1w9g" hidden="1">"IMG_18"</definedName>
    <definedName name="Img_ML_1v1d3k4v" hidden="1">"IMG_6"</definedName>
    <definedName name="Img_ML_1y7a6c1t" hidden="1">"IMG_17"</definedName>
    <definedName name="Img_ML_2e1r5p2m" hidden="1">"IMG_10"</definedName>
    <definedName name="Img_ML_2f4p3r6p" hidden="1">"IMG_18"</definedName>
    <definedName name="Img_ML_2i4d6c2r" hidden="1">"IMG_18"</definedName>
    <definedName name="Img_ML_2j1p7k4i" hidden="1">"IMG_6"</definedName>
    <definedName name="Img_ML_2j4h5d5y" hidden="1">"IMG_10"</definedName>
    <definedName name="Img_ML_2j6i5k6b" hidden="1">"IMG_18"</definedName>
    <definedName name="Img_ML_2m9t4m5q" hidden="1">"IMG_18"</definedName>
    <definedName name="Img_ML_2u8x3t5a" hidden="1">"IMG_3"</definedName>
    <definedName name="Img_ML_2v6s9i5c" hidden="1">"IMG_18"</definedName>
    <definedName name="Img_ML_2w1t7g9m" hidden="1">"IMG_18"</definedName>
    <definedName name="Img_ML_2x1b8j5c" hidden="1">"IMG_10"</definedName>
    <definedName name="Img_ML_2x8r4a2e" hidden="1">"IMG_18"</definedName>
    <definedName name="Img_ML_3b3j3x9k" hidden="1">"IMG_10"</definedName>
    <definedName name="Img_ML_3b5m6a3d" hidden="1">"IMG_18"</definedName>
    <definedName name="Img_ML_3b8r3t8y" hidden="1">"IMG_11"</definedName>
    <definedName name="Img_ML_3c6e9c4g" hidden="1">"IMG_11"</definedName>
    <definedName name="Img_ML_3e2q4k7i" hidden="1">"IMG_18"</definedName>
    <definedName name="Img_ML_3h2n3p4v" hidden="1">"IMG_17"</definedName>
    <definedName name="Img_ML_3j3i3p7g" hidden="1">"IMG_18"</definedName>
    <definedName name="Img_ML_3m9x5w6k" hidden="1">"IMG_6"</definedName>
    <definedName name="Img_ML_3n5p3k4y" hidden="1">"IMG_18"</definedName>
    <definedName name="Img_ML_3p2b9c6w" hidden="1">"IMG_18"</definedName>
    <definedName name="Img_ML_3p5d9q5j" hidden="1">"IMG_11"</definedName>
    <definedName name="Img_ML_3r4u7k1k" hidden="1">"IMG_18"</definedName>
    <definedName name="Img_ML_3u5n6c7g" hidden="1">"IMG_6"</definedName>
    <definedName name="Img_ML_3x8m5t8j" hidden="1">"IMG_18"</definedName>
    <definedName name="Img_ML_3y1j4m2m" hidden="1">"IMG_17"</definedName>
    <definedName name="Img_ML_4b5b4m3y" hidden="1">"IMG_18"</definedName>
    <definedName name="Img_ML_4b5r5k9y" hidden="1">"IMG_18"</definedName>
    <definedName name="Img_ML_4g9t7u4l" hidden="1">"IMG_12"</definedName>
    <definedName name="Img_ML_4k4p2k2y" hidden="1">"IMG_6"</definedName>
    <definedName name="Img_ML_4k4z1z9l" hidden="1">"IMG_11"</definedName>
    <definedName name="Img_ML_4k8k7q4x" hidden="1">"IMG_18"</definedName>
    <definedName name="Img_ML_4m1m4x3e" hidden="1">"IMG_18"</definedName>
    <definedName name="Img_ML_4m3p5r8j" hidden="1">"IMG_10"</definedName>
    <definedName name="Img_ML_4n6t1k1h" hidden="1">"IMG_18"</definedName>
    <definedName name="Img_ML_4r3t2p9g" hidden="1">"IMG_18"</definedName>
    <definedName name="Img_ML_4s4r5e3c" hidden="1">"IMG_18"</definedName>
    <definedName name="Img_ML_5d3i8b5s" hidden="1">"IMG_10"</definedName>
    <definedName name="Img_ML_5e7s6t2u" hidden="1">"IMG_10"</definedName>
    <definedName name="Img_ML_5e9m1k3s" hidden="1">"IMG_11"</definedName>
    <definedName name="Img_ML_5f9d1i5x" hidden="1">"IMG_18"</definedName>
    <definedName name="Img_ML_5f9x9u4u" hidden="1">"IMG_18"</definedName>
    <definedName name="Img_ML_5g9z1u4m" hidden="1">"IMG_11"</definedName>
    <definedName name="Img_ML_5h6q3g8u" hidden="1">"IMG_12"</definedName>
    <definedName name="Img_ML_5i2f2p6v" hidden="1">"IMG_11"</definedName>
    <definedName name="Img_ML_5k1g6v5e" hidden="1">"IMG_18"</definedName>
    <definedName name="Img_ML_5k7e4n8n" hidden="1">"IMG_18"</definedName>
    <definedName name="Img_ML_5k8u7s9i" hidden="1">"IMG_11"</definedName>
    <definedName name="Img_ML_5p5a4d6d" hidden="1">"IMG_11"</definedName>
    <definedName name="Img_ML_6a6y1x1h" hidden="1">"IMG_18"</definedName>
    <definedName name="Img_ML_6d9u6u7z" hidden="1">"IMG_4"</definedName>
    <definedName name="Img_ML_6f2p1m9g" hidden="1">"IMG_10"</definedName>
    <definedName name="Img_ML_6j4v6x5i" hidden="1">"IMG_10"</definedName>
    <definedName name="Img_ML_6k5t7m9z" hidden="1">"IMG_4"</definedName>
    <definedName name="Img_ML_6k9c9p4d" hidden="1">"IMG_18"</definedName>
    <definedName name="Img_ML_6m3p7m9h" hidden="1">"IMG_18"</definedName>
    <definedName name="Img_ML_6m5d9e6r" hidden="1">"IMG_18"</definedName>
    <definedName name="Img_ML_6m6i9t6k" hidden="1">"IMG_18"</definedName>
    <definedName name="Img_ML_6n6c2h1d" hidden="1">"IMG_18"</definedName>
    <definedName name="Img_ML_6p2b6u6k" hidden="1">"IMG_12"</definedName>
    <definedName name="Img_ML_6p3m8v1n" hidden="1">"IMG_18"</definedName>
    <definedName name="Img_ML_6p9x3u7k" hidden="1">"IMG_18"</definedName>
    <definedName name="Img_ML_6r9u1n9k" hidden="1">"IMG_5"</definedName>
    <definedName name="Img_ML_6s4w4z2z" hidden="1">"IMG_3"</definedName>
    <definedName name="Img_ML_6s5x3m6z" hidden="1">"IMG_3"</definedName>
    <definedName name="Img_ML_6u1b6h4m" hidden="1">"IMG_18"</definedName>
    <definedName name="Img_ML_6u4t7r7e" hidden="1">"IMG_11"</definedName>
    <definedName name="Img_ML_6w6m7b7r" hidden="1">"IMG_10"</definedName>
    <definedName name="Img_ML_6y9f7y3n" hidden="1">"IMG_10"</definedName>
    <definedName name="Img_ML_7b3x8f2f" hidden="1">"IMG_18"</definedName>
    <definedName name="Img_ML_7d3a8x3f" hidden="1">"IMG_18"</definedName>
    <definedName name="Img_ML_7e1g7x4r" hidden="1">"IMG_18"</definedName>
    <definedName name="Img_ML_7f1w1m7s" hidden="1">"IMG_11"</definedName>
    <definedName name="Img_ML_7g4k9d6i" hidden="1">"IMG_10"</definedName>
    <definedName name="Img_ML_7g5e5e2b" hidden="1">"IMG_11"</definedName>
    <definedName name="Img_ML_7j3p5m6t" hidden="1">"IMG_18"</definedName>
    <definedName name="Img_ML_7j8s8t8i" hidden="1">"IMG_11"</definedName>
    <definedName name="Img_ML_7m3b4p7p" hidden="1">"IMG_18"</definedName>
    <definedName name="Img_ML_7m5m4k3b" hidden="1">"IMG_17"</definedName>
    <definedName name="Img_ML_7n6h3t1t" hidden="1">"IMG_17"</definedName>
    <definedName name="Img_ML_7s4w7c6r" hidden="1">"IMG_10"</definedName>
    <definedName name="Img_ML_7s5s8m2i" hidden="1">"IMG_12"</definedName>
    <definedName name="Img_ML_7t5s6e3m" hidden="1">"IMG_11"</definedName>
    <definedName name="Img_ML_7w3j1h9t" hidden="1">"IMG_18"</definedName>
    <definedName name="Img_ML_8a8m2p9x" hidden="1">"IMG_11"</definedName>
    <definedName name="Img_ML_8b4s3j4n" hidden="1">"IMG_18"</definedName>
    <definedName name="Img_ML_8b9j5t1p" hidden="1">"IMG_10"</definedName>
    <definedName name="Img_ML_8c2q5i2r" hidden="1">"IMG_18"</definedName>
    <definedName name="Img_ML_8d2v5j7j" hidden="1">"IMG_12"</definedName>
    <definedName name="Img_ML_8e3p4n9n" hidden="1">"IMG_18"</definedName>
    <definedName name="Img_ML_8f5v8k5i" hidden="1">"IMG_11"</definedName>
    <definedName name="Img_ML_8g3e4a7v" hidden="1">"IMG_17"</definedName>
    <definedName name="Img_ML_8h3m3i1m" hidden="1">"IMG_11"</definedName>
    <definedName name="Img_ML_8i9u7w8k" hidden="1">"IMG_18"</definedName>
    <definedName name="Img_ML_8j3w6p4c" hidden="1">"IMG_12"</definedName>
    <definedName name="Img_ML_8n6m2q6v" hidden="1">"IMG_18"</definedName>
    <definedName name="Img_ML_8r1k8t4y" hidden="1">"IMG_10"</definedName>
    <definedName name="Img_ML_8r9f4n4f" hidden="1">"IMG_18"</definedName>
    <definedName name="Img_ML_8s3q3c1i" hidden="1">"IMG_18"</definedName>
    <definedName name="Img_ML_8s9d7q9u" hidden="1">"IMG_11"</definedName>
    <definedName name="Img_ML_8t3m5u6f" hidden="1">"IMG_11"</definedName>
    <definedName name="Img_ML_8y3q6y4b" hidden="1">"IMG_18"</definedName>
    <definedName name="Img_ML_8y5b6i3r" hidden="1">"IMG_6"</definedName>
    <definedName name="Img_ML_9c9p6w6g" hidden="1">"IMG_18"</definedName>
    <definedName name="Img_ML_9e4j3y6n" hidden="1">"IMG_18"</definedName>
    <definedName name="Img_ML_9g2r1i7c" hidden="1">"IMG_18"</definedName>
    <definedName name="Img_ML_9g3r6t7h" hidden="1">"IMG_18"</definedName>
    <definedName name="Img_ML_9h6h8h8e" hidden="1">"IMG_18"</definedName>
    <definedName name="Img_ML_9h6p7r7t" hidden="1">"IMG_18"</definedName>
    <definedName name="Img_ML_9j3t2m3v" hidden="1">"IMG_18"</definedName>
    <definedName name="Img_ML_9m3v1d9u" hidden="1">"IMG_18"</definedName>
    <definedName name="Img_ML_9n1s4m5f" hidden="1">"IMG_18"</definedName>
    <definedName name="Img_ML_9t4s6m1a" hidden="1">"IMG_18"</definedName>
    <definedName name="Img_ML_9u2c1d4e" hidden="1">"IMG_11"</definedName>
    <definedName name="Img_ML_9v4y5y5t" hidden="1">"IMG_11"</definedName>
    <definedName name="Img_ML_9v6s2g1u" hidden="1">"IMG_18"</definedName>
    <definedName name="Img_NAV_chart" hidden="1">"IMG_50"</definedName>
    <definedName name="Img_Office_S_vs_Rental" hidden="1">"IMG_10"</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UNUSED" hidden="1">"c7473"</definedName>
    <definedName name="IQ_BALANCE_GOODS_FC_UNUSED" hidden="1">"c7693"</definedName>
    <definedName name="IQ_BALANCE_GOODS_POP_FC_UNUSED" hidden="1">"c7913"</definedName>
    <definedName name="IQ_BALANCE_GOODS_POP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UNUSED" hidden="1">"c7253"</definedName>
    <definedName name="IQ_BALANCE_SERV_APR_FC_UNUSED" hidden="1">"c8355"</definedName>
    <definedName name="IQ_BALANCE_SERV_APR_UNUSED" hidden="1">"c7475"</definedName>
    <definedName name="IQ_BALANCE_SERV_FC_UNUSED" hidden="1">"c7695"</definedName>
    <definedName name="IQ_BALANCE_SERV_POP_FC_UNUSED" hidden="1">"c7915"</definedName>
    <definedName name="IQ_BALANCE_SERV_POP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UNUSED" hidden="1">"c7477"</definedName>
    <definedName name="IQ_BALANCE_TRADE_FC_UNUSED" hidden="1">"c7697"</definedName>
    <definedName name="IQ_BALANCE_TRADE_POP_FC_UNUSED" hidden="1">"c7917"</definedName>
    <definedName name="IQ_BALANCE_TRADE_POP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UNUSED" hidden="1">"c7479"</definedName>
    <definedName name="IQ_BUDGET_BALANCE_FC_UNUSED" hidden="1">"c7699"</definedName>
    <definedName name="IQ_BUDGET_BALANCE_POP_FC_UNUSED" hidden="1">"c7919"</definedName>
    <definedName name="IQ_BUDGET_BALANCE_POP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YOY_FC_UNUSED" hidden="1">"c8139"</definedName>
    <definedName name="IQ_BUDGET_BALANCE_YOY_UNUSED" hidden="1">"c7259"</definedName>
    <definedName name="IQ_BUDGET_RECEIPTS_APR_FC_UNUSED" hidden="1">"c8361"</definedName>
    <definedName name="IQ_BUDGET_RECEIPTS_APR_UNUSED" hidden="1">"c7481"</definedName>
    <definedName name="IQ_BUDGET_RECEIPTS_FC_UNUSED" hidden="1">"c7701"</definedName>
    <definedName name="IQ_BUDGET_RECEIPTS_POP_FC_UNUSED" hidden="1">"c7921"</definedName>
    <definedName name="IQ_BUDGET_RECEIPTS_POP_UNUSED" hidden="1">"c7041"</definedName>
    <definedName name="IQ_BUDGET_RECEIPTS_UNUSED" hidden="1">"c6821"</definedName>
    <definedName name="IQ_BUDGET_RECEIPTS_YOY_FC_UNUSED" hidden="1">"c8141"</definedName>
    <definedName name="IQ_BUDGET_RECEIPTS_YOY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UNUSED" hidden="1">"c7620"</definedName>
    <definedName name="IQ_CHANGE_INVENT_REAL_FC_UNUSED" hidden="1">"c7840"</definedName>
    <definedName name="IQ_CHANGE_INVENT_REAL_POP_FC_UNUSED" hidden="1">"c8060"</definedName>
    <definedName name="IQ_CHANGE_INVENT_REAL_POP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 hidden="1">"c8381"</definedName>
    <definedName name="IQ_CORP_GOODS_PRICE_INDEX_APR_UNUSED" hidden="1">"c7501"</definedName>
    <definedName name="IQ_CORP_GOODS_PRICE_INDEX_FC_UNUSED" hidden="1">"c7721"</definedName>
    <definedName name="IQ_CORP_GOODS_PRICE_INDEX_POP_FC_UNUSED" hidden="1">"c7941"</definedName>
    <definedName name="IQ_CORP_GOODS_PRICE_INDEX_POP_UNUSED" hidden="1">"c7061"</definedName>
    <definedName name="IQ_CORP_GOODS_PRICE_INDEX_UNUSED" hidden="1">"c6841"</definedName>
    <definedName name="IQ_CORP_GOODS_PRICE_INDEX_YOY_FC_UNUSED" hidden="1">"c8161"</definedName>
    <definedName name="IQ_CORP_GOODS_PRICE_INDEX_YOY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 hidden="1">"c8387"</definedName>
    <definedName name="IQ_CURR_ACCT_BALANCE_APR_UNUSED" hidden="1">"c7507"</definedName>
    <definedName name="IQ_CURR_ACCT_BALANCE_FC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INT" hidden="1">"c373"</definedName>
    <definedName name="IQ_EBITDA_LOW_EST" hidden="1">"c371"</definedName>
    <definedName name="IQ_EBITDA_LOW_EST_CIQ" hidden="1">"c3625"</definedName>
    <definedName name="IQ_EBITDA_LOW_EST_REUT" hidden="1">"c3643"</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39_UNUSED" hidden="1">"c6839"</definedName>
    <definedName name="IQ_ECO_METRIC_6896_UNUSED" hidden="1">"c6896"</definedName>
    <definedName name="IQ_ECO_METRIC_6897_UNUSED" hidden="1">"c6897"</definedName>
    <definedName name="IQ_ECO_METRIC_6927" hidden="1">"c6927"</definedName>
    <definedName name="IQ_ECO_METRIC_6988_UNUSED" hidden="1">"c6988"</definedName>
    <definedName name="IQ_ECO_METRIC_7045_UNUSED" hidden="1">"c7045"</definedName>
    <definedName name="IQ_ECO_METRIC_7059_UNUSED" hidden="1">"c7059"</definedName>
    <definedName name="IQ_ECO_METRIC_7116_UNUSED" hidden="1">"c7116"</definedName>
    <definedName name="IQ_ECO_METRIC_7117_UNUSED" hidden="1">"c7117"</definedName>
    <definedName name="IQ_ECO_METRIC_7147" hidden="1">"c7147"</definedName>
    <definedName name="IQ_ECO_METRIC_7208_UNUSED" hidden="1">"c7208"</definedName>
    <definedName name="IQ_ECO_METRIC_7265_UNUSED" hidden="1">"c7265"</definedName>
    <definedName name="IQ_ECO_METRIC_7279_UNUSED" hidden="1">"c7279"</definedName>
    <definedName name="IQ_ECO_METRIC_7336_UNUSED" hidden="1">"c7336"</definedName>
    <definedName name="IQ_ECO_METRIC_7337_UNUSED" hidden="1">"c7337"</definedName>
    <definedName name="IQ_ECO_METRIC_7367" hidden="1">"c7367"</definedName>
    <definedName name="IQ_ECO_METRIC_7428_UNUSED" hidden="1">"c7428"</definedName>
    <definedName name="IQ_ECO_METRIC_7556_UNUSED" hidden="1">"c7556"</definedName>
    <definedName name="IQ_ECO_METRIC_7557_UNUSED" hidden="1">"c7557"</definedName>
    <definedName name="IQ_ECO_METRIC_7587" hidden="1">"c7587"</definedName>
    <definedName name="IQ_ECO_METRIC_7648_UNUSED" hidden="1">"c7648"</definedName>
    <definedName name="IQ_ECO_METRIC_7704" hidden="1">"c7704"</definedName>
    <definedName name="IQ_ECO_METRIC_7705_UNUSED" hidden="1">"c7705"</definedName>
    <definedName name="IQ_ECO_METRIC_7706" hidden="1">"c7706"</definedName>
    <definedName name="IQ_ECO_METRIC_7718" hidden="1">"c7718"</definedName>
    <definedName name="IQ_ECO_METRIC_7719_UNUSED" hidden="1">"c7719"</definedName>
    <definedName name="IQ_ECO_METRIC_7776_UNUSED" hidden="1">"c7776"</definedName>
    <definedName name="IQ_ECO_METRIC_7777_UNUSED" hidden="1">"c7777"</definedName>
    <definedName name="IQ_ECO_METRIC_7807" hidden="1">"c7807"</definedName>
    <definedName name="IQ_ECO_METRIC_7811" hidden="1">"c7811"</definedName>
    <definedName name="IQ_ECO_METRIC_7868_UNUSED" hidden="1">"c7868"</definedName>
    <definedName name="IQ_ECO_METRIC_7873" hidden="1">"c7873"</definedName>
    <definedName name="IQ_ECO_METRIC_7924" hidden="1">"c7924"</definedName>
    <definedName name="IQ_ECO_METRIC_7925_UNUSED" hidden="1">"c7925"</definedName>
    <definedName name="IQ_ECO_METRIC_7926" hidden="1">"c7926"</definedName>
    <definedName name="IQ_ECO_METRIC_7938" hidden="1">"c7938"</definedName>
    <definedName name="IQ_ECO_METRIC_7939_UNUSED" hidden="1">"c7939"</definedName>
    <definedName name="IQ_ECO_METRIC_7996_UNUSED" hidden="1">"c7996"</definedName>
    <definedName name="IQ_ECO_METRIC_7997_UNUSED" hidden="1">"c7997"</definedName>
    <definedName name="IQ_ECO_METRIC_8027" hidden="1">"c8027"</definedName>
    <definedName name="IQ_ECO_METRIC_8031" hidden="1">"c8031"</definedName>
    <definedName name="IQ_ECO_METRIC_8088_UNUSED" hidden="1">"c8088"</definedName>
    <definedName name="IQ_ECO_METRIC_8093" hidden="1">"c8093"</definedName>
    <definedName name="IQ_ECO_METRIC_8144" hidden="1">"c8144"</definedName>
    <definedName name="IQ_ECO_METRIC_8145_UNUSED" hidden="1">"c8145"</definedName>
    <definedName name="IQ_ECO_METRIC_8146" hidden="1">"c8146"</definedName>
    <definedName name="IQ_ECO_METRIC_8158" hidden="1">"c8158"</definedName>
    <definedName name="IQ_ECO_METRIC_8159_UNUSED" hidden="1">"c8159"</definedName>
    <definedName name="IQ_ECO_METRIC_8216_UNUSED" hidden="1">"c8216"</definedName>
    <definedName name="IQ_ECO_METRIC_8217_UNUSED" hidden="1">"c8217"</definedName>
    <definedName name="IQ_ECO_METRIC_8247" hidden="1">"c8247"</definedName>
    <definedName name="IQ_ECO_METRIC_8251" hidden="1">"c8251"</definedName>
    <definedName name="IQ_ECO_METRIC_8308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7_UNUSED" hidden="1">"c8437"</definedName>
    <definedName name="IQ_ECO_METRIC_8467" hidden="1">"c8467"</definedName>
    <definedName name="IQ_ECO_METRIC_8471" hidden="1">"c8471"</definedName>
    <definedName name="IQ_ECO_METRIC_8528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_CIQ" hidden="1">"c5058"</definedName>
    <definedName name="IQ_EPS_AP" hidden="1">"c8880"</definedName>
    <definedName name="IQ_EPS_AP_ABS" hidden="1">"c8899"</definedName>
    <definedName name="IQ_EPS_EST" hidden="1">"c399"</definedName>
    <definedName name="IQ_EPS_EST_CIQ" hidden="1">"c4994"</definedName>
    <definedName name="IQ_EPS_EST_REUT" hidden="1">"c5453"</definedName>
    <definedName name="IQ_EPS_GW_ACT_OR_EST_CIQ" hidden="1">"c5066"</definedName>
    <definedName name="IQ_EPS_GW_EST" hidden="1">"c1737"</definedName>
    <definedName name="IQ_EPS_GW_EST_CIQ" hidden="1">"c4723"</definedName>
    <definedName name="IQ_EPS_GW_EST_REUT" hidden="1">"c5389"</definedName>
    <definedName name="IQ_EPS_GW_HIGH_EST" hidden="1">"c1739"</definedName>
    <definedName name="IQ_EPS_GW_HIGH_EST_CIQ" hidden="1">"c4725"</definedName>
    <definedName name="IQ_EPS_GW_HIGH_EST_REUT" hidden="1">"c5391"</definedName>
    <definedName name="IQ_EPS_GW_LOW_EST" hidden="1">"c1740"</definedName>
    <definedName name="IQ_EPS_GW_LOW_EST_CIQ" hidden="1">"c4726"</definedName>
    <definedName name="IQ_EPS_GW_LOW_EST_REUT" hidden="1">"c5392"</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_CIQ" hidden="1">"c5067"</definedName>
    <definedName name="IQ_EPS_REPORTED_EST" hidden="1">"c1744"</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EPS_GROWTH_1YR" hidden="1">"c1636"</definedName>
    <definedName name="IQ_EST_EPS_GROWTH_1YR_CIQ" hidden="1">"c3628"</definedName>
    <definedName name="IQ_EST_EPS_GROWTH_1YR_REUT" hidden="1">"c3646"</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REUT" hidden="1">"c3633"</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FOOTNOTE" hidden="1">"c4540"</definedName>
    <definedName name="IQ_EST_FOOTNOTE_CIQ" hidden="1">"c12022"</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UNUSED" hidden="1">"c7632"</definedName>
    <definedName name="IQ_EXPORTS_GOODS_REAL_SAAR_FC_UNUSED" hidden="1">"c7852"</definedName>
    <definedName name="IQ_EXPORTS_GOODS_REAL_SAAR_POP" hidden="1">"c11931"</definedName>
    <definedName name="IQ_EXPORTS_GOODS_REAL_SAAR_POP_FC_UNUSED" hidden="1">"c8072"</definedName>
    <definedName name="IQ_EXPORTS_GOODS_REAL_SAAR_POP_UNUSED" hidden="1">"c7192"</definedName>
    <definedName name="IQ_EXPORTS_GOODS_REAL_SAAR_UNUSED" hidden="1">"c6972"</definedName>
    <definedName name="IQ_EXPORTS_GOODS_REAL_SAAR_YOY" hidden="1">"c11932"</definedName>
    <definedName name="IQ_EXPORTS_GOODS_REAL_SAAR_YOY_FC_UNUSED" hidden="1">"c8292"</definedName>
    <definedName name="IQ_EXPORTS_GOODS_REAL_SAAR_YOY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UNUSED" hidden="1">"c7636"</definedName>
    <definedName name="IQ_EXPORTS_SERVICES_REAL_SAAR_FC_UNUSED" hidden="1">"c7856"</definedName>
    <definedName name="IQ_EXPORTS_SERVICES_REAL_SAAR_POP" hidden="1">"c11935"</definedName>
    <definedName name="IQ_EXPORTS_SERVICES_REAL_SAAR_POP_FC_UNUSED" hidden="1">"c8076"</definedName>
    <definedName name="IQ_EXPORTS_SERVICES_REAL_SAAR_POP_UNUSED" hidden="1">"c7196"</definedName>
    <definedName name="IQ_EXPORTS_SERVICES_REAL_SAAR_UNUSED" hidden="1">"c6976"</definedName>
    <definedName name="IQ_EXPORTS_SERVICES_REAL_SAAR_YOY" hidden="1">"c11936"</definedName>
    <definedName name="IQ_EXPORTS_SERVICES_REAL_SAAR_YOY_FC_UNUSED" hidden="1">"c8296"</definedName>
    <definedName name="IQ_EXPORTS_SERVICES_REAL_SAAR_YOY_UNUSED" hidden="1">"c7416"</definedName>
    <definedName name="IQ_EXPORTS_SERVICES_REAL_YOY" hidden="1">"c7417"</definedName>
    <definedName name="IQ_EXPORTS_SERVICES_REAL_YOY_FC" hidden="1">"c8297"</definedName>
    <definedName name="IQ_EXPORTS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ACT_OR_EST_CIQ" hidden="1">"c4960"</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VEST_APR_FC_UNUSED" hidden="1">"c8410"</definedName>
    <definedName name="IQ_FIXED_INVEST_APR_UNUSED" hidden="1">"c7530"</definedName>
    <definedName name="IQ_FIXED_INVEST_FC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UNUSED" hidden="1">"c7090"</definedName>
    <definedName name="IQ_FIXED_INVEST_REAL_APR_FC_UNUSED" hidden="1">"c8518"</definedName>
    <definedName name="IQ_FIXED_INVEST_REAL_APR_UNUSED" hidden="1">"c7638"</definedName>
    <definedName name="IQ_FIXED_INVEST_REAL_FC_UNUSED" hidden="1">"c7858"</definedName>
    <definedName name="IQ_FIXED_INVEST_REAL_POP_FC_UNUSED" hidden="1">"c8078"</definedName>
    <definedName name="IQ_FIXED_INVEST_REAL_POP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UNUSED" hidden="1">"c7542"</definedName>
    <definedName name="IQ_HOUSING_COMPLETIONS_SINGLE_FAM_FC_UNUSED" hidden="1">"c7762"</definedName>
    <definedName name="IQ_HOUSING_COMPLETIONS_SINGLE_FAM_POP_FC_UNUSED" hidden="1">"c7982"</definedName>
    <definedName name="IQ_HOUSING_COMPLETIONS_SINGLE_FAM_POP_UNUSED" hidden="1">"c7102"</definedName>
    <definedName name="IQ_HOUSING_COMPLETIONS_SINGLE_FAM_UNUSED" hidden="1">"c6882"</definedName>
    <definedName name="IQ_HOUSING_COMPLETIONS_SINGLE_FAM_YOY_FC_UNUSED" hidden="1">"c8202"</definedName>
    <definedName name="IQ_HOUSING_COMPLETIONS_SINGLE_FAM_YOY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UNUSED" hidden="1">"c7643"</definedName>
    <definedName name="IQ_IMPORTS_GOODS_REAL_SAAR_FC_UNUSED" hidden="1">"c7863"</definedName>
    <definedName name="IQ_IMPORTS_GOODS_REAL_SAAR_POP_FC_UNUSED" hidden="1">"c8083"</definedName>
    <definedName name="IQ_IMPORTS_GOODS_REAL_SAAR_POP_UNUSED" hidden="1">"c7203"</definedName>
    <definedName name="IQ_IMPORTS_GOODS_REAL_SAAR_UNUSED" hidden="1">"c6983"</definedName>
    <definedName name="IQ_IMPORTS_GOODS_REAL_SAAR_YOY_FC_UNUSED" hidden="1">"c8303"</definedName>
    <definedName name="IQ_IMPORTS_GOODS_REAL_SAAR_YOY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UNUSED" hidden="1">"c7549"</definedName>
    <definedName name="IQ_IMPORTS_GOODS_SERVICES_FC_UNUSED" hidden="1">"c7769"</definedName>
    <definedName name="IQ_IMPORTS_GOODS_SERVICES_POP_FC_UNUSED" hidden="1">"c7989"</definedName>
    <definedName name="IQ_IMPORTS_GOODS_SERVICES_POP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UNUSED" hidden="1">"c7644"</definedName>
    <definedName name="IQ_IMPORTS_GOODS_SERVICES_REAL_SAAR_FC_UNUSED" hidden="1">"c7864"</definedName>
    <definedName name="IQ_IMPORTS_GOODS_SERVICES_REAL_SAAR_POP" hidden="1">"c11959"</definedName>
    <definedName name="IQ_IMPORTS_GOODS_SERVICES_REAL_SAAR_POP_FC_UNUSED" hidden="1">"c8084"</definedName>
    <definedName name="IQ_IMPORTS_GOODS_SERVICES_REAL_SAAR_POP_UNUSED" hidden="1">"c7204"</definedName>
    <definedName name="IQ_IMPORTS_GOODS_SERVICES_REAL_SAAR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UNUSED" hidden="1">"c7563"</definedName>
    <definedName name="IQ_ISM_SERVICES_FC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UNUSED" hidden="1">"c7123"</definedName>
    <definedName name="IQ_ISM_SERVICES_UNUSED" hidden="1">"c6903"</definedName>
    <definedName name="IQ_ISM_SERVICES_YOY_FC_UNUSED" hidden="1">"c8223"</definedName>
    <definedName name="IQ_ISM_SERVICES_YOY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UNUSED" hidden="1">"c7580"</definedName>
    <definedName name="IQ_MEDIAN_NEW_HOME_SALES_FC_UNUSED" hidden="1">"c7800"</definedName>
    <definedName name="IQ_MEDIAN_NEW_HOME_SALES_POP_FC_UNUSED" hidden="1">"c8020"</definedName>
    <definedName name="IQ_MEDIAN_NEW_HOME_SALES_POP_UNUSED" hidden="1">"c7140"</definedName>
    <definedName name="IQ_MEDIAN_NEW_HOME_SALES_UNUSED" hidden="1">"c6920"</definedName>
    <definedName name="IQ_MEDIAN_NEW_HOME_SALES_YOY_FC_UNUSED" hidden="1">"c8240"</definedName>
    <definedName name="IQ_MEDIAN_NEW_HOME_SALES_YOY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0" hidden="1">40917.624212963</definedName>
    <definedName name="IQ_NAMES_REVISION_DATE_" hidden="1">42549.6547106481</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"c11750"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UNUSED" hidden="1">"c7588"</definedName>
    <definedName name="IQ_NONRES_FIXED_INVEST_PRIV_FC_UNUSED" hidden="1">"c7808"</definedName>
    <definedName name="IQ_NONRES_FIXED_INVEST_PRIV_POP_FC_UNUSED" hidden="1">"c8028"</definedName>
    <definedName name="IQ_NONRES_FIXED_INVEST_PRIV_POP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EV_MONTHLY_FACTOR" hidden="1">"c8973"</definedName>
    <definedName name="IQ_PREV_MONTHLY_FACTOR_DATE" hidden="1">"c8974"</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 hidden="1">"c8559"</definedName>
    <definedName name="IQ_PRIVATE_CONST_TOTAL_APR_UNUSED" hidden="1">"c7679"</definedName>
    <definedName name="IQ_PRIVATE_CONST_TOTAL_FC_UNUSED" hidden="1">"c7899"</definedName>
    <definedName name="IQ_PRIVATE_CONST_TOTAL_POP_FC_UNUSED" hidden="1">"c8119"</definedName>
    <definedName name="IQ_PRIVATE_CONST_TOTAL_POP_UNUSED" hidden="1">"c7239"</definedName>
    <definedName name="IQ_PRIVATE_CONST_TOTAL_UNUSED" hidden="1">"c7019"</definedName>
    <definedName name="IQ_PRIVATE_CONST_TOTAL_YOY_FC_UNUSED" hidden="1">"c8339"</definedName>
    <definedName name="IQ_PRIVATE_CONST_TOTAL_YOY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UNUSED" hidden="1">"c7655"</definedName>
    <definedName name="IQ_PRIVATE_RES_CONST_REAL_FC_UNUSED" hidden="1">"c7875"</definedName>
    <definedName name="IQ_PRIVATE_RES_CONST_REAL_POP_FC_UNUSED" hidden="1">"c8095"</definedName>
    <definedName name="IQ_PRIVATE_RES_CONST_REAL_POP_UNUSED" hidden="1">"c7215"</definedName>
    <definedName name="IQ_PRIVATE_RES_CONST_REAL_UNUSED" hidden="1">"c6995"</definedName>
    <definedName name="IQ_PRIVATE_RES_CONST_REAL_YOY_FC_UNUSED" hidden="1">"c8315"</definedName>
    <definedName name="IQ_PRIVATE_RES_CONST_REAL_YOY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UNUSED" hidden="1">"c7611"</definedName>
    <definedName name="IQ_PURCHASES_EQUIP_NONRES_SAAR_FC_UNUSED" hidden="1">"c7831"</definedName>
    <definedName name="IQ_PURCHASES_EQUIP_NONRES_SAAR_POP_FC_UNUSED" hidden="1">"c8051"</definedName>
    <definedName name="IQ_PURCHASES_EQUIP_NONRES_SAAR_POP_UNUSED" hidden="1">"c7171"</definedName>
    <definedName name="IQ_PURCHASES_EQUIP_NONRES_SAAR_UNUSED" hidden="1">"c6951"</definedName>
    <definedName name="IQ_PURCHASES_EQUIP_NONRES_SAAR_YOY_FC_UNUSED" hidden="1">"c8271"</definedName>
    <definedName name="IQ_PURCHASES_EQUIP_NONRES_SAAR_YOY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 hidden="1">"c8536"</definedName>
    <definedName name="IQ_RES_CONST_REAL_APR_UNUSED" hidden="1">"c7656"</definedName>
    <definedName name="IQ_RES_CONST_REAL_FC_UNUSED" hidden="1">"c7876"</definedName>
    <definedName name="IQ_RES_CONST_REAL_POP_FC_UNUSED" hidden="1">"c8096"</definedName>
    <definedName name="IQ_RES_CONST_REAL_POP_UNUSED" hidden="1">"c7216"</definedName>
    <definedName name="IQ_RES_CONST_REAL_SAAR_APR_FC_UNUSED" hidden="1">"c8537"</definedName>
    <definedName name="IQ_RES_CONST_REAL_SAAR_APR_UNUSED" hidden="1">"c7657"</definedName>
    <definedName name="IQ_RES_CONST_REAL_SAAR_FC_UNUSED" hidden="1">"c7877"</definedName>
    <definedName name="IQ_RES_CONST_REAL_SAAR_POP_FC_UNUSED" hidden="1">"c8097"</definedName>
    <definedName name="IQ_RES_CONST_REAL_SAAR_POP_UNUSED" hidden="1">"c7217"</definedName>
    <definedName name="IQ_RES_CONST_REAL_SAAR_UNUSED" hidden="1">"c6997"</definedName>
    <definedName name="IQ_RES_CONST_REAL_SAAR_YOY_FC_UNUSED" hidden="1">"c8317"</definedName>
    <definedName name="IQ_RES_CONST_REAL_SAAR_YOY_UNUSED" hidden="1">"c7437"</definedName>
    <definedName name="IQ_RES_CONST_REAL_UNUSED" hidden="1">"c6996"</definedName>
    <definedName name="IQ_RES_CONST_REAL_YOY_FC_UNUSED" hidden="1">"c8316"</definedName>
    <definedName name="IQ_RES_CONST_REAL_YOY_UNUSED" hidden="1">"c7436"</definedName>
    <definedName name="IQ_RES_CONST_SAAR_APR_FC_UNUSED" hidden="1">"c8540"</definedName>
    <definedName name="IQ_RES_CONST_SAAR_APR_UNUSED" hidden="1">"c7660"</definedName>
    <definedName name="IQ_RES_CONST_SAAR_FC_UNUSED" hidden="1">"c7880"</definedName>
    <definedName name="IQ_RES_CONST_SAAR_POP_FC_UNUSED" hidden="1">"c8100"</definedName>
    <definedName name="IQ_RES_CONST_SAAR_POP_UNUSED" hidden="1">"c7220"</definedName>
    <definedName name="IQ_RES_CONST_SAAR_UNUSED" hidden="1">"c7000"</definedName>
    <definedName name="IQ_RES_CONST_SAAR_YOY_FC_UNUSED" hidden="1">"c8320"</definedName>
    <definedName name="IQ_RES_CONST_SAAR_YOY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_CIQ" hidden="1">"c5059"</definedName>
    <definedName name="IQ_REVENUE_EST" hidden="1">"c1126"</definedName>
    <definedName name="IQ_REVENUE_EST_CIQ" hidden="1">"c3616"</definedName>
    <definedName name="IQ_REVENUE_EST_REUT" hidden="1">"c3634"</definedName>
    <definedName name="IQ_REVENUE_HIGH_EST" hidden="1">"c1127"</definedName>
    <definedName name="IQ_REVENUE_HIGH_EST_CIQ" hidden="1">"c3618"</definedName>
    <definedName name="IQ_REVENUE_HIGH_EST_REUT" hidden="1">"c3636"</definedName>
    <definedName name="IQ_REVENUE_LOW_EST" hidden="1">"c1128"</definedName>
    <definedName name="IQ_REVENUE_LOW_EST_CIQ" hidden="1">"c3619"</definedName>
    <definedName name="IQ_REVENUE_LOW_EST_REUT" hidden="1">"c3637"</definedName>
    <definedName name="IQ_REVENUE_MEDIAN_EST" hidden="1">"c1662"</definedName>
    <definedName name="IQ_REVENUE_MEDIAN_EST_CIQ" hidden="1">"c3617"</definedName>
    <definedName name="IQ_REVENUE_MEDIAN_EST_REUT" hidden="1">"c3635"</definedName>
    <definedName name="IQ_REVENUE_NUM_EST" hidden="1">"c1129"</definedName>
    <definedName name="IQ_REVENUE_NUM_EST_CIQ" hidden="1">"c3620"</definedName>
    <definedName name="IQ_REVENUE_NUM_EST_REUT" hidden="1">"c3638"</definedName>
    <definedName name="IQ_REVISION_DATE_" hidden="1">39890.4646875</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"iQShowAnnual"</definedName>
    <definedName name="M_PlaceofPath" hidden="1">"H:\excel\AIG\aig_vdf.xls"</definedName>
    <definedName name="MnPrices" localSheetId="2" hidden="1">#REF!</definedName>
    <definedName name="MnPrices" localSheetId="9" hidden="1">#REF!</definedName>
    <definedName name="MnPrices" localSheetId="10" hidden="1">#REF!</definedName>
    <definedName name="MnPrices" hidden="1">#REF!</definedName>
    <definedName name="MODEL_db_ORIGINATOR" hidden="1">"1"</definedName>
    <definedName name="MODEL_db_TICKER" hidden="1">"ABC"</definedName>
    <definedName name="q" localSheetId="2" hidden="1">{"Qtr Op Mgd Q2",#N/A,FALSE,"Qtr-Op (Mng)";"Qtr Op Rpt Q2",#N/A,FALSE,"Qtr-Op (Rpt)";"Operating Vs Reported",#N/A,FALSE,"Rpt-Op Inc"}</definedName>
    <definedName name="q" localSheetId="9" hidden="1">{"Qtr Op Mgd Q2",#N/A,FALSE,"Qtr-Op (Mng)";"Qtr Op Rpt Q2",#N/A,FALSE,"Qtr-Op (Rpt)";"Operating Vs Reported",#N/A,FALSE,"Rpt-Op Inc"}</definedName>
    <definedName name="q" localSheetId="10" hidden="1">{"Qtr Op Mgd Q2",#N/A,FALSE,"Qtr-Op (Mng)";"Qtr Op Rpt Q2",#N/A,FALSE,"Qtr-Op (Rpt)";"Operating Vs Reported",#N/A,FALSE,"Rpt-Op Inc"}</definedName>
    <definedName name="q" hidden="1">{"Qtr Op Mgd Q2",#N/A,FALSE,"Qtr-Op (Mng)";"Qtr Op Rpt Q2",#N/A,FALSE,"Qtr-Op (Rpt)";"Operating Vs Reported",#N/A,FALSE,"Rpt-Op Inc"}</definedName>
    <definedName name="qwer" localSheetId="9" hidden="1">{"'Outline (2)'!$A$1:$Q$7"}</definedName>
    <definedName name="qwer" localSheetId="10" hidden="1">{"'Outline (2)'!$A$1:$Q$7"}</definedName>
    <definedName name="qwer" hidden="1">{"'Outline (2)'!$A$1:$Q$7"}</definedName>
    <definedName name="rep" localSheetId="2" hidden="1">{#N/A,#N/A,FALSE,"COVER";#N/A,#N/A,FALSE,"VALUATION";#N/A,#N/A,FALSE,"FORECAST";#N/A,#N/A,FALSE,"FY ANALYSIS ";#N/A,#N/A,FALSE," HY ANALYSIS"}</definedName>
    <definedName name="rep" localSheetId="9" hidden="1">{#N/A,#N/A,FALSE,"COVER";#N/A,#N/A,FALSE,"VALUATION";#N/A,#N/A,FALSE,"FORECAST";#N/A,#N/A,FALSE,"FY ANALYSIS ";#N/A,#N/A,FALSE," HY ANALYSIS"}</definedName>
    <definedName name="rep" localSheetId="10" hidden="1">{#N/A,#N/A,FALSE,"COVER";#N/A,#N/A,FALSE,"VALUATION";#N/A,#N/A,FALSE,"FORECAST";#N/A,#N/A,FALSE,"FY ANALYSIS ";#N/A,#N/A,FALSE," HY ANALYSIS"}</definedName>
    <definedName name="rep" hidden="1">{#N/A,#N/A,FALSE,"COVER";#N/A,#N/A,FALSE,"VALUATION";#N/A,#N/A,FALSE,"FORECAST";#N/A,#N/A,FALSE,"FY ANALYSIS ";#N/A,#N/A,FALSE," HY ANALYSIS"}</definedName>
    <definedName name="RiM_A.ValMethod" localSheetId="9" hidden="1">#REF!</definedName>
    <definedName name="RiM_A.ValMethod" localSheetId="10" hidden="1">#REF!</definedName>
    <definedName name="RiM_A.ValMethod" hidden="1">[15]Database!$C$12</definedName>
    <definedName name="RiM_SHAREUNITS" hidden="1">"U.WN.MIL"</definedName>
    <definedName name="RiM_UNITS" hidden="1">"U.CUR.MIL"</definedName>
    <definedName name="rrrrrr"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wvu.bal_98." localSheetId="9" hidden="1">#REF!</definedName>
    <definedName name="Rwvu.bal_98." localSheetId="10" hidden="1">#REF!</definedName>
    <definedName name="Rwvu.bal_98." hidden="1">[7]BALSHT_S!$C$1:$H$65536</definedName>
    <definedName name="Rwvu.Full_Year." localSheetId="9" hidden="1">#REF!,#REF!,#REF!,#REF!</definedName>
    <definedName name="Rwvu.Full_Year." localSheetId="10" hidden="1">#REF!,#REF!,#REF!,#REF!</definedName>
    <definedName name="Rwvu.Full_Year." hidden="1">[7]PE1_S!$D$1:$H$65536,[7]PE1_S!$L$1:$M$65536,[7]PE1_S!$O$1:$P$65536,[7]PE1_S!$R$1:$S$65536</definedName>
    <definedName name="s" localSheetId="9" hidden="1">{"IND","COMPANIES",TRUE}</definedName>
    <definedName name="s" localSheetId="10" hidden="1">{"IND","COMPANIES",TRUE}</definedName>
    <definedName name="s" hidden="1">{"IND","COMPANIES",TRUE}</definedName>
    <definedName name="sencount" hidden="1">1</definedName>
    <definedName name="solver_cvg" hidden="1">0.000000001</definedName>
    <definedName name="solver_drv" hidden="1">1</definedName>
    <definedName name="solver_est" hidden="1">1</definedName>
    <definedName name="solver_itr" hidden="1">10000</definedName>
    <definedName name="solver_lin" localSheetId="0" hidden="1">0</definedName>
    <definedName name="solver_lin" hidden="1">2</definedName>
    <definedName name="solver_lin_1" hidden="1">0</definedName>
    <definedName name="solver_neg" hidden="1">2</definedName>
    <definedName name="solver_num" hidden="1">0</definedName>
    <definedName name="solver_nwt" hidden="1">1</definedName>
    <definedName name="solver_opt" localSheetId="9" hidden="1">#REF!</definedName>
    <definedName name="solver_opt" localSheetId="10" hidden="1">#REF!</definedName>
    <definedName name="solver_opt" hidden="1">[16]old!#REF!</definedName>
    <definedName name="solver_pre" hidden="1">0.000000000001</definedName>
    <definedName name="solver_scl" hidden="1">2</definedName>
    <definedName name="solver_sho" hidden="1">2</definedName>
    <definedName name="solver_tim" hidden="1">1000</definedName>
    <definedName name="solver_tol" hidden="1">0.000000000001</definedName>
    <definedName name="solver_typ" hidden="1">3</definedName>
    <definedName name="solver_val" localSheetId="0" hidden="1">5.05</definedName>
    <definedName name="solver_val" hidden="1">0</definedName>
    <definedName name="srthhdg" localSheetId="2" hidden="1">{"Revenue by Industry Chart",#N/A,FALSE,"Mix";"Annual Revenue Detail",#N/A,FALSE,"Mix";"Quarterly Revenue Detail",#N/A,FALSE,"Mix"}</definedName>
    <definedName name="srthhdg" localSheetId="9" hidden="1">{"Revenue by Industry Chart",#N/A,FALSE,"Mix";"Annual Revenue Detail",#N/A,FALSE,"Mix";"Quarterly Revenue Detail",#N/A,FALSE,"Mix"}</definedName>
    <definedName name="srthhdg" localSheetId="10" hidden="1">{"Revenue by Industry Chart",#N/A,FALSE,"Mix";"Annual Revenue Detail",#N/A,FALSE,"Mix";"Quarterly Revenue Detail",#N/A,FALSE,"Mix"}</definedName>
    <definedName name="srthhdg" hidden="1">{"Revenue by Industry Chart",#N/A,FALSE,"Mix";"Annual Revenue Detail",#N/A,FALSE,"Mix";"Quarterly Revenue Detail",#N/A,FALSE,"Mix"}</definedName>
    <definedName name="sssss"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wvu.bal_98." localSheetId="9" hidden="1">#REF!</definedName>
    <definedName name="Swvu.bal_98." localSheetId="10" hidden="1">#REF!</definedName>
    <definedName name="Swvu.bal_98." hidden="1">[7]BALSHT_S!$A$1:$M$65536</definedName>
    <definedName name="Swvu.Detail." localSheetId="9" hidden="1">#REF!</definedName>
    <definedName name="Swvu.Detail." localSheetId="10" hidden="1">#REF!</definedName>
    <definedName name="Swvu.Detail." hidden="1">'[8]Fert. &amp; Chem.'!$J$8</definedName>
    <definedName name="Swvu.Forestry." localSheetId="9" hidden="1">#REF!</definedName>
    <definedName name="Swvu.Forestry." localSheetId="10" hidden="1">#REF!</definedName>
    <definedName name="Swvu.Forestry." hidden="1">[8]Bunnings!$D$384</definedName>
    <definedName name="Swvu.Full_Year." localSheetId="9" hidden="1">#REF!</definedName>
    <definedName name="Swvu.Full_Year." localSheetId="10" hidden="1">#REF!</definedName>
    <definedName name="Swvu.Full_Year." hidden="1">[7]PE1_S!$A$1:$Z$65536</definedName>
    <definedName name="Swvu.Merch_Summary." localSheetId="9" hidden="1">#REF!</definedName>
    <definedName name="Swvu.Merch_Summary." localSheetId="10" hidden="1">#REF!</definedName>
    <definedName name="Swvu.Merch_Summary." hidden="1">[8]Bunnings!$F$106</definedName>
    <definedName name="Swvu.Summary." localSheetId="9" hidden="1">#REF!</definedName>
    <definedName name="Swvu.Summary." localSheetId="10" hidden="1">#REF!</definedName>
    <definedName name="Swvu.Summary." hidden="1">'[8]Fert. &amp; Chem.'!$A$35:$IV$35</definedName>
    <definedName name="Swvu.Warehouse." localSheetId="9" hidden="1">#REF!</definedName>
    <definedName name="Swvu.Warehouse." localSheetId="10" hidden="1">#REF!</definedName>
    <definedName name="Swvu.Warehouse." hidden="1">[8]Bunnings!$G$102</definedName>
    <definedName name="Tigr_Exhibit2cf0c7a4_8079_452d_90b1_946b4ca5791e" localSheetId="9" hidden="1">#REF!</definedName>
    <definedName name="Tigr_Exhibit2cf0c7a4_8079_452d_90b1_946b4ca5791e" localSheetId="10" hidden="1">#REF!</definedName>
    <definedName name="Tigr_Exhibit2cf0c7a4_8079_452d_90b1_946b4ca5791e" hidden="1">[17]GS!#REF!</definedName>
    <definedName name="Tigr_Exhibit3edd6723_b4b8_4c96_a3d2_86d3ddbd543d" localSheetId="9" hidden="1">#REF!</definedName>
    <definedName name="Tigr_Exhibit3edd6723_b4b8_4c96_a3d2_86d3ddbd543d" localSheetId="10" hidden="1">#REF!</definedName>
    <definedName name="Tigr_Exhibit3edd6723_b4b8_4c96_a3d2_86d3ddbd543d" hidden="1">[17]GS!#REF!</definedName>
    <definedName name="Tigr_Exhibitf2941059_9aad_40de_bd7f_fb976c9da072" localSheetId="9" hidden="1">#REF!</definedName>
    <definedName name="Tigr_Exhibitf2941059_9aad_40de_bd7f_fb976c9da072" localSheetId="10" hidden="1">#REF!</definedName>
    <definedName name="Tigr_Exhibitf2941059_9aad_40de_bd7f_fb976c9da072" hidden="1">[17]GS!#REF!</definedName>
    <definedName name="tttttt"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known_CWN" localSheetId="9" hidden="1">{"PAGE1",#N/A,FALSE,"Consolidation";"PAGE2",#N/A,FALSE,"Consolidation";"PAGE3",#N/A,FALSE,"Consolidation";"PAGE4",#N/A,FALSE,"Consolidation";"PAGE5",#N/A,FALSE,"Consolidation";"PAGE6",#N/A,FALSE,"Consolidation";"PAGE7",#N/A,FALSE,"Consolidation"}</definedName>
    <definedName name="uknown_CWN" localSheetId="10" hidden="1">{"PAGE1",#N/A,FALSE,"Consolidation";"PAGE2",#N/A,FALSE,"Consolidation";"PAGE3",#N/A,FALSE,"Consolidation";"PAGE4",#N/A,FALSE,"Consolidation";"PAGE5",#N/A,FALSE,"Consolidation";"PAGE6",#N/A,FALSE,"Consolidation";"PAGE7",#N/A,FALSE,"Consolidation"}</definedName>
    <definedName name="uknown_CWN" hidden="1">{"PAGE1",#N/A,FALSE,"Consolidation";"PAGE2",#N/A,FALSE,"Consolidation";"PAGE3",#N/A,FALSE,"Consolidation";"PAGE4",#N/A,FALSE,"Consolidation";"PAGE5",#N/A,FALSE,"Consolidation";"PAGE6",#N/A,FALSE,"Consolidation";"PAGE7",#N/A,FALSE,"Consolidation"}</definedName>
    <definedName name="unknown" localSheetId="9" hidden="1">{"PAGE1",#N/A,FALSE,"Consolidation";"PAGE2",#N/A,FALSE,"Consolidation";"PAGE3",#N/A,FALSE,"Consolidation";"PAGE4",#N/A,FALSE,"Consolidation";"PAGE5",#N/A,FALSE,"Consolidation";"PAGE6",#N/A,FALSE,"Consolidation";"PAGE7",#N/A,FALSE,"Consolidation"}</definedName>
    <definedName name="unknown" localSheetId="10" hidden="1">{"PAGE1",#N/A,FALSE,"Consolidation";"PAGE2",#N/A,FALSE,"Consolidation";"PAGE3",#N/A,FALSE,"Consolidation";"PAGE4",#N/A,FALSE,"Consolidation";"PAGE5",#N/A,FALSE,"Consolidation";"PAGE6",#N/A,FALSE,"Consolidation";"PAGE7",#N/A,FALSE,"Consolidation"}</definedName>
    <definedName name="unknown" hidden="1">{"PAGE1",#N/A,FALSE,"Consolidation";"PAGE2",#N/A,FALSE,"Consolidation";"PAGE3",#N/A,FALSE,"Consolidation";"PAGE4",#N/A,FALSE,"Consolidation";"PAGE5",#N/A,FALSE,"Consolidation";"PAGE6",#N/A,FALSE,"Consolidation";"PAGE7",#N/A,FALSE,"Consolidation"}</definedName>
    <definedName name="unknown_1" hidden="1">{"PAGE1",#N/A,FALSE,"Consolidation";"PAGE2",#N/A,FALSE,"Consolidation";"PAGE3",#N/A,FALSE,"Consolidation";"PAGE4",#N/A,FALSE,"Consolidation";"PAGE5",#N/A,FALSE,"Consolidation";"PAGE6",#N/A,FALSE,"Consolidation";"PAGE7",#N/A,FALSE,"Consolidation"}</definedName>
    <definedName name="unknown_2" hidden="1">{"PAGE1",#N/A,FALSE,"Consolidation";"PAGE2",#N/A,FALSE,"Consolidation";"PAGE3",#N/A,FALSE,"Consolidation";"PAGE4",#N/A,FALSE,"Consolidation";"PAGE5",#N/A,FALSE,"Consolidation";"PAGE6",#N/A,FALSE,"Consolidation";"PAGE7",#N/A,FALSE,"Consolidation"}</definedName>
    <definedName name="unknown1"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 localSheetId="10"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localSheetId="10"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2" localSheetId="9" hidden="1">{"Print Summary",#N/A,FALSE,"Bal_Graphs";"Print Summary",#N/A,FALSE,"DCF";"Print Summary",#N/A,FALSE,"Graphs";"Print Summary",#N/A,FALSE,"Summary"}</definedName>
    <definedName name="unknown2" localSheetId="10" hidden="1">{"Print Summary",#N/A,FALSE,"Bal_Graphs";"Print Summary",#N/A,FALSE,"DCF";"Print Summary",#N/A,FALSE,"Graphs";"Print Summary",#N/A,FALSE,"Summary"}</definedName>
    <definedName name="unknown2" hidden="1">{"Print Summary",#N/A,FALSE,"Bal_Graphs";"Print Summary",#N/A,FALSE,"DCF";"Print Summary",#N/A,FALSE,"Graphs";"Print Summary",#N/A,FALSE,"Summary"}</definedName>
    <definedName name="unknown2_1" hidden="1">{"Print Summary",#N/A,FALSE,"Bal_Graphs";"Print Summary",#N/A,FALSE,"DCF";"Print Summary",#N/A,FALSE,"Graphs";"Print Summary",#N/A,FALSE,"Summary"}</definedName>
    <definedName name="unknown2_2" hidden="1">{"Print Summary",#N/A,FALSE,"Bal_Graphs";"Print Summary",#N/A,FALSE,"DCF";"Print Summary",#N/A,FALSE,"Graphs";"Print Summary",#N/A,FALSE,"Summary"}</definedName>
    <definedName name="unknown2_CWN" localSheetId="9" hidden="1">{"Print Summary",#N/A,FALSE,"Bal_Graphs";"Print Summary",#N/A,FALSE,"DCF";"Print Summary",#N/A,FALSE,"Graphs";"Print Summary",#N/A,FALSE,"Summary"}</definedName>
    <definedName name="unknown2_CWN" localSheetId="10" hidden="1">{"Print Summary",#N/A,FALSE,"Bal_Graphs";"Print Summary",#N/A,FALSE,"DCF";"Print Summary",#N/A,FALSE,"Graphs";"Print Summary",#N/A,FALSE,"Summary"}</definedName>
    <definedName name="unknown2_CWN" hidden="1">{"Print Summary",#N/A,FALSE,"Bal_Graphs";"Print Summary",#N/A,FALSE,"DCF";"Print Summary",#N/A,FALSE,"Graphs";"Print Summary",#N/A,FALSE,"Summary"}</definedName>
    <definedName name="unknown3" localSheetId="9" hidden="1">{"PAGE1",#N/A,FALSE,"Consolidation";"PAGE2",#N/A,FALSE,"Consolidation";"PAGE3",#N/A,FALSE,"Consolidation";"PAGE4",#N/A,FALSE,"Consolidation";"PAGE5",#N/A,FALSE,"Consolidation";"PAGE6",#N/A,FALSE,"Consolidation";"PAGE7",#N/A,FALSE,"Consolidation"}</definedName>
    <definedName name="unknown3" localSheetId="10" hidden="1">{"PAGE1",#N/A,FALSE,"Consolidation";"PAGE2",#N/A,FALSE,"Consolidation";"PAGE3",#N/A,FALSE,"Consolidation";"PAGE4",#N/A,FALSE,"Consolidation";"PAGE5",#N/A,FALSE,"Consolidation";"PAGE6",#N/A,FALSE,"Consolidation";"PAGE7",#N/A,FALSE,"Consolidation"}</definedName>
    <definedName name="unknown3" hidden="1">{"PAGE1",#N/A,FALSE,"Consolidation";"PAGE2",#N/A,FALSE,"Consolidation";"PAGE3",#N/A,FALSE,"Consolidation";"PAGE4",#N/A,FALSE,"Consolidation";"PAGE5",#N/A,FALSE,"Consolidation";"PAGE6",#N/A,FALSE,"Consolidation";"PAGE7",#N/A,FALSE,"Consolidation"}</definedName>
    <definedName name="unknown3_1" hidden="1">{"PAGE1",#N/A,FALSE,"Consolidation";"PAGE2",#N/A,FALSE,"Consolidation";"PAGE3",#N/A,FALSE,"Consolidation";"PAGE4",#N/A,FALSE,"Consolidation";"PAGE5",#N/A,FALSE,"Consolidation";"PAGE6",#N/A,FALSE,"Consolidation";"PAGE7",#N/A,FALSE,"Consolidation"}</definedName>
    <definedName name="unknown3_2" hidden="1">{"PAGE1",#N/A,FALSE,"Consolidation";"PAGE2",#N/A,FALSE,"Consolidation";"PAGE3",#N/A,FALSE,"Consolidation";"PAGE4",#N/A,FALSE,"Consolidation";"PAGE5",#N/A,FALSE,"Consolidation";"PAGE6",#N/A,FALSE,"Consolidation";"PAGE7",#N/A,FALSE,"Consolidation"}</definedName>
    <definedName name="unknown3_CWN" localSheetId="9" hidden="1">{"PAGE1",#N/A,FALSE,"Consolidation";"PAGE2",#N/A,FALSE,"Consolidation";"PAGE3",#N/A,FALSE,"Consolidation";"PAGE4",#N/A,FALSE,"Consolidation";"PAGE5",#N/A,FALSE,"Consolidation";"PAGE6",#N/A,FALSE,"Consolidation";"PAGE7",#N/A,FALSE,"Consolidation"}</definedName>
    <definedName name="unknown3_CWN" localSheetId="10" hidden="1">{"PAGE1",#N/A,FALSE,"Consolidation";"PAGE2",#N/A,FALSE,"Consolidation";"PAGE3",#N/A,FALSE,"Consolidation";"PAGE4",#N/A,FALSE,"Consolidation";"PAGE5",#N/A,FALSE,"Consolidation";"PAGE6",#N/A,FALSE,"Consolidation";"PAGE7",#N/A,FALSE,"Consolidation"}</definedName>
    <definedName name="unknown3_CWN" hidden="1">{"PAGE1",#N/A,FALSE,"Consolidation";"PAGE2",#N/A,FALSE,"Consolidation";"PAGE3",#N/A,FALSE,"Consolidation";"PAGE4",#N/A,FALSE,"Consolidation";"PAGE5",#N/A,FALSE,"Consolidation";"PAGE6",#N/A,FALSE,"Consolidation";"PAGE7",#N/A,FALSE,"Consolidation"}</definedName>
    <definedName name="unknown4" localSheetId="9" hidden="1">{"PAGE1",#N/A,FALSE,"Consolidation";"PAGE2",#N/A,FALSE,"Consolidation";"PAGE3",#N/A,FALSE,"Consolidation";"PAGE4",#N/A,FALSE,"Consolidation";"PAGE5",#N/A,FALSE,"Consolidation";"PAGE6",#N/A,FALSE,"Consolidation";"PAGE7",#N/A,FALSE,"Consolidation"}</definedName>
    <definedName name="unknown4" localSheetId="10" hidden="1">{"PAGE1",#N/A,FALSE,"Consolidation";"PAGE2",#N/A,FALSE,"Consolidation";"PAGE3",#N/A,FALSE,"Consolidation";"PAGE4",#N/A,FALSE,"Consolidation";"PAGE5",#N/A,FALSE,"Consolidation";"PAGE6",#N/A,FALSE,"Consolidation";"PAGE7",#N/A,FALSE,"Consolidation"}</definedName>
    <definedName name="unknown4" hidden="1">{"PAGE1",#N/A,FALSE,"Consolidation";"PAGE2",#N/A,FALSE,"Consolidation";"PAGE3",#N/A,FALSE,"Consolidation";"PAGE4",#N/A,FALSE,"Consolidation";"PAGE5",#N/A,FALSE,"Consolidation";"PAGE6",#N/A,FALSE,"Consolidation";"PAGE7",#N/A,FALSE,"Consolidation"}</definedName>
    <definedName name="unknown4_1" hidden="1">{"PAGE1",#N/A,FALSE,"Consolidation";"PAGE2",#N/A,FALSE,"Consolidation";"PAGE3",#N/A,FALSE,"Consolidation";"PAGE4",#N/A,FALSE,"Consolidation";"PAGE5",#N/A,FALSE,"Consolidation";"PAGE6",#N/A,FALSE,"Consolidation";"PAGE7",#N/A,FALSE,"Consolidation"}</definedName>
    <definedName name="unknown4_2" hidden="1">{"PAGE1",#N/A,FALSE,"Consolidation";"PAGE2",#N/A,FALSE,"Consolidation";"PAGE3",#N/A,FALSE,"Consolidation";"PAGE4",#N/A,FALSE,"Consolidation";"PAGE5",#N/A,FALSE,"Consolidation";"PAGE6",#N/A,FALSE,"Consolidation";"PAGE7",#N/A,FALSE,"Consolidation"}</definedName>
    <definedName name="unknown4_CWN" localSheetId="9" hidden="1">{"PAGE1",#N/A,FALSE,"Consolidation";"PAGE2",#N/A,FALSE,"Consolidation";"PAGE3",#N/A,FALSE,"Consolidation";"PAGE4",#N/A,FALSE,"Consolidation";"PAGE5",#N/A,FALSE,"Consolidation";"PAGE6",#N/A,FALSE,"Consolidation";"PAGE7",#N/A,FALSE,"Consolidation"}</definedName>
    <definedName name="unknown4_CWN" localSheetId="10" hidden="1">{"PAGE1",#N/A,FALSE,"Consolidation";"PAGE2",#N/A,FALSE,"Consolidation";"PAGE3",#N/A,FALSE,"Consolidation";"PAGE4",#N/A,FALSE,"Consolidation";"PAGE5",#N/A,FALSE,"Consolidation";"PAGE6",#N/A,FALSE,"Consolidation";"PAGE7",#N/A,FALSE,"Consolidation"}</definedName>
    <definedName name="unknown4_CWN" hidden="1">{"PAGE1",#N/A,FALSE,"Consolidation";"PAGE2",#N/A,FALSE,"Consolidation";"PAGE3",#N/A,FALSE,"Consolidation";"PAGE4",#N/A,FALSE,"Consolidation";"PAGE5",#N/A,FALSE,"Consolidation";"PAGE6",#N/A,FALSE,"Consolidation";"PAGE7",#N/A,FALSE,"Consolidation"}</definedName>
    <definedName name="unknown5"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 localSheetId="10"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localSheetId="10"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6" localSheetId="9" hidden="1">{"Print Summary",#N/A,FALSE,"Bal_Graphs";"Print Summary",#N/A,FALSE,"DCF";"Print Summary",#N/A,FALSE,"Graphs";"Print Summary",#N/A,FALSE,"Summary"}</definedName>
    <definedName name="unknown6" localSheetId="10" hidden="1">{"Print Summary",#N/A,FALSE,"Bal_Graphs";"Print Summary",#N/A,FALSE,"DCF";"Print Summary",#N/A,FALSE,"Graphs";"Print Summary",#N/A,FALSE,"Summary"}</definedName>
    <definedName name="unknown6" hidden="1">{"Print Summary",#N/A,FALSE,"Bal_Graphs";"Print Summary",#N/A,FALSE,"DCF";"Print Summary",#N/A,FALSE,"Graphs";"Print Summary",#N/A,FALSE,"Summary"}</definedName>
    <definedName name="unknown6_1" hidden="1">{"Print Summary",#N/A,FALSE,"Bal_Graphs";"Print Summary",#N/A,FALSE,"DCF";"Print Summary",#N/A,FALSE,"Graphs";"Print Summary",#N/A,FALSE,"Summary"}</definedName>
    <definedName name="unknown6_2" hidden="1">{"Print Summary",#N/A,FALSE,"Bal_Graphs";"Print Summary",#N/A,FALSE,"DCF";"Print Summary",#N/A,FALSE,"Graphs";"Print Summary",#N/A,FALSE,"Summary"}</definedName>
    <definedName name="unknown6_CWN" localSheetId="9" hidden="1">{"Print Summary",#N/A,FALSE,"Bal_Graphs";"Print Summary",#N/A,FALSE,"DCF";"Print Summary",#N/A,FALSE,"Graphs";"Print Summary",#N/A,FALSE,"Summary"}</definedName>
    <definedName name="unknown6_CWN" localSheetId="10" hidden="1">{"Print Summary",#N/A,FALSE,"Bal_Graphs";"Print Summary",#N/A,FALSE,"DCF";"Print Summary",#N/A,FALSE,"Graphs";"Print Summary",#N/A,FALSE,"Summary"}</definedName>
    <definedName name="unknown6_CWN" hidden="1">{"Print Summary",#N/A,FALSE,"Bal_Graphs";"Print Summary",#N/A,FALSE,"DCF";"Print Summary",#N/A,FALSE,"Graphs";"Print Summary",#N/A,FALSE,"Summary"}</definedName>
    <definedName name="unknown7" localSheetId="9" hidden="1">{"PAGE1",#N/A,FALSE,"Consolidation";"PAGE2",#N/A,FALSE,"Consolidation";"PAGE3",#N/A,FALSE,"Consolidation";"PAGE4",#N/A,FALSE,"Consolidation";"PAGE5",#N/A,FALSE,"Consolidation";"PAGE6",#N/A,FALSE,"Consolidation";"PAGE7",#N/A,FALSE,"Consolidation"}</definedName>
    <definedName name="unknown7" localSheetId="10" hidden="1">{"PAGE1",#N/A,FALSE,"Consolidation";"PAGE2",#N/A,FALSE,"Consolidation";"PAGE3",#N/A,FALSE,"Consolidation";"PAGE4",#N/A,FALSE,"Consolidation";"PAGE5",#N/A,FALSE,"Consolidation";"PAGE6",#N/A,FALSE,"Consolidation";"PAGE7",#N/A,FALSE,"Consolidation"}</definedName>
    <definedName name="unknown7" hidden="1">{"PAGE1",#N/A,FALSE,"Consolidation";"PAGE2",#N/A,FALSE,"Consolidation";"PAGE3",#N/A,FALSE,"Consolidation";"PAGE4",#N/A,FALSE,"Consolidation";"PAGE5",#N/A,FALSE,"Consolidation";"PAGE6",#N/A,FALSE,"Consolidation";"PAGE7",#N/A,FALSE,"Consolidation"}</definedName>
    <definedName name="unknown7_1" hidden="1">{"PAGE1",#N/A,FALSE,"Consolidation";"PAGE2",#N/A,FALSE,"Consolidation";"PAGE3",#N/A,FALSE,"Consolidation";"PAGE4",#N/A,FALSE,"Consolidation";"PAGE5",#N/A,FALSE,"Consolidation";"PAGE6",#N/A,FALSE,"Consolidation";"PAGE7",#N/A,FALSE,"Consolidation"}</definedName>
    <definedName name="unknown7_2" hidden="1">{"PAGE1",#N/A,FALSE,"Consolidation";"PAGE2",#N/A,FALSE,"Consolidation";"PAGE3",#N/A,FALSE,"Consolidation";"PAGE4",#N/A,FALSE,"Consolidation";"PAGE5",#N/A,FALSE,"Consolidation";"PAGE6",#N/A,FALSE,"Consolidation";"PAGE7",#N/A,FALSE,"Consolidation"}</definedName>
    <definedName name="unknown7_CWN" localSheetId="9" hidden="1">{"PAGE1",#N/A,FALSE,"Consolidation";"PAGE2",#N/A,FALSE,"Consolidation";"PAGE3",#N/A,FALSE,"Consolidation";"PAGE4",#N/A,FALSE,"Consolidation";"PAGE5",#N/A,FALSE,"Consolidation";"PAGE6",#N/A,FALSE,"Consolidation";"PAGE7",#N/A,FALSE,"Consolidation"}</definedName>
    <definedName name="unknown7_CWN" localSheetId="10" hidden="1">{"PAGE1",#N/A,FALSE,"Consolidation";"PAGE2",#N/A,FALSE,"Consolidation";"PAGE3",#N/A,FALSE,"Consolidation";"PAGE4",#N/A,FALSE,"Consolidation";"PAGE5",#N/A,FALSE,"Consolidation";"PAGE6",#N/A,FALSE,"Consolidation";"PAGE7",#N/A,FALSE,"Consolidation"}</definedName>
    <definedName name="unknown7_CWN" hidden="1">{"PAGE1",#N/A,FALSE,"Consolidation";"PAGE2",#N/A,FALSE,"Consolidation";"PAGE3",#N/A,FALSE,"Consolidation";"PAGE4",#N/A,FALSE,"Consolidation";"PAGE5",#N/A,FALSE,"Consolidation";"PAGE6",#N/A,FALSE,"Consolidation";"PAGE7",#N/A,FALSE,"Consolidation"}</definedName>
    <definedName name="uuuuu"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ar.client_detailed_skc" localSheetId="9" hidden="1">{"Full_Year",#N/A,FALSE,"PE1_S";"Full_Year",#N/A,FALSE,"Cashflow_EPS";"Full_Year",#N/A,FALSE,"EBIT_DIV"}</definedName>
    <definedName name="war.client_detailed_skc" localSheetId="10" hidden="1">{"Full_Year",#N/A,FALSE,"PE1_S";"Full_Year",#N/A,FALSE,"Cashflow_EPS";"Full_Year",#N/A,FALSE,"EBIT_DIV"}</definedName>
    <definedName name="war.client_detailed_skc" hidden="1">{"Full_Year",#N/A,FALSE,"PE1_S";"Full_Year",#N/A,FALSE,"Cashflow_EPS";"Full_Year",#N/A,FALSE,"EBIT_DIV"}</definedName>
    <definedName name="warn.full_client_skc" localSheetId="9" hidden="1">{"Full_Year",#N/A,FALSE,"PE1_S";"Automotive",#N/A,FALSE,"Auto_EBIT";#N/A,#N/A,FALSE,"Industrial_EBIT";#N/A,#N/A,FALSE,"Webforge_EBIT"}</definedName>
    <definedName name="warn.full_client_skc" localSheetId="10" hidden="1">{"Full_Year",#N/A,FALSE,"PE1_S";"Automotive",#N/A,FALSE,"Auto_EBIT";#N/A,#N/A,FALSE,"Industrial_EBIT";#N/A,#N/A,FALSE,"Webforge_EBIT"}</definedName>
    <definedName name="warn.full_client_skc" hidden="1">{"Full_Year",#N/A,FALSE,"PE1_S";"Automotive",#N/A,FALSE,"Auto_EBIT";#N/A,#N/A,FALSE,"Industrial_EBIT";#N/A,#N/A,FALSE,"Webforge_EBIT"}</definedName>
    <definedName name="wrn.1q97." localSheetId="2"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localSheetId="9"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localSheetId="10"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3rd._.Qtr._.Supplement." localSheetId="2"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localSheetId="9"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localSheetId="10"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localSheetId="2"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localSheetId="9"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localSheetId="10"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all." localSheetId="9"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ll." localSheetId="10"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ll."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MPJAN96." localSheetId="2" hidden="1">{"Associates",#N/A,FALSE,"FULLESTI";"GPEBIT",#N/A,FALSE,"FULLESTI";"USEBIT",#N/A,FALSE,"FULLESTI";"UKEBIT",#N/A,FALSE,"FULLESTI";"AUSTEBIT",#N/A,FALSE,"FULLESTI"}</definedName>
    <definedName name="wrn.AMPJAN96." localSheetId="9" hidden="1">{"Associates",#N/A,FALSE,"FULLESTI";"GPEBIT",#N/A,FALSE,"FULLESTI";"USEBIT",#N/A,FALSE,"FULLESTI";"UKEBIT",#N/A,FALSE,"FULLESTI";"AUSTEBIT",#N/A,FALSE,"FULLESTI"}</definedName>
    <definedName name="wrn.AMPJAN96." localSheetId="10" hidden="1">{"Associates",#N/A,FALSE,"FULLESTI";"GPEBIT",#N/A,FALSE,"FULLESTI";"USEBIT",#N/A,FALSE,"FULLESTI";"UKEBIT",#N/A,FALSE,"FULLESTI";"AUSTEBIT",#N/A,FALSE,"FULLESTI"}</definedName>
    <definedName name="wrn.AMPJAN96." hidden="1">{"Associates",#N/A,FALSE,"FULLESTI";"GPEBIT",#N/A,FALSE,"FULLESTI";"USEBIT",#N/A,FALSE,"FULLESTI";"UKEBIT",#N/A,FALSE,"FULLESTI";"AUSTEBIT",#N/A,FALSE,"FULLESTI"}</definedName>
    <definedName name="wrn.Bunnings." localSheetId="0" hidden="1">{"Summary",#N/A,FALSE,"Bunnings";"Merch_Summary",#N/A,FALSE,"Bunnings";"Forestry",#N/A,FALSE,"Bunnings"}</definedName>
    <definedName name="wrn.Bunnings." localSheetId="9" hidden="1">{"Summary",#N/A,FALSE,"Bunnings";"Merch_Summary",#N/A,FALSE,"Bunnings";"Forestry",#N/A,FALSE,"Bunnings"}</definedName>
    <definedName name="wrn.Bunnings." localSheetId="10" hidden="1">{"Summary",#N/A,FALSE,"Bunnings";"Merch_Summary",#N/A,FALSE,"Bunnings";"Forestry",#N/A,FALSE,"Bunnings"}</definedName>
    <definedName name="wrn.Bunnings." hidden="1">{"Summary",#N/A,FALSE,"Bunnings";"Merch_Summary",#N/A,FALSE,"Bunnings";"Forestry",#N/A,FALSE,"Bunnings"}</definedName>
    <definedName name="wrn.Cable." localSheetId="0" hidden="1">{"Cable_front",#N/A,TRUE,"Cable";"Cable_back",#N/A,TRUE,"Cable"}</definedName>
    <definedName name="wrn.Cable." localSheetId="9" hidden="1">{"Cable_front",#N/A,TRUE,"Cable";"Cable_back",#N/A,TRUE,"Cable"}</definedName>
    <definedName name="wrn.Cable." localSheetId="10" hidden="1">{"Cable_front",#N/A,TRUE,"Cable";"Cable_back",#N/A,TRUE,"Cable"}</definedName>
    <definedName name="wrn.Cable." hidden="1">{"Cable_front",#N/A,TRUE,"Cable";"Cable_back",#N/A,TRUE,"Cable"}</definedName>
    <definedName name="wrn.Client." localSheetId="0" hidden="1">{"Full_Year",#N/A,FALSE,"PE1_S";#N/A,#N/A,FALSE,"DIVIS_S"}</definedName>
    <definedName name="wrn.Client." localSheetId="9" hidden="1">{"Full_Year",#N/A,FALSE,"PE1_S";#N/A,#N/A,FALSE,"DIVIS_S"}</definedName>
    <definedName name="wrn.Client." localSheetId="10" hidden="1">{"Full_Year",#N/A,FALSE,"PE1_S";#N/A,#N/A,FALSE,"DIVIS_S"}</definedName>
    <definedName name="wrn.Client." hidden="1">{"Full_Year",#N/A,FALSE,"PE1_S";#N/A,#N/A,FALSE,"DIVIS_S"}</definedName>
    <definedName name="wrn.Client._1" hidden="1">{"Full_Year",#N/A,FALSE,"PE1_S";#N/A,#N/A,FALSE,"DIVIS_S"}</definedName>
    <definedName name="wrn.Client._2" hidden="1">{"Full_Year",#N/A,FALSE,"PE1_S";#N/A,#N/A,FALSE,"DIVIS_S"}</definedName>
    <definedName name="wrn.Client_CWN" localSheetId="9" hidden="1">{"Full_Year",#N/A,FALSE,"PE1_S";#N/A,#N/A,FALSE,"DIVIS_S"}</definedName>
    <definedName name="wrn.Client_CWN" localSheetId="10" hidden="1">{"Full_Year",#N/A,FALSE,"PE1_S";#N/A,#N/A,FALSE,"DIVIS_S"}</definedName>
    <definedName name="wrn.Client_CWN" hidden="1">{"Full_Year",#N/A,FALSE,"PE1_S";#N/A,#N/A,FALSE,"DIVIS_S"}</definedName>
    <definedName name="wrn.Client_Detailed." localSheetId="0" hidden="1">{"Full_Year",#N/A,FALSE,"PE1_S";"Full_Year",#N/A,FALSE,"Cashflow_EPS";"Full_Year",#N/A,FALSE,"EBIT_DIV"}</definedName>
    <definedName name="wrn.Client_Detailed." localSheetId="9" hidden="1">{"Full_Year",#N/A,FALSE,"PE1_S";"Full_Year",#N/A,FALSE,"Cashflow_EPS";"Full_Year",#N/A,FALSE,"EBIT_DIV"}</definedName>
    <definedName name="wrn.Client_Detailed." localSheetId="10" hidden="1">{"Full_Year",#N/A,FALSE,"PE1_S";"Full_Year",#N/A,FALSE,"Cashflow_EPS";"Full_Year",#N/A,FALSE,"EBIT_DIV"}</definedName>
    <definedName name="wrn.Client_Detailed." hidden="1">{"Full_Year",#N/A,FALSE,"PE1_S";"Full_Year",#N/A,FALSE,"Cashflow_EPS";"Full_Year",#N/A,FALSE,"EBIT_DIV"}</definedName>
    <definedName name="wrn.Client_Detailed._1" hidden="1">{"Full_Year",#N/A,FALSE,"PE1_S";"Full_Year",#N/A,FALSE,"Cashflow_EPS";"Full_Year",#N/A,FALSE,"EBIT_DIV"}</definedName>
    <definedName name="wrn.Client_Detailed._2" hidden="1">{"Full_Year",#N/A,FALSE,"PE1_S";"Full_Year",#N/A,FALSE,"Cashflow_EPS";"Full_Year",#N/A,FALSE,"EBIT_DIV"}</definedName>
    <definedName name="wrn.client_detailed_CWN" localSheetId="9" hidden="1">{"Full_Year",#N/A,FALSE,"PE1_S";"Full_Year",#N/A,FALSE,"Cashflow_EPS";"Full_Year",#N/A,FALSE,"EBIT_DIV"}</definedName>
    <definedName name="wrn.client_detailed_CWN" localSheetId="10" hidden="1">{"Full_Year",#N/A,FALSE,"PE1_S";"Full_Year",#N/A,FALSE,"Cashflow_EPS";"Full_Year",#N/A,FALSE,"EBIT_DIV"}</definedName>
    <definedName name="wrn.client_detailed_CWN" hidden="1">{"Full_Year",#N/A,FALSE,"PE1_S";"Full_Year",#N/A,FALSE,"Cashflow_EPS";"Full_Year",#N/A,FALSE,"EBIT_DIV"}</definedName>
    <definedName name="wrn.client_SKC" localSheetId="9" hidden="1">{"Full_Year",#N/A,FALSE,"PE1_S";#N/A,#N/A,FALSE,"DIVIS_S"}</definedName>
    <definedName name="wrn.client_SKC" localSheetId="10" hidden="1">{"Full_Year",#N/A,FALSE,"PE1_S";#N/A,#N/A,FALSE,"DIVIS_S"}</definedName>
    <definedName name="wrn.client_SKC" hidden="1">{"Full_Year",#N/A,FALSE,"PE1_S";#N/A,#N/A,FALSE,"DIVIS_S"}</definedName>
    <definedName name="wrn.Complete._.Report." localSheetId="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s" localSheetId="9" hidden="1">{"PAGE1",#N/A,FALSE,"Consolidation";"PAGE2",#N/A,FALSE,"Consolidation";"PAGE3",#N/A,FALSE,"Consolidation";"PAGE4",#N/A,FALSE,"Consolidation";"PAGE5",#N/A,FALSE,"Consolidation";"PAGE6",#N/A,FALSE,"Consolidation";"PAGE7",#N/A,FALSE,"Consolidation"}</definedName>
    <definedName name="wrn.cons" localSheetId="10" hidden="1">{"PAGE1",#N/A,FALSE,"Consolidation";"PAGE2",#N/A,FALSE,"Consolidation";"PAGE3",#N/A,FALSE,"Consolidation";"PAGE4",#N/A,FALSE,"Consolidation";"PAGE5",#N/A,FALSE,"Consolidation";"PAGE6",#N/A,FALSE,"Consolidation";"PAGE7",#N/A,FALSE,"Consolidation"}</definedName>
    <definedName name="wrn.cons" hidden="1">{"PAGE1",#N/A,FALSE,"Consolidation";"PAGE2",#N/A,FALSE,"Consolidation";"PAGE3",#N/A,FALSE,"Consolidation";"PAGE4",#N/A,FALSE,"Consolidation";"PAGE5",#N/A,FALSE,"Consolidation";"PAGE6",#N/A,FALSE,"Consolidation";"PAGE7",#N/A,FALSE,"Consolidation"}</definedName>
    <definedName name="wrn.cons_1" hidden="1">{"PAGE1",#N/A,FALSE,"Consolidation";"PAGE2",#N/A,FALSE,"Consolidation";"PAGE3",#N/A,FALSE,"Consolidation";"PAGE4",#N/A,FALSE,"Consolidation";"PAGE5",#N/A,FALSE,"Consolidation";"PAGE6",#N/A,FALSE,"Consolidation";"PAGE7",#N/A,FALSE,"Consolidation"}</definedName>
    <definedName name="wrn.cons_2" hidden="1">{"PAGE1",#N/A,FALSE,"Consolidation";"PAGE2",#N/A,FALSE,"Consolidation";"PAGE3",#N/A,FALSE,"Consolidation";"PAGE4",#N/A,FALSE,"Consolidation";"PAGE5",#N/A,FALSE,"Consolidation";"PAGE6",#N/A,FALSE,"Consolidation";"PAGE7",#N/A,FALSE,"Consolidation"}</definedName>
    <definedName name="wrn.cons_CWN" localSheetId="9" hidden="1">{"PAGE1",#N/A,FALSE,"Consolidation";"PAGE2",#N/A,FALSE,"Consolidation";"PAGE3",#N/A,FALSE,"Consolidation";"PAGE4",#N/A,FALSE,"Consolidation";"PAGE5",#N/A,FALSE,"Consolidation";"PAGE6",#N/A,FALSE,"Consolidation";"PAGE7",#N/A,FALSE,"Consolidation"}</definedName>
    <definedName name="wrn.cons_CWN" localSheetId="10" hidden="1">{"PAGE1",#N/A,FALSE,"Consolidation";"PAGE2",#N/A,FALSE,"Consolidation";"PAGE3",#N/A,FALSE,"Consolidation";"PAGE4",#N/A,FALSE,"Consolidation";"PAGE5",#N/A,FALSE,"Consolidation";"PAGE6",#N/A,FALSE,"Consolidation";"PAGE7",#N/A,FALSE,"Consolidation"}</definedName>
    <definedName name="wrn.cons_CWN" hidden="1">{"PAGE1",#N/A,FALSE,"Consolidation";"PAGE2",#N/A,FALSE,"Consolidation";"PAGE3",#N/A,FALSE,"Consolidation";"PAGE4",#N/A,FALSE,"Consolidation";"PAGE5",#N/A,FALSE,"Consolidation";"PAGE6",#N/A,FALSE,"Consolidation";"PAGE7",#N/A,FALSE,"Consolidation"}</definedName>
    <definedName name="wrn.CONSOLIDATION." localSheetId="9" hidden="1">{"PAGE1",#N/A,FALSE,"Consolidation";"PAGE2",#N/A,FALSE,"Consolidation";"PAGE3",#N/A,FALSE,"Consolidation";"PAGE4",#N/A,FALSE,"Consolidation";"PAGE5",#N/A,FALSE,"Consolidation";"PAGE6",#N/A,FALSE,"Consolidation";"PAGE7",#N/A,FALSE,"Consolidation"}</definedName>
    <definedName name="wrn.CONSOLIDATION." localSheetId="10"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NSOLIDATION._1" hidden="1">{"PAGE1",#N/A,FALSE,"Consolidation";"PAGE2",#N/A,FALSE,"Consolidation";"PAGE3",#N/A,FALSE,"Consolidation";"PAGE4",#N/A,FALSE,"Consolidation";"PAGE5",#N/A,FALSE,"Consolidation";"PAGE6",#N/A,FALSE,"Consolidation";"PAGE7",#N/A,FALSE,"Consolidation"}</definedName>
    <definedName name="wrn.CONSOLIDATION._2" hidden="1">{"PAGE1",#N/A,FALSE,"Consolidation";"PAGE2",#N/A,FALSE,"Consolidation";"PAGE3",#N/A,FALSE,"Consolidation";"PAGE4",#N/A,FALSE,"Consolidation";"PAGE5",#N/A,FALSE,"Consolidation";"PAGE6",#N/A,FALSE,"Consolidation";"PAGE7",#N/A,FALSE,"Consolidation"}</definedName>
    <definedName name="wrn.CONSOLIDATION_CWN" localSheetId="9" hidden="1">{"PAGE1",#N/A,FALSE,"Consolidation";"PAGE2",#N/A,FALSE,"Consolidation";"PAGE3",#N/A,FALSE,"Consolidation";"PAGE4",#N/A,FALSE,"Consolidation";"PAGE5",#N/A,FALSE,"Consolidation";"PAGE6",#N/A,FALSE,"Consolidation";"PAGE7",#N/A,FALSE,"Consolidation"}</definedName>
    <definedName name="wrn.CONSOLIDATION_CWN" localSheetId="10" hidden="1">{"PAGE1",#N/A,FALSE,"Consolidation";"PAGE2",#N/A,FALSE,"Consolidation";"PAGE3",#N/A,FALSE,"Consolidation";"PAGE4",#N/A,FALSE,"Consolidation";"PAGE5",#N/A,FALSE,"Consolidation";"PAGE6",#N/A,FALSE,"Consolidation";"PAGE7",#N/A,FALSE,"Consolidation"}</definedName>
    <definedName name="wrn.CONSOLIDATION_CWN" hidden="1">{"PAGE1",#N/A,FALSE,"Consolidation";"PAGE2",#N/A,FALSE,"Consolidation";"PAGE3",#N/A,FALSE,"Consolidation";"PAGE4",#N/A,FALSE,"Consolidation";"PAGE5",#N/A,FALSE,"Consolidation";"PAGE6",#N/A,FALSE,"Consolidation";"PAGE7",#N/A,FALSE,"Consolidation"}</definedName>
    <definedName name="wrn.daily." localSheetId="9" hidden="1">{#N/A,#N/A,FALSE,"Major v. River";#N/A,#N/A,FALSE,"Large Operators";#N/A,#N/A,FALSE,"Smaller Operators";#N/A,#N/A,FALSE,"Equip. Supply";#N/A,#N/A,FALSE,"EBITDA"}</definedName>
    <definedName name="wrn.daily." localSheetId="10" hidden="1">{#N/A,#N/A,FALSE,"Major v. River";#N/A,#N/A,FALSE,"Large Operators";#N/A,#N/A,FALSE,"Smaller Operators";#N/A,#N/A,FALSE,"Equip. Supply";#N/A,#N/A,FALSE,"EBITDA"}</definedName>
    <definedName name="wrn.daily." hidden="1">{#N/A,#N/A,FALSE,"Major v. River";#N/A,#N/A,FALSE,"Large Operators";#N/A,#N/A,FALSE,"Smaller Operators";#N/A,#N/A,FALSE,"Equip. Supply";#N/A,#N/A,FALSE,"EBITDA"}</definedName>
    <definedName name="wrn.Divisional._.Summaries." localSheetId="0" hidden="1">{"Divisional summaries",#N/A,TRUE,"Model"}</definedName>
    <definedName name="wrn.Divisional._.Summaries." localSheetId="9" hidden="1">{"Divisional summaries",#N/A,TRUE,"Model"}</definedName>
    <definedName name="wrn.Divisional._.Summaries." localSheetId="10" hidden="1">{"Divisional summaries",#N/A,TRUE,"Model"}</definedName>
    <definedName name="wrn.Divisional._.Summaries." hidden="1">{"Divisional summaries",#N/A,TRUE,"Model"}</definedName>
    <definedName name="wrn.Forecast._.Q4a" localSheetId="2"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9"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10"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ull._.Divisional._.Analysis." localSheetId="0" hidden="1">{#N/A,"Likely capex",TRUE,"Model";#N/A,"Optimal ROAs",TRUE,"Model";"Full Divisional Analysis","Aggressive asset sales",TRUE,"Model"}</definedName>
    <definedName name="wrn.Full._.Divisional._.Analysis." localSheetId="9" hidden="1">{#N/A,"Likely capex",TRUE,"Model";#N/A,"Optimal ROAs",TRUE,"Model";"Full Divisional Analysis","Aggressive asset sales",TRUE,"Model"}</definedName>
    <definedName name="wrn.Full._.Divisional._.Analysis." localSheetId="10" hidden="1">{#N/A,"Likely capex",TRUE,"Model";#N/A,"Optimal ROAs",TRUE,"Model";"Full Divisional Analysis","Aggressive asset sales",TRUE,"Model"}</definedName>
    <definedName name="wrn.Full._.Divisional._.Analysis." hidden="1">{#N/A,"Likely capex",TRUE,"Model";#N/A,"Optimal ROAs",TRUE,"Model";"Full Divisional Analysis","Aggressive asset sales",TRUE,"Model"}</definedName>
    <definedName name="wrn.Full._.EBITDA._.Valuation." localSheetId="0" hidden="1">{"Full EBITDA valuation",#N/A,FALSE,"Value"}</definedName>
    <definedName name="wrn.Full._.EBITDA._.Valuation." localSheetId="9" hidden="1">{"Full EBITDA valuation",#N/A,FALSE,"Value"}</definedName>
    <definedName name="wrn.Full._.EBITDA._.Valuation." localSheetId="10" hidden="1">{"Full EBITDA valuation",#N/A,FALSE,"Value"}</definedName>
    <definedName name="wrn.Full._.EBITDA._.Valuation." hidden="1">{"Full EBITDA valuation",#N/A,FALSE,"Value"}</definedName>
    <definedName name="wrn.Full._.Report." localSheetId="9" hidden="1">{"Assumptions",#N/A,FALSE,"Sheet1";"Main Report",#N/A,FALSE,"Sheet1";"Results",#N/A,FALSE,"Sheet1";"Advances",#N/A,FALSE,"Sheet1"}</definedName>
    <definedName name="wrn.Full._.Report." localSheetId="10" hidden="1">{"Assumptions",#N/A,FALSE,"Sheet1";"Main Report",#N/A,FALSE,"Sheet1";"Results",#N/A,FALSE,"Sheet1";"Advances",#N/A,FALSE,"Sheet1"}</definedName>
    <definedName name="wrn.Full._.Report." hidden="1">{"Assumptions",#N/A,FALSE,"Sheet1";"Main Report",#N/A,FALSE,"Sheet1";"Results",#N/A,FALSE,"Sheet1";"Advances",#N/A,FALSE,"Sheet1"}</definedName>
    <definedName name="wrn.Full._.Report._1" hidden="1">{"Assumptions",#N/A,FALSE,"Sheet1";"Main Report",#N/A,FALSE,"Sheet1";"Results",#N/A,FALSE,"Sheet1";"Advances",#N/A,FALSE,"Sheet1"}</definedName>
    <definedName name="wrn.Full._.Report._2" hidden="1">{"Assumptions",#N/A,FALSE,"Sheet1";"Main Report",#N/A,FALSE,"Sheet1";"Results",#N/A,FALSE,"Sheet1";"Advances",#N/A,FALSE,"Sheet1"}</definedName>
    <definedName name="wrn.full._report_CWN" localSheetId="9" hidden="1">{"Assumptions",#N/A,FALSE,"Sheet1";"Main Report",#N/A,FALSE,"Sheet1";"Results",#N/A,FALSE,"Sheet1";"Advances",#N/A,FALSE,"Sheet1"}</definedName>
    <definedName name="wrn.full._report_CWN" localSheetId="10" hidden="1">{"Assumptions",#N/A,FALSE,"Sheet1";"Main Report",#N/A,FALSE,"Sheet1";"Results",#N/A,FALSE,"Sheet1";"Advances",#N/A,FALSE,"Sheet1"}</definedName>
    <definedName name="wrn.full._report_CWN" hidden="1">{"Assumptions",#N/A,FALSE,"Sheet1";"Main Report",#N/A,FALSE,"Sheet1";"Results",#N/A,FALSE,"Sheet1";"Advances",#N/A,FALSE,"Sheet1"}</definedName>
    <definedName name="wrn.Full_Client." localSheetId="0" hidden="1">{"Full_Year",#N/A,FALSE,"PE1_S";"Automotive",#N/A,FALSE,"Auto_EBIT";#N/A,#N/A,FALSE,"Industrial_EBIT";#N/A,#N/A,FALSE,"Webforge_EBIT"}</definedName>
    <definedName name="wrn.Full_Client." localSheetId="9" hidden="1">{"Full_Year",#N/A,FALSE,"PE1_S";"Automotive",#N/A,FALSE,"Auto_EBIT";#N/A,#N/A,FALSE,"Industrial_EBIT";#N/A,#N/A,FALSE,"Webforge_EBIT"}</definedName>
    <definedName name="wrn.Full_Client." localSheetId="10" hidden="1">{"Full_Year",#N/A,FALSE,"PE1_S";"Automotive",#N/A,FALSE,"Auto_EBIT";#N/A,#N/A,FALSE,"Industrial_EBIT";#N/A,#N/A,FALSE,"Webforge_EBIT"}</definedName>
    <definedName name="wrn.Full_Client." hidden="1">{"Full_Year",#N/A,FALSE,"PE1_S";"Automotive",#N/A,FALSE,"Auto_EBIT";#N/A,#N/A,FALSE,"Industrial_EBIT";#N/A,#N/A,FALSE,"Webforge_EBIT"}</definedName>
    <definedName name="wrn.Full_Client._1" hidden="1">{"Full_Year",#N/A,FALSE,"PE1_S";"Automotive",#N/A,FALSE,"Auto_EBIT";#N/A,#N/A,FALSE,"Industrial_EBIT";#N/A,#N/A,FALSE,"Webforge_EBIT"}</definedName>
    <definedName name="wrn.Full_Client._2" hidden="1">{"Full_Year",#N/A,FALSE,"PE1_S";"Automotive",#N/A,FALSE,"Auto_EBIT";#N/A,#N/A,FALSE,"Industrial_EBIT";#N/A,#N/A,FALSE,"Webforge_EBIT"}</definedName>
    <definedName name="wrn.full_client_CWN" localSheetId="9" hidden="1">{"Full_Year",#N/A,FALSE,"PE1_S";"Automotive",#N/A,FALSE,"Auto_EBIT";#N/A,#N/A,FALSE,"Industrial_EBIT";#N/A,#N/A,FALSE,"Webforge_EBIT"}</definedName>
    <definedName name="wrn.full_client_CWN" localSheetId="10" hidden="1">{"Full_Year",#N/A,FALSE,"PE1_S";"Automotive",#N/A,FALSE,"Auto_EBIT";#N/A,#N/A,FALSE,"Industrial_EBIT";#N/A,#N/A,FALSE,"Webforge_EBIT"}</definedName>
    <definedName name="wrn.full_client_CWN" hidden="1">{"Full_Year",#N/A,FALSE,"PE1_S";"Automotive",#N/A,FALSE,"Auto_EBIT";#N/A,#N/A,FALSE,"Industrial_EBIT";#N/A,#N/A,FALSE,"Webforge_EBIT"}</definedName>
    <definedName name="wrn.Full_Model." localSheetId="0" hidden="1">{"Full_Year",#N/A,FALSE,"P&amp;L";#N/A,#N/A,FALSE,"C_flow_EPS";"B_Sheet",#N/A,FALSE,"B_Sheet";"Detail",#N/A,FALSE,"Fert. &amp; Chem.";#N/A,#N/A,FALSE,"Energy";"Merch_Summary",#N/A,FALSE,"Bunnings";"Warehouse",#N/A,FALSE,"Bunnings";"Forestry",#N/A,FALSE,"Bunnings";#N/A,#N/A,FALSE,"Rural"}</definedName>
    <definedName name="wrn.Full_Model." localSheetId="9" hidden="1">{"Full_Year",#N/A,FALSE,"P&amp;L";#N/A,#N/A,FALSE,"C_flow_EPS";"B_Sheet",#N/A,FALSE,"B_Sheet";"Detail",#N/A,FALSE,"Fert. &amp; Chem.";#N/A,#N/A,FALSE,"Energy";"Merch_Summary",#N/A,FALSE,"Bunnings";"Warehouse",#N/A,FALSE,"Bunnings";"Forestry",#N/A,FALSE,"Bunnings";#N/A,#N/A,FALSE,"Rural"}</definedName>
    <definedName name="wrn.Full_Model." localSheetId="10" hidden="1">{"Full_Year",#N/A,FALSE,"P&amp;L";#N/A,#N/A,FALSE,"C_flow_EPS";"B_Sheet",#N/A,FALSE,"B_Sheet";"Detail",#N/A,FALSE,"Fert. &amp; Chem.";#N/A,#N/A,FALSE,"Energy";"Merch_Summary",#N/A,FALSE,"Bunnings";"Warehouse",#N/A,FALSE,"Bunnings";"Forestry",#N/A,FALSE,"Bunnings";#N/A,#N/A,FALSE,"Rural"}</definedName>
    <definedName name="wrn.Full_Model." hidden="1">{"Full_Year",#N/A,FALSE,"P&amp;L";#N/A,#N/A,FALSE,"C_flow_EPS";"B_Sheet",#N/A,FALSE,"B_Sheet";"Detail",#N/A,FALSE,"Fert. &amp; Chem.";#N/A,#N/A,FALSE,"Energy";"Merch_Summary",#N/A,FALSE,"Bunnings";"Warehouse",#N/A,FALSE,"Bunnings";"Forestry",#N/A,FALSE,"Bunnings";#N/A,#N/A,FALSE,"Rural"}</definedName>
    <definedName name="wrn.IGT._.Model." localSheetId="9" hidden="1">{#N/A,#N/A,TRUE,"IGT";#N/A,#N/A,TRUE,"IGTSLOT"}</definedName>
    <definedName name="wrn.IGT._.Model." localSheetId="10" hidden="1">{#N/A,#N/A,TRUE,"IGT";#N/A,#N/A,TRUE,"IGTSLOT"}</definedName>
    <definedName name="wrn.IGT._.Model." hidden="1">{#N/A,#N/A,TRUE,"IGT";#N/A,#N/A,TRUE,"IGTSLOT"}</definedName>
    <definedName name="wrn.input._.and._.output." localSheetId="9"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0"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and._.output._1" hidden="1">{"EBITDA",#N/A,TRUE,"P&amp;L Net of Disc Ops";"output net of disc ops",#N/A,TRUE,"Revenue";"input",#N/A,TRUE,"Revenue";"output",#N/A,TRUE,"DC";"Input",#N/A,TRUE,"DC";"MTN and MCN",#N/A,TRUE,"Margin";"output detail line items",#N/A,TRUE,"SGA";"personnel by year",#N/A,TRUE,"Payroll";#N/A,#N/A,TRUE,"CapEx"}</definedName>
    <definedName name="wrn.input._.and._.output._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9"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0"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Level._.4." localSheetId="9" hidden="1">{#N/A,#N/A,FALSE,"Income";#N/A,#N/A,FALSE,"EPS";#N/A,#N/A,FALSE,"CashFlow";#N/A,#N/A,FALSE,"Quarterly";#N/A,#N/A,FALSE,"Dividend";#N/A,#N/A,FALSE,"DetailedRegional";#N/A,#N/A,FALSE,"Return On Equity";#N/A,#N/A,FALSE,"Financials &amp; Ratios";#N/A,#N/A,FALSE,"Other";#N/A,#N/A,FALSE,"Inventory"}</definedName>
    <definedName name="wrn.Level._.4." localSheetId="10" hidden="1">{#N/A,#N/A,FALSE,"Income";#N/A,#N/A,FALSE,"EPS";#N/A,#N/A,FALSE,"CashFlow";#N/A,#N/A,FALSE,"Quarterly";#N/A,#N/A,FALSE,"Dividend";#N/A,#N/A,FALSE,"DetailedRegional";#N/A,#N/A,FALSE,"Return On Equity";#N/A,#N/A,FALSE,"Financials &amp; Ratios";#N/A,#N/A,FALSE,"Other";#N/A,#N/A,FALSE,"Inventory"}</definedName>
    <definedName name="wrn.Level._.4." hidden="1">{#N/A,#N/A,FALSE,"Income";#N/A,#N/A,FALSE,"EPS";#N/A,#N/A,FALSE,"CashFlow";#N/A,#N/A,FALSE,"Quarterly";#N/A,#N/A,FALSE,"Dividend";#N/A,#N/A,FALSE,"DetailedRegional";#N/A,#N/A,FALSE,"Return On Equity";#N/A,#N/A,FALSE,"Financials &amp; Ratios";#N/A,#N/A,FALSE,"Other";#N/A,#N/A,FALSE,"Inventory"}</definedName>
    <definedName name="wrn.Level._.4._1" hidden="1">{#N/A,#N/A,FALSE,"Income";#N/A,#N/A,FALSE,"EPS";#N/A,#N/A,FALSE,"CashFlow";#N/A,#N/A,FALSE,"Quarterly";#N/A,#N/A,FALSE,"Dividend";#N/A,#N/A,FALSE,"DetailedRegional";#N/A,#N/A,FALSE,"Return On Equity";#N/A,#N/A,FALSE,"Financials &amp; Ratios";#N/A,#N/A,FALSE,"Other";#N/A,#N/A,FALSE,"Inventory"}</definedName>
    <definedName name="wrn.Level._.4._2" hidden="1">{#N/A,#N/A,FALSE,"Income";#N/A,#N/A,FALSE,"EPS";#N/A,#N/A,FALSE,"CashFlow";#N/A,#N/A,FALSE,"Quarterly";#N/A,#N/A,FALSE,"Dividend";#N/A,#N/A,FALSE,"DetailedRegional";#N/A,#N/A,FALSE,"Return On Equity";#N/A,#N/A,FALSE,"Financials &amp; Ratios";#N/A,#N/A,FALSE,"Other";#N/A,#N/A,FALSE,"Inventory"}</definedName>
    <definedName name="wrn.Lodging." localSheetId="9" hidden="1">{#N/A,#N/A,FALSE,"EPS";#N/A,#N/A,FALSE,"EBITDA"}</definedName>
    <definedName name="wrn.Lodging." localSheetId="10" hidden="1">{#N/A,#N/A,FALSE,"EPS";#N/A,#N/A,FALSE,"EBITDA"}</definedName>
    <definedName name="wrn.Lodging." hidden="1">{#N/A,#N/A,FALSE,"EPS";#N/A,#N/A,FALSE,"EBITDA"}</definedName>
    <definedName name="wrn.Main._.Report._.All._.Sections."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0"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irBellagio." localSheetId="9" hidden="1">{#N/A,#N/A,FALSE,"MIR";#N/A,#N/A,FALSE,"NYNY"}</definedName>
    <definedName name="wrn.mirBellagio." localSheetId="10" hidden="1">{#N/A,#N/A,FALSE,"MIR";#N/A,#N/A,FALSE,"NYNY"}</definedName>
    <definedName name="wrn.mirBellagio." hidden="1">{#N/A,#N/A,FALSE,"MIR";#N/A,#N/A,FALSE,"NYNY"}</definedName>
    <definedName name="wrn.Model." localSheetId="9" hidden="1">{#N/A,#N/A,FALSE,"PRH";#N/A,#N/A,FALSE,"Units"}</definedName>
    <definedName name="wrn.Model." localSheetId="10" hidden="1">{#N/A,#N/A,FALSE,"PRH";#N/A,#N/A,FALSE,"Units"}</definedName>
    <definedName name="wrn.Model." hidden="1">{#N/A,#N/A,FALSE,"PRH";#N/A,#N/A,FALSE,"Units"}</definedName>
    <definedName name="wrn.Model._.Level._.3." localSheetId="9" hidden="1">{"Income (All hidden)",#N/A,FALSE,"Income";"EPS (All Hidden)",#N/A,FALSE,"EPS";"EPS (All Hidden)",#N/A,FALSE,"CashFlow";"Quarterly (Last, Current and Next)",#N/A,FALSE,"Quarterly"}</definedName>
    <definedName name="wrn.Model._.Level._.3." localSheetId="10" hidden="1">{"Income (All hidden)",#N/A,FALSE,"Income";"EPS (All Hidden)",#N/A,FALSE,"EPS";"EPS (All Hidden)",#N/A,FALSE,"CashFlow";"Quarterly (Last, Current and Next)",#N/A,FALSE,"Quarterly"}</definedName>
    <definedName name="wrn.Model._.Level._.3." hidden="1">{"Income (All hidden)",#N/A,FALSE,"Income";"EPS (All Hidden)",#N/A,FALSE,"EPS";"EPS (All Hidden)",#N/A,FALSE,"CashFlow";"Quarterly (Last, Current and Next)",#N/A,FALSE,"Quarterly"}</definedName>
    <definedName name="wrn.Model._.Level._.3._1" hidden="1">{"Income (All hidden)",#N/A,FALSE,"Income";"EPS (All Hidden)",#N/A,FALSE,"EPS";"EPS (All Hidden)",#N/A,FALSE,"CashFlow";"Quarterly (Last, Current and Next)",#N/A,FALSE,"Quarterly"}</definedName>
    <definedName name="wrn.Model._.Level._.3._2" hidden="1">{"Income (All hidden)",#N/A,FALSE,"Income";"EPS (All Hidden)",#N/A,FALSE,"EPS";"EPS (All Hidden)",#N/A,FALSE,"CashFlow";"Quarterly (Last, Current and Next)",#N/A,FALSE,"Quarterly"}</definedName>
    <definedName name="wrn.monthly." localSheetId="9" hidden="1">{#N/A,#N/A,FALSE,"Running Total";#N/A,#N/A,FALSE,"Oct 96";#N/A,#N/A,FALSE,"Nov 96";#N/A,#N/A,FALSE,"Dec 96";#N/A,#N/A,FALSE,"Jan 97";#N/A,#N/A,FALSE,"Feb 97";#N/A,#N/A,FALSE,"Mar 97";#N/A,#N/A,FALSE,"Apr 97";#N/A,#N/A,FALSE,"May 97";#N/A,#N/A,FALSE,"June 97";#N/A,#N/A,FALSE,"July 97"}</definedName>
    <definedName name="wrn.monthly." localSheetId="10" hidden="1">{#N/A,#N/A,FALSE,"Running Total";#N/A,#N/A,FALSE,"Oct 96";#N/A,#N/A,FALSE,"Nov 96";#N/A,#N/A,FALSE,"Dec 96";#N/A,#N/A,FALSE,"Jan 97";#N/A,#N/A,FALSE,"Feb 97";#N/A,#N/A,FALSE,"Mar 97";#N/A,#N/A,FALSE,"Apr 97";#N/A,#N/A,FALSE,"May 97";#N/A,#N/A,FALSE,"June 97";#N/A,#N/A,FALSE,"July 97"}</definedName>
    <definedName name="wrn.monthly." hidden="1">{#N/A,#N/A,FALSE,"Running Total";#N/A,#N/A,FALSE,"Oct 96";#N/A,#N/A,FALSE,"Nov 96";#N/A,#N/A,FALSE,"Dec 96";#N/A,#N/A,FALSE,"Jan 97";#N/A,#N/A,FALSE,"Feb 97";#N/A,#N/A,FALSE,"Mar 97";#N/A,#N/A,FALSE,"Apr 97";#N/A,#N/A,FALSE,"May 97";#N/A,#N/A,FALSE,"June 97";#N/A,#N/A,FALSE,"July 97"}</definedName>
    <definedName name="wrn.pres." localSheetId="9" hidden="1">{#N/A,#N/A,FALSE,"Major v. River";#N/A,#N/A,FALSE,"Industry";#N/A,#N/A,FALSE,"Large Operators";#N/A,#N/A,FALSE,"Smaller Operators";#N/A,#N/A,FALSE,"Equip. Supply";#N/A,#N/A,FALSE,"EBITDA";#N/A,#N/A,FALSE,"States";#N/A,#N/A,FALSE,"LV Detail"}</definedName>
    <definedName name="wrn.pres." localSheetId="10" hidden="1">{#N/A,#N/A,FALSE,"Major v. River";#N/A,#N/A,FALSE,"Industry";#N/A,#N/A,FALSE,"Large Operators";#N/A,#N/A,FALSE,"Smaller Operators";#N/A,#N/A,FALSE,"Equip. Supply";#N/A,#N/A,FALSE,"EBITDA";#N/A,#N/A,FALSE,"States";#N/A,#N/A,FALSE,"LV Detail"}</definedName>
    <definedName name="wrn.pres." hidden="1">{#N/A,#N/A,FALSE,"Major v. River";#N/A,#N/A,FALSE,"Industry";#N/A,#N/A,FALSE,"Large Operators";#N/A,#N/A,FALSE,"Smaller Operators";#N/A,#N/A,FALSE,"Equip. Supply";#N/A,#N/A,FALSE,"EBITDA";#N/A,#N/A,FALSE,"States";#N/A,#N/A,FALSE,"LV Detail"}</definedName>
    <definedName name="wrn.pres97." localSheetId="9"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localSheetId="10"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int." localSheetId="2" hidden="1">{"Cashflow",#N/A,FALSE,"CASHFLOW";"DCF",#N/A,FALSE,"CASHFLOW"}</definedName>
    <definedName name="wrn.Print." localSheetId="9" hidden="1">{"Cashflow",#N/A,FALSE,"CASHFLOW";"DCF",#N/A,FALSE,"CASHFLOW"}</definedName>
    <definedName name="wrn.Print." localSheetId="10" hidden="1">{"Cashflow",#N/A,FALSE,"CASHFLOW";"DCF",#N/A,FALSE,"CASHFLOW"}</definedName>
    <definedName name="wrn.Print." hidden="1">{"Cashflow",#N/A,FALSE,"CASHFLOW";"DCF",#N/A,FALSE,"CASHFLOW"}</definedName>
    <definedName name="wrn.Q2._.Press._.Release." localSheetId="2" hidden="1">{"Q2_STMT_INC_PR",#N/A,FALSE,"STMT OF INC";"Q2 SUPPL INFO PR",#N/A,FALSE,"SUPPL INFO"}</definedName>
    <definedName name="wrn.Q2._.Press._.Release." localSheetId="9" hidden="1">{"Q2_STMT_INC_PR",#N/A,FALSE,"STMT OF INC";"Q2 SUPPL INFO PR",#N/A,FALSE,"SUPPL INFO"}</definedName>
    <definedName name="wrn.Q2._.Press._.Release." localSheetId="10" hidden="1">{"Q2_STMT_INC_PR",#N/A,FALSE,"STMT OF INC";"Q2 SUPPL INFO PR",#N/A,FALSE,"SUPPL INFO"}</definedName>
    <definedName name="wrn.Q2._.Press._.Release." hidden="1">{"Q2_STMT_INC_PR",#N/A,FALSE,"STMT OF INC";"Q2 SUPPL INFO PR",#N/A,FALSE,"SUPPL INFO"}</definedName>
    <definedName name="wrn.Report." localSheetId="2" hidden="1">{"Cashflow",#N/A,FALSE,"CASHFLOW";"DCF",#N/A,FALSE,"CASHFLOW"}</definedName>
    <definedName name="wrn.Report." localSheetId="9" hidden="1">{"Cashflow",#N/A,FALSE,"CASHFLOW";"DCF",#N/A,FALSE,"CASHFLOW"}</definedName>
    <definedName name="wrn.Report." localSheetId="10" hidden="1">{"Cashflow",#N/A,FALSE,"CASHFLOW";"DCF",#N/A,FALSE,"CASHFLOW"}</definedName>
    <definedName name="wrn.Report." hidden="1">{"Cashflow",#N/A,FALSE,"CASHFLOW";"DCF",#N/A,FALSE,"CASHFLOW"}</definedName>
    <definedName name="wrn.Revenue._.Details." localSheetId="2" hidden="1">{"Revenue by Industry Chart",#N/A,FALSE,"Mix";"Annual Revenue Detail",#N/A,FALSE,"Mix";"Quarterly Revenue Detail",#N/A,FALSE,"Mix"}</definedName>
    <definedName name="wrn.Revenue._.Details." localSheetId="9" hidden="1">{"Revenue by Industry Chart",#N/A,FALSE,"Mix";"Annual Revenue Detail",#N/A,FALSE,"Mix";"Quarterly Revenue Detail",#N/A,FALSE,"Mix"}</definedName>
    <definedName name="wrn.Revenue._.Details." localSheetId="10" hidden="1">{"Revenue by Industry Chart",#N/A,FALSE,"Mix";"Annual Revenue Detail",#N/A,FALSE,"Mix";"Quarterly Revenue Detail",#N/A,FALSE,"Mix"}</definedName>
    <definedName name="wrn.Revenue._.Details." hidden="1">{"Revenue by Industry Chart",#N/A,FALSE,"Mix";"Annual Revenue Detail",#N/A,FALSE,"Mix";"Quarterly Revenue Detail",#N/A,FALSE,"Mix"}</definedName>
    <definedName name="wrn.Summary." localSheetId="9" hidden="1">{"Print Summary",#N/A,FALSE,"Bal_Graphs";"Print Summary",#N/A,FALSE,"DCF";"Print Summary",#N/A,FALSE,"Graphs";"Print Summary",#N/A,FALSE,"Summary"}</definedName>
    <definedName name="wrn.Summary." localSheetId="10" hidden="1">{"Print Summary",#N/A,FALSE,"Bal_Graphs";"Print Summary",#N/A,FALSE,"DCF";"Print Summary",#N/A,FALSE,"Graphs";"Print Summary",#N/A,FALSE,"Summary"}</definedName>
    <definedName name="wrn.Summary." hidden="1">{"Print Summary",#N/A,FALSE,"Bal_Graphs";"Print Summary",#N/A,FALSE,"DCF";"Print Summary",#N/A,FALSE,"Graphs";"Print Summary",#N/A,FALSE,"Summary"}</definedName>
    <definedName name="wrn.Summary._1" hidden="1">{"Print Summary",#N/A,FALSE,"Bal_Graphs";"Print Summary",#N/A,FALSE,"DCF";"Print Summary",#N/A,FALSE,"Graphs";"Print Summary",#N/A,FALSE,"Summary"}</definedName>
    <definedName name="wrn.Summary._2" hidden="1">{"Print Summary",#N/A,FALSE,"Bal_Graphs";"Print Summary",#N/A,FALSE,"DCF";"Print Summary",#N/A,FALSE,"Graphs";"Print Summary",#N/A,FALSE,"Summary"}</definedName>
    <definedName name="wrn.summary_CWN" localSheetId="9" hidden="1">{"Print Summary",#N/A,FALSE,"Bal_Graphs";"Print Summary",#N/A,FALSE,"DCF";"Print Summary",#N/A,FALSE,"Graphs";"Print Summary",#N/A,FALSE,"Summary"}</definedName>
    <definedName name="wrn.summary_CWN" localSheetId="10" hidden="1">{"Print Summary",#N/A,FALSE,"Bal_Graphs";"Print Summary",#N/A,FALSE,"DCF";"Print Summary",#N/A,FALSE,"Graphs";"Print Summary",#N/A,FALSE,"Summary"}</definedName>
    <definedName name="wrn.summary_CWN" hidden="1">{"Print Summary",#N/A,FALSE,"Bal_Graphs";"Print Summary",#N/A,FALSE,"DCF";"Print Summary",#N/A,FALSE,"Graphs";"Print Summary",#N/A,FALSE,"Summary"}</definedName>
    <definedName name="wrn.SunModel." localSheetId="9" hidden="1">{#N/A,#N/A,FALSE,"summary";#N/A,#N/A,FALSE,"SIH";#N/A,#N/A,FALSE,"SIH Value";#N/A,#N/A,FALSE,"tax est.";#N/A,#N/A,FALSE,"Mohegan";#N/A,#N/A,FALSE,"Resorts";#N/A,#N/A,FALSE,"Win Per Day";#N/A,#N/A,FALSE,"CapStr"}</definedName>
    <definedName name="wrn.SunModel." localSheetId="10" hidden="1">{#N/A,#N/A,FALSE,"summary";#N/A,#N/A,FALSE,"SIH";#N/A,#N/A,FALSE,"SIH Value";#N/A,#N/A,FALSE,"tax est.";#N/A,#N/A,FALSE,"Mohegan";#N/A,#N/A,FALSE,"Resorts";#N/A,#N/A,FALSE,"Win Per Day";#N/A,#N/A,FALSE,"CapStr"}</definedName>
    <definedName name="wrn.SunModel." hidden="1">{#N/A,#N/A,FALSE,"summary";#N/A,#N/A,FALSE,"SIH";#N/A,#N/A,FALSE,"SIH Value";#N/A,#N/A,FALSE,"tax est.";#N/A,#N/A,FALSE,"Mohegan";#N/A,#N/A,FALSE,"Resorts";#N/A,#N/A,FALSE,"Win Per Day";#N/A,#N/A,FALSE,"CapStr"}</definedName>
    <definedName name="wrn.Test." localSheetId="2" hidden="1">{"Detail",#N/A,FALSE,"FULLESTI";#N/A,#N/A,FALSE,"USMEDCOY"}</definedName>
    <definedName name="wrn.Test." localSheetId="9" hidden="1">{"Detail",#N/A,FALSE,"FULLESTI";#N/A,#N/A,FALSE,"USMEDCOY"}</definedName>
    <definedName name="wrn.Test." localSheetId="10" hidden="1">{"Detail",#N/A,FALSE,"FULLESTI";#N/A,#N/A,FALSE,"USMEDCOY"}</definedName>
    <definedName name="wrn.Test." hidden="1">{"Detail",#N/A,FALSE,"FULLESTI";#N/A,#N/A,FALSE,"USMEDCOY"}</definedName>
    <definedName name="wrn.Variance._.Q4" localSheetId="2" hidden="1">{"Variance Q4",#N/A,FALSE,"Var"}</definedName>
    <definedName name="wrn.Variance._.Q4" localSheetId="9" hidden="1">{"Variance Q4",#N/A,FALSE,"Var"}</definedName>
    <definedName name="wrn.Variance._.Q4" localSheetId="10" hidden="1">{"Variance Q4",#N/A,FALSE,"Var"}</definedName>
    <definedName name="wrn.Variance._.Q4" hidden="1">{"Variance Q4",#N/A,FALSE,"Var"}</definedName>
    <definedName name="wrn.weekly." localSheetId="9" hidden="1">{#N/A,#N/A,FALSE,"Large Operators";#N/A,#N/A,FALSE,"Smaller Operators";#N/A,#N/A,FALSE,"Equip. Supply";#N/A,#N/A,FALSE,"EBITDA";#N/A,#N/A,FALSE,"perform"}</definedName>
    <definedName name="wrn.weekly." localSheetId="10" hidden="1">{#N/A,#N/A,FALSE,"Large Operators";#N/A,#N/A,FALSE,"Smaller Operators";#N/A,#N/A,FALSE,"Equip. Supply";#N/A,#N/A,FALSE,"EBITDA";#N/A,#N/A,FALSE,"perform"}</definedName>
    <definedName name="wrn.weekly." hidden="1">{#N/A,#N/A,FALSE,"Large Operators";#N/A,#N/A,FALSE,"Smaller Operators";#N/A,#N/A,FALSE,"Equip. Supply";#N/A,#N/A,FALSE,"EBITDA";#N/A,#N/A,FALSE,"perform"}</definedName>
    <definedName name="wrn.year._.end." localSheetId="2"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localSheetId="9"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localSheetId="10"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main_report_all_sections" localSheetId="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0"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vu.B_Sheet." localSheetId="0"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_Sheet." localSheetId="9"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_Sheet." localSheetId="10"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_Sheet."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al_98." localSheetId="0"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bal_98." localSheetId="9"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bal_98." localSheetId="10"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bal_98."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Detail." localSheetId="0"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Detail." localSheetId="9"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Detail." localSheetId="10"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Detail."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Full_Year." localSheetId="0"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Full_Year." localSheetId="9"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Full_Year." localSheetId="10"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Full_Year."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Warehouse." localSheetId="0"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vu.Warehouse." localSheetId="9"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vu.Warehouse." localSheetId="10"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vu.Warehouse."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w" localSheetId="9" hidden="1">{"PAGE1",#N/A,FALSE,"Consolidation";"PAGE2",#N/A,FALSE,"Consolidation";"PAGE3",#N/A,FALSE,"Consolidation";"PAGE4",#N/A,FALSE,"Consolidation";"PAGE5",#N/A,FALSE,"Consolidation";"PAGE6",#N/A,FALSE,"Consolidation";"PAGE7",#N/A,FALSE,"Consolidation"}</definedName>
    <definedName name="ww" localSheetId="10" hidden="1">{"PAGE1",#N/A,FALSE,"Consolidation";"PAGE2",#N/A,FALSE,"Consolidation";"PAGE3",#N/A,FALSE,"Consolidation";"PAGE4",#N/A,FALSE,"Consolidation";"PAGE5",#N/A,FALSE,"Consolidation";"PAGE6",#N/A,FALSE,"Consolidation";"PAGE7",#N/A,FALSE,"Consolidation"}</definedName>
    <definedName name="ww" hidden="1">{"PAGE1",#N/A,FALSE,"Consolidation";"PAGE2",#N/A,FALSE,"Consolidation";"PAGE3",#N/A,FALSE,"Consolidation";"PAGE4",#N/A,FALSE,"Consolidation";"PAGE5",#N/A,FALSE,"Consolidation";"PAGE6",#N/A,FALSE,"Consolidation";"PAGE7",#N/A,FALSE,"Consolidation"}</definedName>
    <definedName name="ww_1" hidden="1">{"PAGE1",#N/A,FALSE,"Consolidation";"PAGE2",#N/A,FALSE,"Consolidation";"PAGE3",#N/A,FALSE,"Consolidation";"PAGE4",#N/A,FALSE,"Consolidation";"PAGE5",#N/A,FALSE,"Consolidation";"PAGE6",#N/A,FALSE,"Consolidation";"PAGE7",#N/A,FALSE,"Consolidation"}</definedName>
    <definedName name="ww_2" hidden="1">{"PAGE1",#N/A,FALSE,"Consolidation";"PAGE2",#N/A,FALSE,"Consolidation";"PAGE3",#N/A,FALSE,"Consolidation";"PAGE4",#N/A,FALSE,"Consolidation";"PAGE5",#N/A,FALSE,"Consolidation";"PAGE6",#N/A,FALSE,"Consolidation";"PAGE7",#N/A,FALSE,"Consolidation"}</definedName>
    <definedName name="ww_CWN" localSheetId="9" hidden="1">{"PAGE1",#N/A,FALSE,"Consolidation";"PAGE2",#N/A,FALSE,"Consolidation";"PAGE3",#N/A,FALSE,"Consolidation";"PAGE4",#N/A,FALSE,"Consolidation";"PAGE5",#N/A,FALSE,"Consolidation";"PAGE6",#N/A,FALSE,"Consolidation";"PAGE7",#N/A,FALSE,"Consolidation"}</definedName>
    <definedName name="ww_CWN" localSheetId="10" hidden="1">{"PAGE1",#N/A,FALSE,"Consolidation";"PAGE2",#N/A,FALSE,"Consolidation";"PAGE3",#N/A,FALSE,"Consolidation";"PAGE4",#N/A,FALSE,"Consolidation";"PAGE5",#N/A,FALSE,"Consolidation";"PAGE6",#N/A,FALSE,"Consolidation";"PAGE7",#N/A,FALSE,"Consolidation"}</definedName>
    <definedName name="ww_CWN" hidden="1">{"PAGE1",#N/A,FALSE,"Consolidation";"PAGE2",#N/A,FALSE,"Consolidation";"PAGE3",#N/A,FALSE,"Consolidation";"PAGE4",#N/A,FALSE,"Consolidation";"PAGE5",#N/A,FALSE,"Consolidation";"PAGE6",#N/A,FALSE,"Consolidation";"PAGE7",#N/A,FALSE,"Consolidation"}</definedName>
    <definedName name="wwwww"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localSheetId="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x" localSheetId="2" hidden="1">{"Revenue by Industry Chart",#N/A,FALSE,"Mix";"Annual Revenue Detail",#N/A,FALSE,"Mix";"Quarterly Revenue Detail",#N/A,FALSE,"Mix"}</definedName>
    <definedName name="x" localSheetId="9" hidden="1">{"Revenue by Industry Chart",#N/A,FALSE,"Mix";"Annual Revenue Detail",#N/A,FALSE,"Mix";"Quarterly Revenue Detail",#N/A,FALSE,"Mix"}</definedName>
    <definedName name="x" localSheetId="10" hidden="1">{"Revenue by Industry Chart",#N/A,FALSE,"Mix";"Annual Revenue Detail",#N/A,FALSE,"Mix";"Quarterly Revenue Detail",#N/A,FALSE,"Mix"}</definedName>
    <definedName name="x" hidden="1">{"Revenue by Industry Chart",#N/A,FALSE,"Mix";"Annual Revenue Detail",#N/A,FALSE,"Mix";"Quarterly Revenue Detail",#N/A,FALSE,"Mix"}</definedName>
    <definedName name="xxx" localSheetId="9" hidden="1">{"'Outline (2)'!$A$1:$Q$7"}</definedName>
    <definedName name="xxx" localSheetId="10" hidden="1">{"'Outline (2)'!$A$1:$Q$7"}</definedName>
    <definedName name="xxx" hidden="1">{"'Outline (2)'!$A$1:$Q$7"}</definedName>
    <definedName name="Z_03DAD996_7A4F_11D1_AB8C_00805F1D08F8_.wvu.Cols" localSheetId="9" hidden="1">#REF!</definedName>
    <definedName name="Z_03DAD996_7A4F_11D1_AB8C_00805F1D08F8_.wvu.Cols" localSheetId="10" hidden="1">#REF!</definedName>
    <definedName name="Z_03DAD996_7A4F_11D1_AB8C_00805F1D08F8_.wvu.Cols" hidden="1">[7]BALSHT_S!$C$1:$H$65536</definedName>
    <definedName name="Z_03DAD997_7A4F_11D1_AB8C_00805F1D08F8_.wvu.Cols" localSheetId="9" hidden="1">#REF!,#REF!,#REF!,#REF!</definedName>
    <definedName name="Z_03DAD997_7A4F_11D1_AB8C_00805F1D08F8_.wvu.Cols" localSheetId="10" hidden="1">#REF!,#REF!,#REF!,#REF!</definedName>
    <definedName name="Z_03DAD997_7A4F_11D1_AB8C_00805F1D08F8_.wvu.Cols" hidden="1">[7]PE1_S!$D$1:$H$65536,[7]PE1_S!$L$1:$M$65536,[7]PE1_S!$O$1:$P$65536,[7]PE1_S!$R$1:$S$65536</definedName>
    <definedName name="Z_03DAD997_7A4F_11D1_AB8C_00805F1D08F8_.wvu.Rows" localSheetId="9" hidden="1">#REF!</definedName>
    <definedName name="Z_03DAD997_7A4F_11D1_AB8C_00805F1D08F8_.wvu.Rows" localSheetId="10" hidden="1">#REF!</definedName>
    <definedName name="Z_03DAD997_7A4F_11D1_AB8C_00805F1D08F8_.wvu.Rows" hidden="1">[7]PE1_S!$A$22:$IV$23</definedName>
    <definedName name="Z_0C942D73_7104_11D1_AB6C_00805F1D2048_.wvu.Cols" localSheetId="9" hidden="1">#REF!</definedName>
    <definedName name="Z_0C942D73_7104_11D1_AB6C_00805F1D2048_.wvu.Cols" localSheetId="10" hidden="1">#REF!</definedName>
    <definedName name="Z_0C942D73_7104_11D1_AB6C_00805F1D2048_.wvu.Cols" hidden="1">[7]BALSHT_S!$C$1:$H$65536</definedName>
    <definedName name="Z_0C942D74_7104_11D1_AB6C_00805F1D2048_.wvu.Cols" localSheetId="9" hidden="1">#REF!,#REF!,#REF!,#REF!</definedName>
    <definedName name="Z_0C942D74_7104_11D1_AB6C_00805F1D2048_.wvu.Cols" localSheetId="10" hidden="1">#REF!,#REF!,#REF!,#REF!</definedName>
    <definedName name="Z_0C942D74_7104_11D1_AB6C_00805F1D2048_.wvu.Cols" hidden="1">[7]PE1_S!$D$1:$H$65536,[7]PE1_S!$L$1:$M$65536,[7]PE1_S!$O$1:$P$65536,[7]PE1_S!$R$1:$S$65536</definedName>
    <definedName name="Z_0C942D74_7104_11D1_AB6C_00805F1D2048_.wvu.Rows" localSheetId="9" hidden="1">#REF!</definedName>
    <definedName name="Z_0C942D74_7104_11D1_AB6C_00805F1D2048_.wvu.Rows" localSheetId="10" hidden="1">#REF!</definedName>
    <definedName name="Z_0C942D74_7104_11D1_AB6C_00805F1D2048_.wvu.Rows" hidden="1">[7]PE1_S!$A$22:$IV$23</definedName>
    <definedName name="Z_115772F5_74E0_11D1_AB6E_00805F1D2048_.wvu.Cols" localSheetId="9" hidden="1">#REF!</definedName>
    <definedName name="Z_115772F5_74E0_11D1_AB6E_00805F1D2048_.wvu.Cols" localSheetId="10" hidden="1">#REF!</definedName>
    <definedName name="Z_115772F5_74E0_11D1_AB6E_00805F1D2048_.wvu.Cols" hidden="1">[7]BALSHT_S!$C$1:$H$65536</definedName>
    <definedName name="Z_115772F6_74E0_11D1_AB6E_00805F1D2048_.wvu.Cols" localSheetId="9" hidden="1">#REF!,#REF!,#REF!,#REF!</definedName>
    <definedName name="Z_115772F6_74E0_11D1_AB6E_00805F1D2048_.wvu.Cols" localSheetId="10" hidden="1">#REF!,#REF!,#REF!,#REF!</definedName>
    <definedName name="Z_115772F6_74E0_11D1_AB6E_00805F1D2048_.wvu.Cols" hidden="1">[7]PE1_S!$D$1:$H$65536,[7]PE1_S!$L$1:$M$65536,[7]PE1_S!$O$1:$P$65536,[7]PE1_S!$R$1:$S$65536</definedName>
    <definedName name="Z_115772F6_74E0_11D1_AB6E_00805F1D2048_.wvu.Rows" localSheetId="9" hidden="1">#REF!</definedName>
    <definedName name="Z_115772F6_74E0_11D1_AB6E_00805F1D2048_.wvu.Rows" localSheetId="10" hidden="1">#REF!</definedName>
    <definedName name="Z_115772F6_74E0_11D1_AB6E_00805F1D2048_.wvu.Rows" hidden="1">[7]PE1_S!$A$22:$IV$23</definedName>
    <definedName name="Z_2087720D_7599_11D1_AB6F_00805F1D2048_.wvu.Cols" localSheetId="9" hidden="1">#REF!</definedName>
    <definedName name="Z_2087720D_7599_11D1_AB6F_00805F1D2048_.wvu.Cols" localSheetId="10" hidden="1">#REF!</definedName>
    <definedName name="Z_2087720D_7599_11D1_AB6F_00805F1D2048_.wvu.Cols" hidden="1">[7]BALSHT_S!$C$1:$H$65536</definedName>
    <definedName name="Z_2087720E_7599_11D1_AB6F_00805F1D2048_.wvu.Cols" localSheetId="9" hidden="1">#REF!,#REF!,#REF!,#REF!</definedName>
    <definedName name="Z_2087720E_7599_11D1_AB6F_00805F1D2048_.wvu.Cols" localSheetId="10" hidden="1">#REF!,#REF!,#REF!,#REF!</definedName>
    <definedName name="Z_2087720E_7599_11D1_AB6F_00805F1D2048_.wvu.Cols" hidden="1">[7]PE1_S!$D$1:$H$65536,[7]PE1_S!$L$1:$M$65536,[7]PE1_S!$O$1:$P$65536,[7]PE1_S!$R$1:$S$65536</definedName>
    <definedName name="Z_2087720E_7599_11D1_AB6F_00805F1D2048_.wvu.Rows" localSheetId="9" hidden="1">#REF!</definedName>
    <definedName name="Z_2087720E_7599_11D1_AB6F_00805F1D2048_.wvu.Rows" localSheetId="10" hidden="1">#REF!</definedName>
    <definedName name="Z_2087720E_7599_11D1_AB6F_00805F1D2048_.wvu.Rows" hidden="1">[7]PE1_S!$A$22:$IV$23</definedName>
    <definedName name="Z_2087722D_7599_11D1_AB6F_00805F1D2048_.wvu.Cols" localSheetId="9" hidden="1">#REF!</definedName>
    <definedName name="Z_2087722D_7599_11D1_AB6F_00805F1D2048_.wvu.Cols" localSheetId="10" hidden="1">#REF!</definedName>
    <definedName name="Z_2087722D_7599_11D1_AB6F_00805F1D2048_.wvu.Cols" hidden="1">[7]BALSHT_S!$C$1:$H$65536</definedName>
    <definedName name="Z_2087722E_7599_11D1_AB6F_00805F1D2048_.wvu.Cols" localSheetId="9" hidden="1">#REF!,#REF!,#REF!,#REF!</definedName>
    <definedName name="Z_2087722E_7599_11D1_AB6F_00805F1D2048_.wvu.Cols" localSheetId="10" hidden="1">#REF!,#REF!,#REF!,#REF!</definedName>
    <definedName name="Z_2087722E_7599_11D1_AB6F_00805F1D2048_.wvu.Cols" hidden="1">[7]PE1_S!$D$1:$H$65536,[7]PE1_S!$L$1:$M$65536,[7]PE1_S!$O$1:$P$65536,[7]PE1_S!$R$1:$S$65536</definedName>
    <definedName name="Z_2087722E_7599_11D1_AB6F_00805F1D2048_.wvu.Rows" localSheetId="9" hidden="1">#REF!</definedName>
    <definedName name="Z_2087722E_7599_11D1_AB6F_00805F1D2048_.wvu.Rows" localSheetId="10" hidden="1">#REF!</definedName>
    <definedName name="Z_2087722E_7599_11D1_AB6F_00805F1D2048_.wvu.Rows" hidden="1">[7]PE1_S!$A$22:$IV$23</definedName>
    <definedName name="Z_2087724D_7599_11D1_AB6F_00805F1D2048_.wvu.Cols" localSheetId="9" hidden="1">#REF!</definedName>
    <definedName name="Z_2087724D_7599_11D1_AB6F_00805F1D2048_.wvu.Cols" localSheetId="10" hidden="1">#REF!</definedName>
    <definedName name="Z_2087724D_7599_11D1_AB6F_00805F1D2048_.wvu.Cols" hidden="1">[7]BALSHT_S!$C$1:$H$65536</definedName>
    <definedName name="Z_2087724E_7599_11D1_AB6F_00805F1D2048_.wvu.Cols" localSheetId="9" hidden="1">#REF!,#REF!,#REF!,#REF!</definedName>
    <definedName name="Z_2087724E_7599_11D1_AB6F_00805F1D2048_.wvu.Cols" localSheetId="10" hidden="1">#REF!,#REF!,#REF!,#REF!</definedName>
    <definedName name="Z_2087724E_7599_11D1_AB6F_00805F1D2048_.wvu.Cols" hidden="1">[7]PE1_S!$D$1:$H$65536,[7]PE1_S!$L$1:$M$65536,[7]PE1_S!$O$1:$P$65536,[7]PE1_S!$R$1:$S$65536</definedName>
    <definedName name="Z_2087724E_7599_11D1_AB6F_00805F1D2048_.wvu.Rows" localSheetId="9" hidden="1">#REF!</definedName>
    <definedName name="Z_2087724E_7599_11D1_AB6F_00805F1D2048_.wvu.Rows" localSheetId="10" hidden="1">#REF!</definedName>
    <definedName name="Z_2087724E_7599_11D1_AB6F_00805F1D2048_.wvu.Rows" hidden="1">[7]PE1_S!$A$22:$IV$23</definedName>
    <definedName name="Z_390AA9A0_4F12_11D1_AB62_00805F1D08F8_.wvu.Cols" localSheetId="9" hidden="1">#REF!</definedName>
    <definedName name="Z_390AA9A0_4F12_11D1_AB62_00805F1D08F8_.wvu.Cols" localSheetId="10" hidden="1">#REF!</definedName>
    <definedName name="Z_390AA9A0_4F12_11D1_AB62_00805F1D08F8_.wvu.Cols" hidden="1">[7]BALSHT_S!$C$1:$H$65536</definedName>
    <definedName name="Z_390AA9A1_4F12_11D1_AB62_00805F1D08F8_.wvu.Cols" localSheetId="9" hidden="1">#REF!,#REF!,#REF!,#REF!</definedName>
    <definedName name="Z_390AA9A1_4F12_11D1_AB62_00805F1D08F8_.wvu.Cols" localSheetId="10" hidden="1">#REF!,#REF!,#REF!,#REF!</definedName>
    <definedName name="Z_390AA9A1_4F12_11D1_AB62_00805F1D08F8_.wvu.Cols" hidden="1">[7]PE1_S!$D$1:$H$65536,[7]PE1_S!$L$1:$M$65536,[7]PE1_S!$O$1:$P$65536,[7]PE1_S!$R$1:$S$65536</definedName>
    <definedName name="Z_390AA9A1_4F12_11D1_AB62_00805F1D08F8_.wvu.Rows" localSheetId="9" hidden="1">#REF!</definedName>
    <definedName name="Z_390AA9A1_4F12_11D1_AB62_00805F1D08F8_.wvu.Rows" localSheetId="10" hidden="1">#REF!</definedName>
    <definedName name="Z_390AA9A1_4F12_11D1_AB62_00805F1D08F8_.wvu.Rows" hidden="1">[7]PE1_S!$A$22:$IV$23</definedName>
    <definedName name="Z_3A0CF412_61F2_11D1_AB75_00805F1D08F8_.wvu.Cols" localSheetId="9" hidden="1">#REF!</definedName>
    <definedName name="Z_3A0CF412_61F2_11D1_AB75_00805F1D08F8_.wvu.Cols" localSheetId="10" hidden="1">#REF!</definedName>
    <definedName name="Z_3A0CF412_61F2_11D1_AB75_00805F1D08F8_.wvu.Cols" hidden="1">[7]BALSHT_S!$C$1:$H$65536</definedName>
    <definedName name="Z_3A0CF413_61F2_11D1_AB75_00805F1D08F8_.wvu.Cols" localSheetId="9" hidden="1">#REF!,#REF!,#REF!,#REF!</definedName>
    <definedName name="Z_3A0CF413_61F2_11D1_AB75_00805F1D08F8_.wvu.Cols" localSheetId="10" hidden="1">#REF!,#REF!,#REF!,#REF!</definedName>
    <definedName name="Z_3A0CF413_61F2_11D1_AB75_00805F1D08F8_.wvu.Cols" hidden="1">[7]PE1_S!$D$1:$H$65536,[7]PE1_S!$L$1:$M$65536,[7]PE1_S!$O$1:$P$65536,[7]PE1_S!$R$1:$S$65536</definedName>
    <definedName name="Z_3A0CF413_61F2_11D1_AB75_00805F1D08F8_.wvu.Rows" localSheetId="9" hidden="1">#REF!</definedName>
    <definedName name="Z_3A0CF413_61F2_11D1_AB75_00805F1D08F8_.wvu.Rows" localSheetId="10" hidden="1">#REF!</definedName>
    <definedName name="Z_3A0CF413_61F2_11D1_AB75_00805F1D08F8_.wvu.Rows" hidden="1">[7]PE1_S!$A$22:$IV$23</definedName>
    <definedName name="Z_40C39523_4116_11D1_AB55_00805F1D08F8_.wvu.Cols" localSheetId="9" hidden="1">#REF!</definedName>
    <definedName name="Z_40C39523_4116_11D1_AB55_00805F1D08F8_.wvu.Cols" localSheetId="10" hidden="1">#REF!</definedName>
    <definedName name="Z_40C39523_4116_11D1_AB55_00805F1D08F8_.wvu.Cols" hidden="1">[7]BALSHT_S!$C$1:$H$65536</definedName>
    <definedName name="Z_40C39524_4116_11D1_AB55_00805F1D08F8_.wvu.Cols" localSheetId="9" hidden="1">#REF!,#REF!,#REF!,#REF!</definedName>
    <definedName name="Z_40C39524_4116_11D1_AB55_00805F1D08F8_.wvu.Cols" localSheetId="10" hidden="1">#REF!,#REF!,#REF!,#REF!</definedName>
    <definedName name="Z_40C39524_4116_11D1_AB55_00805F1D08F8_.wvu.Cols" hidden="1">[7]PE1_S!$D$1:$H$65536,[7]PE1_S!$L$1:$M$65536,[7]PE1_S!$O$1:$P$65536,[7]PE1_S!$R$1:$S$65536</definedName>
    <definedName name="Z_40C39524_4116_11D1_AB55_00805F1D08F8_.wvu.Rows" localSheetId="9" hidden="1">#REF!</definedName>
    <definedName name="Z_40C39524_4116_11D1_AB55_00805F1D08F8_.wvu.Rows" localSheetId="10" hidden="1">#REF!</definedName>
    <definedName name="Z_40C39524_4116_11D1_AB55_00805F1D08F8_.wvu.Rows" hidden="1">[7]PE1_S!$A$22:$IV$23</definedName>
    <definedName name="Z_40C39573_4116_11D1_AB55_00805F1D08F8_.wvu.Cols" localSheetId="9" hidden="1">#REF!</definedName>
    <definedName name="Z_40C39573_4116_11D1_AB55_00805F1D08F8_.wvu.Cols" localSheetId="10" hidden="1">#REF!</definedName>
    <definedName name="Z_40C39573_4116_11D1_AB55_00805F1D08F8_.wvu.Cols" hidden="1">[7]BALSHT_S!$C$1:$H$65536</definedName>
    <definedName name="Z_40C39574_4116_11D1_AB55_00805F1D08F8_.wvu.Cols" localSheetId="9" hidden="1">#REF!,#REF!,#REF!,#REF!</definedName>
    <definedName name="Z_40C39574_4116_11D1_AB55_00805F1D08F8_.wvu.Cols" localSheetId="10" hidden="1">#REF!,#REF!,#REF!,#REF!</definedName>
    <definedName name="Z_40C39574_4116_11D1_AB55_00805F1D08F8_.wvu.Cols" hidden="1">[7]PE1_S!$D$1:$H$65536,[7]PE1_S!$L$1:$M$65536,[7]PE1_S!$O$1:$P$65536,[7]PE1_S!$R$1:$S$65536</definedName>
    <definedName name="Z_40C39574_4116_11D1_AB55_00805F1D08F8_.wvu.Rows" localSheetId="9" hidden="1">#REF!</definedName>
    <definedName name="Z_40C39574_4116_11D1_AB55_00805F1D08F8_.wvu.Rows" localSheetId="10" hidden="1">#REF!</definedName>
    <definedName name="Z_40C39574_4116_11D1_AB55_00805F1D08F8_.wvu.Rows" hidden="1">[7]PE1_S!$A$22:$IV$23</definedName>
    <definedName name="Z_4B689A83_6515_11D1_AB79_00805F1D08F8_.wvu.Cols" localSheetId="9" hidden="1">#REF!</definedName>
    <definedName name="Z_4B689A83_6515_11D1_AB79_00805F1D08F8_.wvu.Cols" localSheetId="10" hidden="1">#REF!</definedName>
    <definedName name="Z_4B689A83_6515_11D1_AB79_00805F1D08F8_.wvu.Cols" hidden="1">[7]BALSHT_S!$C$1:$H$65536</definedName>
    <definedName name="Z_4B689A84_6515_11D1_AB79_00805F1D08F8_.wvu.Cols" localSheetId="9" hidden="1">#REF!,#REF!,#REF!,#REF!</definedName>
    <definedName name="Z_4B689A84_6515_11D1_AB79_00805F1D08F8_.wvu.Cols" localSheetId="10" hidden="1">#REF!,#REF!,#REF!,#REF!</definedName>
    <definedName name="Z_4B689A84_6515_11D1_AB79_00805F1D08F8_.wvu.Cols" hidden="1">[7]PE1_S!$D$1:$H$65536,[7]PE1_S!$L$1:$M$65536,[7]PE1_S!$O$1:$P$65536,[7]PE1_S!$R$1:$S$65536</definedName>
    <definedName name="Z_4B689A84_6515_11D1_AB79_00805F1D08F8_.wvu.Rows" localSheetId="9" hidden="1">#REF!</definedName>
    <definedName name="Z_4B689A84_6515_11D1_AB79_00805F1D08F8_.wvu.Rows" localSheetId="10" hidden="1">#REF!</definedName>
    <definedName name="Z_4B689A84_6515_11D1_AB79_00805F1D08F8_.wvu.Rows" hidden="1">[7]PE1_S!$A$22:$IV$23</definedName>
    <definedName name="Z_4D4EF4DC_6A0A_11D1_AB7D_00805F1D08F8_.wvu.Cols" localSheetId="9" hidden="1">#REF!</definedName>
    <definedName name="Z_4D4EF4DC_6A0A_11D1_AB7D_00805F1D08F8_.wvu.Cols" localSheetId="10" hidden="1">#REF!</definedName>
    <definedName name="Z_4D4EF4DC_6A0A_11D1_AB7D_00805F1D08F8_.wvu.Cols" hidden="1">[7]BALSHT_S!$C$1:$H$65536</definedName>
    <definedName name="Z_4D4EF4DD_6A0A_11D1_AB7D_00805F1D08F8_.wvu.Cols" localSheetId="9" hidden="1">#REF!,#REF!,#REF!,#REF!</definedName>
    <definedName name="Z_4D4EF4DD_6A0A_11D1_AB7D_00805F1D08F8_.wvu.Cols" localSheetId="10" hidden="1">#REF!,#REF!,#REF!,#REF!</definedName>
    <definedName name="Z_4D4EF4DD_6A0A_11D1_AB7D_00805F1D08F8_.wvu.Cols" hidden="1">[7]PE1_S!$D$1:$H$65536,[7]PE1_S!$L$1:$M$65536,[7]PE1_S!$O$1:$P$65536,[7]PE1_S!$R$1:$S$65536</definedName>
    <definedName name="Z_4D4EF4DD_6A0A_11D1_AB7D_00805F1D08F8_.wvu.Rows" localSheetId="9" hidden="1">#REF!</definedName>
    <definedName name="Z_4D4EF4DD_6A0A_11D1_AB7D_00805F1D08F8_.wvu.Rows" localSheetId="10" hidden="1">#REF!</definedName>
    <definedName name="Z_4D4EF4DD_6A0A_11D1_AB7D_00805F1D08F8_.wvu.Rows" hidden="1">[7]PE1_S!$A$22:$IV$23</definedName>
    <definedName name="Z_5BD438D4_7596_11D1_AB88_00805F1D08F8_.wvu.Cols" localSheetId="9" hidden="1">#REF!</definedName>
    <definedName name="Z_5BD438D4_7596_11D1_AB88_00805F1D08F8_.wvu.Cols" localSheetId="10" hidden="1">#REF!</definedName>
    <definedName name="Z_5BD438D4_7596_11D1_AB88_00805F1D08F8_.wvu.Cols" hidden="1">[7]BALSHT_S!$C$1:$H$65536</definedName>
    <definedName name="Z_5BD438D5_7596_11D1_AB88_00805F1D08F8_.wvu.Cols" localSheetId="9" hidden="1">#REF!,#REF!,#REF!,#REF!</definedName>
    <definedName name="Z_5BD438D5_7596_11D1_AB88_00805F1D08F8_.wvu.Cols" localSheetId="10" hidden="1">#REF!,#REF!,#REF!,#REF!</definedName>
    <definedName name="Z_5BD438D5_7596_11D1_AB88_00805F1D08F8_.wvu.Cols" hidden="1">[7]PE1_S!$D$1:$H$65536,[7]PE1_S!$L$1:$M$65536,[7]PE1_S!$O$1:$P$65536,[7]PE1_S!$R$1:$S$65536</definedName>
    <definedName name="Z_5BD438D5_7596_11D1_AB88_00805F1D08F8_.wvu.Rows" localSheetId="9" hidden="1">#REF!</definedName>
    <definedName name="Z_5BD438D5_7596_11D1_AB88_00805F1D08F8_.wvu.Rows" localSheetId="10" hidden="1">#REF!</definedName>
    <definedName name="Z_5BD438D5_7596_11D1_AB88_00805F1D08F8_.wvu.Rows" hidden="1">[7]PE1_S!$A$22:$IV$23</definedName>
    <definedName name="Z_5BD43914_7596_11D1_AB88_00805F1D08F8_.wvu.Cols" localSheetId="9" hidden="1">#REF!</definedName>
    <definedName name="Z_5BD43914_7596_11D1_AB88_00805F1D08F8_.wvu.Cols" localSheetId="10" hidden="1">#REF!</definedName>
    <definedName name="Z_5BD43914_7596_11D1_AB88_00805F1D08F8_.wvu.Cols" hidden="1">[7]BALSHT_S!$C$1:$H$65536</definedName>
    <definedName name="Z_5BD43915_7596_11D1_AB88_00805F1D08F8_.wvu.Cols" localSheetId="9" hidden="1">#REF!,#REF!,#REF!,#REF!</definedName>
    <definedName name="Z_5BD43915_7596_11D1_AB88_00805F1D08F8_.wvu.Cols" localSheetId="10" hidden="1">#REF!,#REF!,#REF!,#REF!</definedName>
    <definedName name="Z_5BD43915_7596_11D1_AB88_00805F1D08F8_.wvu.Cols" hidden="1">[7]PE1_S!$D$1:$H$65536,[7]PE1_S!$L$1:$M$65536,[7]PE1_S!$O$1:$P$65536,[7]PE1_S!$R$1:$S$65536</definedName>
    <definedName name="Z_5BD43915_7596_11D1_AB88_00805F1D08F8_.wvu.Rows" localSheetId="9" hidden="1">#REF!</definedName>
    <definedName name="Z_5BD43915_7596_11D1_AB88_00805F1D08F8_.wvu.Rows" localSheetId="10" hidden="1">#REF!</definedName>
    <definedName name="Z_5BD43915_7596_11D1_AB88_00805F1D08F8_.wvu.Rows" hidden="1">[7]PE1_S!$A$22:$IV$23</definedName>
    <definedName name="Z_5D8928C3_27D9_11D1_AB33_00805F1D2048_.wvu.Cols" localSheetId="9" hidden="1">#REF!</definedName>
    <definedName name="Z_5D8928C3_27D9_11D1_AB33_00805F1D2048_.wvu.Cols" localSheetId="10" hidden="1">#REF!</definedName>
    <definedName name="Z_5D8928C3_27D9_11D1_AB33_00805F1D2048_.wvu.Cols" hidden="1">[7]BALSHT_S!$C$1:$H$65536</definedName>
    <definedName name="Z_5D8928C4_27D9_11D1_AB33_00805F1D2048_.wvu.Cols" localSheetId="9" hidden="1">#REF!,#REF!,#REF!,#REF!</definedName>
    <definedName name="Z_5D8928C4_27D9_11D1_AB33_00805F1D2048_.wvu.Cols" localSheetId="10" hidden="1">#REF!,#REF!,#REF!,#REF!</definedName>
    <definedName name="Z_5D8928C4_27D9_11D1_AB33_00805F1D2048_.wvu.Cols" hidden="1">[7]PE1_S!$D$1:$H$65536,[7]PE1_S!$L$1:$M$65536,[7]PE1_S!$O$1:$P$65536,[7]PE1_S!$R$1:$S$65536</definedName>
    <definedName name="Z_5D8928C4_27D9_11D1_AB33_00805F1D2048_.wvu.Rows" localSheetId="9" hidden="1">#REF!</definedName>
    <definedName name="Z_5D8928C4_27D9_11D1_AB33_00805F1D2048_.wvu.Rows" localSheetId="10" hidden="1">#REF!</definedName>
    <definedName name="Z_5D8928C4_27D9_11D1_AB33_00805F1D2048_.wvu.Rows" hidden="1">[7]PE1_S!$A$22:$IV$23</definedName>
    <definedName name="Z_63193F35_1A71_11D1_AB28_00805F1D2048_.wvu.Cols" localSheetId="9" hidden="1">#REF!</definedName>
    <definedName name="Z_63193F35_1A71_11D1_AB28_00805F1D2048_.wvu.Cols" localSheetId="10" hidden="1">#REF!</definedName>
    <definedName name="Z_63193F35_1A71_11D1_AB28_00805F1D2048_.wvu.Cols" hidden="1">[7]BALSHT_S!$C$1:$H$65536</definedName>
    <definedName name="Z_63193F36_1A71_11D1_AB28_00805F1D2048_.wvu.Cols" localSheetId="9" hidden="1">#REF!,#REF!,#REF!,#REF!</definedName>
    <definedName name="Z_63193F36_1A71_11D1_AB28_00805F1D2048_.wvu.Cols" localSheetId="10" hidden="1">#REF!,#REF!,#REF!,#REF!</definedName>
    <definedName name="Z_63193F36_1A71_11D1_AB28_00805F1D2048_.wvu.Cols" hidden="1">[7]PE1_S!$D$1:$H$65536,[7]PE1_S!$L$1:$M$65536,[7]PE1_S!$O$1:$P$65536,[7]PE1_S!$R$1:$S$65536</definedName>
    <definedName name="Z_63193F36_1A71_11D1_AB28_00805F1D2048_.wvu.Rows" localSheetId="9" hidden="1">#REF!</definedName>
    <definedName name="Z_63193F36_1A71_11D1_AB28_00805F1D2048_.wvu.Rows" localSheetId="10" hidden="1">#REF!</definedName>
    <definedName name="Z_63193F36_1A71_11D1_AB28_00805F1D2048_.wvu.Rows" hidden="1">[7]PE1_S!$A$22:$IV$23</definedName>
    <definedName name="Z_67539AE7_7018_11D1_AB83_00805F1D08F8_.wvu.Cols" localSheetId="9" hidden="1">#REF!</definedName>
    <definedName name="Z_67539AE7_7018_11D1_AB83_00805F1D08F8_.wvu.Cols" localSheetId="10" hidden="1">#REF!</definedName>
    <definedName name="Z_67539AE7_7018_11D1_AB83_00805F1D08F8_.wvu.Cols" hidden="1">[7]BALSHT_S!$C$1:$H$65536</definedName>
    <definedName name="Z_67539AE8_7018_11D1_AB83_00805F1D08F8_.wvu.Cols" localSheetId="9" hidden="1">#REF!,#REF!,#REF!,#REF!</definedName>
    <definedName name="Z_67539AE8_7018_11D1_AB83_00805F1D08F8_.wvu.Cols" localSheetId="10" hidden="1">#REF!,#REF!,#REF!,#REF!</definedName>
    <definedName name="Z_67539AE8_7018_11D1_AB83_00805F1D08F8_.wvu.Cols" hidden="1">[7]PE1_S!$D$1:$H$65536,[7]PE1_S!$L$1:$M$65536,[7]PE1_S!$O$1:$P$65536,[7]PE1_S!$R$1:$S$65536</definedName>
    <definedName name="Z_67539AE8_7018_11D1_AB83_00805F1D08F8_.wvu.Rows" localSheetId="9" hidden="1">#REF!</definedName>
    <definedName name="Z_67539AE8_7018_11D1_AB83_00805F1D08F8_.wvu.Rows" localSheetId="10" hidden="1">#REF!</definedName>
    <definedName name="Z_67539AE8_7018_11D1_AB83_00805F1D08F8_.wvu.Rows" hidden="1">[7]PE1_S!$A$22:$IV$23</definedName>
    <definedName name="Z_78668872_6450_11D1_AB62_00805F1D2048_.wvu.Cols" localSheetId="9" hidden="1">#REF!</definedName>
    <definedName name="Z_78668872_6450_11D1_AB62_00805F1D2048_.wvu.Cols" localSheetId="10" hidden="1">#REF!</definedName>
    <definedName name="Z_78668872_6450_11D1_AB62_00805F1D2048_.wvu.Cols" hidden="1">[7]BALSHT_S!$C$1:$H$65536</definedName>
    <definedName name="Z_78668873_6450_11D1_AB62_00805F1D2048_.wvu.Cols" localSheetId="9" hidden="1">#REF!,#REF!,#REF!,#REF!</definedName>
    <definedName name="Z_78668873_6450_11D1_AB62_00805F1D2048_.wvu.Cols" localSheetId="10" hidden="1">#REF!,#REF!,#REF!,#REF!</definedName>
    <definedName name="Z_78668873_6450_11D1_AB62_00805F1D2048_.wvu.Cols" hidden="1">[7]PE1_S!$D$1:$H$65536,[7]PE1_S!$L$1:$M$65536,[7]PE1_S!$O$1:$P$65536,[7]PE1_S!$R$1:$S$65536</definedName>
    <definedName name="Z_78668873_6450_11D1_AB62_00805F1D2048_.wvu.Rows" localSheetId="9" hidden="1">#REF!</definedName>
    <definedName name="Z_78668873_6450_11D1_AB62_00805F1D2048_.wvu.Rows" localSheetId="10" hidden="1">#REF!</definedName>
    <definedName name="Z_78668873_6450_11D1_AB62_00805F1D2048_.wvu.Rows" hidden="1">[7]PE1_S!$A$22:$IV$23</definedName>
    <definedName name="Z_78668A26_6450_11D1_AB62_00805F1D2048_.wvu.Cols" localSheetId="9" hidden="1">#REF!</definedName>
    <definedName name="Z_78668A26_6450_11D1_AB62_00805F1D2048_.wvu.Cols" localSheetId="10" hidden="1">#REF!</definedName>
    <definedName name="Z_78668A26_6450_11D1_AB62_00805F1D2048_.wvu.Cols" hidden="1">[7]BALSHT_S!$C$1:$H$65536</definedName>
    <definedName name="Z_78668A27_6450_11D1_AB62_00805F1D2048_.wvu.Cols" localSheetId="9" hidden="1">#REF!,#REF!,#REF!,#REF!</definedName>
    <definedName name="Z_78668A27_6450_11D1_AB62_00805F1D2048_.wvu.Cols" localSheetId="10" hidden="1">#REF!,#REF!,#REF!,#REF!</definedName>
    <definedName name="Z_78668A27_6450_11D1_AB62_00805F1D2048_.wvu.Cols" hidden="1">[7]PE1_S!$D$1:$H$65536,[7]PE1_S!$L$1:$M$65536,[7]PE1_S!$O$1:$P$65536,[7]PE1_S!$R$1:$S$65536</definedName>
    <definedName name="Z_78668A27_6450_11D1_AB62_00805F1D2048_.wvu.Rows" localSheetId="9" hidden="1">#REF!</definedName>
    <definedName name="Z_78668A27_6450_11D1_AB62_00805F1D2048_.wvu.Rows" localSheetId="10" hidden="1">#REF!</definedName>
    <definedName name="Z_78668A27_6450_11D1_AB62_00805F1D2048_.wvu.Rows" hidden="1">[7]PE1_S!$A$22:$IV$23</definedName>
    <definedName name="Z_81AF337E_7A53_11D1_AB73_00805F1D2048_.wvu.Cols" localSheetId="9" hidden="1">#REF!</definedName>
    <definedName name="Z_81AF337E_7A53_11D1_AB73_00805F1D2048_.wvu.Cols" localSheetId="10" hidden="1">#REF!</definedName>
    <definedName name="Z_81AF337E_7A53_11D1_AB73_00805F1D2048_.wvu.Cols" hidden="1">[7]BALSHT_S!$C$1:$H$65536</definedName>
    <definedName name="Z_81AF337F_7A53_11D1_AB73_00805F1D2048_.wvu.Cols" localSheetId="9" hidden="1">#REF!,#REF!,#REF!,#REF!</definedName>
    <definedName name="Z_81AF337F_7A53_11D1_AB73_00805F1D2048_.wvu.Cols" localSheetId="10" hidden="1">#REF!,#REF!,#REF!,#REF!</definedName>
    <definedName name="Z_81AF337F_7A53_11D1_AB73_00805F1D2048_.wvu.Cols" hidden="1">[7]PE1_S!$D$1:$H$65536,[7]PE1_S!$L$1:$M$65536,[7]PE1_S!$O$1:$P$65536,[7]PE1_S!$R$1:$S$65536</definedName>
    <definedName name="Z_81AF337F_7A53_11D1_AB73_00805F1D2048_.wvu.Rows" localSheetId="9" hidden="1">#REF!</definedName>
    <definedName name="Z_81AF337F_7A53_11D1_AB73_00805F1D2048_.wvu.Rows" localSheetId="10" hidden="1">#REF!</definedName>
    <definedName name="Z_81AF337F_7A53_11D1_AB73_00805F1D2048_.wvu.Rows" hidden="1">[7]PE1_S!$A$22:$IV$23</definedName>
    <definedName name="Z_9431393B_8BB4_11D1_AB82_00805F1D2048_.wvu.Cols" localSheetId="9" hidden="1">#REF!</definedName>
    <definedName name="Z_9431393B_8BB4_11D1_AB82_00805F1D2048_.wvu.Cols" localSheetId="10" hidden="1">#REF!</definedName>
    <definedName name="Z_9431393B_8BB4_11D1_AB82_00805F1D2048_.wvu.Cols" hidden="1">[7]BALSHT_S!$C$1:$H$65536</definedName>
    <definedName name="Z_9431393C_8BB4_11D1_AB82_00805F1D2048_.wvu.Cols" localSheetId="9" hidden="1">#REF!,#REF!,#REF!,#REF!</definedName>
    <definedName name="Z_9431393C_8BB4_11D1_AB82_00805F1D2048_.wvu.Cols" localSheetId="10" hidden="1">#REF!,#REF!,#REF!,#REF!</definedName>
    <definedName name="Z_9431393C_8BB4_11D1_AB82_00805F1D2048_.wvu.Cols" hidden="1">[7]PE1_S!$D$1:$H$65536,[7]PE1_S!$L$1:$M$65536,[7]PE1_S!$O$1:$P$65536,[7]PE1_S!$R$1:$S$65536</definedName>
    <definedName name="Z_9431393C_8BB4_11D1_AB82_00805F1D2048_.wvu.Rows" localSheetId="9" hidden="1">#REF!</definedName>
    <definedName name="Z_9431393C_8BB4_11D1_AB82_00805F1D2048_.wvu.Rows" localSheetId="10" hidden="1">#REF!</definedName>
    <definedName name="Z_9431393C_8BB4_11D1_AB82_00805F1D2048_.wvu.Rows" hidden="1">[7]PE1_S!$A$22:$IV$23</definedName>
    <definedName name="Z_A399A71D_4368_11D1_AB57_00805F1D08F8_.wvu.Cols" localSheetId="9" hidden="1">#REF!</definedName>
    <definedName name="Z_A399A71D_4368_11D1_AB57_00805F1D08F8_.wvu.Cols" localSheetId="10" hidden="1">#REF!</definedName>
    <definedName name="Z_A399A71D_4368_11D1_AB57_00805F1D08F8_.wvu.Cols" hidden="1">[7]BALSHT_S!$C$1:$H$65536</definedName>
    <definedName name="Z_A399A71E_4368_11D1_AB57_00805F1D08F8_.wvu.Cols" localSheetId="9" hidden="1">#REF!,#REF!,#REF!,#REF!</definedName>
    <definedName name="Z_A399A71E_4368_11D1_AB57_00805F1D08F8_.wvu.Cols" localSheetId="10" hidden="1">#REF!,#REF!,#REF!,#REF!</definedName>
    <definedName name="Z_A399A71E_4368_11D1_AB57_00805F1D08F8_.wvu.Cols" hidden="1">[7]PE1_S!$D$1:$H$65536,[7]PE1_S!$L$1:$M$65536,[7]PE1_S!$O$1:$P$65536,[7]PE1_S!$R$1:$S$65536</definedName>
    <definedName name="Z_A399A71E_4368_11D1_AB57_00805F1D08F8_.wvu.Rows" localSheetId="9" hidden="1">#REF!</definedName>
    <definedName name="Z_A399A71E_4368_11D1_AB57_00805F1D08F8_.wvu.Rows" localSheetId="10" hidden="1">#REF!</definedName>
    <definedName name="Z_A399A71E_4368_11D1_AB57_00805F1D08F8_.wvu.Rows" hidden="1">[7]PE1_S!$A$22:$IV$23</definedName>
    <definedName name="Z_BAD6B5D0_6209_11D1_AB61_00805F1D2048_.wvu.Cols" localSheetId="9" hidden="1">#REF!</definedName>
    <definedName name="Z_BAD6B5D0_6209_11D1_AB61_00805F1D2048_.wvu.Cols" localSheetId="10" hidden="1">#REF!</definedName>
    <definedName name="Z_BAD6B5D0_6209_11D1_AB61_00805F1D2048_.wvu.Cols" hidden="1">[7]BALSHT_S!$C$1:$H$65536</definedName>
    <definedName name="Z_BAD6B5D1_6209_11D1_AB61_00805F1D2048_.wvu.Cols" localSheetId="9" hidden="1">#REF!,#REF!,#REF!,#REF!</definedName>
    <definedName name="Z_BAD6B5D1_6209_11D1_AB61_00805F1D2048_.wvu.Cols" localSheetId="10" hidden="1">#REF!,#REF!,#REF!,#REF!</definedName>
    <definedName name="Z_BAD6B5D1_6209_11D1_AB61_00805F1D2048_.wvu.Cols" hidden="1">[7]PE1_S!$D$1:$H$65536,[7]PE1_S!$L$1:$M$65536,[7]PE1_S!$O$1:$P$65536,[7]PE1_S!$R$1:$S$65536</definedName>
    <definedName name="Z_BAD6B5D1_6209_11D1_AB61_00805F1D2048_.wvu.Rows" localSheetId="9" hidden="1">#REF!</definedName>
    <definedName name="Z_BAD6B5D1_6209_11D1_AB61_00805F1D2048_.wvu.Rows" localSheetId="10" hidden="1">#REF!</definedName>
    <definedName name="Z_BAD6B5D1_6209_11D1_AB61_00805F1D2048_.wvu.Rows" hidden="1">[7]PE1_S!$A$22:$IV$23</definedName>
    <definedName name="Z_C743300D_5626_11D1_AB56_00805F1D2048_.wvu.Cols" localSheetId="9" hidden="1">#REF!</definedName>
    <definedName name="Z_C743300D_5626_11D1_AB56_00805F1D2048_.wvu.Cols" localSheetId="10" hidden="1">#REF!</definedName>
    <definedName name="Z_C743300D_5626_11D1_AB56_00805F1D2048_.wvu.Cols" hidden="1">[7]BALSHT_S!$C$1:$H$65536</definedName>
    <definedName name="Z_C743300E_5626_11D1_AB56_00805F1D2048_.wvu.Cols" localSheetId="9" hidden="1">#REF!,#REF!,#REF!,#REF!</definedName>
    <definedName name="Z_C743300E_5626_11D1_AB56_00805F1D2048_.wvu.Cols" localSheetId="10" hidden="1">#REF!,#REF!,#REF!,#REF!</definedName>
    <definedName name="Z_C743300E_5626_11D1_AB56_00805F1D2048_.wvu.Cols" hidden="1">[7]PE1_S!$D$1:$H$65536,[7]PE1_S!$L$1:$M$65536,[7]PE1_S!$O$1:$P$65536,[7]PE1_S!$R$1:$S$65536</definedName>
    <definedName name="Z_C743300E_5626_11D1_AB56_00805F1D2048_.wvu.Rows" localSheetId="9" hidden="1">#REF!</definedName>
    <definedName name="Z_C743300E_5626_11D1_AB56_00805F1D2048_.wvu.Rows" localSheetId="10" hidden="1">#REF!</definedName>
    <definedName name="Z_C743300E_5626_11D1_AB56_00805F1D2048_.wvu.Rows" hidden="1">[7]PE1_S!$A$22:$IV$23</definedName>
    <definedName name="Z_C7433013_5626_11D1_AB56_00805F1D2048_.wvu.Cols" localSheetId="9" hidden="1">#REF!</definedName>
    <definedName name="Z_C7433013_5626_11D1_AB56_00805F1D2048_.wvu.Cols" localSheetId="10" hidden="1">#REF!</definedName>
    <definedName name="Z_C7433013_5626_11D1_AB56_00805F1D2048_.wvu.Cols" hidden="1">[7]BALSHT_S!$C$1:$H$65536</definedName>
    <definedName name="Z_C7433014_5626_11D1_AB56_00805F1D2048_.wvu.Cols" localSheetId="9" hidden="1">#REF!,#REF!,#REF!,#REF!</definedName>
    <definedName name="Z_C7433014_5626_11D1_AB56_00805F1D2048_.wvu.Cols" localSheetId="10" hidden="1">#REF!,#REF!,#REF!,#REF!</definedName>
    <definedName name="Z_C7433014_5626_11D1_AB56_00805F1D2048_.wvu.Cols" hidden="1">[7]PE1_S!$D$1:$H$65536,[7]PE1_S!$L$1:$M$65536,[7]PE1_S!$O$1:$P$65536,[7]PE1_S!$R$1:$S$65536</definedName>
    <definedName name="Z_C7433014_5626_11D1_AB56_00805F1D2048_.wvu.Rows" localSheetId="9" hidden="1">#REF!</definedName>
    <definedName name="Z_C7433014_5626_11D1_AB56_00805F1D2048_.wvu.Rows" localSheetId="10" hidden="1">#REF!</definedName>
    <definedName name="Z_C7433014_5626_11D1_AB56_00805F1D2048_.wvu.Rows" hidden="1">[7]PE1_S!$A$22:$IV$23</definedName>
    <definedName name="Z_D54F9874_4E48_11D1_AB4F_00805F1D2048_.wvu.Cols" localSheetId="9" hidden="1">#REF!</definedName>
    <definedName name="Z_D54F9874_4E48_11D1_AB4F_00805F1D2048_.wvu.Cols" localSheetId="10" hidden="1">#REF!</definedName>
    <definedName name="Z_D54F9874_4E48_11D1_AB4F_00805F1D2048_.wvu.Cols" hidden="1">[7]BALSHT_S!$C$1:$H$65536</definedName>
    <definedName name="Z_D54F9875_4E48_11D1_AB4F_00805F1D2048_.wvu.Cols" localSheetId="9" hidden="1">#REF!,#REF!,#REF!,#REF!</definedName>
    <definedName name="Z_D54F9875_4E48_11D1_AB4F_00805F1D2048_.wvu.Cols" localSheetId="10" hidden="1">#REF!,#REF!,#REF!,#REF!</definedName>
    <definedName name="Z_D54F9875_4E48_11D1_AB4F_00805F1D2048_.wvu.Cols" hidden="1">[7]PE1_S!$D$1:$H$65536,[7]PE1_S!$L$1:$M$65536,[7]PE1_S!$O$1:$P$65536,[7]PE1_S!$R$1:$S$65536</definedName>
    <definedName name="Z_D54F9875_4E48_11D1_AB4F_00805F1D2048_.wvu.Rows" localSheetId="9" hidden="1">#REF!</definedName>
    <definedName name="Z_D54F9875_4E48_11D1_AB4F_00805F1D2048_.wvu.Rows" localSheetId="10" hidden="1">#REF!</definedName>
    <definedName name="Z_D54F9875_4E48_11D1_AB4F_00805F1D2048_.wvu.Rows" hidden="1">[7]PE1_S!$A$22:$IV$23</definedName>
    <definedName name="Z_D54F996E_4E48_11D1_AB4F_00805F1D2048_.wvu.Cols" localSheetId="9" hidden="1">#REF!</definedName>
    <definedName name="Z_D54F996E_4E48_11D1_AB4F_00805F1D2048_.wvu.Cols" localSheetId="10" hidden="1">#REF!</definedName>
    <definedName name="Z_D54F996E_4E48_11D1_AB4F_00805F1D2048_.wvu.Cols" hidden="1">[7]BALSHT_S!$C$1:$H$65536</definedName>
    <definedName name="Z_D54F996F_4E48_11D1_AB4F_00805F1D2048_.wvu.Cols" localSheetId="9" hidden="1">#REF!,#REF!,#REF!,#REF!</definedName>
    <definedName name="Z_D54F996F_4E48_11D1_AB4F_00805F1D2048_.wvu.Cols" localSheetId="10" hidden="1">#REF!,#REF!,#REF!,#REF!</definedName>
    <definedName name="Z_D54F996F_4E48_11D1_AB4F_00805F1D2048_.wvu.Cols" hidden="1">[7]PE1_S!$D$1:$H$65536,[7]PE1_S!$L$1:$M$65536,[7]PE1_S!$O$1:$P$65536,[7]PE1_S!$R$1:$S$65536</definedName>
    <definedName name="Z_D54F996F_4E48_11D1_AB4F_00805F1D2048_.wvu.Rows" localSheetId="9" hidden="1">#REF!</definedName>
    <definedName name="Z_D54F996F_4E48_11D1_AB4F_00805F1D2048_.wvu.Rows" localSheetId="10" hidden="1">#REF!</definedName>
    <definedName name="Z_D54F996F_4E48_11D1_AB4F_00805F1D2048_.wvu.Rows" hidden="1">[7]PE1_S!$A$22:$IV$23</definedName>
    <definedName name="Z_D62B3FE5_56F6_11D1_AB57_00805F1D2048_.wvu.Cols" localSheetId="9" hidden="1">#REF!</definedName>
    <definedName name="Z_D62B3FE5_56F6_11D1_AB57_00805F1D2048_.wvu.Cols" localSheetId="10" hidden="1">#REF!</definedName>
    <definedName name="Z_D62B3FE5_56F6_11D1_AB57_00805F1D2048_.wvu.Cols" hidden="1">[7]BALSHT_S!$C$1:$H$65536</definedName>
    <definedName name="Z_D62B3FE6_56F6_11D1_AB57_00805F1D2048_.wvu.Cols" localSheetId="9" hidden="1">#REF!,#REF!,#REF!,#REF!</definedName>
    <definedName name="Z_D62B3FE6_56F6_11D1_AB57_00805F1D2048_.wvu.Cols" localSheetId="10" hidden="1">#REF!,#REF!,#REF!,#REF!</definedName>
    <definedName name="Z_D62B3FE6_56F6_11D1_AB57_00805F1D2048_.wvu.Cols" hidden="1">[7]PE1_S!$D$1:$H$65536,[7]PE1_S!$L$1:$M$65536,[7]PE1_S!$O$1:$P$65536,[7]PE1_S!$R$1:$S$65536</definedName>
    <definedName name="Z_D62B3FE6_56F6_11D1_AB57_00805F1D2048_.wvu.Rows" localSheetId="9" hidden="1">#REF!</definedName>
    <definedName name="Z_D62B3FE6_56F6_11D1_AB57_00805F1D2048_.wvu.Rows" localSheetId="10" hidden="1">#REF!</definedName>
    <definedName name="Z_D62B3FE6_56F6_11D1_AB57_00805F1D2048_.wvu.Rows" hidden="1">[7]PE1_S!$A$22:$IV$23</definedName>
    <definedName name="Z_DCBAD063_2D80_11D1_AB5C_00805F466D8F_.wvu.Cols" localSheetId="9" hidden="1">#REF!</definedName>
    <definedName name="Z_DCBAD063_2D80_11D1_AB5C_00805F466D8F_.wvu.Cols" localSheetId="10" hidden="1">#REF!</definedName>
    <definedName name="Z_DCBAD063_2D80_11D1_AB5C_00805F466D8F_.wvu.Cols" hidden="1">[7]BALSHT_S!$C$1:$H$65536</definedName>
    <definedName name="Z_DCBAD064_2D80_11D1_AB5C_00805F466D8F_.wvu.Cols" localSheetId="9" hidden="1">#REF!,#REF!,#REF!,#REF!</definedName>
    <definedName name="Z_DCBAD064_2D80_11D1_AB5C_00805F466D8F_.wvu.Cols" localSheetId="10" hidden="1">#REF!,#REF!,#REF!,#REF!</definedName>
    <definedName name="Z_DCBAD064_2D80_11D1_AB5C_00805F466D8F_.wvu.Cols" hidden="1">[7]PE1_S!$D$1:$H$65536,[7]PE1_S!$L$1:$M$65536,[7]PE1_S!$O$1:$P$65536,[7]PE1_S!$R$1:$S$65536</definedName>
    <definedName name="Z_DCBAD064_2D80_11D1_AB5C_00805F466D8F_.wvu.Rows" localSheetId="9" hidden="1">#REF!</definedName>
    <definedName name="Z_DCBAD064_2D80_11D1_AB5C_00805F466D8F_.wvu.Rows" localSheetId="10" hidden="1">#REF!</definedName>
    <definedName name="Z_DCBAD064_2D80_11D1_AB5C_00805F466D8F_.wvu.Rows" hidden="1">[7]PE1_S!$A$22:$IV$23</definedName>
    <definedName name="Z_EC399ADF_4413_11D1_AB58_00805F1D08F8_.wvu.Cols" localSheetId="9" hidden="1">#REF!</definedName>
    <definedName name="Z_EC399ADF_4413_11D1_AB58_00805F1D08F8_.wvu.Cols" localSheetId="10" hidden="1">#REF!</definedName>
    <definedName name="Z_EC399ADF_4413_11D1_AB58_00805F1D08F8_.wvu.Cols" hidden="1">[7]BALSHT_S!$C$1:$H$65536</definedName>
    <definedName name="Z_EC399AE0_4413_11D1_AB58_00805F1D08F8_.wvu.Cols" localSheetId="9" hidden="1">#REF!,#REF!,#REF!,#REF!</definedName>
    <definedName name="Z_EC399AE0_4413_11D1_AB58_00805F1D08F8_.wvu.Cols" localSheetId="10" hidden="1">#REF!,#REF!,#REF!,#REF!</definedName>
    <definedName name="Z_EC399AE0_4413_11D1_AB58_00805F1D08F8_.wvu.Cols" hidden="1">[7]PE1_S!$D$1:$H$65536,[7]PE1_S!$L$1:$M$65536,[7]PE1_S!$O$1:$P$65536,[7]PE1_S!$R$1:$S$65536</definedName>
    <definedName name="Z_EC399AE0_4413_11D1_AB58_00805F1D08F8_.wvu.Rows" localSheetId="9" hidden="1">#REF!</definedName>
    <definedName name="Z_EC399AE0_4413_11D1_AB58_00805F1D08F8_.wvu.Rows" localSheetId="10" hidden="1">#REF!</definedName>
    <definedName name="Z_EC399AE0_4413_11D1_AB58_00805F1D08F8_.wvu.Rows" hidden="1">[7]PE1_S!$A$22:$IV$23</definedName>
    <definedName name="Z_F8F432B7_2D4F_11D1_AB36_00805F1DF014_.wvu.Cols" localSheetId="9" hidden="1">#REF!</definedName>
    <definedName name="Z_F8F432B7_2D4F_11D1_AB36_00805F1DF014_.wvu.Cols" localSheetId="10" hidden="1">#REF!</definedName>
    <definedName name="Z_F8F432B7_2D4F_11D1_AB36_00805F1DF014_.wvu.Cols" hidden="1">[7]BALSHT_S!$C$1:$H$65536</definedName>
    <definedName name="Z_F8F432B8_2D4F_11D1_AB36_00805F1DF014_.wvu.Cols" localSheetId="9" hidden="1">#REF!,#REF!,#REF!,#REF!</definedName>
    <definedName name="Z_F8F432B8_2D4F_11D1_AB36_00805F1DF014_.wvu.Cols" localSheetId="10" hidden="1">#REF!,#REF!,#REF!,#REF!</definedName>
    <definedName name="Z_F8F432B8_2D4F_11D1_AB36_00805F1DF014_.wvu.Cols" hidden="1">[7]PE1_S!$D$1:$H$65536,[7]PE1_S!$L$1:$M$65536,[7]PE1_S!$O$1:$P$65536,[7]PE1_S!$R$1:$S$65536</definedName>
    <definedName name="Z_F8F432B8_2D4F_11D1_AB36_00805F1DF014_.wvu.Rows" localSheetId="9" hidden="1">#REF!</definedName>
    <definedName name="Z_F8F432B8_2D4F_11D1_AB36_00805F1DF014_.wvu.Rows" localSheetId="10" hidden="1">#REF!</definedName>
    <definedName name="Z_F8F432B8_2D4F_11D1_AB36_00805F1DF014_.wvu.Rows" hidden="1">[7]PE1_S!$A$22:$IV$23</definedName>
    <definedName name="Z_F97BFBDE_2894_11D1_AB3A_00805F1D08F8_.wvu.Cols" localSheetId="9" hidden="1">#REF!</definedName>
    <definedName name="Z_F97BFBDE_2894_11D1_AB3A_00805F1D08F8_.wvu.Cols" localSheetId="10" hidden="1">#REF!</definedName>
    <definedName name="Z_F97BFBDE_2894_11D1_AB3A_00805F1D08F8_.wvu.Cols" hidden="1">[7]BALSHT_S!$C$1:$H$65536</definedName>
    <definedName name="Z_F97BFBDF_2894_11D1_AB3A_00805F1D08F8_.wvu.Cols" localSheetId="9" hidden="1">#REF!,#REF!,#REF!,#REF!</definedName>
    <definedName name="Z_F97BFBDF_2894_11D1_AB3A_00805F1D08F8_.wvu.Cols" localSheetId="10" hidden="1">#REF!,#REF!,#REF!,#REF!</definedName>
    <definedName name="Z_F97BFBDF_2894_11D1_AB3A_00805F1D08F8_.wvu.Cols" hidden="1">[7]PE1_S!$D$1:$H$65536,[7]PE1_S!$L$1:$M$65536,[7]PE1_S!$O$1:$P$65536,[7]PE1_S!$R$1:$S$65536</definedName>
    <definedName name="Z_F97BFBDF_2894_11D1_AB3A_00805F1D08F8_.wvu.Rows" localSheetId="9" hidden="1">#REF!</definedName>
    <definedName name="Z_F97BFBDF_2894_11D1_AB3A_00805F1D08F8_.wvu.Rows" localSheetId="10" hidden="1">#REF!</definedName>
    <definedName name="Z_F97BFBDF_2894_11D1_AB3A_00805F1D08F8_.wvu.Rows" hidden="1">[7]PE1_S!$A$22:$IV$23</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46" i="1" l="1"/>
  <c r="AU48" i="48"/>
  <c r="AU47" i="48"/>
  <c r="AU46" i="48"/>
  <c r="AU45" i="48"/>
  <c r="AU44" i="48"/>
  <c r="AU43" i="48"/>
  <c r="AU42" i="48"/>
  <c r="AU41" i="48"/>
  <c r="AU36" i="48"/>
  <c r="AU31" i="48"/>
  <c r="AU30" i="48"/>
  <c r="AU29" i="48"/>
  <c r="AU28" i="48"/>
  <c r="AU26" i="48"/>
  <c r="AU25" i="48"/>
  <c r="AU24" i="48"/>
  <c r="AU23" i="48"/>
  <c r="AU21" i="48"/>
  <c r="AU20" i="48"/>
  <c r="AU19" i="48"/>
  <c r="AU18" i="48"/>
  <c r="AU16" i="48"/>
  <c r="AU15" i="48"/>
  <c r="AU14" i="48"/>
  <c r="AU13" i="48"/>
  <c r="AU11" i="48"/>
  <c r="AU10" i="48"/>
  <c r="AU9" i="48"/>
  <c r="AU8" i="48"/>
  <c r="AS8" i="48"/>
  <c r="AS9" i="48"/>
  <c r="AS10" i="48"/>
  <c r="AS11" i="48"/>
  <c r="AS13" i="48"/>
  <c r="AS14" i="48"/>
  <c r="AS15" i="48"/>
  <c r="AS16" i="48"/>
  <c r="AS18" i="48"/>
  <c r="AS19" i="48"/>
  <c r="AS20" i="48"/>
  <c r="AS21" i="48"/>
  <c r="AS23" i="48"/>
  <c r="AS24" i="48"/>
  <c r="AS25" i="48"/>
  <c r="AS26" i="48"/>
  <c r="AS28" i="48"/>
  <c r="AS29" i="48"/>
  <c r="AS30" i="48"/>
  <c r="AS31" i="48"/>
  <c r="AS36" i="48"/>
  <c r="AS41" i="48"/>
  <c r="AS42" i="48"/>
  <c r="AS43" i="48"/>
  <c r="AS44" i="48"/>
  <c r="AS45" i="48"/>
  <c r="AS46" i="48"/>
  <c r="AS47" i="48"/>
  <c r="AS48" i="48"/>
  <c r="AS50" i="48"/>
  <c r="AS51" i="48"/>
  <c r="AS52" i="48"/>
  <c r="AI52" i="48"/>
  <c r="AH52" i="48"/>
  <c r="AG52" i="48"/>
  <c r="AI51" i="48"/>
  <c r="AH51" i="48"/>
  <c r="AG51" i="48"/>
  <c r="AI50" i="48"/>
  <c r="AH50" i="48"/>
  <c r="AG50" i="48"/>
  <c r="AI48" i="48"/>
  <c r="AH48" i="48"/>
  <c r="AG48" i="48"/>
  <c r="AI47" i="48"/>
  <c r="AH47" i="48"/>
  <c r="AG47" i="48"/>
  <c r="AI46" i="48"/>
  <c r="AH46" i="48"/>
  <c r="AG46" i="48"/>
  <c r="AI45" i="48"/>
  <c r="AH45" i="48"/>
  <c r="AG45" i="48"/>
  <c r="AI44" i="48"/>
  <c r="AH44" i="48"/>
  <c r="AG44" i="48"/>
  <c r="AI43" i="48"/>
  <c r="AH43" i="48"/>
  <c r="AG43" i="48"/>
  <c r="AI42" i="48"/>
  <c r="AH42" i="48"/>
  <c r="AG42" i="48"/>
  <c r="AI41" i="48"/>
  <c r="AH41" i="48"/>
  <c r="AG41" i="48"/>
  <c r="AI36" i="48"/>
  <c r="AH36" i="48"/>
  <c r="AG36" i="48"/>
  <c r="AI31" i="48"/>
  <c r="AH31" i="48"/>
  <c r="AG31" i="48"/>
  <c r="AI30" i="48"/>
  <c r="AH30" i="48"/>
  <c r="AG30" i="48"/>
  <c r="AI29" i="48"/>
  <c r="AH29" i="48"/>
  <c r="AG29" i="48"/>
  <c r="AI28" i="48"/>
  <c r="AH28" i="48"/>
  <c r="AG28" i="48"/>
  <c r="AI26" i="48"/>
  <c r="AH26" i="48"/>
  <c r="AG26" i="48"/>
  <c r="AI25" i="48"/>
  <c r="AH25" i="48"/>
  <c r="AG25" i="48"/>
  <c r="AI24" i="48"/>
  <c r="AH24" i="48"/>
  <c r="AG24" i="48"/>
  <c r="AI23" i="48"/>
  <c r="AH23" i="48"/>
  <c r="AG23" i="48"/>
  <c r="AI21" i="48"/>
  <c r="AH21" i="48"/>
  <c r="AG21" i="48"/>
  <c r="AI20" i="48"/>
  <c r="AH20" i="48"/>
  <c r="AG20" i="48"/>
  <c r="AI19" i="48"/>
  <c r="AH19" i="48"/>
  <c r="AG19" i="48"/>
  <c r="AI18" i="48"/>
  <c r="AH18" i="48"/>
  <c r="AG18" i="48"/>
  <c r="AI16" i="48"/>
  <c r="AH16" i="48"/>
  <c r="AG16" i="48"/>
  <c r="AI15" i="48"/>
  <c r="AH15" i="48"/>
  <c r="AG15" i="48"/>
  <c r="AI14" i="48"/>
  <c r="AH14" i="48"/>
  <c r="AG14" i="48"/>
  <c r="AI13" i="48"/>
  <c r="AH13" i="48"/>
  <c r="AG13" i="48"/>
  <c r="AI11" i="48"/>
  <c r="AH11" i="48"/>
  <c r="AG11" i="48"/>
  <c r="AI10" i="48"/>
  <c r="AH10" i="48"/>
  <c r="AG10" i="48"/>
  <c r="AI9" i="48"/>
  <c r="AH9" i="48"/>
  <c r="AG9" i="48"/>
  <c r="AI8" i="48"/>
  <c r="AH8" i="48"/>
  <c r="AG8" i="48"/>
  <c r="AF52" i="48"/>
  <c r="AE52" i="48"/>
  <c r="AF51" i="48"/>
  <c r="AE51" i="48"/>
  <c r="AF50" i="48"/>
  <c r="AE50" i="48"/>
  <c r="AF48" i="48"/>
  <c r="AE48" i="48"/>
  <c r="AF47" i="48"/>
  <c r="AE47" i="48"/>
  <c r="AF46" i="48"/>
  <c r="AE46" i="48"/>
  <c r="AF45" i="48"/>
  <c r="AE45" i="48"/>
  <c r="AF44" i="48"/>
  <c r="AE44" i="48"/>
  <c r="AF43" i="48"/>
  <c r="AE43" i="48"/>
  <c r="AF42" i="48"/>
  <c r="AE42" i="48"/>
  <c r="AF41" i="48"/>
  <c r="AE41" i="48"/>
  <c r="AF36" i="48"/>
  <c r="AE36" i="48"/>
  <c r="AF31" i="48"/>
  <c r="AE31" i="48"/>
  <c r="AF30" i="48"/>
  <c r="AE30" i="48"/>
  <c r="AF29" i="48"/>
  <c r="AE29" i="48"/>
  <c r="AF28" i="48"/>
  <c r="AE28" i="48"/>
  <c r="AF26" i="48"/>
  <c r="AE26" i="48"/>
  <c r="AF25" i="48"/>
  <c r="AE25" i="48"/>
  <c r="AF24" i="48"/>
  <c r="AE24" i="48"/>
  <c r="AF23" i="48"/>
  <c r="AE23" i="48"/>
  <c r="AF21" i="48"/>
  <c r="AE21" i="48"/>
  <c r="AF20" i="48"/>
  <c r="AE20" i="48"/>
  <c r="AF19" i="48"/>
  <c r="AE19" i="48"/>
  <c r="AF18" i="48"/>
  <c r="AE18" i="48"/>
  <c r="AF16" i="48"/>
  <c r="AE16" i="48"/>
  <c r="AF15" i="48"/>
  <c r="AE15" i="48"/>
  <c r="AF14" i="48"/>
  <c r="AE14" i="48"/>
  <c r="AF13" i="48"/>
  <c r="AE13" i="48"/>
  <c r="AF11" i="48"/>
  <c r="AE11" i="48"/>
  <c r="AF10" i="48"/>
  <c r="AE10" i="48"/>
  <c r="AF9" i="48"/>
  <c r="AE9" i="48"/>
  <c r="AF8" i="48"/>
  <c r="AE8" i="48"/>
  <c r="D172" i="4"/>
  <c r="O50" i="48"/>
  <c r="P50" i="48"/>
  <c r="Q50" i="48"/>
  <c r="R50" i="48"/>
  <c r="S50" i="48"/>
  <c r="T50" i="48"/>
  <c r="U50" i="48"/>
  <c r="O51" i="48"/>
  <c r="P51" i="48"/>
  <c r="Q51" i="48"/>
  <c r="R51" i="48"/>
  <c r="S51" i="48"/>
  <c r="T51" i="48"/>
  <c r="U51" i="48"/>
  <c r="O52" i="48"/>
  <c r="P52" i="48"/>
  <c r="Q52" i="48"/>
  <c r="R52" i="48"/>
  <c r="S52" i="48"/>
  <c r="T52" i="48"/>
  <c r="U52" i="48"/>
  <c r="N50" i="48"/>
  <c r="AP8" i="48"/>
  <c r="AK8" i="48"/>
  <c r="U48" i="48"/>
  <c r="T48" i="48"/>
  <c r="S48" i="48"/>
  <c r="R48" i="48"/>
  <c r="Q48" i="48"/>
  <c r="P48" i="48"/>
  <c r="O48" i="48"/>
  <c r="U47" i="48"/>
  <c r="T47" i="48"/>
  <c r="S47" i="48"/>
  <c r="R47" i="48"/>
  <c r="Q47" i="48"/>
  <c r="P47" i="48"/>
  <c r="AM47" i="48" s="1"/>
  <c r="O47" i="48"/>
  <c r="U46" i="48"/>
  <c r="T46" i="48"/>
  <c r="S46" i="48"/>
  <c r="R46" i="48"/>
  <c r="Q46" i="48"/>
  <c r="P46" i="48"/>
  <c r="O46" i="48"/>
  <c r="U45" i="48"/>
  <c r="T45" i="48"/>
  <c r="S45" i="48"/>
  <c r="R45" i="48"/>
  <c r="Q45" i="48"/>
  <c r="P45" i="48"/>
  <c r="AM45" i="48" s="1"/>
  <c r="O45" i="48"/>
  <c r="U44" i="48"/>
  <c r="T44" i="48"/>
  <c r="S44" i="48"/>
  <c r="R44" i="48"/>
  <c r="Q44" i="48"/>
  <c r="P44" i="48"/>
  <c r="O44" i="48"/>
  <c r="U43" i="48"/>
  <c r="T43" i="48"/>
  <c r="S43" i="48"/>
  <c r="R43" i="48"/>
  <c r="Q43" i="48"/>
  <c r="P43" i="48"/>
  <c r="AM43" i="48" s="1"/>
  <c r="O43" i="48"/>
  <c r="U42" i="48"/>
  <c r="T42" i="48"/>
  <c r="S42" i="48"/>
  <c r="R42" i="48"/>
  <c r="Q42" i="48"/>
  <c r="P42" i="48"/>
  <c r="O42" i="48"/>
  <c r="U41" i="48"/>
  <c r="T41" i="48"/>
  <c r="S41" i="48"/>
  <c r="R41" i="48"/>
  <c r="Q41" i="48"/>
  <c r="P41" i="48"/>
  <c r="AM41" i="48" s="1"/>
  <c r="O41" i="48"/>
  <c r="N48" i="48"/>
  <c r="N46" i="48"/>
  <c r="AC43" i="48"/>
  <c r="AB43" i="48"/>
  <c r="AA43" i="48"/>
  <c r="Z43" i="48"/>
  <c r="Y43" i="48"/>
  <c r="X43" i="48"/>
  <c r="W43" i="48"/>
  <c r="N30" i="48"/>
  <c r="O30" i="48"/>
  <c r="P30" i="48"/>
  <c r="Q30" i="48"/>
  <c r="R30" i="48"/>
  <c r="S30" i="48"/>
  <c r="T30" i="48"/>
  <c r="U30" i="48"/>
  <c r="N25" i="48"/>
  <c r="AK25" i="48" s="1"/>
  <c r="O25" i="48"/>
  <c r="AL25" i="48" s="1"/>
  <c r="P25" i="48"/>
  <c r="AM25" i="48" s="1"/>
  <c r="Q25" i="48"/>
  <c r="AN25" i="48" s="1"/>
  <c r="R25" i="48"/>
  <c r="S25" i="48"/>
  <c r="T25" i="48"/>
  <c r="U25" i="48"/>
  <c r="N20" i="48"/>
  <c r="O20" i="48"/>
  <c r="P20" i="48"/>
  <c r="Q20" i="48"/>
  <c r="R20" i="48"/>
  <c r="S20" i="48"/>
  <c r="T20" i="48"/>
  <c r="U20" i="48"/>
  <c r="AA8" i="48"/>
  <c r="AB8" i="48"/>
  <c r="AC8" i="48"/>
  <c r="AA9" i="48"/>
  <c r="AB9" i="48"/>
  <c r="AC9" i="48"/>
  <c r="AA10" i="48"/>
  <c r="AB10" i="48"/>
  <c r="AC10" i="48"/>
  <c r="AA11" i="48"/>
  <c r="AB11" i="48"/>
  <c r="AC11" i="48"/>
  <c r="AA13" i="48"/>
  <c r="AA16" i="48" s="1"/>
  <c r="AB13" i="48"/>
  <c r="AC13" i="48"/>
  <c r="AA14" i="48"/>
  <c r="AB14" i="48"/>
  <c r="AC14" i="48"/>
  <c r="AA15" i="48"/>
  <c r="AB15" i="48"/>
  <c r="AC15" i="48"/>
  <c r="AA18" i="48"/>
  <c r="AA21" i="48" s="1"/>
  <c r="AB18" i="48"/>
  <c r="AB21" i="48" s="1"/>
  <c r="AC18" i="48"/>
  <c r="AC21" i="48" s="1"/>
  <c r="AA19" i="48"/>
  <c r="AB19" i="48"/>
  <c r="AC19" i="48"/>
  <c r="AA20" i="48"/>
  <c r="AB20" i="48"/>
  <c r="AC20" i="48"/>
  <c r="AA23" i="48"/>
  <c r="AB23" i="48"/>
  <c r="AC23" i="48"/>
  <c r="AA24" i="48"/>
  <c r="AB24" i="48"/>
  <c r="AC24" i="48"/>
  <c r="AA25" i="48"/>
  <c r="AB25" i="48"/>
  <c r="AC25" i="48"/>
  <c r="AA26" i="48"/>
  <c r="AB26" i="48"/>
  <c r="AC26" i="48"/>
  <c r="AA28" i="48"/>
  <c r="AB28" i="48"/>
  <c r="AC28" i="48"/>
  <c r="AA29" i="48"/>
  <c r="AB29" i="48"/>
  <c r="AC29" i="48"/>
  <c r="AA30" i="48"/>
  <c r="AB30" i="48"/>
  <c r="AC30" i="48"/>
  <c r="AA31" i="48"/>
  <c r="AB31" i="48"/>
  <c r="AC31" i="48"/>
  <c r="AA36" i="48"/>
  <c r="AB36" i="48"/>
  <c r="AC36" i="48"/>
  <c r="AA41" i="48"/>
  <c r="AB41" i="48"/>
  <c r="AC41" i="48"/>
  <c r="AA42" i="48"/>
  <c r="AB42" i="48"/>
  <c r="AC42" i="48"/>
  <c r="AA44" i="48"/>
  <c r="AA46" i="48" s="1"/>
  <c r="AA48" i="48" s="1"/>
  <c r="AB44" i="48"/>
  <c r="AB46" i="48" s="1"/>
  <c r="AB48" i="48" s="1"/>
  <c r="AC44" i="48"/>
  <c r="AA45" i="48"/>
  <c r="AB45" i="48"/>
  <c r="AC45" i="48"/>
  <c r="AA47" i="48"/>
  <c r="AB47" i="48"/>
  <c r="AC47" i="48"/>
  <c r="AA50" i="48"/>
  <c r="AB50" i="48"/>
  <c r="AC50" i="48"/>
  <c r="AA51" i="48"/>
  <c r="AB51" i="48"/>
  <c r="AC51" i="48"/>
  <c r="AA52" i="48"/>
  <c r="AB52" i="48"/>
  <c r="AC52" i="48"/>
  <c r="N15" i="48"/>
  <c r="AK15" i="48" s="1"/>
  <c r="O15" i="48"/>
  <c r="AL15" i="48" s="1"/>
  <c r="P15" i="48"/>
  <c r="Q15" i="48"/>
  <c r="AN15" i="48" s="1"/>
  <c r="R15" i="48"/>
  <c r="S15" i="48"/>
  <c r="T15" i="48"/>
  <c r="U15" i="48"/>
  <c r="R8" i="48"/>
  <c r="S8" i="48"/>
  <c r="T8" i="48"/>
  <c r="U8" i="48"/>
  <c r="R9" i="48"/>
  <c r="S9" i="48"/>
  <c r="T9" i="48"/>
  <c r="U9" i="48"/>
  <c r="R10" i="48"/>
  <c r="S10" i="48"/>
  <c r="T10" i="48"/>
  <c r="U10" i="48"/>
  <c r="R11" i="48"/>
  <c r="S11" i="48"/>
  <c r="T11" i="48"/>
  <c r="U11" i="48"/>
  <c r="R13" i="48"/>
  <c r="S13" i="48"/>
  <c r="T13" i="48"/>
  <c r="U13" i="48"/>
  <c r="R14" i="48"/>
  <c r="S14" i="48"/>
  <c r="T14" i="48"/>
  <c r="U14" i="48"/>
  <c r="R18" i="48"/>
  <c r="S18" i="48"/>
  <c r="T18" i="48"/>
  <c r="U18" i="48"/>
  <c r="R19" i="48"/>
  <c r="S19" i="48"/>
  <c r="T19" i="48"/>
  <c r="U19" i="48"/>
  <c r="R23" i="48"/>
  <c r="S23" i="48"/>
  <c r="T23" i="48"/>
  <c r="U23" i="48"/>
  <c r="R24" i="48"/>
  <c r="S24" i="48"/>
  <c r="T24" i="48"/>
  <c r="U24" i="48"/>
  <c r="R28" i="48"/>
  <c r="R31" i="48" s="1"/>
  <c r="S28" i="48"/>
  <c r="S31" i="48" s="1"/>
  <c r="T28" i="48"/>
  <c r="U28" i="48"/>
  <c r="U31" i="48" s="1"/>
  <c r="R29" i="48"/>
  <c r="S29" i="48"/>
  <c r="T29" i="48"/>
  <c r="U29" i="48"/>
  <c r="R36" i="48"/>
  <c r="S36" i="48"/>
  <c r="T36" i="48"/>
  <c r="U36" i="48"/>
  <c r="Z44" i="48"/>
  <c r="Y44" i="48"/>
  <c r="X44" i="48"/>
  <c r="W44" i="48"/>
  <c r="N44" i="48"/>
  <c r="AK44" i="48" s="1"/>
  <c r="G10" i="48"/>
  <c r="F10" i="48"/>
  <c r="E10" i="48"/>
  <c r="D10" i="48"/>
  <c r="K10" i="48"/>
  <c r="J10" i="48"/>
  <c r="I10" i="48"/>
  <c r="L10" i="48"/>
  <c r="AM15" i="48"/>
  <c r="AK20" i="48"/>
  <c r="AL20" i="48"/>
  <c r="AM20" i="48"/>
  <c r="AN20" i="48"/>
  <c r="AK30" i="48"/>
  <c r="AL30" i="48"/>
  <c r="AM30" i="48"/>
  <c r="AN30" i="48"/>
  <c r="P8" i="48"/>
  <c r="AM8" i="48" s="1"/>
  <c r="P9" i="48"/>
  <c r="AM9" i="48" s="1"/>
  <c r="P36" i="48"/>
  <c r="AM36" i="48" s="1"/>
  <c r="AM42" i="48"/>
  <c r="L41" i="48"/>
  <c r="L44" i="48" s="1"/>
  <c r="L46" i="48" s="1"/>
  <c r="L48" i="48" s="1"/>
  <c r="L35" i="48"/>
  <c r="L34" i="48"/>
  <c r="L33" i="48"/>
  <c r="L31" i="48"/>
  <c r="L26" i="48"/>
  <c r="L21" i="48"/>
  <c r="L16" i="48"/>
  <c r="T31" i="48" l="1"/>
  <c r="AC46" i="48"/>
  <c r="AC48" i="48" s="1"/>
  <c r="AC16" i="48"/>
  <c r="AB16" i="48"/>
  <c r="R26" i="48"/>
  <c r="S26" i="48"/>
  <c r="U16" i="48"/>
  <c r="U26" i="48"/>
  <c r="T16" i="48"/>
  <c r="S16" i="48"/>
  <c r="R16" i="48"/>
  <c r="U21" i="48"/>
  <c r="T21" i="48"/>
  <c r="S21" i="48"/>
  <c r="T26" i="48"/>
  <c r="R21" i="48"/>
  <c r="L36" i="48"/>
  <c r="AM44" i="48" l="1"/>
  <c r="E163" i="7"/>
  <c r="AM48" i="48" l="1"/>
  <c r="AM46" i="48"/>
  <c r="W113" i="1"/>
  <c r="Y113" i="1" s="1"/>
  <c r="S533" i="1"/>
  <c r="S534" i="1" s="1"/>
  <c r="N10" i="48" s="1"/>
  <c r="AK10" i="48" s="1"/>
  <c r="U533" i="1"/>
  <c r="U534" i="1" s="1"/>
  <c r="P10" i="48" s="1"/>
  <c r="AM10" i="48" s="1"/>
  <c r="Q533" i="1"/>
  <c r="AE315" i="1"/>
  <c r="AI324" i="1"/>
  <c r="AJ324" i="1"/>
  <c r="AG324" i="1"/>
  <c r="AH324" i="1"/>
  <c r="W324" i="1"/>
  <c r="X324" i="1"/>
  <c r="Y324" i="1"/>
  <c r="Z324" i="1"/>
  <c r="AA324" i="1"/>
  <c r="AB324" i="1"/>
  <c r="AC324" i="1"/>
  <c r="AD324" i="1"/>
  <c r="AE324" i="1"/>
  <c r="AF324" i="1"/>
  <c r="U324" i="1"/>
  <c r="U325" i="1" s="1"/>
  <c r="T324" i="1"/>
  <c r="S324" i="1"/>
  <c r="S325" i="1" s="1"/>
  <c r="V324" i="1"/>
  <c r="W139" i="1"/>
  <c r="U245" i="1"/>
  <c r="S245" i="1"/>
  <c r="V432" i="1"/>
  <c r="V675" i="1" s="1"/>
  <c r="V698" i="1"/>
  <c r="V689" i="1"/>
  <c r="V668" i="1"/>
  <c r="V709" i="1"/>
  <c r="AN52" i="48" s="1"/>
  <c r="V699" i="1"/>
  <c r="V695" i="1"/>
  <c r="V693" i="1"/>
  <c r="V686" i="1"/>
  <c r="V685" i="1"/>
  <c r="V684" i="1"/>
  <c r="V673" i="1"/>
  <c r="V672" i="1"/>
  <c r="V665" i="1"/>
  <c r="V664" i="1"/>
  <c r="V663" i="1"/>
  <c r="V662" i="1"/>
  <c r="V652" i="1"/>
  <c r="V650" i="1"/>
  <c r="V648" i="1"/>
  <c r="V646" i="1"/>
  <c r="V645" i="1"/>
  <c r="V637" i="1"/>
  <c r="V636" i="1"/>
  <c r="V633" i="1"/>
  <c r="V627" i="1"/>
  <c r="V626" i="1"/>
  <c r="V625" i="1"/>
  <c r="V654" i="1"/>
  <c r="V649" i="1"/>
  <c r="V644" i="1"/>
  <c r="V621" i="1"/>
  <c r="V618" i="1"/>
  <c r="V611" i="1"/>
  <c r="V617" i="1" s="1"/>
  <c r="V609" i="1"/>
  <c r="AN47" i="48" s="1"/>
  <c r="V565" i="1"/>
  <c r="V546" i="1"/>
  <c r="V556" i="1" s="1"/>
  <c r="V543" i="1"/>
  <c r="V527" i="1"/>
  <c r="Q9" i="48" s="1"/>
  <c r="AN9" i="48" s="1"/>
  <c r="V554" i="1"/>
  <c r="V550" i="1"/>
  <c r="V551" i="1" s="1"/>
  <c r="V557" i="1" s="1"/>
  <c r="V540" i="1"/>
  <c r="V555" i="1" s="1"/>
  <c r="V520" i="1"/>
  <c r="V328" i="1"/>
  <c r="V605" i="1" s="1"/>
  <c r="V608" i="1" s="1"/>
  <c r="V613" i="1" s="1"/>
  <c r="V614" i="1" s="1"/>
  <c r="V322" i="1"/>
  <c r="V487" i="1"/>
  <c r="V486" i="1"/>
  <c r="V484" i="1"/>
  <c r="V480" i="1"/>
  <c r="V318" i="1"/>
  <c r="AN43" i="48" s="1"/>
  <c r="V473" i="1"/>
  <c r="V465" i="1"/>
  <c r="V470" i="1" s="1"/>
  <c r="V597" i="1" s="1"/>
  <c r="V453" i="1"/>
  <c r="V694" i="1" s="1"/>
  <c r="V315" i="1"/>
  <c r="V311" i="1"/>
  <c r="V301" i="1"/>
  <c r="Q36" i="48" s="1"/>
  <c r="AN36" i="48" s="1"/>
  <c r="V447" i="1"/>
  <c r="V446" i="1"/>
  <c r="V445" i="1"/>
  <c r="V444" i="1"/>
  <c r="V440" i="1"/>
  <c r="V437" i="1"/>
  <c r="V441" i="1"/>
  <c r="V421" i="1"/>
  <c r="V674" i="1" s="1"/>
  <c r="V397" i="1"/>
  <c r="V403" i="1"/>
  <c r="V405" i="1" s="1"/>
  <c r="V390" i="1"/>
  <c r="V389" i="1"/>
  <c r="V388" i="1"/>
  <c r="V295" i="1"/>
  <c r="V592" i="1" s="1"/>
  <c r="V624" i="1" s="1"/>
  <c r="V288" i="1"/>
  <c r="V590" i="1" s="1"/>
  <c r="V282" i="1"/>
  <c r="V589" i="1" s="1"/>
  <c r="V271" i="1"/>
  <c r="V426" i="1" s="1"/>
  <c r="V260" i="1"/>
  <c r="V310" i="1" s="1"/>
  <c r="V258" i="1"/>
  <c r="V300" i="1" s="1"/>
  <c r="V256" i="1"/>
  <c r="V293" i="1" s="1"/>
  <c r="Q29" i="48" s="1"/>
  <c r="AN29" i="48" s="1"/>
  <c r="V253" i="1"/>
  <c r="V286" i="1" s="1"/>
  <c r="Q24" i="48" s="1"/>
  <c r="AN24" i="48" s="1"/>
  <c r="V250" i="1"/>
  <c r="V280" i="1" s="1"/>
  <c r="Q19" i="48" s="1"/>
  <c r="AN19" i="48" s="1"/>
  <c r="V244" i="1"/>
  <c r="V269" i="1" s="1"/>
  <c r="Q14" i="48" s="1"/>
  <c r="AN14" i="48" s="1"/>
  <c r="V227" i="1"/>
  <c r="V234" i="1" s="1"/>
  <c r="V217" i="1"/>
  <c r="V309" i="1" s="1"/>
  <c r="V214" i="1"/>
  <c r="V299" i="1" s="1"/>
  <c r="V210" i="1"/>
  <c r="V209" i="1"/>
  <c r="V201" i="1"/>
  <c r="V193" i="1"/>
  <c r="V279" i="1" s="1"/>
  <c r="Q18" i="48" s="1"/>
  <c r="V182" i="1"/>
  <c r="V268" i="1" s="1"/>
  <c r="Q13" i="48" s="1"/>
  <c r="V163" i="1"/>
  <c r="V160" i="1"/>
  <c r="V156" i="1"/>
  <c r="V155" i="1"/>
  <c r="V154" i="1"/>
  <c r="V153" i="1"/>
  <c r="V149" i="1"/>
  <c r="V148" i="1"/>
  <c r="V147" i="1"/>
  <c r="V146" i="1"/>
  <c r="T527" i="1"/>
  <c r="V449" i="1" l="1"/>
  <c r="V603" i="1"/>
  <c r="AN45" i="48"/>
  <c r="V596" i="1"/>
  <c r="Q16" i="48"/>
  <c r="AN16" i="48" s="1"/>
  <c r="AN13" i="48"/>
  <c r="V600" i="1"/>
  <c r="V620" i="1" s="1"/>
  <c r="AN42" i="48"/>
  <c r="AN18" i="48"/>
  <c r="Q21" i="48"/>
  <c r="AN21" i="48" s="1"/>
  <c r="V533" i="1"/>
  <c r="V534" i="1" s="1"/>
  <c r="Q10" i="48" s="1"/>
  <c r="AN10" i="48" s="1"/>
  <c r="Q8" i="48"/>
  <c r="AN8" i="48" s="1"/>
  <c r="V325" i="1"/>
  <c r="V456" i="1"/>
  <c r="V572" i="1"/>
  <c r="V254" i="1"/>
  <c r="V670" i="1"/>
  <c r="V701" i="1"/>
  <c r="V642" i="1"/>
  <c r="V655" i="1" s="1"/>
  <c r="V659" i="1" s="1"/>
  <c r="V215" i="1"/>
  <c r="V566" i="1"/>
  <c r="V211" i="1"/>
  <c r="V392" i="1"/>
  <c r="V283" i="1"/>
  <c r="V691" i="1"/>
  <c r="V502" i="1"/>
  <c r="V585" i="1"/>
  <c r="V414" i="1"/>
  <c r="V386" i="1"/>
  <c r="V681" i="1"/>
  <c r="V203" i="1"/>
  <c r="V233" i="1"/>
  <c r="V285" i="1"/>
  <c r="V180" i="1"/>
  <c r="V257" i="1"/>
  <c r="V272" i="1"/>
  <c r="V247" i="1"/>
  <c r="V262" i="1" s="1"/>
  <c r="V320" i="1"/>
  <c r="V259" i="1"/>
  <c r="V292" i="1"/>
  <c r="Q28" i="48" s="1"/>
  <c r="V651" i="1"/>
  <c r="V313" i="1"/>
  <c r="V179" i="1"/>
  <c r="V194" i="1"/>
  <c r="V528" i="1"/>
  <c r="V529" i="1" s="1"/>
  <c r="V560" i="1"/>
  <c r="V545" i="1"/>
  <c r="V559" i="1"/>
  <c r="V488" i="1"/>
  <c r="V492" i="1" s="1"/>
  <c r="V303" i="1"/>
  <c r="V312" i="1"/>
  <c r="V302" i="1"/>
  <c r="V387" i="1"/>
  <c r="V289" i="1"/>
  <c r="V296" i="1"/>
  <c r="V251" i="1"/>
  <c r="V261" i="1"/>
  <c r="V218" i="1"/>
  <c r="V157" i="1"/>
  <c r="V150" i="1"/>
  <c r="V138" i="1"/>
  <c r="V117" i="1"/>
  <c r="V111" i="1"/>
  <c r="V113" i="1"/>
  <c r="V102" i="1"/>
  <c r="V175" i="1" s="1"/>
  <c r="V98" i="1"/>
  <c r="V95" i="1"/>
  <c r="DH4" i="51"/>
  <c r="V70" i="1"/>
  <c r="V69" i="1"/>
  <c r="V80" i="1"/>
  <c r="V79" i="1"/>
  <c r="V106" i="1" s="1"/>
  <c r="V78" i="1"/>
  <c r="W397" i="1"/>
  <c r="X397" i="1" s="1"/>
  <c r="Y397" i="1" s="1"/>
  <c r="Z397" i="1" s="1"/>
  <c r="AA397" i="1" s="1"/>
  <c r="AB397" i="1" s="1"/>
  <c r="AC397" i="1" s="1"/>
  <c r="AD397" i="1" s="1"/>
  <c r="AE397" i="1" s="1"/>
  <c r="AF397" i="1" s="1"/>
  <c r="AG397" i="1" s="1"/>
  <c r="AH397" i="1" s="1"/>
  <c r="AI397" i="1" s="1"/>
  <c r="AJ397" i="1" s="1"/>
  <c r="AK397" i="1" s="1"/>
  <c r="AL397" i="1" s="1"/>
  <c r="AM397" i="1" s="1"/>
  <c r="AN397" i="1" s="1"/>
  <c r="T397" i="1"/>
  <c r="CN72" i="51"/>
  <c r="CJ72" i="51" s="1"/>
  <c r="CK72" i="51" s="1"/>
  <c r="CN71" i="51"/>
  <c r="CJ71" i="51" s="1"/>
  <c r="CK71" i="51" s="1"/>
  <c r="CN70" i="51"/>
  <c r="CJ70" i="51" s="1"/>
  <c r="CK70" i="51" s="1"/>
  <c r="CN69" i="51"/>
  <c r="CJ69" i="51" s="1"/>
  <c r="CK69" i="51" s="1"/>
  <c r="CN68" i="51"/>
  <c r="CJ68" i="51" s="1"/>
  <c r="CK68" i="51" s="1"/>
  <c r="CN67" i="51"/>
  <c r="CJ67" i="51" s="1"/>
  <c r="CK67" i="51" s="1"/>
  <c r="CN66" i="51"/>
  <c r="CJ66" i="51" s="1"/>
  <c r="CK66" i="51" s="1"/>
  <c r="CN55" i="51"/>
  <c r="CN39" i="51"/>
  <c r="CJ39" i="51" s="1"/>
  <c r="CK39" i="51" s="1"/>
  <c r="CN38" i="51"/>
  <c r="CN37" i="51"/>
  <c r="CN35" i="51"/>
  <c r="CJ35" i="51" s="1"/>
  <c r="CK35" i="51" s="1"/>
  <c r="CN34" i="51"/>
  <c r="CN33" i="51"/>
  <c r="CN31" i="51"/>
  <c r="CN30" i="51"/>
  <c r="CJ30" i="51" s="1"/>
  <c r="CN29" i="51"/>
  <c r="CJ29" i="51" s="1"/>
  <c r="CN26" i="51"/>
  <c r="CJ26" i="51" s="1"/>
  <c r="CK26" i="51" s="1"/>
  <c r="CN25" i="51"/>
  <c r="CJ25" i="51" s="1"/>
  <c r="CK25" i="51" s="1"/>
  <c r="CN22" i="51"/>
  <c r="CJ22" i="51" s="1"/>
  <c r="CN21" i="51"/>
  <c r="CJ21" i="51" s="1"/>
  <c r="CN19" i="51"/>
  <c r="CJ19" i="51" s="1"/>
  <c r="CK19" i="51" s="1"/>
  <c r="CN18" i="51"/>
  <c r="CJ18" i="51" s="1"/>
  <c r="CK18" i="51" s="1"/>
  <c r="CN17" i="51"/>
  <c r="CJ17" i="51" s="1"/>
  <c r="CK17" i="51" s="1"/>
  <c r="CN14" i="51"/>
  <c r="CN11" i="51"/>
  <c r="CJ11" i="51" s="1"/>
  <c r="CK11" i="51" s="1"/>
  <c r="CN10" i="51"/>
  <c r="CJ10" i="51" s="1"/>
  <c r="CK10" i="51" s="1"/>
  <c r="CN9" i="51"/>
  <c r="CJ9" i="51" s="1"/>
  <c r="CK9" i="51" s="1"/>
  <c r="CN8" i="51"/>
  <c r="CN7" i="51"/>
  <c r="CJ7" i="51" s="1"/>
  <c r="CK7" i="51" s="1"/>
  <c r="CN6" i="51"/>
  <c r="CJ6" i="51" s="1"/>
  <c r="CK6" i="51" s="1"/>
  <c r="CN3" i="51"/>
  <c r="R260" i="1"/>
  <c r="R310" i="1" s="1"/>
  <c r="R258" i="1"/>
  <c r="R256" i="1"/>
  <c r="R253" i="1"/>
  <c r="R286" i="1" s="1"/>
  <c r="R250" i="1"/>
  <c r="R280" i="1" s="1"/>
  <c r="R244" i="1"/>
  <c r="CF3" i="51"/>
  <c r="CF14" i="51" s="1"/>
  <c r="H42" i="50"/>
  <c r="G42" i="50"/>
  <c r="F42" i="50"/>
  <c r="E42" i="50"/>
  <c r="H40" i="50"/>
  <c r="F40" i="50"/>
  <c r="D40" i="50"/>
  <c r="H38" i="50"/>
  <c r="F38" i="50"/>
  <c r="D38" i="50"/>
  <c r="H37" i="50"/>
  <c r="F37" i="50"/>
  <c r="D37" i="50"/>
  <c r="H36" i="50"/>
  <c r="F36" i="50"/>
  <c r="D36" i="50"/>
  <c r="I35" i="50"/>
  <c r="H35" i="50"/>
  <c r="F35" i="50"/>
  <c r="D35" i="50"/>
  <c r="H34" i="50"/>
  <c r="F34" i="50"/>
  <c r="D34" i="50"/>
  <c r="T29" i="50"/>
  <c r="T28" i="50"/>
  <c r="T27" i="50"/>
  <c r="H24" i="50"/>
  <c r="F24" i="50"/>
  <c r="D24" i="50"/>
  <c r="H19" i="50"/>
  <c r="F19" i="50"/>
  <c r="D19" i="50"/>
  <c r="H14" i="50"/>
  <c r="F14" i="50"/>
  <c r="D14" i="50"/>
  <c r="H9" i="50"/>
  <c r="F9" i="50"/>
  <c r="D9" i="50"/>
  <c r="C69" i="48"/>
  <c r="C68" i="48"/>
  <c r="C67" i="48"/>
  <c r="N47" i="48"/>
  <c r="AK47" i="48" s="1"/>
  <c r="N45" i="48"/>
  <c r="AK45" i="48" s="1"/>
  <c r="N43" i="48"/>
  <c r="AK43" i="48" s="1"/>
  <c r="N42" i="48"/>
  <c r="AK42" i="48" s="1"/>
  <c r="N41" i="48"/>
  <c r="AK41" i="48" s="1"/>
  <c r="J41" i="48"/>
  <c r="J44" i="48" s="1"/>
  <c r="J46" i="48" s="1"/>
  <c r="J48" i="48" s="1"/>
  <c r="I41" i="48"/>
  <c r="I44" i="48" s="1"/>
  <c r="I46" i="48" s="1"/>
  <c r="I48" i="48" s="1"/>
  <c r="N36" i="48"/>
  <c r="AK36" i="48" s="1"/>
  <c r="J36" i="48"/>
  <c r="I36" i="48"/>
  <c r="J31" i="48"/>
  <c r="I31" i="48"/>
  <c r="J26" i="48"/>
  <c r="I26" i="48"/>
  <c r="J21" i="48"/>
  <c r="I21" i="48"/>
  <c r="J16" i="48"/>
  <c r="I16" i="48"/>
  <c r="N9" i="48"/>
  <c r="AK9" i="48" s="1"/>
  <c r="N8" i="48"/>
  <c r="C7" i="48"/>
  <c r="B157" i="49"/>
  <c r="B156" i="49"/>
  <c r="B155" i="49"/>
  <c r="B154" i="49"/>
  <c r="B153" i="49"/>
  <c r="B152" i="49"/>
  <c r="B151" i="49"/>
  <c r="B150" i="49"/>
  <c r="B149" i="49"/>
  <c r="B148" i="49"/>
  <c r="B147" i="49"/>
  <c r="B146" i="49"/>
  <c r="B145" i="49"/>
  <c r="AS142" i="49"/>
  <c r="AR142" i="49"/>
  <c r="AQ142" i="49"/>
  <c r="AP142" i="49"/>
  <c r="AO142" i="49"/>
  <c r="AN142" i="49"/>
  <c r="AM142" i="49"/>
  <c r="AL142" i="49"/>
  <c r="AK142" i="49"/>
  <c r="AJ142" i="49"/>
  <c r="AI142" i="49"/>
  <c r="AH142" i="49"/>
  <c r="AG142" i="49"/>
  <c r="AE142" i="49"/>
  <c r="AD142" i="49"/>
  <c r="AC142" i="49"/>
  <c r="AB142" i="49"/>
  <c r="AA142" i="49"/>
  <c r="Z142" i="49"/>
  <c r="Y142" i="49"/>
  <c r="X142" i="49"/>
  <c r="W142" i="49"/>
  <c r="V142" i="49"/>
  <c r="U142" i="49"/>
  <c r="T142" i="49"/>
  <c r="S142" i="49"/>
  <c r="R142" i="49"/>
  <c r="Q142" i="49"/>
  <c r="P142" i="49"/>
  <c r="O142" i="49"/>
  <c r="N142" i="49"/>
  <c r="M142" i="49"/>
  <c r="L142" i="49"/>
  <c r="K142" i="49"/>
  <c r="J142" i="49"/>
  <c r="I142" i="49"/>
  <c r="H142" i="49"/>
  <c r="G142" i="49"/>
  <c r="F142" i="49"/>
  <c r="B142" i="49"/>
  <c r="AS141" i="49"/>
  <c r="AR141" i="49"/>
  <c r="AQ141" i="49"/>
  <c r="AP141" i="49"/>
  <c r="AO141" i="49"/>
  <c r="AN141" i="49"/>
  <c r="AM141" i="49"/>
  <c r="AL141" i="49"/>
  <c r="AK141" i="49"/>
  <c r="AJ141" i="49"/>
  <c r="AI141" i="49"/>
  <c r="AH141" i="49"/>
  <c r="AG141" i="49"/>
  <c r="AE141" i="49"/>
  <c r="AD141" i="49"/>
  <c r="AC141" i="49"/>
  <c r="AB141" i="49"/>
  <c r="AA141" i="49"/>
  <c r="Z141" i="49"/>
  <c r="Y141" i="49"/>
  <c r="X141" i="49"/>
  <c r="W141" i="49"/>
  <c r="V141" i="49"/>
  <c r="U141" i="49"/>
  <c r="T141" i="49"/>
  <c r="S141" i="49"/>
  <c r="R141" i="49"/>
  <c r="Q141" i="49"/>
  <c r="P141" i="49"/>
  <c r="O141" i="49"/>
  <c r="N141" i="49"/>
  <c r="M141" i="49"/>
  <c r="L141" i="49"/>
  <c r="K141" i="49"/>
  <c r="J141" i="49"/>
  <c r="I141" i="49"/>
  <c r="H141" i="49"/>
  <c r="G141" i="49"/>
  <c r="F141" i="49"/>
  <c r="B141" i="49"/>
  <c r="AS140" i="49"/>
  <c r="AR140" i="49"/>
  <c r="AQ140" i="49"/>
  <c r="AP140" i="49"/>
  <c r="AO140" i="49"/>
  <c r="AN140" i="49"/>
  <c r="AM140" i="49"/>
  <c r="AL140" i="49"/>
  <c r="AK140" i="49"/>
  <c r="AJ140" i="49"/>
  <c r="AI140" i="49"/>
  <c r="AH140" i="49"/>
  <c r="AG140" i="49"/>
  <c r="AE140" i="49"/>
  <c r="AD140" i="49"/>
  <c r="AC140" i="49"/>
  <c r="AB140" i="49"/>
  <c r="AA140" i="49"/>
  <c r="Z140" i="49"/>
  <c r="Y140" i="49"/>
  <c r="X140" i="49"/>
  <c r="W140" i="49"/>
  <c r="V140" i="49"/>
  <c r="U140" i="49"/>
  <c r="T140" i="49"/>
  <c r="S140" i="49"/>
  <c r="R140" i="49"/>
  <c r="Q140" i="49"/>
  <c r="P140" i="49"/>
  <c r="O140" i="49"/>
  <c r="N140" i="49"/>
  <c r="M140" i="49"/>
  <c r="L140" i="49"/>
  <c r="K140" i="49"/>
  <c r="J140" i="49"/>
  <c r="I140" i="49"/>
  <c r="H140" i="49"/>
  <c r="G140" i="49"/>
  <c r="F140" i="49"/>
  <c r="B140" i="49"/>
  <c r="AS139" i="49"/>
  <c r="AR139" i="49"/>
  <c r="AQ139" i="49"/>
  <c r="AP139" i="49"/>
  <c r="AO139" i="49"/>
  <c r="AN139" i="49"/>
  <c r="AM139" i="49"/>
  <c r="AL139" i="49"/>
  <c r="AK139" i="49"/>
  <c r="AJ139" i="49"/>
  <c r="AI139" i="49"/>
  <c r="AH139" i="49"/>
  <c r="AG139" i="49"/>
  <c r="AE139" i="49"/>
  <c r="AD139" i="49"/>
  <c r="AC139" i="49"/>
  <c r="AB139" i="49"/>
  <c r="AA139" i="49"/>
  <c r="Z139" i="49"/>
  <c r="Y139" i="49"/>
  <c r="X139" i="49"/>
  <c r="W139" i="49"/>
  <c r="V139" i="49"/>
  <c r="U139" i="49"/>
  <c r="T139" i="49"/>
  <c r="S139" i="49"/>
  <c r="R139" i="49"/>
  <c r="Q139" i="49"/>
  <c r="P139" i="49"/>
  <c r="O139" i="49"/>
  <c r="N139" i="49"/>
  <c r="M139" i="49"/>
  <c r="L139" i="49"/>
  <c r="K139" i="49"/>
  <c r="J139" i="49"/>
  <c r="I139" i="49"/>
  <c r="H139" i="49"/>
  <c r="G139" i="49"/>
  <c r="F139" i="49"/>
  <c r="B139" i="49"/>
  <c r="AS138" i="49"/>
  <c r="AR138" i="49"/>
  <c r="AQ138" i="49"/>
  <c r="AP138" i="49"/>
  <c r="AO138" i="49"/>
  <c r="AN138" i="49"/>
  <c r="AM138" i="49"/>
  <c r="AL138" i="49"/>
  <c r="AK138" i="49"/>
  <c r="AJ138" i="49"/>
  <c r="AI138" i="49"/>
  <c r="AH138" i="49"/>
  <c r="AG138" i="49"/>
  <c r="AE138" i="49"/>
  <c r="AD138" i="49"/>
  <c r="AC138" i="49"/>
  <c r="AB138" i="49"/>
  <c r="AA138" i="49"/>
  <c r="Z138" i="49"/>
  <c r="Y138" i="49"/>
  <c r="X138" i="49"/>
  <c r="W138" i="49"/>
  <c r="V138" i="49"/>
  <c r="U138" i="49"/>
  <c r="T138" i="49"/>
  <c r="S138" i="49"/>
  <c r="R138" i="49"/>
  <c r="Q138" i="49"/>
  <c r="P138" i="49"/>
  <c r="O138" i="49"/>
  <c r="N138" i="49"/>
  <c r="M138" i="49"/>
  <c r="L138" i="49"/>
  <c r="K138" i="49"/>
  <c r="J138" i="49"/>
  <c r="I138" i="49"/>
  <c r="H138" i="49"/>
  <c r="G138" i="49"/>
  <c r="F138" i="49"/>
  <c r="B138" i="49"/>
  <c r="AS137" i="49"/>
  <c r="AR137" i="49"/>
  <c r="AQ137" i="49"/>
  <c r="AP137" i="49"/>
  <c r="AO137" i="49"/>
  <c r="AN137" i="49"/>
  <c r="AM137" i="49"/>
  <c r="AL137" i="49"/>
  <c r="AK137" i="49"/>
  <c r="AJ137" i="49"/>
  <c r="AI137" i="49"/>
  <c r="AH137" i="49"/>
  <c r="AG137" i="49"/>
  <c r="AE137" i="49"/>
  <c r="AD137" i="49"/>
  <c r="AC137" i="49"/>
  <c r="AB137" i="49"/>
  <c r="AA137" i="49"/>
  <c r="Z137" i="49"/>
  <c r="Y137" i="49"/>
  <c r="X137" i="49"/>
  <c r="W137" i="49"/>
  <c r="V137" i="49"/>
  <c r="U137" i="49"/>
  <c r="T137" i="49"/>
  <c r="S137" i="49"/>
  <c r="R137" i="49"/>
  <c r="Q137" i="49"/>
  <c r="P137" i="49"/>
  <c r="O137" i="49"/>
  <c r="N137" i="49"/>
  <c r="M137" i="49"/>
  <c r="L137" i="49"/>
  <c r="K137" i="49"/>
  <c r="J137" i="49"/>
  <c r="I137" i="49"/>
  <c r="H137" i="49"/>
  <c r="G137" i="49"/>
  <c r="F137" i="49"/>
  <c r="B137" i="49"/>
  <c r="AS136" i="49"/>
  <c r="AR136" i="49"/>
  <c r="AQ136" i="49"/>
  <c r="AP136" i="49"/>
  <c r="AO136" i="49"/>
  <c r="AN136" i="49"/>
  <c r="AM136" i="49"/>
  <c r="AL136" i="49"/>
  <c r="AK136" i="49"/>
  <c r="AJ136" i="49"/>
  <c r="AI136" i="49"/>
  <c r="AH136" i="49"/>
  <c r="AG136" i="49"/>
  <c r="AE136" i="49"/>
  <c r="AD136" i="49"/>
  <c r="AC136" i="49"/>
  <c r="AB136" i="49"/>
  <c r="AA136" i="49"/>
  <c r="Z136" i="49"/>
  <c r="Y136" i="49"/>
  <c r="X136" i="49"/>
  <c r="W136" i="49"/>
  <c r="V136" i="49"/>
  <c r="U136" i="49"/>
  <c r="T136" i="49"/>
  <c r="S136" i="49"/>
  <c r="R136" i="49"/>
  <c r="Q136" i="49"/>
  <c r="P136" i="49"/>
  <c r="O136" i="49"/>
  <c r="N136" i="49"/>
  <c r="M136" i="49"/>
  <c r="L136" i="49"/>
  <c r="K136" i="49"/>
  <c r="J136" i="49"/>
  <c r="I136" i="49"/>
  <c r="H136" i="49"/>
  <c r="G136" i="49"/>
  <c r="F136" i="49"/>
  <c r="B136" i="49"/>
  <c r="AS135" i="49"/>
  <c r="AR135" i="49"/>
  <c r="AQ135" i="49"/>
  <c r="AP135" i="49"/>
  <c r="AO135" i="49"/>
  <c r="AN135" i="49"/>
  <c r="AM135" i="49"/>
  <c r="AL135" i="49"/>
  <c r="AK135" i="49"/>
  <c r="AJ135" i="49"/>
  <c r="AI135" i="49"/>
  <c r="AH135" i="49"/>
  <c r="AG135" i="49"/>
  <c r="AE135" i="49"/>
  <c r="AD135" i="49"/>
  <c r="AC135" i="49"/>
  <c r="AB135" i="49"/>
  <c r="AA135" i="49"/>
  <c r="Z135" i="49"/>
  <c r="Y135" i="49"/>
  <c r="X135" i="49"/>
  <c r="W135" i="49"/>
  <c r="V135" i="49"/>
  <c r="U135" i="49"/>
  <c r="T135" i="49"/>
  <c r="S135" i="49"/>
  <c r="R135" i="49"/>
  <c r="Q135" i="49"/>
  <c r="P135" i="49"/>
  <c r="O135" i="49"/>
  <c r="N135" i="49"/>
  <c r="M135" i="49"/>
  <c r="L135" i="49"/>
  <c r="K135" i="49"/>
  <c r="J135" i="49"/>
  <c r="I135" i="49"/>
  <c r="H135" i="49"/>
  <c r="G135" i="49"/>
  <c r="F135" i="49"/>
  <c r="B135" i="49"/>
  <c r="AS134" i="49"/>
  <c r="AR134" i="49"/>
  <c r="AQ134" i="49"/>
  <c r="AP134" i="49"/>
  <c r="AO134" i="49"/>
  <c r="AN134" i="49"/>
  <c r="AM134" i="49"/>
  <c r="AL134" i="49"/>
  <c r="AK134" i="49"/>
  <c r="AJ134" i="49"/>
  <c r="AI134" i="49"/>
  <c r="AH134" i="49"/>
  <c r="AG134" i="49"/>
  <c r="AE134" i="49"/>
  <c r="AD134" i="49"/>
  <c r="AC134" i="49"/>
  <c r="AB134" i="49"/>
  <c r="AA134" i="49"/>
  <c r="Z134" i="49"/>
  <c r="Y134" i="49"/>
  <c r="X134" i="49"/>
  <c r="W134" i="49"/>
  <c r="V134" i="49"/>
  <c r="U134" i="49"/>
  <c r="T134" i="49"/>
  <c r="S134" i="49"/>
  <c r="R134" i="49"/>
  <c r="Q134" i="49"/>
  <c r="P134" i="49"/>
  <c r="O134" i="49"/>
  <c r="N134" i="49"/>
  <c r="M134" i="49"/>
  <c r="L134" i="49"/>
  <c r="K134" i="49"/>
  <c r="J134" i="49"/>
  <c r="I134" i="49"/>
  <c r="H134" i="49"/>
  <c r="G134" i="49"/>
  <c r="F134" i="49"/>
  <c r="B134" i="49"/>
  <c r="AS133" i="49"/>
  <c r="AR133" i="49"/>
  <c r="AQ133" i="49"/>
  <c r="AP133" i="49"/>
  <c r="AO133" i="49"/>
  <c r="AN133" i="49"/>
  <c r="AM133" i="49"/>
  <c r="AL133" i="49"/>
  <c r="AK133" i="49"/>
  <c r="AJ133" i="49"/>
  <c r="AI133" i="49"/>
  <c r="AH133" i="49"/>
  <c r="AG133" i="49"/>
  <c r="AE133" i="49"/>
  <c r="AD133" i="49"/>
  <c r="AC133" i="49"/>
  <c r="AB133" i="49"/>
  <c r="AA133" i="49"/>
  <c r="Z133" i="49"/>
  <c r="Y133" i="49"/>
  <c r="X133" i="49"/>
  <c r="W133" i="49"/>
  <c r="V133" i="49"/>
  <c r="U133" i="49"/>
  <c r="T133" i="49"/>
  <c r="S133" i="49"/>
  <c r="R133" i="49"/>
  <c r="Q133" i="49"/>
  <c r="P133" i="49"/>
  <c r="O133" i="49"/>
  <c r="N133" i="49"/>
  <c r="M133" i="49"/>
  <c r="L133" i="49"/>
  <c r="K133" i="49"/>
  <c r="J133" i="49"/>
  <c r="I133" i="49"/>
  <c r="H133" i="49"/>
  <c r="G133" i="49"/>
  <c r="F133" i="49"/>
  <c r="B133" i="49"/>
  <c r="AS132" i="49"/>
  <c r="AR132" i="49"/>
  <c r="AQ132" i="49"/>
  <c r="AP132" i="49"/>
  <c r="AO132" i="49"/>
  <c r="AN132" i="49"/>
  <c r="AM132" i="49"/>
  <c r="AL132" i="49"/>
  <c r="AK132" i="49"/>
  <c r="AJ132" i="49"/>
  <c r="AI132" i="49"/>
  <c r="AH132" i="49"/>
  <c r="AG132" i="49"/>
  <c r="AE132" i="49"/>
  <c r="AD132" i="49"/>
  <c r="AC132" i="49"/>
  <c r="AB132" i="49"/>
  <c r="AA132" i="49"/>
  <c r="Z132" i="49"/>
  <c r="Y132" i="49"/>
  <c r="X132" i="49"/>
  <c r="W132" i="49"/>
  <c r="V132" i="49"/>
  <c r="U132" i="49"/>
  <c r="T132" i="49"/>
  <c r="S132" i="49"/>
  <c r="R132" i="49"/>
  <c r="Q132" i="49"/>
  <c r="P132" i="49"/>
  <c r="O132" i="49"/>
  <c r="N132" i="49"/>
  <c r="M132" i="49"/>
  <c r="L132" i="49"/>
  <c r="K132" i="49"/>
  <c r="J132" i="49"/>
  <c r="I132" i="49"/>
  <c r="H132" i="49"/>
  <c r="G132" i="49"/>
  <c r="F132" i="49"/>
  <c r="B132" i="49"/>
  <c r="AS131" i="49"/>
  <c r="AR131" i="49"/>
  <c r="AQ131" i="49"/>
  <c r="AP131" i="49"/>
  <c r="AO131" i="49"/>
  <c r="AN131" i="49"/>
  <c r="AM131" i="49"/>
  <c r="AL131" i="49"/>
  <c r="AK131" i="49"/>
  <c r="AJ131" i="49"/>
  <c r="AI131" i="49"/>
  <c r="AH131" i="49"/>
  <c r="AG131" i="49"/>
  <c r="AE131" i="49"/>
  <c r="AD131" i="49"/>
  <c r="AC131" i="49"/>
  <c r="AB131" i="49"/>
  <c r="AA131" i="49"/>
  <c r="Z131" i="49"/>
  <c r="Y131" i="49"/>
  <c r="X131" i="49"/>
  <c r="W131" i="49"/>
  <c r="V131" i="49"/>
  <c r="U131" i="49"/>
  <c r="T131" i="49"/>
  <c r="S131" i="49"/>
  <c r="R131" i="49"/>
  <c r="Q131" i="49"/>
  <c r="P131" i="49"/>
  <c r="O131" i="49"/>
  <c r="N131" i="49"/>
  <c r="M131" i="49"/>
  <c r="L131" i="49"/>
  <c r="K131" i="49"/>
  <c r="J131" i="49"/>
  <c r="I131" i="49"/>
  <c r="H131" i="49"/>
  <c r="G131" i="49"/>
  <c r="F131" i="49"/>
  <c r="B131" i="49"/>
  <c r="AS130" i="49"/>
  <c r="AR130" i="49"/>
  <c r="AQ130" i="49"/>
  <c r="AP130" i="49"/>
  <c r="AO130" i="49"/>
  <c r="AN130" i="49"/>
  <c r="AM130" i="49"/>
  <c r="AL130" i="49"/>
  <c r="AK130" i="49"/>
  <c r="AJ130" i="49"/>
  <c r="AI130" i="49"/>
  <c r="AH130" i="49"/>
  <c r="AG130" i="49"/>
  <c r="AE130" i="49"/>
  <c r="AD130" i="49"/>
  <c r="AC130" i="49"/>
  <c r="AB130" i="49"/>
  <c r="AA130" i="49"/>
  <c r="Z130" i="49"/>
  <c r="Y130" i="49"/>
  <c r="X130" i="49"/>
  <c r="W130" i="49"/>
  <c r="V130" i="49"/>
  <c r="U130" i="49"/>
  <c r="T130" i="49"/>
  <c r="S130" i="49"/>
  <c r="R130" i="49"/>
  <c r="Q130" i="49"/>
  <c r="P130" i="49"/>
  <c r="O130" i="49"/>
  <c r="N130" i="49"/>
  <c r="M130" i="49"/>
  <c r="L130" i="49"/>
  <c r="K130" i="49"/>
  <c r="J130" i="49"/>
  <c r="I130" i="49"/>
  <c r="H130" i="49"/>
  <c r="G130" i="49"/>
  <c r="F130" i="49"/>
  <c r="B130" i="49"/>
  <c r="N127" i="49"/>
  <c r="L127" i="49"/>
  <c r="J127" i="49"/>
  <c r="H127" i="49"/>
  <c r="N126" i="49"/>
  <c r="L126" i="49"/>
  <c r="J126" i="49"/>
  <c r="H126" i="49"/>
  <c r="N125" i="49"/>
  <c r="L125" i="49"/>
  <c r="J125" i="49"/>
  <c r="H125" i="49"/>
  <c r="N124" i="49"/>
  <c r="L124" i="49"/>
  <c r="J124" i="49"/>
  <c r="H124" i="49"/>
  <c r="B112" i="49"/>
  <c r="B111" i="49"/>
  <c r="B110" i="49"/>
  <c r="AS107" i="49"/>
  <c r="AR107" i="49"/>
  <c r="AQ107" i="49"/>
  <c r="AP107" i="49"/>
  <c r="AO107" i="49"/>
  <c r="AN107" i="49"/>
  <c r="AM107" i="49"/>
  <c r="AL107" i="49"/>
  <c r="AK107" i="49"/>
  <c r="AJ107" i="49"/>
  <c r="AI107" i="49"/>
  <c r="AH107" i="49"/>
  <c r="AG107" i="49"/>
  <c r="AE107" i="49"/>
  <c r="AD107" i="49"/>
  <c r="AC107" i="49"/>
  <c r="AB107" i="49"/>
  <c r="AA107" i="49"/>
  <c r="Z107" i="49"/>
  <c r="Y107" i="49"/>
  <c r="X107" i="49"/>
  <c r="W107" i="49"/>
  <c r="V107" i="49"/>
  <c r="U107" i="49"/>
  <c r="T107" i="49"/>
  <c r="S107" i="49"/>
  <c r="R107" i="49"/>
  <c r="Q107" i="49"/>
  <c r="P107" i="49"/>
  <c r="O107" i="49"/>
  <c r="N107" i="49"/>
  <c r="M107" i="49"/>
  <c r="L107" i="49"/>
  <c r="K107" i="49"/>
  <c r="J107" i="49"/>
  <c r="I107" i="49"/>
  <c r="H107" i="49"/>
  <c r="B107" i="49"/>
  <c r="AS106" i="49"/>
  <c r="AR106" i="49"/>
  <c r="AQ106" i="49"/>
  <c r="AP106" i="49"/>
  <c r="AO106" i="49"/>
  <c r="AN106" i="49"/>
  <c r="AM106" i="49"/>
  <c r="AL106" i="49"/>
  <c r="AK106" i="49"/>
  <c r="AJ106" i="49"/>
  <c r="AI106" i="49"/>
  <c r="AH106" i="49"/>
  <c r="AG106" i="49"/>
  <c r="AE106" i="49"/>
  <c r="AD106" i="49"/>
  <c r="AC106" i="49"/>
  <c r="AB106" i="49"/>
  <c r="AA106" i="49"/>
  <c r="Z106" i="49"/>
  <c r="Y106" i="49"/>
  <c r="X106" i="49"/>
  <c r="W106" i="49"/>
  <c r="V106" i="49"/>
  <c r="U106" i="49"/>
  <c r="T106" i="49"/>
  <c r="S106" i="49"/>
  <c r="R106" i="49"/>
  <c r="Q106" i="49"/>
  <c r="P106" i="49"/>
  <c r="O106" i="49"/>
  <c r="N106" i="49"/>
  <c r="M106" i="49"/>
  <c r="L106" i="49"/>
  <c r="K106" i="49"/>
  <c r="J106" i="49"/>
  <c r="I106" i="49"/>
  <c r="H106" i="49"/>
  <c r="G106" i="49"/>
  <c r="F106" i="49"/>
  <c r="B106" i="49"/>
  <c r="AS105" i="49"/>
  <c r="AR105" i="49"/>
  <c r="AQ105" i="49"/>
  <c r="AP105" i="49"/>
  <c r="AO105" i="49"/>
  <c r="AN105" i="49"/>
  <c r="AM105" i="49"/>
  <c r="AL105" i="49"/>
  <c r="AK105" i="49"/>
  <c r="AJ105" i="49"/>
  <c r="AI105" i="49"/>
  <c r="AH105" i="49"/>
  <c r="AG105" i="49"/>
  <c r="AE105" i="49"/>
  <c r="AD105" i="49"/>
  <c r="AC105" i="49"/>
  <c r="AB105" i="49"/>
  <c r="AA105" i="49"/>
  <c r="Z105" i="49"/>
  <c r="Y105" i="49"/>
  <c r="X105" i="49"/>
  <c r="W105" i="49"/>
  <c r="V105" i="49"/>
  <c r="U105" i="49"/>
  <c r="T105" i="49"/>
  <c r="S105" i="49"/>
  <c r="R105" i="49"/>
  <c r="Q105" i="49"/>
  <c r="P105" i="49"/>
  <c r="O105" i="49"/>
  <c r="N105" i="49"/>
  <c r="M105" i="49"/>
  <c r="L105" i="49"/>
  <c r="K105" i="49"/>
  <c r="J105" i="49"/>
  <c r="I105" i="49"/>
  <c r="H105" i="49"/>
  <c r="G105" i="49"/>
  <c r="F105" i="49"/>
  <c r="B105" i="49"/>
  <c r="AG102" i="49"/>
  <c r="N102" i="49"/>
  <c r="L102" i="49"/>
  <c r="J102" i="49"/>
  <c r="H102" i="49"/>
  <c r="B96" i="49"/>
  <c r="B95" i="49"/>
  <c r="B94" i="49"/>
  <c r="AS91" i="49"/>
  <c r="AR91" i="49"/>
  <c r="AQ91" i="49"/>
  <c r="AP91" i="49"/>
  <c r="AO91" i="49"/>
  <c r="AN91" i="49"/>
  <c r="AM91" i="49"/>
  <c r="AL91" i="49"/>
  <c r="AK91" i="49"/>
  <c r="AJ91" i="49"/>
  <c r="AI91" i="49"/>
  <c r="AH91" i="49"/>
  <c r="AG91" i="49"/>
  <c r="AE91" i="49"/>
  <c r="AD91" i="49"/>
  <c r="AC91" i="49"/>
  <c r="AB91" i="49"/>
  <c r="AA91" i="49"/>
  <c r="Z91" i="49"/>
  <c r="Y91" i="49"/>
  <c r="X91" i="49"/>
  <c r="W91" i="49"/>
  <c r="V91" i="49"/>
  <c r="U91" i="49"/>
  <c r="T91" i="49"/>
  <c r="S91" i="49"/>
  <c r="R91" i="49"/>
  <c r="Q91" i="49"/>
  <c r="P91" i="49"/>
  <c r="O91" i="49"/>
  <c r="N91" i="49"/>
  <c r="M91" i="49"/>
  <c r="L91" i="49"/>
  <c r="K91" i="49"/>
  <c r="J91" i="49"/>
  <c r="I91" i="49"/>
  <c r="H91" i="49"/>
  <c r="B91" i="49"/>
  <c r="AS90" i="49"/>
  <c r="AR90" i="49"/>
  <c r="AQ90" i="49"/>
  <c r="AP90" i="49"/>
  <c r="AO90" i="49"/>
  <c r="AN90" i="49"/>
  <c r="AM90" i="49"/>
  <c r="AL90" i="49"/>
  <c r="AK90" i="49"/>
  <c r="AJ90" i="49"/>
  <c r="AI90" i="49"/>
  <c r="AH90" i="49"/>
  <c r="AG90" i="49"/>
  <c r="AE90" i="49"/>
  <c r="AD90" i="49"/>
  <c r="AC90" i="49"/>
  <c r="AB90" i="49"/>
  <c r="AA90" i="49"/>
  <c r="Z90" i="49"/>
  <c r="Y90" i="49"/>
  <c r="X90" i="49"/>
  <c r="W90" i="49"/>
  <c r="V90" i="49"/>
  <c r="U90" i="49"/>
  <c r="T90" i="49"/>
  <c r="S90" i="49"/>
  <c r="R90" i="49"/>
  <c r="Q90" i="49"/>
  <c r="P90" i="49"/>
  <c r="O90" i="49"/>
  <c r="N90" i="49"/>
  <c r="M90" i="49"/>
  <c r="L90" i="49"/>
  <c r="K90" i="49"/>
  <c r="J90" i="49"/>
  <c r="I90" i="49"/>
  <c r="H90" i="49"/>
  <c r="G90" i="49"/>
  <c r="F90" i="49"/>
  <c r="B90" i="49"/>
  <c r="AS89" i="49"/>
  <c r="AR89" i="49"/>
  <c r="AQ89" i="49"/>
  <c r="AP89" i="49"/>
  <c r="AO89" i="49"/>
  <c r="AN89" i="49"/>
  <c r="AM89" i="49"/>
  <c r="AL89" i="49"/>
  <c r="AK89" i="49"/>
  <c r="AJ89" i="49"/>
  <c r="AI89" i="49"/>
  <c r="AH89" i="49"/>
  <c r="AG89" i="49"/>
  <c r="AE89" i="49"/>
  <c r="AD89" i="49"/>
  <c r="AC89" i="49"/>
  <c r="AB89" i="49"/>
  <c r="AA89" i="49"/>
  <c r="Z89" i="49"/>
  <c r="Y89" i="49"/>
  <c r="X89" i="49"/>
  <c r="W89" i="49"/>
  <c r="V89" i="49"/>
  <c r="U89" i="49"/>
  <c r="T89" i="49"/>
  <c r="S89" i="49"/>
  <c r="R89" i="49"/>
  <c r="Q89" i="49"/>
  <c r="P89" i="49"/>
  <c r="O89" i="49"/>
  <c r="N89" i="49"/>
  <c r="M89" i="49"/>
  <c r="L89" i="49"/>
  <c r="K89" i="49"/>
  <c r="J89" i="49"/>
  <c r="I89" i="49"/>
  <c r="H89" i="49"/>
  <c r="G89" i="49"/>
  <c r="F89" i="49"/>
  <c r="B89" i="49"/>
  <c r="AG86" i="49"/>
  <c r="N86" i="49"/>
  <c r="L86" i="49"/>
  <c r="J86" i="49"/>
  <c r="H86" i="49"/>
  <c r="B81" i="49"/>
  <c r="B80" i="49"/>
  <c r="B79" i="49"/>
  <c r="B78" i="49"/>
  <c r="B77" i="49"/>
  <c r="B76" i="49"/>
  <c r="B75" i="49"/>
  <c r="AS72" i="49"/>
  <c r="AR72" i="49"/>
  <c r="AQ72" i="49"/>
  <c r="AP72" i="49"/>
  <c r="AO72" i="49"/>
  <c r="AN72" i="49"/>
  <c r="AM72" i="49"/>
  <c r="AL72" i="49"/>
  <c r="AK72" i="49"/>
  <c r="AJ72" i="49"/>
  <c r="AI72" i="49"/>
  <c r="AH72" i="49"/>
  <c r="AG72" i="49"/>
  <c r="AE72" i="49"/>
  <c r="AD72" i="49"/>
  <c r="AC72" i="49"/>
  <c r="AB72" i="49"/>
  <c r="AA72" i="49"/>
  <c r="Z72" i="49"/>
  <c r="Y72" i="49"/>
  <c r="X72" i="49"/>
  <c r="W72" i="49"/>
  <c r="V72" i="49"/>
  <c r="U72" i="49"/>
  <c r="T72" i="49"/>
  <c r="S72" i="49"/>
  <c r="R72" i="49"/>
  <c r="Q72" i="49"/>
  <c r="P72" i="49"/>
  <c r="O72" i="49"/>
  <c r="N72" i="49"/>
  <c r="M72" i="49"/>
  <c r="L72" i="49"/>
  <c r="K72" i="49"/>
  <c r="J72" i="49"/>
  <c r="I72" i="49"/>
  <c r="H72" i="49"/>
  <c r="G72" i="49"/>
  <c r="F72" i="49"/>
  <c r="B72" i="49"/>
  <c r="AS71" i="49"/>
  <c r="AR71" i="49"/>
  <c r="AQ71" i="49"/>
  <c r="AP71" i="49"/>
  <c r="AO71" i="49"/>
  <c r="AN71" i="49"/>
  <c r="AM71" i="49"/>
  <c r="AL71" i="49"/>
  <c r="AK71" i="49"/>
  <c r="AJ71" i="49"/>
  <c r="AI71" i="49"/>
  <c r="AH71" i="49"/>
  <c r="AG71" i="49"/>
  <c r="AE71" i="49"/>
  <c r="AD71" i="49"/>
  <c r="AC71" i="49"/>
  <c r="AB71" i="49"/>
  <c r="AA71" i="49"/>
  <c r="Z71" i="49"/>
  <c r="Y71" i="49"/>
  <c r="X71" i="49"/>
  <c r="W71" i="49"/>
  <c r="V71" i="49"/>
  <c r="U71" i="49"/>
  <c r="T71" i="49"/>
  <c r="S71" i="49"/>
  <c r="R71" i="49"/>
  <c r="Q71" i="49"/>
  <c r="P71" i="49"/>
  <c r="O71" i="49"/>
  <c r="N71" i="49"/>
  <c r="M71" i="49"/>
  <c r="L71" i="49"/>
  <c r="K71" i="49"/>
  <c r="J71" i="49"/>
  <c r="I71" i="49"/>
  <c r="H71" i="49"/>
  <c r="G71" i="49"/>
  <c r="F71" i="49"/>
  <c r="B71" i="49"/>
  <c r="AS70" i="49"/>
  <c r="AR70" i="49"/>
  <c r="AQ70" i="49"/>
  <c r="AP70" i="49"/>
  <c r="AO70" i="49"/>
  <c r="AN70" i="49"/>
  <c r="AM70" i="49"/>
  <c r="AL70" i="49"/>
  <c r="AK70" i="49"/>
  <c r="AJ70" i="49"/>
  <c r="AI70" i="49"/>
  <c r="AH70" i="49"/>
  <c r="AG70" i="49"/>
  <c r="AE70" i="49"/>
  <c r="AD70" i="49"/>
  <c r="AC70" i="49"/>
  <c r="AB70" i="49"/>
  <c r="AA70" i="49"/>
  <c r="Z70" i="49"/>
  <c r="Y70" i="49"/>
  <c r="X70" i="49"/>
  <c r="W70" i="49"/>
  <c r="V70" i="49"/>
  <c r="U70" i="49"/>
  <c r="T70" i="49"/>
  <c r="S70" i="49"/>
  <c r="R70" i="49"/>
  <c r="Q70" i="49"/>
  <c r="P70" i="49"/>
  <c r="O70" i="49"/>
  <c r="N70" i="49"/>
  <c r="M70" i="49"/>
  <c r="L70" i="49"/>
  <c r="K70" i="49"/>
  <c r="J70" i="49"/>
  <c r="I70" i="49"/>
  <c r="H70" i="49"/>
  <c r="G70" i="49"/>
  <c r="F70" i="49"/>
  <c r="B70" i="49"/>
  <c r="AS69" i="49"/>
  <c r="AR69" i="49"/>
  <c r="AQ69" i="49"/>
  <c r="AP69" i="49"/>
  <c r="AO69" i="49"/>
  <c r="AN69" i="49"/>
  <c r="AM69" i="49"/>
  <c r="AL69" i="49"/>
  <c r="AK69" i="49"/>
  <c r="AJ69" i="49"/>
  <c r="AI69" i="49"/>
  <c r="AH69" i="49"/>
  <c r="AG69" i="49"/>
  <c r="AE69" i="49"/>
  <c r="AD69" i="49"/>
  <c r="AC69" i="49"/>
  <c r="AB69" i="49"/>
  <c r="AA69" i="49"/>
  <c r="Z69" i="49"/>
  <c r="Y69" i="49"/>
  <c r="X69" i="49"/>
  <c r="W69" i="49"/>
  <c r="V69" i="49"/>
  <c r="U69" i="49"/>
  <c r="T69" i="49"/>
  <c r="S69" i="49"/>
  <c r="R69" i="49"/>
  <c r="Q69" i="49"/>
  <c r="P69" i="49"/>
  <c r="O69" i="49"/>
  <c r="N69" i="49"/>
  <c r="M69" i="49"/>
  <c r="L69" i="49"/>
  <c r="K69" i="49"/>
  <c r="J69" i="49"/>
  <c r="I69" i="49"/>
  <c r="H69" i="49"/>
  <c r="G69" i="49"/>
  <c r="F69" i="49"/>
  <c r="B69" i="49"/>
  <c r="AS68" i="49"/>
  <c r="AR68" i="49"/>
  <c r="AQ68" i="49"/>
  <c r="AP68" i="49"/>
  <c r="AO68" i="49"/>
  <c r="AN68" i="49"/>
  <c r="AM68" i="49"/>
  <c r="AL68" i="49"/>
  <c r="AK68" i="49"/>
  <c r="AJ68" i="49"/>
  <c r="AI68" i="49"/>
  <c r="AH68" i="49"/>
  <c r="AG68" i="49"/>
  <c r="AE68" i="49"/>
  <c r="AD68" i="49"/>
  <c r="AC68" i="49"/>
  <c r="AB68" i="49"/>
  <c r="AA68" i="49"/>
  <c r="Z68" i="49"/>
  <c r="Y68" i="49"/>
  <c r="X68" i="49"/>
  <c r="W68" i="49"/>
  <c r="V68" i="49"/>
  <c r="U68" i="49"/>
  <c r="T68" i="49"/>
  <c r="S68" i="49"/>
  <c r="R68" i="49"/>
  <c r="Q68" i="49"/>
  <c r="P68" i="49"/>
  <c r="O68" i="49"/>
  <c r="N68" i="49"/>
  <c r="M68" i="49"/>
  <c r="L68" i="49"/>
  <c r="K68" i="49"/>
  <c r="J68" i="49"/>
  <c r="I68" i="49"/>
  <c r="H68" i="49"/>
  <c r="G68" i="49"/>
  <c r="F68" i="49"/>
  <c r="B68" i="49"/>
  <c r="AS67" i="49"/>
  <c r="AR67" i="49"/>
  <c r="AQ67" i="49"/>
  <c r="AP67" i="49"/>
  <c r="AO67" i="49"/>
  <c r="AN67" i="49"/>
  <c r="AM67" i="49"/>
  <c r="AL67" i="49"/>
  <c r="AK67" i="49"/>
  <c r="AJ67" i="49"/>
  <c r="AI67" i="49"/>
  <c r="AH67" i="49"/>
  <c r="AG67" i="49"/>
  <c r="AE67" i="49"/>
  <c r="AD67" i="49"/>
  <c r="AC67" i="49"/>
  <c r="AB67" i="49"/>
  <c r="AA67" i="49"/>
  <c r="Z67" i="49"/>
  <c r="Y67" i="49"/>
  <c r="X67" i="49"/>
  <c r="W67" i="49"/>
  <c r="V67" i="49"/>
  <c r="U67" i="49"/>
  <c r="T67" i="49"/>
  <c r="S67" i="49"/>
  <c r="R67" i="49"/>
  <c r="Q67" i="49"/>
  <c r="P67" i="49"/>
  <c r="O67" i="49"/>
  <c r="N67" i="49"/>
  <c r="M67" i="49"/>
  <c r="L67" i="49"/>
  <c r="K67" i="49"/>
  <c r="J67" i="49"/>
  <c r="I67" i="49"/>
  <c r="H67" i="49"/>
  <c r="G67" i="49"/>
  <c r="F67" i="49"/>
  <c r="B67" i="49"/>
  <c r="AS66" i="49"/>
  <c r="AR66" i="49"/>
  <c r="AQ66" i="49"/>
  <c r="AP66" i="49"/>
  <c r="AO66" i="49"/>
  <c r="AN66" i="49"/>
  <c r="AM66" i="49"/>
  <c r="AL66" i="49"/>
  <c r="AK66" i="49"/>
  <c r="AJ66" i="49"/>
  <c r="AI66" i="49"/>
  <c r="AH66" i="49"/>
  <c r="AG66" i="49"/>
  <c r="AE66" i="49"/>
  <c r="AD66" i="49"/>
  <c r="AC66" i="49"/>
  <c r="AB66" i="49"/>
  <c r="AA66" i="49"/>
  <c r="Z66" i="49"/>
  <c r="Y66" i="49"/>
  <c r="X66" i="49"/>
  <c r="W66" i="49"/>
  <c r="V66" i="49"/>
  <c r="U66" i="49"/>
  <c r="T66" i="49"/>
  <c r="S66" i="49"/>
  <c r="R66" i="49"/>
  <c r="Q66" i="49"/>
  <c r="P66" i="49"/>
  <c r="O66" i="49"/>
  <c r="N66" i="49"/>
  <c r="M66" i="49"/>
  <c r="L66" i="49"/>
  <c r="K66" i="49"/>
  <c r="J66" i="49"/>
  <c r="I66" i="49"/>
  <c r="H66" i="49"/>
  <c r="G66" i="49"/>
  <c r="F66" i="49"/>
  <c r="B66" i="49"/>
  <c r="AE63" i="49"/>
  <c r="AD63" i="49"/>
  <c r="AC63" i="49"/>
  <c r="AB63" i="49"/>
  <c r="AA63" i="49"/>
  <c r="Z63" i="49"/>
  <c r="Y63" i="49"/>
  <c r="X63" i="49"/>
  <c r="W63" i="49"/>
  <c r="V63" i="49"/>
  <c r="U63" i="49"/>
  <c r="T63" i="49"/>
  <c r="S63" i="49"/>
  <c r="R63" i="49"/>
  <c r="Q63" i="49"/>
  <c r="P63" i="49"/>
  <c r="O63" i="49"/>
  <c r="N63" i="49"/>
  <c r="L63" i="49"/>
  <c r="J63" i="49"/>
  <c r="H63" i="49"/>
  <c r="F63" i="49"/>
  <c r="AE62" i="49"/>
  <c r="AD62" i="49"/>
  <c r="AC62" i="49"/>
  <c r="AB62" i="49"/>
  <c r="AA62" i="49"/>
  <c r="Z62" i="49"/>
  <c r="Y62" i="49"/>
  <c r="X62" i="49"/>
  <c r="W62" i="49"/>
  <c r="V62" i="49"/>
  <c r="U62" i="49"/>
  <c r="T62" i="49"/>
  <c r="S62" i="49"/>
  <c r="R62" i="49"/>
  <c r="Q62" i="49"/>
  <c r="P62" i="49"/>
  <c r="O62" i="49"/>
  <c r="N62" i="49"/>
  <c r="L62" i="49"/>
  <c r="J62" i="49"/>
  <c r="H62" i="49"/>
  <c r="F62" i="49"/>
  <c r="N61" i="49"/>
  <c r="L61" i="49"/>
  <c r="J61" i="49"/>
  <c r="H61" i="49"/>
  <c r="F61" i="49"/>
  <c r="N60" i="49"/>
  <c r="L60" i="49"/>
  <c r="J60" i="49"/>
  <c r="H60" i="49"/>
  <c r="F60" i="49"/>
  <c r="N59" i="49"/>
  <c r="N77" i="49" s="1"/>
  <c r="L59" i="49"/>
  <c r="J59" i="49"/>
  <c r="H59" i="49"/>
  <c r="F59" i="49"/>
  <c r="N57" i="49"/>
  <c r="L57" i="49"/>
  <c r="J57" i="49"/>
  <c r="H57" i="49"/>
  <c r="F57" i="49"/>
  <c r="B54" i="49"/>
  <c r="B53" i="49"/>
  <c r="B52" i="49"/>
  <c r="B51" i="49"/>
  <c r="B50" i="49"/>
  <c r="B49" i="49"/>
  <c r="B48" i="49"/>
  <c r="AS45" i="49"/>
  <c r="AR45" i="49"/>
  <c r="AQ45" i="49"/>
  <c r="AP45" i="49"/>
  <c r="AO45" i="49"/>
  <c r="AN45" i="49"/>
  <c r="AM45" i="49"/>
  <c r="AL45" i="49"/>
  <c r="AK45" i="49"/>
  <c r="AJ45" i="49"/>
  <c r="AI45" i="49"/>
  <c r="AH45" i="49"/>
  <c r="AG45" i="49"/>
  <c r="AE45" i="49"/>
  <c r="AD45" i="49"/>
  <c r="AC45" i="49"/>
  <c r="AB45" i="49"/>
  <c r="AA45" i="49"/>
  <c r="Z45" i="49"/>
  <c r="Y45" i="49"/>
  <c r="X45" i="49"/>
  <c r="W45" i="49"/>
  <c r="V45" i="49"/>
  <c r="U45" i="49"/>
  <c r="T45" i="49"/>
  <c r="S45" i="49"/>
  <c r="R45" i="49"/>
  <c r="Q45" i="49"/>
  <c r="P45" i="49"/>
  <c r="O45" i="49"/>
  <c r="N45" i="49"/>
  <c r="M45" i="49"/>
  <c r="L45" i="49"/>
  <c r="K45" i="49"/>
  <c r="J45" i="49"/>
  <c r="I45" i="49"/>
  <c r="H45" i="49"/>
  <c r="G45" i="49"/>
  <c r="F45" i="49"/>
  <c r="B45" i="49"/>
  <c r="AS44" i="49"/>
  <c r="AR44" i="49"/>
  <c r="AQ44" i="49"/>
  <c r="AP44" i="49"/>
  <c r="AO44" i="49"/>
  <c r="AN44" i="49"/>
  <c r="AM44" i="49"/>
  <c r="AL44" i="49"/>
  <c r="AK44" i="49"/>
  <c r="AJ44" i="49"/>
  <c r="AI44" i="49"/>
  <c r="AH44" i="49"/>
  <c r="AG44" i="49"/>
  <c r="AE44" i="49"/>
  <c r="AD44" i="49"/>
  <c r="AC44" i="49"/>
  <c r="AB44" i="49"/>
  <c r="AA44" i="49"/>
  <c r="Z44" i="49"/>
  <c r="Y44" i="49"/>
  <c r="X44" i="49"/>
  <c r="W44" i="49"/>
  <c r="V44" i="49"/>
  <c r="U44" i="49"/>
  <c r="T44" i="49"/>
  <c r="S44" i="49"/>
  <c r="R44" i="49"/>
  <c r="Q44" i="49"/>
  <c r="P44" i="49"/>
  <c r="O44" i="49"/>
  <c r="N44" i="49"/>
  <c r="M44" i="49"/>
  <c r="L44" i="49"/>
  <c r="K44" i="49"/>
  <c r="J44" i="49"/>
  <c r="I44" i="49"/>
  <c r="H44" i="49"/>
  <c r="G44" i="49"/>
  <c r="F44" i="49"/>
  <c r="B44" i="49"/>
  <c r="AS43" i="49"/>
  <c r="AR43" i="49"/>
  <c r="AQ43" i="49"/>
  <c r="AP43" i="49"/>
  <c r="AO43" i="49"/>
  <c r="AN43" i="49"/>
  <c r="AM43" i="49"/>
  <c r="AL43" i="49"/>
  <c r="AK43" i="49"/>
  <c r="AJ43" i="49"/>
  <c r="AI43" i="49"/>
  <c r="AH43" i="49"/>
  <c r="AG43" i="49"/>
  <c r="AE43" i="49"/>
  <c r="AD43" i="49"/>
  <c r="AC43" i="49"/>
  <c r="AB43" i="49"/>
  <c r="AA43" i="49"/>
  <c r="Z43" i="49"/>
  <c r="Y43" i="49"/>
  <c r="X43" i="49"/>
  <c r="W43" i="49"/>
  <c r="V43" i="49"/>
  <c r="U43" i="49"/>
  <c r="T43" i="49"/>
  <c r="S43" i="49"/>
  <c r="R43" i="49"/>
  <c r="Q43" i="49"/>
  <c r="P43" i="49"/>
  <c r="O43" i="49"/>
  <c r="N43" i="49"/>
  <c r="M43" i="49"/>
  <c r="L43" i="49"/>
  <c r="K43" i="49"/>
  <c r="J43" i="49"/>
  <c r="I43" i="49"/>
  <c r="H43" i="49"/>
  <c r="G43" i="49"/>
  <c r="F43" i="49"/>
  <c r="B43" i="49"/>
  <c r="AS42" i="49"/>
  <c r="AR42" i="49"/>
  <c r="AQ42" i="49"/>
  <c r="AP42" i="49"/>
  <c r="AO42" i="49"/>
  <c r="AN42" i="49"/>
  <c r="AM42" i="49"/>
  <c r="AL42" i="49"/>
  <c r="AK42" i="49"/>
  <c r="AJ42" i="49"/>
  <c r="AI42" i="49"/>
  <c r="AH42" i="49"/>
  <c r="AG42" i="49"/>
  <c r="AE42" i="49"/>
  <c r="AD42" i="49"/>
  <c r="AC42" i="49"/>
  <c r="AB42" i="49"/>
  <c r="AA42" i="49"/>
  <c r="Z42" i="49"/>
  <c r="Y42" i="49"/>
  <c r="X42" i="49"/>
  <c r="W42" i="49"/>
  <c r="V42" i="49"/>
  <c r="U42" i="49"/>
  <c r="T42" i="49"/>
  <c r="S42" i="49"/>
  <c r="R42" i="49"/>
  <c r="Q42" i="49"/>
  <c r="P42" i="49"/>
  <c r="O42" i="49"/>
  <c r="N42" i="49"/>
  <c r="M42" i="49"/>
  <c r="L42" i="49"/>
  <c r="K42" i="49"/>
  <c r="J42" i="49"/>
  <c r="I42" i="49"/>
  <c r="H42" i="49"/>
  <c r="G42" i="49"/>
  <c r="F42" i="49"/>
  <c r="B42" i="49"/>
  <c r="AS41" i="49"/>
  <c r="AR41" i="49"/>
  <c r="AQ41" i="49"/>
  <c r="AP41" i="49"/>
  <c r="AO41" i="49"/>
  <c r="AN41" i="49"/>
  <c r="AM41" i="49"/>
  <c r="AL41" i="49"/>
  <c r="AK41" i="49"/>
  <c r="AJ41" i="49"/>
  <c r="AI41" i="49"/>
  <c r="AH41" i="49"/>
  <c r="AG41" i="49"/>
  <c r="AE41" i="49"/>
  <c r="AD41" i="49"/>
  <c r="AC41" i="49"/>
  <c r="AB41" i="49"/>
  <c r="AA41" i="49"/>
  <c r="Z41" i="49"/>
  <c r="Y41" i="49"/>
  <c r="X41" i="49"/>
  <c r="W41" i="49"/>
  <c r="V41" i="49"/>
  <c r="U41" i="49"/>
  <c r="T41" i="49"/>
  <c r="S41" i="49"/>
  <c r="R41" i="49"/>
  <c r="Q41" i="49"/>
  <c r="P41" i="49"/>
  <c r="O41" i="49"/>
  <c r="N41" i="49"/>
  <c r="M41" i="49"/>
  <c r="L41" i="49"/>
  <c r="K41" i="49"/>
  <c r="J41" i="49"/>
  <c r="I41" i="49"/>
  <c r="H41" i="49"/>
  <c r="G41" i="49"/>
  <c r="F41" i="49"/>
  <c r="B41" i="49"/>
  <c r="AS40" i="49"/>
  <c r="AR40" i="49"/>
  <c r="AQ40" i="49"/>
  <c r="AP40" i="49"/>
  <c r="AO40" i="49"/>
  <c r="AN40" i="49"/>
  <c r="AM40" i="49"/>
  <c r="AL40" i="49"/>
  <c r="AK40" i="49"/>
  <c r="AJ40" i="49"/>
  <c r="AI40" i="49"/>
  <c r="AH40" i="49"/>
  <c r="AG40" i="49"/>
  <c r="AE40" i="49"/>
  <c r="AD40" i="49"/>
  <c r="AC40" i="49"/>
  <c r="AB40" i="49"/>
  <c r="AA40" i="49"/>
  <c r="Z40" i="49"/>
  <c r="Y40" i="49"/>
  <c r="X40" i="49"/>
  <c r="W40" i="49"/>
  <c r="V40" i="49"/>
  <c r="U40" i="49"/>
  <c r="T40" i="49"/>
  <c r="S40" i="49"/>
  <c r="R40" i="49"/>
  <c r="Q40" i="49"/>
  <c r="P40" i="49"/>
  <c r="O40" i="49"/>
  <c r="N40" i="49"/>
  <c r="M40" i="49"/>
  <c r="L40" i="49"/>
  <c r="K40" i="49"/>
  <c r="J40" i="49"/>
  <c r="I40" i="49"/>
  <c r="H40" i="49"/>
  <c r="G40" i="49"/>
  <c r="F40" i="49"/>
  <c r="B40" i="49"/>
  <c r="AS39" i="49"/>
  <c r="AR39" i="49"/>
  <c r="AQ39" i="49"/>
  <c r="AP39" i="49"/>
  <c r="AO39" i="49"/>
  <c r="AN39" i="49"/>
  <c r="AM39" i="49"/>
  <c r="AL39" i="49"/>
  <c r="AK39" i="49"/>
  <c r="AJ39" i="49"/>
  <c r="AI39" i="49"/>
  <c r="AH39" i="49"/>
  <c r="AG39" i="49"/>
  <c r="AE39" i="49"/>
  <c r="AD39" i="49"/>
  <c r="AC39" i="49"/>
  <c r="AB39" i="49"/>
  <c r="AA39" i="49"/>
  <c r="Z39" i="49"/>
  <c r="Y39" i="49"/>
  <c r="X39" i="49"/>
  <c r="W39" i="49"/>
  <c r="V39" i="49"/>
  <c r="U39" i="49"/>
  <c r="T39" i="49"/>
  <c r="S39" i="49"/>
  <c r="R39" i="49"/>
  <c r="Q39" i="49"/>
  <c r="P39" i="49"/>
  <c r="O39" i="49"/>
  <c r="N39" i="49"/>
  <c r="M39" i="49"/>
  <c r="L39" i="49"/>
  <c r="K39" i="49"/>
  <c r="J39" i="49"/>
  <c r="I39" i="49"/>
  <c r="H39" i="49"/>
  <c r="G39" i="49"/>
  <c r="F39" i="49"/>
  <c r="B39" i="49"/>
  <c r="AE36" i="49"/>
  <c r="AD36" i="49"/>
  <c r="AC36" i="49"/>
  <c r="AB36" i="49"/>
  <c r="AA36" i="49"/>
  <c r="Z36" i="49"/>
  <c r="Y36" i="49"/>
  <c r="X36" i="49"/>
  <c r="W36" i="49"/>
  <c r="V36" i="49"/>
  <c r="U36" i="49"/>
  <c r="T36" i="49"/>
  <c r="S36" i="49"/>
  <c r="R36" i="49"/>
  <c r="Q36" i="49"/>
  <c r="P36" i="49"/>
  <c r="O36" i="49"/>
  <c r="N36" i="49"/>
  <c r="L36" i="49"/>
  <c r="J36" i="49"/>
  <c r="H36" i="49"/>
  <c r="F36" i="49"/>
  <c r="AE35" i="49"/>
  <c r="AD35" i="49"/>
  <c r="AC35" i="49"/>
  <c r="AB35" i="49"/>
  <c r="AA35" i="49"/>
  <c r="Z35" i="49"/>
  <c r="Y35" i="49"/>
  <c r="X35" i="49"/>
  <c r="W35" i="49"/>
  <c r="V35" i="49"/>
  <c r="U35" i="49"/>
  <c r="T35" i="49"/>
  <c r="S35" i="49"/>
  <c r="R35" i="49"/>
  <c r="Q35" i="49"/>
  <c r="P35" i="49"/>
  <c r="O35" i="49"/>
  <c r="N35" i="49"/>
  <c r="L35" i="49"/>
  <c r="J35" i="49"/>
  <c r="H35" i="49"/>
  <c r="F35" i="49"/>
  <c r="N34" i="49"/>
  <c r="L34" i="49"/>
  <c r="J34" i="49"/>
  <c r="H34" i="49"/>
  <c r="F34" i="49"/>
  <c r="N33" i="49"/>
  <c r="L33" i="49"/>
  <c r="J33" i="49"/>
  <c r="H33" i="49"/>
  <c r="F33" i="49"/>
  <c r="N32" i="49"/>
  <c r="N50" i="49" s="1"/>
  <c r="L32" i="49"/>
  <c r="J32" i="49"/>
  <c r="H32" i="49"/>
  <c r="F32" i="49"/>
  <c r="N30" i="49"/>
  <c r="L30" i="49"/>
  <c r="J30" i="49"/>
  <c r="H30" i="49"/>
  <c r="F30" i="49"/>
  <c r="B27" i="49"/>
  <c r="B26" i="49"/>
  <c r="B25" i="49"/>
  <c r="B24" i="49"/>
  <c r="B23" i="49"/>
  <c r="AS20" i="49"/>
  <c r="AR20" i="49"/>
  <c r="AQ20" i="49"/>
  <c r="AP20" i="49"/>
  <c r="AO20" i="49"/>
  <c r="AN20" i="49"/>
  <c r="AM20" i="49"/>
  <c r="AL20" i="49"/>
  <c r="AK20" i="49"/>
  <c r="AJ20" i="49"/>
  <c r="AI20" i="49"/>
  <c r="AH20" i="49"/>
  <c r="AG20" i="49"/>
  <c r="AE20" i="49"/>
  <c r="AD20" i="49"/>
  <c r="AC20" i="49"/>
  <c r="AB20" i="49"/>
  <c r="AA20" i="49"/>
  <c r="Z20" i="49"/>
  <c r="Y20" i="49"/>
  <c r="X20" i="49"/>
  <c r="W20" i="49"/>
  <c r="V20" i="49"/>
  <c r="U20" i="49"/>
  <c r="T20" i="49"/>
  <c r="S20" i="49"/>
  <c r="R20" i="49"/>
  <c r="Q20" i="49"/>
  <c r="P20" i="49"/>
  <c r="O20" i="49"/>
  <c r="N20" i="49"/>
  <c r="M20" i="49"/>
  <c r="L20" i="49"/>
  <c r="K20" i="49"/>
  <c r="J20" i="49"/>
  <c r="I20" i="49"/>
  <c r="H20" i="49"/>
  <c r="G20" i="49"/>
  <c r="F20" i="49"/>
  <c r="B20" i="49"/>
  <c r="B19" i="49"/>
  <c r="B18" i="49"/>
  <c r="B17" i="49"/>
  <c r="B16" i="49"/>
  <c r="AE13" i="49"/>
  <c r="AD13" i="49"/>
  <c r="AS13" i="49" s="1"/>
  <c r="AC13" i="49"/>
  <c r="AB13" i="49"/>
  <c r="AR13" i="49" s="1"/>
  <c r="AA13" i="49"/>
  <c r="Z13" i="49"/>
  <c r="AQ13" i="49" s="1"/>
  <c r="Y13" i="49"/>
  <c r="X13" i="49"/>
  <c r="W13" i="49"/>
  <c r="V13" i="49"/>
  <c r="U13" i="49"/>
  <c r="T13" i="49"/>
  <c r="AN13" i="49" s="1"/>
  <c r="S13" i="49"/>
  <c r="R13" i="49"/>
  <c r="AM13" i="49" s="1"/>
  <c r="Q13" i="49"/>
  <c r="P13" i="49"/>
  <c r="AL13" i="49" s="1"/>
  <c r="O13" i="49"/>
  <c r="N13" i="49"/>
  <c r="AK13" i="49" s="1"/>
  <c r="M13" i="49"/>
  <c r="L13" i="49"/>
  <c r="K13" i="49"/>
  <c r="J13" i="49"/>
  <c r="I13" i="49"/>
  <c r="H13" i="49"/>
  <c r="G13" i="49"/>
  <c r="F13" i="49"/>
  <c r="N12" i="49"/>
  <c r="L12" i="49"/>
  <c r="J12" i="49"/>
  <c r="H12" i="49"/>
  <c r="F12" i="49"/>
  <c r="N11" i="49"/>
  <c r="L11" i="49"/>
  <c r="J11" i="49"/>
  <c r="H11" i="49"/>
  <c r="F11" i="49"/>
  <c r="N10" i="49"/>
  <c r="L10" i="49"/>
  <c r="J10" i="49"/>
  <c r="I10" i="49"/>
  <c r="H10" i="49"/>
  <c r="G10" i="49"/>
  <c r="F10" i="49"/>
  <c r="N9" i="49"/>
  <c r="L9" i="49"/>
  <c r="J9" i="49"/>
  <c r="I9" i="49"/>
  <c r="H9" i="49"/>
  <c r="G9" i="49"/>
  <c r="F9" i="49"/>
  <c r="DO6" i="49"/>
  <c r="DP6" i="49" s="1"/>
  <c r="DQ6" i="49" s="1"/>
  <c r="DR6" i="49" s="1"/>
  <c r="DS6" i="49" s="1"/>
  <c r="DT6" i="49" s="1"/>
  <c r="DU6" i="49" s="1"/>
  <c r="DV6" i="49" s="1"/>
  <c r="DW6" i="49" s="1"/>
  <c r="DX6" i="49" s="1"/>
  <c r="DY6" i="49" s="1"/>
  <c r="DZ6" i="49" s="1"/>
  <c r="CN6" i="49"/>
  <c r="CO6" i="49" s="1"/>
  <c r="CP6" i="49" s="1"/>
  <c r="CQ6" i="49" s="1"/>
  <c r="CR6" i="49" s="1"/>
  <c r="CS6" i="49" s="1"/>
  <c r="CT6" i="49" s="1"/>
  <c r="CU6" i="49" s="1"/>
  <c r="CV6" i="49" s="1"/>
  <c r="CW6" i="49" s="1"/>
  <c r="CX6" i="49" s="1"/>
  <c r="CY6" i="49" s="1"/>
  <c r="CZ6" i="49" s="1"/>
  <c r="DA6" i="49" s="1"/>
  <c r="DB6" i="49" s="1"/>
  <c r="DC6" i="49" s="1"/>
  <c r="DD6" i="49" s="1"/>
  <c r="DE6" i="49" s="1"/>
  <c r="DF6" i="49" s="1"/>
  <c r="DG6" i="49" s="1"/>
  <c r="DH6" i="49" s="1"/>
  <c r="DI6" i="49" s="1"/>
  <c r="DJ6" i="49" s="1"/>
  <c r="DK6" i="49" s="1"/>
  <c r="DL6" i="49" s="1"/>
  <c r="AH6" i="49"/>
  <c r="AI6" i="49" s="1"/>
  <c r="AJ6" i="49" s="1"/>
  <c r="AK6" i="49" s="1"/>
  <c r="AL6" i="49" s="1"/>
  <c r="AM6" i="49" s="1"/>
  <c r="AN6" i="49" s="1"/>
  <c r="AO6" i="49" s="1"/>
  <c r="AP6" i="49" s="1"/>
  <c r="AQ6" i="49" s="1"/>
  <c r="AR6" i="49" s="1"/>
  <c r="AS6" i="49" s="1"/>
  <c r="G6" i="49"/>
  <c r="H6" i="49" s="1"/>
  <c r="I6" i="49" s="1"/>
  <c r="J6" i="49" s="1"/>
  <c r="K6" i="49" s="1"/>
  <c r="L6" i="49" s="1"/>
  <c r="M6" i="49" s="1"/>
  <c r="N6" i="49" s="1"/>
  <c r="O6" i="49" s="1"/>
  <c r="P6" i="49" s="1"/>
  <c r="Q6" i="49" s="1"/>
  <c r="R6" i="49" s="1"/>
  <c r="S6" i="49" s="1"/>
  <c r="T6" i="49" s="1"/>
  <c r="U6" i="49" s="1"/>
  <c r="V6" i="49" s="1"/>
  <c r="W6" i="49" s="1"/>
  <c r="X6" i="49" s="1"/>
  <c r="Y6" i="49" s="1"/>
  <c r="Z6" i="49" s="1"/>
  <c r="AA6" i="49" s="1"/>
  <c r="AB6" i="49" s="1"/>
  <c r="AC6" i="49" s="1"/>
  <c r="AD6" i="49" s="1"/>
  <c r="AE6" i="49" s="1"/>
  <c r="AI474" i="42"/>
  <c r="AH474" i="42"/>
  <c r="AI473" i="42"/>
  <c r="AH473" i="42"/>
  <c r="AI472" i="42"/>
  <c r="AH472" i="42"/>
  <c r="AI471" i="42"/>
  <c r="AH471" i="42"/>
  <c r="D470" i="42"/>
  <c r="C470" i="42"/>
  <c r="AM469" i="42"/>
  <c r="J469" i="42"/>
  <c r="I469" i="42"/>
  <c r="D469" i="42"/>
  <c r="C469" i="42"/>
  <c r="D466" i="42"/>
  <c r="C466" i="42"/>
  <c r="AM465" i="42"/>
  <c r="J465" i="42"/>
  <c r="I465" i="42"/>
  <c r="D465" i="42"/>
  <c r="C465" i="42"/>
  <c r="D462" i="42"/>
  <c r="C462" i="42"/>
  <c r="AM461" i="42"/>
  <c r="J461" i="42"/>
  <c r="I461" i="42"/>
  <c r="D461" i="42"/>
  <c r="C461" i="42"/>
  <c r="D458" i="42"/>
  <c r="C458" i="42"/>
  <c r="AM457" i="42"/>
  <c r="J457" i="42"/>
  <c r="I457" i="42"/>
  <c r="D457" i="42"/>
  <c r="C457" i="42"/>
  <c r="AL454" i="42"/>
  <c r="G454" i="42"/>
  <c r="AX453" i="42"/>
  <c r="AW453" i="42"/>
  <c r="AV453" i="42"/>
  <c r="AU453" i="42"/>
  <c r="AT453" i="42"/>
  <c r="AS453" i="42"/>
  <c r="AR453" i="42"/>
  <c r="AQ453" i="42"/>
  <c r="AP453" i="42"/>
  <c r="AO453" i="42"/>
  <c r="AN453" i="42"/>
  <c r="AM453" i="42"/>
  <c r="AL453" i="42"/>
  <c r="AK453" i="42"/>
  <c r="AF453" i="42"/>
  <c r="AE453" i="42"/>
  <c r="AD453" i="42"/>
  <c r="AC453" i="42"/>
  <c r="AB453" i="42"/>
  <c r="AA453" i="42"/>
  <c r="Z453" i="42"/>
  <c r="Y453" i="42"/>
  <c r="X453" i="42"/>
  <c r="W453" i="42"/>
  <c r="V453" i="42"/>
  <c r="U453" i="42"/>
  <c r="T453" i="42"/>
  <c r="S453" i="42"/>
  <c r="R453" i="42"/>
  <c r="Q453" i="42"/>
  <c r="P453" i="42"/>
  <c r="O453" i="42"/>
  <c r="N453" i="42"/>
  <c r="M453" i="42"/>
  <c r="L453" i="42"/>
  <c r="K453" i="42"/>
  <c r="J453" i="42"/>
  <c r="I453" i="42"/>
  <c r="H453" i="42"/>
  <c r="G453" i="42"/>
  <c r="F453" i="42"/>
  <c r="AI450" i="42"/>
  <c r="AH450" i="42"/>
  <c r="AI449" i="42"/>
  <c r="AH449" i="42"/>
  <c r="C448" i="42"/>
  <c r="AH448" i="42" s="1"/>
  <c r="AI447" i="42" a="1"/>
  <c r="AI447" i="42" s="1"/>
  <c r="D447" i="42" a="1"/>
  <c r="D447" i="42" s="1"/>
  <c r="C447" i="42"/>
  <c r="AH447" i="42" s="1"/>
  <c r="AI446" i="42"/>
  <c r="AH446" i="42"/>
  <c r="AI445" i="42"/>
  <c r="AH445" i="42"/>
  <c r="C444" i="42"/>
  <c r="AH444" i="42" s="1"/>
  <c r="AI443" i="42" a="1"/>
  <c r="AI443" i="42" s="1"/>
  <c r="D443" i="42" a="1"/>
  <c r="D443" i="42" s="1"/>
  <c r="C443" i="42"/>
  <c r="AH443" i="42" s="1"/>
  <c r="AI442" i="42"/>
  <c r="AH442" i="42"/>
  <c r="AI441" i="42"/>
  <c r="AH441" i="42"/>
  <c r="C440" i="42"/>
  <c r="AH440" i="42" s="1"/>
  <c r="AI439" i="42" a="1"/>
  <c r="AI439" i="42" s="1"/>
  <c r="D439" i="42" a="1"/>
  <c r="D439" i="42" s="1"/>
  <c r="C439" i="42"/>
  <c r="AH439" i="42" s="1"/>
  <c r="AI438" i="42"/>
  <c r="AH438" i="42"/>
  <c r="AI437" i="42"/>
  <c r="AH437" i="42"/>
  <c r="C436" i="42"/>
  <c r="AH436" i="42" s="1"/>
  <c r="AI435" i="42" a="1"/>
  <c r="AI435" i="42" s="1"/>
  <c r="D435" i="42" a="1"/>
  <c r="D435" i="42" s="1"/>
  <c r="C435" i="42"/>
  <c r="AH435" i="42" s="1"/>
  <c r="AI434" i="42"/>
  <c r="AH434" i="42"/>
  <c r="AI433" i="42"/>
  <c r="AH433" i="42"/>
  <c r="C432" i="42"/>
  <c r="AH432" i="42" s="1"/>
  <c r="AI431" i="42" a="1"/>
  <c r="AI431" i="42" s="1"/>
  <c r="D431" i="42" a="1"/>
  <c r="D431" i="42" s="1"/>
  <c r="C431" i="42"/>
  <c r="AH431" i="42" s="1"/>
  <c r="AI430" i="42"/>
  <c r="AH430" i="42"/>
  <c r="AI429" i="42"/>
  <c r="AH429" i="42"/>
  <c r="C428" i="42"/>
  <c r="AH428" i="42" s="1"/>
  <c r="AI427" i="42" a="1"/>
  <c r="AI427" i="42" s="1"/>
  <c r="D427" i="42" a="1"/>
  <c r="D427" i="42" s="1"/>
  <c r="C427" i="42"/>
  <c r="AH427" i="42" s="1"/>
  <c r="AI426" i="42"/>
  <c r="AH426" i="42"/>
  <c r="AI425" i="42"/>
  <c r="AH425" i="42"/>
  <c r="C424" i="42"/>
  <c r="AH424" i="42" s="1"/>
  <c r="AI423" i="42" a="1"/>
  <c r="AI423" i="42" s="1"/>
  <c r="D423" i="42" a="1"/>
  <c r="D423" i="42" s="1"/>
  <c r="C423" i="42"/>
  <c r="AH423" i="42" s="1"/>
  <c r="AI422" i="42"/>
  <c r="AH422" i="42"/>
  <c r="AI421" i="42"/>
  <c r="AH421" i="42"/>
  <c r="C420" i="42"/>
  <c r="AH420" i="42" s="1"/>
  <c r="AI419" i="42" a="1"/>
  <c r="AI419" i="42" s="1"/>
  <c r="D419" i="42" a="1"/>
  <c r="D419" i="42" s="1"/>
  <c r="C419" i="42"/>
  <c r="AH419" i="42" s="1"/>
  <c r="AI418" i="42"/>
  <c r="AH418" i="42"/>
  <c r="AI417" i="42"/>
  <c r="AH417" i="42"/>
  <c r="C416" i="42"/>
  <c r="AH416" i="42" s="1"/>
  <c r="AI415" i="42" a="1"/>
  <c r="AI415" i="42" s="1"/>
  <c r="D415" i="42" a="1"/>
  <c r="D415" i="42" s="1"/>
  <c r="C415" i="42"/>
  <c r="AH415" i="42" s="1"/>
  <c r="AL414" i="42"/>
  <c r="G414" i="42"/>
  <c r="AX413" i="42"/>
  <c r="AW413" i="42"/>
  <c r="AV413" i="42"/>
  <c r="AU413" i="42"/>
  <c r="AT413" i="42"/>
  <c r="AS413" i="42"/>
  <c r="AR413" i="42"/>
  <c r="AQ413" i="42"/>
  <c r="AP413" i="42"/>
  <c r="AO413" i="42"/>
  <c r="AN413" i="42"/>
  <c r="AM413" i="42"/>
  <c r="AL413" i="42"/>
  <c r="AK413" i="42"/>
  <c r="AF413" i="42"/>
  <c r="AE413" i="42"/>
  <c r="AD413" i="42"/>
  <c r="AC413" i="42"/>
  <c r="AB413" i="42"/>
  <c r="AA413" i="42"/>
  <c r="Z413" i="42"/>
  <c r="Y413" i="42"/>
  <c r="X413" i="42"/>
  <c r="W413" i="42"/>
  <c r="V413" i="42"/>
  <c r="U413" i="42"/>
  <c r="T413" i="42"/>
  <c r="S413" i="42"/>
  <c r="R413" i="42"/>
  <c r="Q413" i="42"/>
  <c r="P413" i="42"/>
  <c r="O413" i="42"/>
  <c r="N413" i="42"/>
  <c r="M413" i="42"/>
  <c r="L413" i="42"/>
  <c r="K413" i="42"/>
  <c r="J413" i="42"/>
  <c r="I413" i="42"/>
  <c r="H413" i="42"/>
  <c r="G413" i="42"/>
  <c r="F413" i="42"/>
  <c r="AI410" i="42"/>
  <c r="AH410" i="42"/>
  <c r="AI409" i="42"/>
  <c r="AH409" i="42"/>
  <c r="C408" i="42"/>
  <c r="AH408" i="42" s="1"/>
  <c r="AI407" i="42" a="1"/>
  <c r="AI407" i="42" s="1"/>
  <c r="D407" i="42" a="1"/>
  <c r="D407" i="42" s="1"/>
  <c r="C407" i="42"/>
  <c r="AH407" i="42" s="1"/>
  <c r="AI406" i="42"/>
  <c r="AH406" i="42"/>
  <c r="AI405" i="42"/>
  <c r="AH405" i="42"/>
  <c r="C404" i="42"/>
  <c r="AH404" i="42" s="1"/>
  <c r="AI403" i="42" a="1"/>
  <c r="AI403" i="42" s="1"/>
  <c r="D403" i="42" a="1"/>
  <c r="D403" i="42" s="1"/>
  <c r="C403" i="42"/>
  <c r="AH403" i="42" s="1"/>
  <c r="AI402" i="42"/>
  <c r="AH402" i="42"/>
  <c r="AI401" i="42"/>
  <c r="AH401" i="42"/>
  <c r="C400" i="42"/>
  <c r="AH400" i="42" s="1"/>
  <c r="AI399" i="42" a="1"/>
  <c r="AI399" i="42" s="1"/>
  <c r="D399" i="42" a="1"/>
  <c r="D399" i="42" s="1"/>
  <c r="C399" i="42"/>
  <c r="AH399" i="42" s="1"/>
  <c r="AI398" i="42"/>
  <c r="AH398" i="42"/>
  <c r="AI397" i="42"/>
  <c r="AH397" i="42"/>
  <c r="C396" i="42"/>
  <c r="AH396" i="42" s="1"/>
  <c r="AI395" i="42" a="1"/>
  <c r="AI395" i="42" s="1"/>
  <c r="D395" i="42" a="1"/>
  <c r="D395" i="42" s="1"/>
  <c r="C395" i="42"/>
  <c r="AH395" i="42" s="1"/>
  <c r="AI394" i="42"/>
  <c r="AI470" i="42" s="1"/>
  <c r="AH394" i="42"/>
  <c r="AH470" i="42" s="1"/>
  <c r="AI393" i="42"/>
  <c r="AI469" i="42" s="1"/>
  <c r="AH393" i="42"/>
  <c r="AH469" i="42" s="1"/>
  <c r="C392" i="42"/>
  <c r="C468" i="42" s="1"/>
  <c r="AI391" i="42" a="1"/>
  <c r="AI391" i="42" s="1"/>
  <c r="AI467" i="42" s="1"/>
  <c r="D391" i="42" a="1"/>
  <c r="D391" i="42" s="1"/>
  <c r="D467" i="42" s="1"/>
  <c r="C391" i="42"/>
  <c r="C467" i="42" s="1"/>
  <c r="AI390" i="42"/>
  <c r="AH390" i="42"/>
  <c r="AI389" i="42"/>
  <c r="AH389" i="42"/>
  <c r="C388" i="42"/>
  <c r="AH388" i="42" s="1"/>
  <c r="AI387" i="42" a="1"/>
  <c r="AI387" i="42" s="1"/>
  <c r="D387" i="42" a="1"/>
  <c r="D387" i="42" s="1"/>
  <c r="C387" i="42"/>
  <c r="AH387" i="42" s="1"/>
  <c r="AI386" i="42"/>
  <c r="AH386" i="42"/>
  <c r="AI385" i="42"/>
  <c r="AH385" i="42"/>
  <c r="C384" i="42"/>
  <c r="AH384" i="42" s="1"/>
  <c r="AI383" i="42" a="1"/>
  <c r="AI383" i="42" s="1"/>
  <c r="D383" i="42" a="1"/>
  <c r="D383" i="42" s="1"/>
  <c r="C383" i="42"/>
  <c r="AH383" i="42" s="1"/>
  <c r="AI382" i="42"/>
  <c r="AH382" i="42"/>
  <c r="AI381" i="42"/>
  <c r="AH381" i="42"/>
  <c r="C380" i="42"/>
  <c r="AH380" i="42" s="1"/>
  <c r="AI379" i="42" a="1"/>
  <c r="AI379" i="42" s="1"/>
  <c r="D379" i="42" a="1"/>
  <c r="D379" i="42" s="1"/>
  <c r="C379" i="42"/>
  <c r="AH379" i="42" s="1"/>
  <c r="AI378" i="42"/>
  <c r="AH378" i="42"/>
  <c r="AI377" i="42"/>
  <c r="AH377" i="42"/>
  <c r="C376" i="42"/>
  <c r="AH376" i="42" s="1"/>
  <c r="AI375" i="42" a="1"/>
  <c r="AI375" i="42" s="1"/>
  <c r="D375" i="42" a="1"/>
  <c r="D375" i="42" s="1"/>
  <c r="C375" i="42"/>
  <c r="AH375" i="42" s="1"/>
  <c r="AI374" i="42"/>
  <c r="AI466" i="42" s="1"/>
  <c r="AH374" i="42"/>
  <c r="AH466" i="42" s="1"/>
  <c r="AI373" i="42"/>
  <c r="AI465" i="42" s="1"/>
  <c r="AH373" i="42"/>
  <c r="AH465" i="42" s="1"/>
  <c r="C372" i="42"/>
  <c r="AI371" i="42" a="1"/>
  <c r="AI371" i="42" s="1"/>
  <c r="AI463" i="42" s="1"/>
  <c r="D371" i="42" a="1"/>
  <c r="D371" i="42" s="1"/>
  <c r="D463" i="42" s="1"/>
  <c r="C371" i="42"/>
  <c r="AI370" i="42"/>
  <c r="AH370" i="42"/>
  <c r="AI369" i="42"/>
  <c r="AH369" i="42"/>
  <c r="C368" i="42"/>
  <c r="AH368" i="42" s="1"/>
  <c r="AI367" i="42" a="1"/>
  <c r="AI367" i="42" s="1"/>
  <c r="D367" i="42" a="1"/>
  <c r="D367" i="42" s="1"/>
  <c r="C367" i="42"/>
  <c r="AH367" i="42" s="1"/>
  <c r="AI366" i="42"/>
  <c r="AI462" i="42" s="1"/>
  <c r="AH366" i="42"/>
  <c r="AH462" i="42" s="1"/>
  <c r="AI365" i="42"/>
  <c r="AI461" i="42" s="1"/>
  <c r="AH365" i="42"/>
  <c r="AH461" i="42" s="1"/>
  <c r="C364" i="42"/>
  <c r="AI363" i="42" a="1"/>
  <c r="AI363" i="42" s="1"/>
  <c r="AI459" i="42" s="1"/>
  <c r="D363" i="42" a="1"/>
  <c r="D363" i="42" s="1"/>
  <c r="D459" i="42" s="1"/>
  <c r="C363" i="42"/>
  <c r="C459" i="42" s="1"/>
  <c r="AI362" i="42"/>
  <c r="AH362" i="42"/>
  <c r="AI361" i="42"/>
  <c r="AH361" i="42"/>
  <c r="C360" i="42"/>
  <c r="AH360" i="42" s="1"/>
  <c r="AI359" i="42" a="1"/>
  <c r="AI359" i="42" s="1"/>
  <c r="D359" i="42" a="1"/>
  <c r="D359" i="42" s="1"/>
  <c r="C359" i="42"/>
  <c r="AH359" i="42" s="1"/>
  <c r="AI358" i="42"/>
  <c r="AH358" i="42"/>
  <c r="AI357" i="42"/>
  <c r="AH357" i="42"/>
  <c r="C356" i="42"/>
  <c r="AH356" i="42" s="1"/>
  <c r="AI355" i="42" a="1"/>
  <c r="AI355" i="42" s="1"/>
  <c r="D355" i="42" a="1"/>
  <c r="D355" i="42" s="1"/>
  <c r="C355" i="42"/>
  <c r="AH355" i="42" s="1"/>
  <c r="AI354" i="42"/>
  <c r="AH354" i="42"/>
  <c r="AI353" i="42"/>
  <c r="AH353" i="42"/>
  <c r="C352" i="42"/>
  <c r="AH352" i="42" s="1"/>
  <c r="AI351" i="42" a="1"/>
  <c r="AI351" i="42" s="1"/>
  <c r="D351" i="42" a="1"/>
  <c r="D351" i="42" s="1"/>
  <c r="C351" i="42"/>
  <c r="AH351" i="42" s="1"/>
  <c r="AI350" i="42"/>
  <c r="AI458" i="42" s="1"/>
  <c r="AH350" i="42"/>
  <c r="AH458" i="42" s="1"/>
  <c r="AI349" i="42"/>
  <c r="AI457" i="42" s="1"/>
  <c r="AH349" i="42"/>
  <c r="AH457" i="42" s="1"/>
  <c r="C348" i="42"/>
  <c r="C456" i="42" s="1"/>
  <c r="AI347" i="42" a="1"/>
  <c r="AI347" i="42" s="1"/>
  <c r="AI455" i="42" s="1"/>
  <c r="D347" i="42" a="1"/>
  <c r="D347" i="42" s="1"/>
  <c r="D455" i="42" s="1"/>
  <c r="C347" i="42"/>
  <c r="C455" i="42" s="1"/>
  <c r="AL346" i="42"/>
  <c r="G346" i="42"/>
  <c r="AX345" i="42"/>
  <c r="AW345" i="42"/>
  <c r="AV345" i="42"/>
  <c r="AU345" i="42"/>
  <c r="AT345" i="42"/>
  <c r="AS345" i="42"/>
  <c r="AR345" i="42"/>
  <c r="AQ345" i="42"/>
  <c r="AP345" i="42"/>
  <c r="AO345" i="42"/>
  <c r="AN345" i="42"/>
  <c r="AM345" i="42"/>
  <c r="AL345" i="42"/>
  <c r="AK345" i="42"/>
  <c r="AF345" i="42"/>
  <c r="AE345" i="42"/>
  <c r="AD345" i="42"/>
  <c r="AC345" i="42"/>
  <c r="AB345" i="42"/>
  <c r="AA345" i="42"/>
  <c r="Z345" i="42"/>
  <c r="Y345" i="42"/>
  <c r="X345" i="42"/>
  <c r="W345" i="42"/>
  <c r="V345" i="42"/>
  <c r="U345" i="42"/>
  <c r="T345" i="42"/>
  <c r="S345" i="42"/>
  <c r="R345" i="42"/>
  <c r="Q345" i="42"/>
  <c r="P345" i="42"/>
  <c r="O345" i="42"/>
  <c r="N345" i="42"/>
  <c r="M345" i="42"/>
  <c r="L345" i="42"/>
  <c r="K345" i="42"/>
  <c r="J345" i="42"/>
  <c r="I345" i="42"/>
  <c r="H345" i="42"/>
  <c r="G345" i="42"/>
  <c r="F345" i="42"/>
  <c r="AI342" i="42"/>
  <c r="AH342" i="42"/>
  <c r="AI341" i="42"/>
  <c r="AH341" i="42"/>
  <c r="C340" i="42"/>
  <c r="AH340" i="42" s="1"/>
  <c r="AI339" i="42" a="1"/>
  <c r="AI339" i="42" s="1"/>
  <c r="D339" i="42" a="1"/>
  <c r="D339" i="42" s="1"/>
  <c r="C339" i="42"/>
  <c r="AH339" i="42" s="1"/>
  <c r="AI338" i="42"/>
  <c r="AH338" i="42"/>
  <c r="AI337" i="42"/>
  <c r="AH337" i="42"/>
  <c r="C336" i="42"/>
  <c r="AH336" i="42" s="1"/>
  <c r="AI335" i="42" a="1"/>
  <c r="AI335" i="42" s="1"/>
  <c r="D335" i="42" a="1"/>
  <c r="D335" i="42" s="1"/>
  <c r="C335" i="42"/>
  <c r="AH335" i="42" s="1"/>
  <c r="AI334" i="42"/>
  <c r="AH334" i="42"/>
  <c r="AI333" i="42"/>
  <c r="AH333" i="42"/>
  <c r="C332" i="42"/>
  <c r="AH332" i="42" s="1"/>
  <c r="AI331" i="42" a="1"/>
  <c r="AI331" i="42" s="1"/>
  <c r="D331" i="42" a="1"/>
  <c r="D331" i="42" s="1"/>
  <c r="C331" i="42"/>
  <c r="AH331" i="42" s="1"/>
  <c r="AL330" i="42"/>
  <c r="G330" i="42"/>
  <c r="AX329" i="42"/>
  <c r="AW329" i="42"/>
  <c r="AV329" i="42"/>
  <c r="AU329" i="42"/>
  <c r="AT329" i="42"/>
  <c r="AS329" i="42"/>
  <c r="AR329" i="42"/>
  <c r="AQ329" i="42"/>
  <c r="AP329" i="42"/>
  <c r="AO329" i="42"/>
  <c r="AN329" i="42"/>
  <c r="AM329" i="42"/>
  <c r="AL329" i="42"/>
  <c r="AK329" i="42"/>
  <c r="AF329" i="42"/>
  <c r="AE329" i="42"/>
  <c r="AD329" i="42"/>
  <c r="AC329" i="42"/>
  <c r="AB329" i="42"/>
  <c r="AA329" i="42"/>
  <c r="Z329" i="42"/>
  <c r="Y329" i="42"/>
  <c r="X329" i="42"/>
  <c r="W329" i="42"/>
  <c r="V329" i="42"/>
  <c r="U329" i="42"/>
  <c r="T329" i="42"/>
  <c r="S329" i="42"/>
  <c r="R329" i="42"/>
  <c r="Q329" i="42"/>
  <c r="P329" i="42"/>
  <c r="O329" i="42"/>
  <c r="N329" i="42"/>
  <c r="M329" i="42"/>
  <c r="L329" i="42"/>
  <c r="K329" i="42"/>
  <c r="J329" i="42"/>
  <c r="I329" i="42"/>
  <c r="H329" i="42"/>
  <c r="G329" i="42"/>
  <c r="F329" i="42"/>
  <c r="AI326" i="42"/>
  <c r="AH326" i="42"/>
  <c r="AI325" i="42"/>
  <c r="AH325" i="42"/>
  <c r="C324" i="42"/>
  <c r="AH324" i="42" s="1"/>
  <c r="AI323" i="42" a="1"/>
  <c r="AI323" i="42" s="1"/>
  <c r="D323" i="42" a="1"/>
  <c r="D323" i="42" s="1"/>
  <c r="C323" i="42"/>
  <c r="AH323" i="42" s="1"/>
  <c r="AI322" i="42"/>
  <c r="AH322" i="42"/>
  <c r="AI321" i="42"/>
  <c r="AH321" i="42"/>
  <c r="C320" i="42"/>
  <c r="AH320" i="42" s="1"/>
  <c r="AI319" i="42" a="1"/>
  <c r="AI319" i="42" s="1"/>
  <c r="D319" i="42" a="1"/>
  <c r="D319" i="42" s="1"/>
  <c r="C319" i="42"/>
  <c r="AH319" i="42" s="1"/>
  <c r="AI318" i="42"/>
  <c r="AH318" i="42"/>
  <c r="AI317" i="42"/>
  <c r="AH317" i="42"/>
  <c r="C316" i="42"/>
  <c r="AH316" i="42" s="1"/>
  <c r="AI315" i="42" a="1"/>
  <c r="AI315" i="42" s="1"/>
  <c r="D315" i="42" a="1"/>
  <c r="D315" i="42" s="1"/>
  <c r="C315" i="42"/>
  <c r="AH315" i="42" s="1"/>
  <c r="AL314" i="42"/>
  <c r="G314" i="42"/>
  <c r="AX313" i="42"/>
  <c r="AW313" i="42"/>
  <c r="AV313" i="42"/>
  <c r="AU313" i="42"/>
  <c r="AT313" i="42"/>
  <c r="AS313" i="42"/>
  <c r="AR313" i="42"/>
  <c r="AQ313" i="42"/>
  <c r="AP313" i="42"/>
  <c r="AO313" i="42"/>
  <c r="AN313" i="42"/>
  <c r="AM313" i="42"/>
  <c r="AL313" i="42"/>
  <c r="AK313" i="42"/>
  <c r="AF313" i="42"/>
  <c r="AE313" i="42"/>
  <c r="AD313" i="42"/>
  <c r="AC313" i="42"/>
  <c r="AB313" i="42"/>
  <c r="AA313" i="42"/>
  <c r="Z313" i="42"/>
  <c r="Y313" i="42"/>
  <c r="X313" i="42"/>
  <c r="W313" i="42"/>
  <c r="V313" i="42"/>
  <c r="U313" i="42"/>
  <c r="T313" i="42"/>
  <c r="S313" i="42"/>
  <c r="R313" i="42"/>
  <c r="Q313" i="42"/>
  <c r="P313" i="42"/>
  <c r="O313" i="42"/>
  <c r="N313" i="42"/>
  <c r="M313" i="42"/>
  <c r="L313" i="42"/>
  <c r="K313" i="42"/>
  <c r="J313" i="42"/>
  <c r="I313" i="42"/>
  <c r="H313" i="42"/>
  <c r="G313" i="42"/>
  <c r="F313" i="42"/>
  <c r="AI310" i="42"/>
  <c r="AH310" i="42"/>
  <c r="AI309" i="42"/>
  <c r="AH309" i="42"/>
  <c r="C308" i="42"/>
  <c r="AH308" i="42" s="1"/>
  <c r="AI307" i="42" a="1"/>
  <c r="AI307" i="42" s="1"/>
  <c r="D307" i="42" a="1"/>
  <c r="D307" i="42" s="1"/>
  <c r="C307" i="42"/>
  <c r="AH307" i="42" s="1"/>
  <c r="AI306" i="42"/>
  <c r="AH306" i="42"/>
  <c r="AI305" i="42"/>
  <c r="AH305" i="42"/>
  <c r="C304" i="42"/>
  <c r="AH304" i="42" s="1"/>
  <c r="AI303" i="42" a="1"/>
  <c r="AI303" i="42" s="1"/>
  <c r="D303" i="42" a="1"/>
  <c r="D303" i="42" s="1"/>
  <c r="C303" i="42"/>
  <c r="AH303" i="42" s="1"/>
  <c r="AI302" i="42"/>
  <c r="AH302" i="42"/>
  <c r="AI301" i="42"/>
  <c r="AH301" i="42"/>
  <c r="C300" i="42"/>
  <c r="AH300" i="42" s="1"/>
  <c r="AI299" i="42" a="1"/>
  <c r="AI299" i="42" s="1"/>
  <c r="D299" i="42" a="1"/>
  <c r="D299" i="42" s="1"/>
  <c r="C299" i="42"/>
  <c r="AH299" i="42" s="1"/>
  <c r="AI298" i="42"/>
  <c r="AH298" i="42"/>
  <c r="AI297" i="42"/>
  <c r="AH297" i="42"/>
  <c r="C296" i="42"/>
  <c r="AH296" i="42" s="1"/>
  <c r="AI295" i="42" a="1"/>
  <c r="AI295" i="42" s="1"/>
  <c r="D295" i="42" a="1"/>
  <c r="D295" i="42" s="1"/>
  <c r="C295" i="42"/>
  <c r="AH295" i="42" s="1"/>
  <c r="AI294" i="42"/>
  <c r="AH294" i="42"/>
  <c r="AI293" i="42"/>
  <c r="AH293" i="42"/>
  <c r="C292" i="42"/>
  <c r="AH292" i="42" s="1"/>
  <c r="AI291" i="42" a="1"/>
  <c r="AI291" i="42" s="1"/>
  <c r="D291" i="42" a="1"/>
  <c r="D291" i="42" s="1"/>
  <c r="C291" i="42"/>
  <c r="AH291" i="42" s="1"/>
  <c r="AI290" i="42"/>
  <c r="AH290" i="42"/>
  <c r="AI289" i="42"/>
  <c r="AH289" i="42"/>
  <c r="C288" i="42"/>
  <c r="AH288" i="42" s="1"/>
  <c r="AI287" i="42" a="1"/>
  <c r="AI287" i="42" s="1"/>
  <c r="D287" i="42" a="1"/>
  <c r="D287" i="42" s="1"/>
  <c r="C287" i="42"/>
  <c r="AH287" i="42" s="1"/>
  <c r="AI286" i="42"/>
  <c r="AH286" i="42"/>
  <c r="AI285" i="42"/>
  <c r="AH285" i="42"/>
  <c r="C284" i="42"/>
  <c r="AH284" i="42" s="1"/>
  <c r="AI283" i="42" a="1"/>
  <c r="AI283" i="42" s="1"/>
  <c r="D283" i="42" a="1"/>
  <c r="D283" i="42" s="1"/>
  <c r="C283" i="42"/>
  <c r="AH283" i="42" s="1"/>
  <c r="AL282" i="42"/>
  <c r="G282" i="42"/>
  <c r="AX281" i="42"/>
  <c r="AW281" i="42"/>
  <c r="AV281" i="42"/>
  <c r="AU281" i="42"/>
  <c r="AT281" i="42"/>
  <c r="AS281" i="42"/>
  <c r="AR281" i="42"/>
  <c r="AQ281" i="42"/>
  <c r="AP281" i="42"/>
  <c r="AO281" i="42"/>
  <c r="AN281" i="42"/>
  <c r="AM281" i="42"/>
  <c r="AL281" i="42"/>
  <c r="AK281" i="42"/>
  <c r="AF281" i="42"/>
  <c r="AE281" i="42"/>
  <c r="AD281" i="42"/>
  <c r="AC281" i="42"/>
  <c r="AB281" i="42"/>
  <c r="AA281" i="42"/>
  <c r="Z281" i="42"/>
  <c r="Y281" i="42"/>
  <c r="X281" i="42"/>
  <c r="W281" i="42"/>
  <c r="V281" i="42"/>
  <c r="U281" i="42"/>
  <c r="T281" i="42"/>
  <c r="S281" i="42"/>
  <c r="R281" i="42"/>
  <c r="Q281" i="42"/>
  <c r="P281" i="42"/>
  <c r="O281" i="42"/>
  <c r="N281" i="42"/>
  <c r="M281" i="42"/>
  <c r="L281" i="42"/>
  <c r="K281" i="42"/>
  <c r="J281" i="42"/>
  <c r="I281" i="42"/>
  <c r="H281" i="42"/>
  <c r="G281" i="42"/>
  <c r="F281" i="42"/>
  <c r="AI278" i="42"/>
  <c r="AH278" i="42"/>
  <c r="AI277" i="42"/>
  <c r="AH277" i="42"/>
  <c r="C276" i="42"/>
  <c r="AH276" i="42" s="1"/>
  <c r="AI275" i="42" a="1"/>
  <c r="AI275" i="42" s="1"/>
  <c r="D275" i="42" a="1"/>
  <c r="D275" i="42" s="1"/>
  <c r="C275" i="42"/>
  <c r="AH275" i="42" s="1"/>
  <c r="AI274" i="42"/>
  <c r="AH274" i="42"/>
  <c r="AI273" i="42"/>
  <c r="AH273" i="42"/>
  <c r="C272" i="42"/>
  <c r="AH272" i="42" s="1"/>
  <c r="AI271" i="42" a="1"/>
  <c r="AI271" i="42" s="1"/>
  <c r="D271" i="42" a="1"/>
  <c r="D271" i="42" s="1"/>
  <c r="C271" i="42"/>
  <c r="AH271" i="42" s="1"/>
  <c r="AI270" i="42"/>
  <c r="AH270" i="42"/>
  <c r="AI269" i="42"/>
  <c r="AH269" i="42"/>
  <c r="C268" i="42"/>
  <c r="AH268" i="42" s="1"/>
  <c r="AI267" i="42" a="1"/>
  <c r="AI267" i="42" s="1"/>
  <c r="D267" i="42" a="1"/>
  <c r="D267" i="42" s="1"/>
  <c r="C267" i="42"/>
  <c r="AH267" i="42" s="1"/>
  <c r="AI266" i="42"/>
  <c r="AH266" i="42"/>
  <c r="AI265" i="42"/>
  <c r="AH265" i="42"/>
  <c r="C264" i="42"/>
  <c r="AH264" i="42" s="1"/>
  <c r="AI263" i="42" a="1"/>
  <c r="AI263" i="42" s="1"/>
  <c r="D263" i="42" a="1"/>
  <c r="D263" i="42" s="1"/>
  <c r="C263" i="42"/>
  <c r="AH263" i="42" s="1"/>
  <c r="AI262" i="42"/>
  <c r="AH262" i="42"/>
  <c r="AI261" i="42"/>
  <c r="AH261" i="42"/>
  <c r="C260" i="42"/>
  <c r="AH260" i="42" s="1"/>
  <c r="AI259" i="42" a="1"/>
  <c r="AI259" i="42" s="1"/>
  <c r="D259" i="42" a="1"/>
  <c r="D259" i="42" s="1"/>
  <c r="C259" i="42"/>
  <c r="AH259" i="42" s="1"/>
  <c r="AI258" i="42"/>
  <c r="AH258" i="42"/>
  <c r="AI257" i="42"/>
  <c r="AH257" i="42"/>
  <c r="C256" i="42"/>
  <c r="AH256" i="42" s="1"/>
  <c r="AI255" i="42" a="1"/>
  <c r="AI255" i="42" s="1"/>
  <c r="D255" i="42" a="1"/>
  <c r="D255" i="42" s="1"/>
  <c r="C255" i="42"/>
  <c r="AH255" i="42" s="1"/>
  <c r="AL254" i="42"/>
  <c r="G254" i="42"/>
  <c r="AX253" i="42"/>
  <c r="AW253" i="42"/>
  <c r="AV253" i="42"/>
  <c r="AU253" i="42"/>
  <c r="AT253" i="42"/>
  <c r="AS253" i="42"/>
  <c r="AR253" i="42"/>
  <c r="AQ253" i="42"/>
  <c r="AP253" i="42"/>
  <c r="AO253" i="42"/>
  <c r="AN253" i="42"/>
  <c r="AM253" i="42"/>
  <c r="AL253" i="42"/>
  <c r="AK253" i="42"/>
  <c r="AF253" i="42"/>
  <c r="AE253" i="42"/>
  <c r="AD253" i="42"/>
  <c r="AC253" i="42"/>
  <c r="AB253" i="42"/>
  <c r="AA253" i="42"/>
  <c r="Z253" i="42"/>
  <c r="Y253" i="42"/>
  <c r="X253" i="42"/>
  <c r="W253" i="42"/>
  <c r="V253" i="42"/>
  <c r="U253" i="42"/>
  <c r="T253" i="42"/>
  <c r="S253" i="42"/>
  <c r="R253" i="42"/>
  <c r="Q253" i="42"/>
  <c r="P253" i="42"/>
  <c r="O253" i="42"/>
  <c r="N253" i="42"/>
  <c r="M253" i="42"/>
  <c r="L253" i="42"/>
  <c r="K253" i="42"/>
  <c r="J253" i="42"/>
  <c r="I253" i="42"/>
  <c r="H253" i="42"/>
  <c r="G253" i="42"/>
  <c r="F253" i="42"/>
  <c r="AI250" i="42"/>
  <c r="AH250" i="42"/>
  <c r="AI249" i="42"/>
  <c r="AH249" i="42"/>
  <c r="C248" i="42"/>
  <c r="AH248" i="42" s="1"/>
  <c r="AI247" i="42" a="1"/>
  <c r="AI247" i="42" s="1"/>
  <c r="D247" i="42" a="1"/>
  <c r="D247" i="42" s="1"/>
  <c r="C247" i="42"/>
  <c r="AH247" i="42" s="1"/>
  <c r="AI246" i="42"/>
  <c r="AH246" i="42"/>
  <c r="AI245" i="42"/>
  <c r="AH245" i="42"/>
  <c r="C244" i="42"/>
  <c r="AH244" i="42" s="1"/>
  <c r="AI243" i="42" a="1"/>
  <c r="AI243" i="42" s="1"/>
  <c r="D243" i="42" a="1"/>
  <c r="D243" i="42" s="1"/>
  <c r="C243" i="42"/>
  <c r="AH243" i="42" s="1"/>
  <c r="AI242" i="42"/>
  <c r="AH242" i="42"/>
  <c r="AI241" i="42"/>
  <c r="AH241" i="42"/>
  <c r="C240" i="42"/>
  <c r="AH240" i="42" s="1"/>
  <c r="AI239" i="42" a="1"/>
  <c r="AI239" i="42" s="1"/>
  <c r="D239" i="42" a="1"/>
  <c r="D239" i="42" s="1"/>
  <c r="C239" i="42"/>
  <c r="AH239" i="42" s="1"/>
  <c r="AI238" i="42"/>
  <c r="AH238" i="42"/>
  <c r="AI237" i="42"/>
  <c r="AH237" i="42"/>
  <c r="C236" i="42"/>
  <c r="AH236" i="42" s="1"/>
  <c r="AI235" i="42" a="1"/>
  <c r="AI235" i="42" s="1"/>
  <c r="D235" i="42" a="1"/>
  <c r="D235" i="42" s="1"/>
  <c r="C235" i="42"/>
  <c r="AH235" i="42" s="1"/>
  <c r="AI234" i="42"/>
  <c r="AH234" i="42"/>
  <c r="AI233" i="42"/>
  <c r="AH233" i="42"/>
  <c r="C232" i="42"/>
  <c r="AH232" i="42" s="1"/>
  <c r="AI231" i="42" a="1"/>
  <c r="AI231" i="42" s="1"/>
  <c r="D231" i="42" a="1"/>
  <c r="D231" i="42" s="1"/>
  <c r="C231" i="42"/>
  <c r="AH231" i="42" s="1"/>
  <c r="AI230" i="42"/>
  <c r="AH230" i="42"/>
  <c r="AI229" i="42"/>
  <c r="AH229" i="42"/>
  <c r="C228" i="42"/>
  <c r="AH228" i="42" s="1"/>
  <c r="AI227" i="42" a="1"/>
  <c r="AI227" i="42" s="1"/>
  <c r="D227" i="42" a="1"/>
  <c r="D227" i="42" s="1"/>
  <c r="C227" i="42"/>
  <c r="AH227" i="42" s="1"/>
  <c r="AI226" i="42"/>
  <c r="AH226" i="42"/>
  <c r="AI225" i="42"/>
  <c r="AH225" i="42"/>
  <c r="C224" i="42"/>
  <c r="AH224" i="42" s="1"/>
  <c r="AI223" i="42" a="1"/>
  <c r="AI223" i="42" s="1"/>
  <c r="D223" i="42" a="1"/>
  <c r="D223" i="42" s="1"/>
  <c r="C223" i="42"/>
  <c r="AH223" i="42" s="1"/>
  <c r="AL222" i="42"/>
  <c r="G222" i="42"/>
  <c r="AX221" i="42"/>
  <c r="AW221" i="42"/>
  <c r="AV221" i="42"/>
  <c r="AU221" i="42"/>
  <c r="AT221" i="42"/>
  <c r="AS221" i="42"/>
  <c r="AR221" i="42"/>
  <c r="AQ221" i="42"/>
  <c r="AP221" i="42"/>
  <c r="AO221" i="42"/>
  <c r="AN221" i="42"/>
  <c r="AM221" i="42"/>
  <c r="AL221" i="42"/>
  <c r="AK221" i="42"/>
  <c r="AF221" i="42"/>
  <c r="AE221" i="42"/>
  <c r="AD221" i="42"/>
  <c r="AC221" i="42"/>
  <c r="AB221" i="42"/>
  <c r="AA221" i="42"/>
  <c r="Z221" i="42"/>
  <c r="Y221" i="42"/>
  <c r="X221" i="42"/>
  <c r="W221" i="42"/>
  <c r="V221" i="42"/>
  <c r="U221" i="42"/>
  <c r="T221" i="42"/>
  <c r="S221" i="42"/>
  <c r="R221" i="42"/>
  <c r="Q221" i="42"/>
  <c r="P221" i="42"/>
  <c r="O221" i="42"/>
  <c r="N221" i="42"/>
  <c r="M221" i="42"/>
  <c r="L221" i="42"/>
  <c r="K221" i="42"/>
  <c r="J221" i="42"/>
  <c r="I221" i="42"/>
  <c r="H221" i="42"/>
  <c r="G221" i="42"/>
  <c r="F221" i="42"/>
  <c r="AI218" i="42"/>
  <c r="AH218" i="42"/>
  <c r="AI217" i="42"/>
  <c r="AH217" i="42"/>
  <c r="C216" i="42"/>
  <c r="AH216" i="42" s="1"/>
  <c r="AI215" i="42" a="1"/>
  <c r="AI215" i="42" s="1"/>
  <c r="D215" i="42" a="1"/>
  <c r="D215" i="42" s="1"/>
  <c r="C215" i="42"/>
  <c r="AH215" i="42" s="1"/>
  <c r="AL214" i="42"/>
  <c r="G214" i="42"/>
  <c r="AX213" i="42"/>
  <c r="AW213" i="42"/>
  <c r="AV213" i="42"/>
  <c r="AU213" i="42"/>
  <c r="AT213" i="42"/>
  <c r="AS213" i="42"/>
  <c r="AR213" i="42"/>
  <c r="AQ213" i="42"/>
  <c r="AP213" i="42"/>
  <c r="AO213" i="42"/>
  <c r="AN213" i="42"/>
  <c r="AM213" i="42"/>
  <c r="AL213" i="42"/>
  <c r="AK213" i="42"/>
  <c r="AF213" i="42"/>
  <c r="AE213" i="42"/>
  <c r="AD213" i="42"/>
  <c r="AC213" i="42"/>
  <c r="AB213" i="42"/>
  <c r="AA213" i="42"/>
  <c r="Z213" i="42"/>
  <c r="Y213" i="42"/>
  <c r="X213" i="42"/>
  <c r="W213" i="42"/>
  <c r="V213" i="42"/>
  <c r="U213" i="42"/>
  <c r="T213" i="42"/>
  <c r="S213" i="42"/>
  <c r="R213" i="42"/>
  <c r="Q213" i="42"/>
  <c r="P213" i="42"/>
  <c r="O213" i="42"/>
  <c r="N213" i="42"/>
  <c r="M213" i="42"/>
  <c r="L213" i="42"/>
  <c r="K213" i="42"/>
  <c r="J213" i="42"/>
  <c r="I213" i="42"/>
  <c r="H213" i="42"/>
  <c r="G213" i="42"/>
  <c r="F213" i="42"/>
  <c r="AI210" i="42"/>
  <c r="AH210" i="42"/>
  <c r="AI209" i="42"/>
  <c r="AH209" i="42"/>
  <c r="C208" i="42"/>
  <c r="AH208" i="42" s="1"/>
  <c r="AI207" i="42" a="1"/>
  <c r="AI207" i="42" s="1"/>
  <c r="D207" i="42" a="1"/>
  <c r="D207" i="42" s="1"/>
  <c r="C207" i="42"/>
  <c r="AH207" i="42" s="1"/>
  <c r="AI206" i="42"/>
  <c r="AH206" i="42"/>
  <c r="AI205" i="42"/>
  <c r="AH205" i="42"/>
  <c r="C204" i="42"/>
  <c r="AH204" i="42" s="1"/>
  <c r="AI203" i="42" a="1"/>
  <c r="AI203" i="42" s="1"/>
  <c r="D203" i="42" a="1"/>
  <c r="D203" i="42" s="1"/>
  <c r="C203" i="42"/>
  <c r="AH203" i="42" s="1"/>
  <c r="AI202" i="42"/>
  <c r="AH202" i="42"/>
  <c r="AI201" i="42"/>
  <c r="AH201" i="42"/>
  <c r="C200" i="42"/>
  <c r="AH200" i="42" s="1"/>
  <c r="AI199" i="42" a="1"/>
  <c r="AI199" i="42" s="1"/>
  <c r="D199" i="42" a="1"/>
  <c r="D199" i="42" s="1"/>
  <c r="C199" i="42"/>
  <c r="AH199" i="42" s="1"/>
  <c r="AI198" i="42"/>
  <c r="AH198" i="42"/>
  <c r="AI197" i="42"/>
  <c r="AH197" i="42"/>
  <c r="C196" i="42"/>
  <c r="AH196" i="42" s="1"/>
  <c r="AI195" i="42" a="1"/>
  <c r="AI195" i="42" s="1"/>
  <c r="D195" i="42" a="1"/>
  <c r="D195" i="42" s="1"/>
  <c r="C195" i="42"/>
  <c r="AH195" i="42" s="1"/>
  <c r="AI194" i="42"/>
  <c r="AH194" i="42"/>
  <c r="AI193" i="42"/>
  <c r="AH193" i="42"/>
  <c r="C192" i="42"/>
  <c r="AH192" i="42" s="1"/>
  <c r="AI191" i="42" a="1"/>
  <c r="AI191" i="42" s="1"/>
  <c r="D191" i="42" a="1"/>
  <c r="D191" i="42" s="1"/>
  <c r="C191" i="42"/>
  <c r="AH191" i="42" s="1"/>
  <c r="AI190" i="42"/>
  <c r="AH190" i="42"/>
  <c r="AI189" i="42"/>
  <c r="AH189" i="42"/>
  <c r="C188" i="42"/>
  <c r="AH188" i="42" s="1"/>
  <c r="AI187" i="42" a="1"/>
  <c r="AI187" i="42" s="1"/>
  <c r="D187" i="42" a="1"/>
  <c r="D187" i="42" s="1"/>
  <c r="C187" i="42"/>
  <c r="AH187" i="42" s="1"/>
  <c r="AI186" i="42"/>
  <c r="AH186" i="42"/>
  <c r="AI185" i="42"/>
  <c r="AH185" i="42"/>
  <c r="C184" i="42"/>
  <c r="AH184" i="42" s="1"/>
  <c r="AI183" i="42" a="1"/>
  <c r="AI183" i="42" s="1"/>
  <c r="D183" i="42" a="1"/>
  <c r="D183" i="42" s="1"/>
  <c r="C183" i="42"/>
  <c r="AH183" i="42" s="1"/>
  <c r="AL182" i="42"/>
  <c r="G182" i="42"/>
  <c r="AX181" i="42"/>
  <c r="AX195" i="42" s="1" a="1"/>
  <c r="AX195" i="42" s="1"/>
  <c r="AW181" i="42"/>
  <c r="AW215" i="42" s="1" a="1"/>
  <c r="AW215" i="42" s="1"/>
  <c r="AV181" i="42"/>
  <c r="AV247" i="42" s="1" a="1"/>
  <c r="AV247" i="42" s="1"/>
  <c r="AU181" i="42"/>
  <c r="AT181" i="42"/>
  <c r="AT187" i="42" s="1" a="1"/>
  <c r="AT187" i="42" s="1"/>
  <c r="AS181" i="42"/>
  <c r="AR181" i="42"/>
  <c r="AR199" i="42" s="1" a="1"/>
  <c r="AR199" i="42" s="1"/>
  <c r="AQ181" i="42"/>
  <c r="AQ191" i="42" s="1" a="1"/>
  <c r="AQ191" i="42" s="1"/>
  <c r="AP181" i="42"/>
  <c r="AP183" i="42" s="1" a="1"/>
  <c r="AP183" i="42" s="1"/>
  <c r="AO181" i="42"/>
  <c r="AO191" i="42" s="1" a="1"/>
  <c r="AO191" i="42" s="1"/>
  <c r="AN181" i="42"/>
  <c r="AN187" i="42" s="1" a="1"/>
  <c r="AN187" i="42" s="1"/>
  <c r="AM181" i="42"/>
  <c r="AM187" i="42" s="1" a="1"/>
  <c r="AM187" i="42" s="1"/>
  <c r="AL181" i="42"/>
  <c r="AL187" i="42" s="1" a="1"/>
  <c r="AL187" i="42" s="1"/>
  <c r="AK181" i="42"/>
  <c r="AF181" i="42"/>
  <c r="AF215" i="42" s="1" a="1"/>
  <c r="AF215" i="42" s="1"/>
  <c r="AE181" i="42"/>
  <c r="AE195" i="42" s="1" a="1"/>
  <c r="AE195" i="42" s="1"/>
  <c r="AD181" i="42"/>
  <c r="AD195" i="42" s="1" a="1"/>
  <c r="AD195" i="42" s="1"/>
  <c r="AC181" i="42"/>
  <c r="AC187" i="42" s="1" a="1"/>
  <c r="AC187" i="42" s="1"/>
  <c r="AB181" i="42"/>
  <c r="AB195" i="42" s="1" a="1"/>
  <c r="AB195" i="42" s="1"/>
  <c r="AA181" i="42"/>
  <c r="Z181" i="42"/>
  <c r="Z187" i="42" s="1" a="1"/>
  <c r="Z187" i="42" s="1"/>
  <c r="Y181" i="42"/>
  <c r="Y215" i="42" s="1" a="1"/>
  <c r="Y215" i="42" s="1"/>
  <c r="X181" i="42"/>
  <c r="X227" i="42" s="1" a="1"/>
  <c r="X227" i="42" s="1"/>
  <c r="W181" i="42"/>
  <c r="V181" i="42"/>
  <c r="U181" i="42"/>
  <c r="U191" i="42" s="1" a="1"/>
  <c r="U191" i="42" s="1"/>
  <c r="T181" i="42"/>
  <c r="T187" i="42" s="1" a="1"/>
  <c r="T187" i="42" s="1"/>
  <c r="S181" i="42"/>
  <c r="S195" i="42" s="1" a="1"/>
  <c r="S195" i="42" s="1"/>
  <c r="R181" i="42"/>
  <c r="R223" i="42" s="1" a="1"/>
  <c r="R223" i="42" s="1"/>
  <c r="Q181" i="42"/>
  <c r="Q235" i="42" s="1" a="1"/>
  <c r="Q235" i="42" s="1"/>
  <c r="P181" i="42"/>
  <c r="P215" i="42" s="1" a="1"/>
  <c r="P215" i="42" s="1"/>
  <c r="O181" i="42"/>
  <c r="O195" i="42" s="1" a="1"/>
  <c r="O195" i="42" s="1"/>
  <c r="N181" i="42"/>
  <c r="N195" i="42" s="1" a="1"/>
  <c r="N195" i="42" s="1"/>
  <c r="M181" i="42"/>
  <c r="M187" i="42" s="1" a="1"/>
  <c r="M187" i="42" s="1"/>
  <c r="L181" i="42"/>
  <c r="L187" i="42" s="1" a="1"/>
  <c r="L187" i="42" s="1"/>
  <c r="K181" i="42"/>
  <c r="J181" i="42"/>
  <c r="J187" i="42" s="1" a="1"/>
  <c r="J187" i="42" s="1"/>
  <c r="I181" i="42"/>
  <c r="H181" i="42"/>
  <c r="H191" i="42" s="1" a="1"/>
  <c r="H191" i="42" s="1"/>
  <c r="G181" i="42"/>
  <c r="G183" i="42" s="1" a="1"/>
  <c r="G183" i="42" s="1"/>
  <c r="F181" i="42"/>
  <c r="F91" i="42"/>
  <c r="AK91" i="42" s="1"/>
  <c r="B91" i="42"/>
  <c r="B90" i="42"/>
  <c r="F89" i="42"/>
  <c r="AK89" i="42" s="1"/>
  <c r="B89" i="42"/>
  <c r="B88" i="42"/>
  <c r="O85" i="42"/>
  <c r="N85" i="42"/>
  <c r="M85" i="42"/>
  <c r="L85" i="42"/>
  <c r="K85" i="42"/>
  <c r="J85" i="42"/>
  <c r="I85" i="42"/>
  <c r="B85" i="42"/>
  <c r="O84" i="42"/>
  <c r="N84" i="42"/>
  <c r="M84" i="42"/>
  <c r="L84" i="42"/>
  <c r="J84" i="42"/>
  <c r="B84" i="42"/>
  <c r="O83" i="42"/>
  <c r="N83" i="42"/>
  <c r="M83" i="42"/>
  <c r="L83" i="42"/>
  <c r="J83" i="42"/>
  <c r="B83" i="42"/>
  <c r="O82" i="42"/>
  <c r="N82" i="42"/>
  <c r="M82" i="42"/>
  <c r="L82" i="42"/>
  <c r="K82" i="42"/>
  <c r="J82" i="42"/>
  <c r="I82" i="42"/>
  <c r="B82" i="42"/>
  <c r="B81" i="42"/>
  <c r="B80" i="42"/>
  <c r="O79" i="42"/>
  <c r="M79" i="42"/>
  <c r="K79" i="42"/>
  <c r="I79" i="42"/>
  <c r="B79" i="42"/>
  <c r="B78" i="42"/>
  <c r="O77" i="42"/>
  <c r="M77" i="42"/>
  <c r="K77" i="42"/>
  <c r="I77" i="42"/>
  <c r="B77" i="42"/>
  <c r="O74" i="42"/>
  <c r="M74" i="42"/>
  <c r="K74" i="42"/>
  <c r="I74" i="42"/>
  <c r="B74" i="42"/>
  <c r="O73" i="42"/>
  <c r="M73" i="42"/>
  <c r="K73" i="42"/>
  <c r="I73" i="42"/>
  <c r="B73" i="42"/>
  <c r="O72" i="42"/>
  <c r="M72" i="42"/>
  <c r="K72" i="42"/>
  <c r="I72" i="42"/>
  <c r="B72" i="42"/>
  <c r="O71" i="42"/>
  <c r="M71" i="42"/>
  <c r="K71" i="42"/>
  <c r="I71" i="42"/>
  <c r="B71" i="42"/>
  <c r="B70" i="42"/>
  <c r="B69" i="42"/>
  <c r="B68" i="42"/>
  <c r="B67" i="42"/>
  <c r="B66" i="42"/>
  <c r="B65" i="42"/>
  <c r="B64" i="42"/>
  <c r="B63" i="42"/>
  <c r="B62" i="42"/>
  <c r="B61" i="42"/>
  <c r="B60" i="42"/>
  <c r="B59" i="42"/>
  <c r="O56" i="42"/>
  <c r="M56" i="42"/>
  <c r="K56" i="42"/>
  <c r="I56" i="42"/>
  <c r="G56" i="42"/>
  <c r="B56" i="42"/>
  <c r="B55" i="42"/>
  <c r="B54" i="42"/>
  <c r="O51" i="42"/>
  <c r="M51" i="42"/>
  <c r="K51" i="42"/>
  <c r="I51" i="42"/>
  <c r="G51" i="42"/>
  <c r="B51" i="42"/>
  <c r="B50" i="42"/>
  <c r="B49" i="42"/>
  <c r="AF46" i="42"/>
  <c r="AE46" i="42"/>
  <c r="AD46" i="42"/>
  <c r="AC46" i="42"/>
  <c r="AB46" i="42"/>
  <c r="AA46" i="42"/>
  <c r="Z46" i="42"/>
  <c r="Y46" i="42"/>
  <c r="X46" i="42"/>
  <c r="W46" i="42"/>
  <c r="V46" i="42"/>
  <c r="U46" i="42"/>
  <c r="T46" i="42"/>
  <c r="S46" i="42"/>
  <c r="R46" i="42"/>
  <c r="Q46" i="42"/>
  <c r="P46" i="42"/>
  <c r="O46" i="42"/>
  <c r="M46" i="42"/>
  <c r="K46" i="42"/>
  <c r="I46" i="42"/>
  <c r="G46" i="42"/>
  <c r="B46" i="42"/>
  <c r="AF45" i="42"/>
  <c r="AE45" i="42"/>
  <c r="AD45" i="42"/>
  <c r="AC45" i="42"/>
  <c r="AB45" i="42"/>
  <c r="AA45" i="42"/>
  <c r="Z45" i="42"/>
  <c r="Y45" i="42"/>
  <c r="X45" i="42"/>
  <c r="W45" i="42"/>
  <c r="V45" i="42"/>
  <c r="U45" i="42"/>
  <c r="T45" i="42"/>
  <c r="S45" i="42"/>
  <c r="R45" i="42"/>
  <c r="Q45" i="42"/>
  <c r="P45" i="42"/>
  <c r="O45" i="42"/>
  <c r="M45" i="42"/>
  <c r="K45" i="42"/>
  <c r="I45" i="42"/>
  <c r="G45" i="42"/>
  <c r="B45" i="42"/>
  <c r="O44" i="42"/>
  <c r="M44" i="42"/>
  <c r="K44" i="42"/>
  <c r="I44" i="42"/>
  <c r="G44" i="42"/>
  <c r="B44" i="42"/>
  <c r="O43" i="42"/>
  <c r="M43" i="42"/>
  <c r="K43" i="42"/>
  <c r="I43" i="42"/>
  <c r="G43" i="42"/>
  <c r="B43" i="42"/>
  <c r="O42" i="42"/>
  <c r="M42" i="42"/>
  <c r="K42" i="42"/>
  <c r="I42" i="42"/>
  <c r="G42" i="42"/>
  <c r="B42" i="42"/>
  <c r="B41" i="42"/>
  <c r="O40" i="42"/>
  <c r="M40" i="42"/>
  <c r="K40" i="42"/>
  <c r="I40" i="42"/>
  <c r="G40" i="42"/>
  <c r="B40" i="42"/>
  <c r="AF37" i="42"/>
  <c r="AE37" i="42"/>
  <c r="AD37" i="42"/>
  <c r="AC37" i="42"/>
  <c r="AB37" i="42"/>
  <c r="AA37" i="42"/>
  <c r="Z37" i="42"/>
  <c r="Y37" i="42"/>
  <c r="X37" i="42"/>
  <c r="W37" i="42"/>
  <c r="V37" i="42"/>
  <c r="U37" i="42"/>
  <c r="T37" i="42"/>
  <c r="S37" i="42"/>
  <c r="R37" i="42"/>
  <c r="Q37" i="42"/>
  <c r="P37" i="42"/>
  <c r="O37" i="42"/>
  <c r="N37" i="42"/>
  <c r="M37" i="42"/>
  <c r="K37" i="42"/>
  <c r="I37" i="42"/>
  <c r="G37" i="42"/>
  <c r="B37" i="42"/>
  <c r="AF36" i="42"/>
  <c r="AE36" i="42"/>
  <c r="AD36" i="42"/>
  <c r="AC36" i="42"/>
  <c r="AB36" i="42"/>
  <c r="AA36" i="42"/>
  <c r="Z36" i="42"/>
  <c r="Y36" i="42"/>
  <c r="X36" i="42"/>
  <c r="W36" i="42"/>
  <c r="V36" i="42"/>
  <c r="U36" i="42"/>
  <c r="T36" i="42"/>
  <c r="S36" i="42"/>
  <c r="R36" i="42"/>
  <c r="Q36" i="42"/>
  <c r="P36" i="42"/>
  <c r="O36" i="42"/>
  <c r="N36" i="42"/>
  <c r="M36" i="42"/>
  <c r="K36" i="42"/>
  <c r="I36" i="42"/>
  <c r="H36" i="42"/>
  <c r="G36" i="42"/>
  <c r="B36" i="42"/>
  <c r="AF35" i="42"/>
  <c r="AE35" i="42"/>
  <c r="AD35" i="42"/>
  <c r="AC35" i="42"/>
  <c r="AB35" i="42"/>
  <c r="AA35" i="42"/>
  <c r="Z35" i="42"/>
  <c r="Y35" i="42"/>
  <c r="X35" i="42"/>
  <c r="W35" i="42"/>
  <c r="V35" i="42"/>
  <c r="U35" i="42"/>
  <c r="T35" i="42"/>
  <c r="S35" i="42"/>
  <c r="R35" i="42"/>
  <c r="Q35" i="42"/>
  <c r="P35" i="42"/>
  <c r="O35" i="42"/>
  <c r="N35" i="42"/>
  <c r="M35" i="42"/>
  <c r="K35" i="42"/>
  <c r="I35" i="42"/>
  <c r="G35" i="42"/>
  <c r="B35" i="42"/>
  <c r="AF34" i="42"/>
  <c r="AE34" i="42"/>
  <c r="AD34" i="42"/>
  <c r="AC34" i="42"/>
  <c r="AB34" i="42"/>
  <c r="AA34" i="42"/>
  <c r="Z34" i="42"/>
  <c r="Y34" i="42"/>
  <c r="X34" i="42"/>
  <c r="W34" i="42"/>
  <c r="V34" i="42"/>
  <c r="U34" i="42"/>
  <c r="T34" i="42"/>
  <c r="S34" i="42"/>
  <c r="R34" i="42"/>
  <c r="Q34" i="42"/>
  <c r="P34" i="42"/>
  <c r="O34" i="42"/>
  <c r="N34" i="42"/>
  <c r="M34" i="42"/>
  <c r="K34" i="42"/>
  <c r="I34" i="42"/>
  <c r="H34" i="42"/>
  <c r="G34" i="42"/>
  <c r="B34" i="42"/>
  <c r="AF33" i="42"/>
  <c r="AE33" i="42"/>
  <c r="AD33" i="42"/>
  <c r="AC33" i="42"/>
  <c r="AB33" i="42"/>
  <c r="AA33" i="42"/>
  <c r="Z33" i="42"/>
  <c r="Y33" i="42"/>
  <c r="X33" i="42"/>
  <c r="W33" i="42"/>
  <c r="V33" i="42"/>
  <c r="U33" i="42"/>
  <c r="T33" i="42"/>
  <c r="S33" i="42"/>
  <c r="R33" i="42"/>
  <c r="Q33" i="42"/>
  <c r="P33" i="42"/>
  <c r="O33" i="42"/>
  <c r="N33" i="42"/>
  <c r="M33" i="42"/>
  <c r="B33" i="42"/>
  <c r="O32" i="42"/>
  <c r="N32" i="42"/>
  <c r="M32" i="42"/>
  <c r="L32" i="42"/>
  <c r="K32" i="42"/>
  <c r="J32" i="42"/>
  <c r="I32" i="42"/>
  <c r="H32" i="42"/>
  <c r="G32" i="42"/>
  <c r="B32" i="42"/>
  <c r="AF29" i="42"/>
  <c r="AE29" i="42"/>
  <c r="AD29" i="42"/>
  <c r="AC29" i="42"/>
  <c r="AB29" i="42"/>
  <c r="AA29" i="42"/>
  <c r="Z29" i="42"/>
  <c r="Y29" i="42"/>
  <c r="X29" i="42"/>
  <c r="W29" i="42"/>
  <c r="V29" i="42"/>
  <c r="U29" i="42"/>
  <c r="T29" i="42"/>
  <c r="S29" i="42"/>
  <c r="R29" i="42"/>
  <c r="Q29" i="42"/>
  <c r="P29" i="42"/>
  <c r="O29" i="42"/>
  <c r="M29" i="42"/>
  <c r="K29" i="42"/>
  <c r="I29" i="42"/>
  <c r="G29" i="42"/>
  <c r="B29" i="42"/>
  <c r="AF28" i="42"/>
  <c r="AE28" i="42"/>
  <c r="AD28" i="42"/>
  <c r="AC28" i="42"/>
  <c r="AB28" i="42"/>
  <c r="AA28" i="42"/>
  <c r="Z28" i="42"/>
  <c r="Y28" i="42"/>
  <c r="X28" i="42"/>
  <c r="W28" i="42"/>
  <c r="V28" i="42"/>
  <c r="U28" i="42"/>
  <c r="T28" i="42"/>
  <c r="S28" i="42"/>
  <c r="R28" i="42"/>
  <c r="Q28" i="42"/>
  <c r="P28" i="42"/>
  <c r="O28" i="42"/>
  <c r="M28" i="42"/>
  <c r="K28" i="42"/>
  <c r="I28" i="42"/>
  <c r="G28" i="42"/>
  <c r="B28" i="42"/>
  <c r="O27" i="42"/>
  <c r="M27" i="42"/>
  <c r="K27" i="42"/>
  <c r="I27" i="42"/>
  <c r="G27" i="42"/>
  <c r="B27" i="42"/>
  <c r="O26" i="42"/>
  <c r="M26" i="42"/>
  <c r="K26" i="42"/>
  <c r="I26" i="42"/>
  <c r="G26" i="42"/>
  <c r="B26" i="42"/>
  <c r="O25" i="42"/>
  <c r="M25" i="42"/>
  <c r="K25" i="42"/>
  <c r="I25" i="42"/>
  <c r="G25" i="42"/>
  <c r="B25" i="42"/>
  <c r="B24" i="42"/>
  <c r="O23" i="42"/>
  <c r="M23" i="42"/>
  <c r="K23" i="42"/>
  <c r="I23" i="42"/>
  <c r="G23" i="42"/>
  <c r="B23" i="42"/>
  <c r="AF20" i="42"/>
  <c r="AE20" i="42"/>
  <c r="AX20" i="42" s="1"/>
  <c r="AD20" i="42"/>
  <c r="AC20" i="42"/>
  <c r="AW20" i="42" s="1"/>
  <c r="AB20" i="42"/>
  <c r="AA20" i="42"/>
  <c r="AV20" i="42" s="1"/>
  <c r="Z20" i="42"/>
  <c r="Y20" i="42"/>
  <c r="AU20" i="42" s="1"/>
  <c r="X20" i="42"/>
  <c r="W20" i="42"/>
  <c r="AT20" i="42" s="1"/>
  <c r="V20" i="42"/>
  <c r="U20" i="42"/>
  <c r="AS20" i="42" s="1"/>
  <c r="T20" i="42"/>
  <c r="S20" i="42"/>
  <c r="AR20" i="42" s="1"/>
  <c r="R20" i="42"/>
  <c r="Q20" i="42"/>
  <c r="AQ20" i="42" s="1"/>
  <c r="P20" i="42"/>
  <c r="O20" i="42"/>
  <c r="AP20" i="42" s="1"/>
  <c r="N20" i="42"/>
  <c r="M20" i="42"/>
  <c r="AO20" i="42" s="1"/>
  <c r="L20" i="42"/>
  <c r="K20" i="42"/>
  <c r="AN20" i="42" s="1"/>
  <c r="J20" i="42"/>
  <c r="I20" i="42"/>
  <c r="AM20" i="42" s="1"/>
  <c r="H20" i="42"/>
  <c r="G20" i="42"/>
  <c r="AL20" i="42" s="1"/>
  <c r="B20" i="42"/>
  <c r="AF17" i="42"/>
  <c r="AE17" i="42"/>
  <c r="AD17" i="42"/>
  <c r="AC17" i="42"/>
  <c r="AB17" i="42"/>
  <c r="AA17" i="42"/>
  <c r="Z17" i="42"/>
  <c r="Y17" i="42"/>
  <c r="X17" i="42"/>
  <c r="W17" i="42"/>
  <c r="V17" i="42"/>
  <c r="U17" i="42"/>
  <c r="T17" i="42"/>
  <c r="S17" i="42"/>
  <c r="R17" i="42"/>
  <c r="Q17" i="42"/>
  <c r="O17" i="42"/>
  <c r="M17" i="42"/>
  <c r="K17" i="42"/>
  <c r="I17" i="42"/>
  <c r="G17" i="42"/>
  <c r="B17" i="42"/>
  <c r="O16" i="42"/>
  <c r="N16" i="42"/>
  <c r="M16" i="42"/>
  <c r="L16" i="42"/>
  <c r="K16" i="42"/>
  <c r="J16" i="42"/>
  <c r="I16" i="42"/>
  <c r="G16" i="42"/>
  <c r="B16" i="42"/>
  <c r="AF15" i="42"/>
  <c r="AE15" i="42"/>
  <c r="AD15" i="42"/>
  <c r="AC15" i="42"/>
  <c r="AB15" i="42"/>
  <c r="AA15" i="42"/>
  <c r="Z15" i="42"/>
  <c r="Y15" i="42"/>
  <c r="X15" i="42"/>
  <c r="W15" i="42"/>
  <c r="V15" i="42"/>
  <c r="U15" i="42"/>
  <c r="T15" i="42"/>
  <c r="S15" i="42"/>
  <c r="R15" i="42"/>
  <c r="Q15" i="42"/>
  <c r="P15" i="42"/>
  <c r="O15" i="42"/>
  <c r="N15" i="42"/>
  <c r="M15" i="42"/>
  <c r="L15" i="42"/>
  <c r="K15" i="42"/>
  <c r="J15" i="42"/>
  <c r="I15" i="42"/>
  <c r="G15" i="42"/>
  <c r="B15" i="42"/>
  <c r="O14" i="42"/>
  <c r="M14" i="42"/>
  <c r="K14" i="42"/>
  <c r="I14" i="42"/>
  <c r="G14" i="42"/>
  <c r="B14" i="42"/>
  <c r="O13" i="42"/>
  <c r="M13" i="42"/>
  <c r="K13" i="42"/>
  <c r="I13" i="42"/>
  <c r="G13" i="42"/>
  <c r="B13" i="42"/>
  <c r="O12" i="42"/>
  <c r="M12" i="42"/>
  <c r="K12" i="42"/>
  <c r="J12" i="42"/>
  <c r="I12" i="42"/>
  <c r="H12" i="42"/>
  <c r="G12" i="42"/>
  <c r="B12" i="42"/>
  <c r="O11" i="42"/>
  <c r="M11" i="42"/>
  <c r="K11" i="42"/>
  <c r="J11" i="42"/>
  <c r="I11" i="42"/>
  <c r="H11" i="42"/>
  <c r="G11" i="42"/>
  <c r="B11" i="42"/>
  <c r="AM6" i="42"/>
  <c r="H6" i="42"/>
  <c r="O77" i="51"/>
  <c r="N77" i="51"/>
  <c r="L77" i="51"/>
  <c r="T77" i="51" s="1"/>
  <c r="U77" i="51" s="1"/>
  <c r="J77" i="51"/>
  <c r="Q77" i="51" s="1"/>
  <c r="S77" i="51" s="1"/>
  <c r="H77" i="51"/>
  <c r="F77" i="51"/>
  <c r="D77" i="51"/>
  <c r="L76" i="51"/>
  <c r="T76" i="51" s="1"/>
  <c r="U76" i="51" s="1"/>
  <c r="K76" i="51"/>
  <c r="J76" i="51"/>
  <c r="Q76" i="51" s="1"/>
  <c r="S76" i="51" s="1"/>
  <c r="I76" i="51"/>
  <c r="H76" i="51"/>
  <c r="G76" i="51"/>
  <c r="F76" i="51"/>
  <c r="D76" i="51"/>
  <c r="O75" i="51"/>
  <c r="N75" i="51"/>
  <c r="M75" i="51"/>
  <c r="L75" i="51"/>
  <c r="T75" i="51" s="1"/>
  <c r="U75" i="51" s="1"/>
  <c r="K75" i="51"/>
  <c r="J75" i="51"/>
  <c r="Q75" i="51" s="1"/>
  <c r="S75" i="51" s="1"/>
  <c r="I75" i="51"/>
  <c r="H75" i="51"/>
  <c r="G75" i="51"/>
  <c r="F75" i="51"/>
  <c r="D75" i="51"/>
  <c r="DU72" i="51"/>
  <c r="DS72" i="51"/>
  <c r="DM72" i="51"/>
  <c r="BF72" i="51"/>
  <c r="BE72" i="51"/>
  <c r="Z72" i="51"/>
  <c r="V72" i="51" s="1"/>
  <c r="W72" i="51" s="1"/>
  <c r="DU71" i="51"/>
  <c r="DS71" i="51"/>
  <c r="DM71" i="51"/>
  <c r="BF71" i="51"/>
  <c r="BE71" i="51"/>
  <c r="Z71" i="51"/>
  <c r="V71" i="51" s="1"/>
  <c r="W71" i="51" s="1"/>
  <c r="G71" i="51"/>
  <c r="BH71" i="51" s="1"/>
  <c r="F71" i="51"/>
  <c r="BG71" i="51" s="1"/>
  <c r="DU70" i="51"/>
  <c r="DS70" i="51"/>
  <c r="DM70" i="51"/>
  <c r="BF70" i="51"/>
  <c r="BE70" i="51"/>
  <c r="Z70" i="51"/>
  <c r="V70" i="51" s="1"/>
  <c r="W70" i="51" s="1"/>
  <c r="G70" i="51"/>
  <c r="BH70" i="51" s="1"/>
  <c r="F70" i="51"/>
  <c r="BG70" i="51" s="1"/>
  <c r="DU69" i="51"/>
  <c r="DS69" i="51"/>
  <c r="DM69" i="51"/>
  <c r="BF69" i="51"/>
  <c r="BE69" i="51"/>
  <c r="Z69" i="51"/>
  <c r="V69" i="51" s="1"/>
  <c r="W69" i="51" s="1"/>
  <c r="DU68" i="51"/>
  <c r="DS68" i="51"/>
  <c r="DM68" i="51"/>
  <c r="BF68" i="51"/>
  <c r="BE68" i="51"/>
  <c r="Z68" i="51"/>
  <c r="V68" i="51" s="1"/>
  <c r="W68" i="51" s="1"/>
  <c r="DU67" i="51"/>
  <c r="DS67" i="51"/>
  <c r="DM67" i="51"/>
  <c r="BF67" i="51"/>
  <c r="BE67" i="51"/>
  <c r="Z67" i="51"/>
  <c r="V67" i="51" s="1"/>
  <c r="W67" i="51" s="1"/>
  <c r="DU66" i="51"/>
  <c r="DS66" i="51"/>
  <c r="DM66" i="51"/>
  <c r="BF66" i="51"/>
  <c r="BE66" i="51"/>
  <c r="Z66" i="51"/>
  <c r="V66" i="51" s="1"/>
  <c r="W66" i="51" s="1"/>
  <c r="K63" i="51"/>
  <c r="J63" i="51"/>
  <c r="Q63" i="51" s="1"/>
  <c r="S63" i="51" s="1"/>
  <c r="I63" i="51"/>
  <c r="H63" i="51"/>
  <c r="G63" i="51"/>
  <c r="F63" i="51"/>
  <c r="E63" i="51"/>
  <c r="D63" i="51"/>
  <c r="J62" i="51"/>
  <c r="Q62" i="51" s="1"/>
  <c r="S62" i="51" s="1"/>
  <c r="H62" i="51"/>
  <c r="F62" i="51"/>
  <c r="D62" i="51"/>
  <c r="J61" i="51"/>
  <c r="Q61" i="51" s="1"/>
  <c r="S61" i="51" s="1"/>
  <c r="H61" i="51"/>
  <c r="F61" i="51"/>
  <c r="D61" i="51"/>
  <c r="L59" i="51"/>
  <c r="T59" i="51" s="1"/>
  <c r="U59" i="51" s="1"/>
  <c r="J59" i="51"/>
  <c r="Q59" i="51" s="1"/>
  <c r="S59" i="51" s="1"/>
  <c r="H59" i="51"/>
  <c r="G59" i="51"/>
  <c r="F59" i="51"/>
  <c r="E59" i="51"/>
  <c r="D59" i="51"/>
  <c r="L58" i="51"/>
  <c r="T58" i="51" s="1"/>
  <c r="U58" i="51" s="1"/>
  <c r="J58" i="51"/>
  <c r="Q58" i="51" s="1"/>
  <c r="S58" i="51" s="1"/>
  <c r="H58" i="51"/>
  <c r="G58" i="51"/>
  <c r="F58" i="51"/>
  <c r="E58" i="51"/>
  <c r="D58" i="51"/>
  <c r="CK55" i="51"/>
  <c r="CJ55" i="51"/>
  <c r="CI55" i="51"/>
  <c r="CH55" i="51"/>
  <c r="CG55" i="51"/>
  <c r="CE55" i="51"/>
  <c r="CC55" i="51"/>
  <c r="CB55" i="51"/>
  <c r="CA55" i="51"/>
  <c r="BZ55" i="51"/>
  <c r="BY55" i="51"/>
  <c r="BX55" i="51"/>
  <c r="BW55" i="51"/>
  <c r="BV55" i="51"/>
  <c r="BU55" i="51"/>
  <c r="W55" i="51"/>
  <c r="V55" i="51"/>
  <c r="U55" i="51"/>
  <c r="T55" i="51"/>
  <c r="S55" i="51"/>
  <c r="O55" i="51"/>
  <c r="N55" i="51"/>
  <c r="M55" i="51"/>
  <c r="L55" i="51"/>
  <c r="K55" i="51"/>
  <c r="J55" i="51"/>
  <c r="I55" i="51"/>
  <c r="H55" i="51"/>
  <c r="G55" i="51"/>
  <c r="F55" i="51"/>
  <c r="E55" i="51"/>
  <c r="D55" i="51"/>
  <c r="CF48" i="51"/>
  <c r="R48" i="51"/>
  <c r="CF47" i="51"/>
  <c r="R47" i="51"/>
  <c r="CF46" i="51"/>
  <c r="R46" i="51"/>
  <c r="CF44" i="51"/>
  <c r="R44" i="51"/>
  <c r="CF43" i="51"/>
  <c r="R43" i="51"/>
  <c r="CF42" i="51"/>
  <c r="R42" i="51"/>
  <c r="DU39" i="51"/>
  <c r="DS39" i="51"/>
  <c r="V39" i="51"/>
  <c r="W39" i="51" s="1"/>
  <c r="O39" i="51"/>
  <c r="BP39" i="51" s="1"/>
  <c r="N39" i="51"/>
  <c r="BO39" i="51" s="1"/>
  <c r="G39" i="51"/>
  <c r="BH39" i="51" s="1"/>
  <c r="F39" i="51"/>
  <c r="BG39" i="51" s="1"/>
  <c r="D39" i="51"/>
  <c r="BE39" i="51" s="1"/>
  <c r="DU35" i="51"/>
  <c r="DS35" i="51"/>
  <c r="V35" i="51"/>
  <c r="W35" i="51" s="1"/>
  <c r="L35" i="51"/>
  <c r="BM35" i="51" s="1"/>
  <c r="J35" i="51"/>
  <c r="BK35" i="51" s="1"/>
  <c r="H35" i="51"/>
  <c r="BI35" i="51" s="1"/>
  <c r="F35" i="51"/>
  <c r="BG35" i="51" s="1"/>
  <c r="D35" i="51"/>
  <c r="BE35" i="51" s="1"/>
  <c r="Z31" i="51"/>
  <c r="V31" i="51" s="1"/>
  <c r="L31" i="51"/>
  <c r="BM31" i="51" s="1"/>
  <c r="J31" i="51"/>
  <c r="Q31" i="51" s="1"/>
  <c r="H31" i="51"/>
  <c r="BI31" i="51" s="1"/>
  <c r="F31" i="51"/>
  <c r="D31" i="51"/>
  <c r="Z30" i="51"/>
  <c r="Z29" i="51"/>
  <c r="V29" i="51" s="1"/>
  <c r="W29" i="51" s="1"/>
  <c r="Z27" i="51"/>
  <c r="V27" i="51" s="1"/>
  <c r="W27" i="51" s="1"/>
  <c r="L27" i="51"/>
  <c r="T27" i="51" s="1"/>
  <c r="U27" i="51" s="1"/>
  <c r="J27" i="51"/>
  <c r="BK27" i="51" s="1"/>
  <c r="H27" i="51"/>
  <c r="BI27" i="51" s="1"/>
  <c r="F27" i="51"/>
  <c r="BG27" i="51" s="1"/>
  <c r="D27" i="51"/>
  <c r="BE27" i="51" s="1"/>
  <c r="Z26" i="51"/>
  <c r="V26" i="51" s="1"/>
  <c r="W26" i="51" s="1"/>
  <c r="Z25" i="51"/>
  <c r="V25" i="51" s="1"/>
  <c r="W25" i="51" s="1"/>
  <c r="Z23" i="51"/>
  <c r="V23" i="51" s="1"/>
  <c r="L23" i="51"/>
  <c r="BM23" i="51" s="1"/>
  <c r="J23" i="51"/>
  <c r="BK23" i="51" s="1"/>
  <c r="H23" i="51"/>
  <c r="F23" i="51"/>
  <c r="D23" i="51"/>
  <c r="Z22" i="51"/>
  <c r="Z21" i="51"/>
  <c r="Z19" i="51"/>
  <c r="V19" i="51" s="1"/>
  <c r="W19" i="51" s="1"/>
  <c r="L19" i="51"/>
  <c r="J19" i="51"/>
  <c r="H19" i="51"/>
  <c r="BI19" i="51" s="1"/>
  <c r="F19" i="51"/>
  <c r="BG19" i="51" s="1"/>
  <c r="D19" i="51"/>
  <c r="BE19" i="51" s="1"/>
  <c r="Z18" i="51"/>
  <c r="V18" i="51" s="1"/>
  <c r="W18" i="51" s="1"/>
  <c r="Z17" i="51"/>
  <c r="V17" i="51" s="1"/>
  <c r="W17" i="51" s="1"/>
  <c r="CK14" i="51"/>
  <c r="CJ14" i="51"/>
  <c r="CI14" i="51"/>
  <c r="CH14" i="51"/>
  <c r="CG14" i="51"/>
  <c r="CE14" i="51"/>
  <c r="CC14" i="51"/>
  <c r="CB14" i="51"/>
  <c r="CA14" i="51"/>
  <c r="BZ14" i="51"/>
  <c r="BY14" i="51"/>
  <c r="BX14" i="51"/>
  <c r="BW14" i="51"/>
  <c r="BV14" i="51"/>
  <c r="BU14" i="51"/>
  <c r="W14" i="51"/>
  <c r="V14" i="51"/>
  <c r="U14" i="51"/>
  <c r="T14" i="51"/>
  <c r="S14" i="51"/>
  <c r="O14" i="51"/>
  <c r="N14" i="51"/>
  <c r="M14" i="51"/>
  <c r="L14" i="51"/>
  <c r="K14" i="51"/>
  <c r="J14" i="51"/>
  <c r="I14" i="51"/>
  <c r="H14" i="51"/>
  <c r="G14" i="51"/>
  <c r="F14" i="51"/>
  <c r="E14" i="51"/>
  <c r="D14" i="51"/>
  <c r="BF11" i="51"/>
  <c r="BE11" i="51"/>
  <c r="Z11" i="51"/>
  <c r="V11" i="51" s="1"/>
  <c r="W11" i="51" s="1"/>
  <c r="L11" i="51"/>
  <c r="BM11" i="51" s="1"/>
  <c r="J11" i="51"/>
  <c r="Q11" i="51" s="1"/>
  <c r="S11" i="51" s="1"/>
  <c r="H11" i="51"/>
  <c r="BI11" i="51" s="1"/>
  <c r="F11" i="51"/>
  <c r="BG11" i="51" s="1"/>
  <c r="BF10" i="51"/>
  <c r="BE10" i="51"/>
  <c r="Z10" i="51"/>
  <c r="V10" i="51" s="1"/>
  <c r="W10" i="51" s="1"/>
  <c r="L10" i="51"/>
  <c r="T10" i="51" s="1"/>
  <c r="U10" i="51" s="1"/>
  <c r="J10" i="51"/>
  <c r="H10" i="51"/>
  <c r="BI10" i="51" s="1"/>
  <c r="F10" i="51"/>
  <c r="BG10" i="51" s="1"/>
  <c r="BF9" i="51"/>
  <c r="BE9" i="51"/>
  <c r="Z9" i="51"/>
  <c r="V9" i="51" s="1"/>
  <c r="W9" i="51" s="1"/>
  <c r="L9" i="51"/>
  <c r="J9" i="51"/>
  <c r="BK9" i="51" s="1"/>
  <c r="H9" i="51"/>
  <c r="BI9" i="51" s="1"/>
  <c r="F9" i="51"/>
  <c r="BG9" i="51" s="1"/>
  <c r="CJ8" i="51"/>
  <c r="CK8" i="51" s="1"/>
  <c r="BF8" i="51"/>
  <c r="BE8" i="51"/>
  <c r="Z8" i="51"/>
  <c r="V8" i="51" s="1"/>
  <c r="W8" i="51" s="1"/>
  <c r="L8" i="51"/>
  <c r="T8" i="51" s="1"/>
  <c r="U8" i="51" s="1"/>
  <c r="J8" i="51"/>
  <c r="Q8" i="51" s="1"/>
  <c r="S8" i="51" s="1"/>
  <c r="H8" i="51"/>
  <c r="BI8" i="51" s="1"/>
  <c r="F8" i="51"/>
  <c r="BG8" i="51" s="1"/>
  <c r="BF7" i="51"/>
  <c r="BE7" i="51"/>
  <c r="Z7" i="51"/>
  <c r="V7" i="51" s="1"/>
  <c r="W7" i="51" s="1"/>
  <c r="L7" i="51"/>
  <c r="BM7" i="51" s="1"/>
  <c r="J7" i="51"/>
  <c r="BK7" i="51" s="1"/>
  <c r="H7" i="51"/>
  <c r="BI7" i="51" s="1"/>
  <c r="F7" i="51"/>
  <c r="BG7" i="51" s="1"/>
  <c r="BF6" i="51"/>
  <c r="BE6" i="51"/>
  <c r="Z6" i="51"/>
  <c r="V6" i="51" s="1"/>
  <c r="W6" i="51" s="1"/>
  <c r="L6" i="51"/>
  <c r="T6" i="51" s="1"/>
  <c r="U6" i="51" s="1"/>
  <c r="J6" i="51"/>
  <c r="H6" i="51"/>
  <c r="BI6" i="51" s="1"/>
  <c r="F6" i="51"/>
  <c r="BG6" i="51" s="1"/>
  <c r="R3" i="51"/>
  <c r="R14" i="51" s="1"/>
  <c r="Q3" i="51"/>
  <c r="Q55" i="51" s="1"/>
  <c r="B296" i="4"/>
  <c r="O295" i="4"/>
  <c r="N295" i="4"/>
  <c r="M295" i="4"/>
  <c r="L295" i="4"/>
  <c r="K295" i="4"/>
  <c r="J295" i="4"/>
  <c r="I295" i="4"/>
  <c r="H295" i="4"/>
  <c r="G295" i="4"/>
  <c r="F295" i="4"/>
  <c r="E295" i="4"/>
  <c r="D295" i="4"/>
  <c r="C295" i="4"/>
  <c r="B295" i="4"/>
  <c r="B290" i="4"/>
  <c r="B289" i="4"/>
  <c r="B288" i="4"/>
  <c r="B287" i="4"/>
  <c r="C282" i="4"/>
  <c r="D5" i="4"/>
  <c r="C4" i="4"/>
  <c r="C209" i="4" s="1"/>
  <c r="D2" i="4"/>
  <c r="D17" i="7"/>
  <c r="D727" i="1"/>
  <c r="D721" i="1"/>
  <c r="U709" i="1"/>
  <c r="AM52" i="48" s="1"/>
  <c r="T709" i="1"/>
  <c r="AL52" i="48" s="1"/>
  <c r="S709" i="1"/>
  <c r="N52" i="48" s="1"/>
  <c r="AK52" i="48" s="1"/>
  <c r="R709" i="1"/>
  <c r="Q709" i="1"/>
  <c r="P709" i="1"/>
  <c r="O709" i="1"/>
  <c r="N709" i="1"/>
  <c r="M709" i="1"/>
  <c r="L709" i="1"/>
  <c r="W706" i="1"/>
  <c r="X706" i="1" s="1"/>
  <c r="Y706" i="1" s="1"/>
  <c r="Z706" i="1" s="1"/>
  <c r="AA706" i="1" s="1"/>
  <c r="AB706" i="1" s="1"/>
  <c r="AC706" i="1" s="1"/>
  <c r="AD706" i="1" s="1"/>
  <c r="AE706" i="1" s="1"/>
  <c r="AF706" i="1" s="1"/>
  <c r="AG706" i="1" s="1"/>
  <c r="AH706" i="1" s="1"/>
  <c r="AI706" i="1" s="1"/>
  <c r="AJ706" i="1" s="1"/>
  <c r="AK706" i="1" s="1"/>
  <c r="AL706" i="1" s="1"/>
  <c r="AM706" i="1" s="1"/>
  <c r="AN706" i="1" s="1"/>
  <c r="U699" i="1"/>
  <c r="T699" i="1"/>
  <c r="R699" i="1"/>
  <c r="Q699" i="1"/>
  <c r="P699" i="1"/>
  <c r="O699" i="1"/>
  <c r="N699" i="1"/>
  <c r="M699" i="1"/>
  <c r="W698" i="1"/>
  <c r="X698" i="1" s="1"/>
  <c r="Y698" i="1" s="1"/>
  <c r="Z698" i="1" s="1"/>
  <c r="AA698" i="1" s="1"/>
  <c r="AB698" i="1" s="1"/>
  <c r="AC698" i="1" s="1"/>
  <c r="AD698" i="1" s="1"/>
  <c r="AE698" i="1" s="1"/>
  <c r="AF698" i="1" s="1"/>
  <c r="AG698" i="1" s="1"/>
  <c r="AH698" i="1" s="1"/>
  <c r="AI698" i="1" s="1"/>
  <c r="AJ698" i="1" s="1"/>
  <c r="AK698" i="1" s="1"/>
  <c r="AL698" i="1" s="1"/>
  <c r="AM698" i="1" s="1"/>
  <c r="AN698" i="1" s="1"/>
  <c r="T698" i="1"/>
  <c r="S698" i="1"/>
  <c r="R698" i="1"/>
  <c r="Q698" i="1"/>
  <c r="W697" i="1"/>
  <c r="X697" i="1" s="1"/>
  <c r="Y697" i="1" s="1"/>
  <c r="Z697" i="1" s="1"/>
  <c r="AA697" i="1" s="1"/>
  <c r="AB697" i="1" s="1"/>
  <c r="AC697" i="1" s="1"/>
  <c r="AD697" i="1" s="1"/>
  <c r="AE697" i="1" s="1"/>
  <c r="AF697" i="1" s="1"/>
  <c r="AG697" i="1" s="1"/>
  <c r="AH697" i="1" s="1"/>
  <c r="AI697" i="1" s="1"/>
  <c r="AJ697" i="1" s="1"/>
  <c r="AK697" i="1" s="1"/>
  <c r="AL697" i="1" s="1"/>
  <c r="AM697" i="1" s="1"/>
  <c r="AN697" i="1" s="1"/>
  <c r="W696" i="1"/>
  <c r="X696" i="1" s="1"/>
  <c r="Y696" i="1" s="1"/>
  <c r="Z696" i="1" s="1"/>
  <c r="AA696" i="1" s="1"/>
  <c r="AB696" i="1" s="1"/>
  <c r="AC696" i="1" s="1"/>
  <c r="AD696" i="1" s="1"/>
  <c r="AE696" i="1" s="1"/>
  <c r="AF696" i="1" s="1"/>
  <c r="AG696" i="1" s="1"/>
  <c r="AH696" i="1" s="1"/>
  <c r="AI696" i="1" s="1"/>
  <c r="AJ696" i="1" s="1"/>
  <c r="AK696" i="1" s="1"/>
  <c r="AL696" i="1" s="1"/>
  <c r="AM696" i="1" s="1"/>
  <c r="AN696" i="1" s="1"/>
  <c r="U695" i="1"/>
  <c r="T695" i="1"/>
  <c r="S695" i="1"/>
  <c r="R695" i="1"/>
  <c r="Q695" i="1"/>
  <c r="P695" i="1"/>
  <c r="O695" i="1"/>
  <c r="N695" i="1"/>
  <c r="M695" i="1"/>
  <c r="L695" i="1"/>
  <c r="U693" i="1"/>
  <c r="T693" i="1"/>
  <c r="S693" i="1"/>
  <c r="R693" i="1"/>
  <c r="Q693" i="1"/>
  <c r="P693" i="1"/>
  <c r="O693" i="1"/>
  <c r="N693" i="1"/>
  <c r="M693" i="1"/>
  <c r="U689" i="1"/>
  <c r="W689" i="1" s="1"/>
  <c r="X689" i="1" s="1"/>
  <c r="Y689" i="1" s="1"/>
  <c r="Z689" i="1" s="1"/>
  <c r="AA689" i="1" s="1"/>
  <c r="AB689" i="1" s="1"/>
  <c r="AC689" i="1" s="1"/>
  <c r="AD689" i="1" s="1"/>
  <c r="AE689" i="1" s="1"/>
  <c r="AF689" i="1" s="1"/>
  <c r="AG689" i="1" s="1"/>
  <c r="AH689" i="1" s="1"/>
  <c r="AI689" i="1" s="1"/>
  <c r="AJ689" i="1" s="1"/>
  <c r="AK689" i="1" s="1"/>
  <c r="AL689" i="1" s="1"/>
  <c r="AM689" i="1" s="1"/>
  <c r="AN689" i="1" s="1"/>
  <c r="T689" i="1"/>
  <c r="S689" i="1"/>
  <c r="R689" i="1"/>
  <c r="Q689" i="1"/>
  <c r="W688" i="1"/>
  <c r="X688" i="1" s="1"/>
  <c r="Y688" i="1" s="1"/>
  <c r="Z688" i="1" s="1"/>
  <c r="AA688" i="1" s="1"/>
  <c r="AB688" i="1" s="1"/>
  <c r="AC688" i="1" s="1"/>
  <c r="AD688" i="1" s="1"/>
  <c r="AE688" i="1" s="1"/>
  <c r="AF688" i="1" s="1"/>
  <c r="AG688" i="1" s="1"/>
  <c r="AH688" i="1" s="1"/>
  <c r="AI688" i="1" s="1"/>
  <c r="AJ688" i="1" s="1"/>
  <c r="AK688" i="1" s="1"/>
  <c r="AL688" i="1" s="1"/>
  <c r="AM688" i="1" s="1"/>
  <c r="AN688" i="1" s="1"/>
  <c r="W687" i="1"/>
  <c r="X687" i="1" s="1"/>
  <c r="Y687" i="1" s="1"/>
  <c r="Z687" i="1" s="1"/>
  <c r="AA687" i="1" s="1"/>
  <c r="AB687" i="1" s="1"/>
  <c r="AC687" i="1" s="1"/>
  <c r="AD687" i="1" s="1"/>
  <c r="AE687" i="1" s="1"/>
  <c r="AF687" i="1" s="1"/>
  <c r="AG687" i="1" s="1"/>
  <c r="AH687" i="1" s="1"/>
  <c r="AI687" i="1" s="1"/>
  <c r="AJ687" i="1" s="1"/>
  <c r="AK687" i="1" s="1"/>
  <c r="AL687" i="1" s="1"/>
  <c r="AM687" i="1" s="1"/>
  <c r="AN687" i="1" s="1"/>
  <c r="U686" i="1"/>
  <c r="T686" i="1"/>
  <c r="S686" i="1"/>
  <c r="R686" i="1"/>
  <c r="Q686" i="1"/>
  <c r="P686" i="1"/>
  <c r="O686" i="1"/>
  <c r="N686" i="1"/>
  <c r="M686" i="1"/>
  <c r="L686" i="1"/>
  <c r="U685" i="1"/>
  <c r="T685" i="1"/>
  <c r="S685" i="1"/>
  <c r="R685" i="1"/>
  <c r="Q685" i="1"/>
  <c r="P685" i="1"/>
  <c r="O685" i="1"/>
  <c r="N685" i="1"/>
  <c r="M685" i="1"/>
  <c r="L685" i="1"/>
  <c r="U684" i="1"/>
  <c r="U463" i="1" s="1"/>
  <c r="T684" i="1"/>
  <c r="T463" i="1" s="1"/>
  <c r="S684" i="1"/>
  <c r="R684" i="1"/>
  <c r="R463" i="1" s="1"/>
  <c r="Q684" i="1"/>
  <c r="Q463" i="1" s="1"/>
  <c r="P684" i="1"/>
  <c r="P463" i="1" s="1"/>
  <c r="O684" i="1"/>
  <c r="O463" i="1" s="1"/>
  <c r="N684" i="1"/>
  <c r="N463" i="1" s="1"/>
  <c r="M684" i="1"/>
  <c r="M463" i="1" s="1"/>
  <c r="L684" i="1"/>
  <c r="U679" i="1"/>
  <c r="W679" i="1" s="1"/>
  <c r="X679" i="1" s="1"/>
  <c r="Y679" i="1" s="1"/>
  <c r="Z679" i="1" s="1"/>
  <c r="AA679" i="1" s="1"/>
  <c r="AB679" i="1" s="1"/>
  <c r="AC679" i="1" s="1"/>
  <c r="AD679" i="1" s="1"/>
  <c r="AE679" i="1" s="1"/>
  <c r="AF679" i="1" s="1"/>
  <c r="AG679" i="1" s="1"/>
  <c r="AH679" i="1" s="1"/>
  <c r="AI679" i="1" s="1"/>
  <c r="AJ679" i="1" s="1"/>
  <c r="AK679" i="1" s="1"/>
  <c r="AL679" i="1" s="1"/>
  <c r="AM679" i="1" s="1"/>
  <c r="AN679" i="1" s="1"/>
  <c r="T679" i="1"/>
  <c r="S679" i="1"/>
  <c r="R679" i="1"/>
  <c r="Q679" i="1"/>
  <c r="P679" i="1"/>
  <c r="O679" i="1"/>
  <c r="N679" i="1"/>
  <c r="L679" i="1"/>
  <c r="W678" i="1"/>
  <c r="X678" i="1" s="1"/>
  <c r="Y678" i="1" s="1"/>
  <c r="Z678" i="1" s="1"/>
  <c r="AA678" i="1" s="1"/>
  <c r="AB678" i="1" s="1"/>
  <c r="AC678" i="1" s="1"/>
  <c r="AD678" i="1" s="1"/>
  <c r="AE678" i="1" s="1"/>
  <c r="AF678" i="1" s="1"/>
  <c r="AG678" i="1" s="1"/>
  <c r="AH678" i="1" s="1"/>
  <c r="AI678" i="1" s="1"/>
  <c r="AJ678" i="1" s="1"/>
  <c r="AK678" i="1" s="1"/>
  <c r="AL678" i="1" s="1"/>
  <c r="AM678" i="1" s="1"/>
  <c r="AN678" i="1" s="1"/>
  <c r="W676" i="1"/>
  <c r="X676" i="1" s="1"/>
  <c r="Y676" i="1" s="1"/>
  <c r="Z676" i="1" s="1"/>
  <c r="AA676" i="1" s="1"/>
  <c r="AB676" i="1" s="1"/>
  <c r="AC676" i="1" s="1"/>
  <c r="AD676" i="1" s="1"/>
  <c r="AE676" i="1" s="1"/>
  <c r="AF676" i="1" s="1"/>
  <c r="AG676" i="1" s="1"/>
  <c r="AH676" i="1" s="1"/>
  <c r="AI676" i="1" s="1"/>
  <c r="AJ676" i="1" s="1"/>
  <c r="AK676" i="1" s="1"/>
  <c r="AL676" i="1" s="1"/>
  <c r="AM676" i="1" s="1"/>
  <c r="AN676" i="1" s="1"/>
  <c r="U673" i="1"/>
  <c r="T673" i="1"/>
  <c r="S673" i="1"/>
  <c r="R673" i="1"/>
  <c r="Q673" i="1"/>
  <c r="P673" i="1"/>
  <c r="O673" i="1"/>
  <c r="N673" i="1"/>
  <c r="M673" i="1"/>
  <c r="L673" i="1"/>
  <c r="U672" i="1"/>
  <c r="T672" i="1"/>
  <c r="S672" i="1"/>
  <c r="R672" i="1"/>
  <c r="P672" i="1"/>
  <c r="O672" i="1"/>
  <c r="N672" i="1"/>
  <c r="M672" i="1"/>
  <c r="L672" i="1"/>
  <c r="W668" i="1"/>
  <c r="X668" i="1" s="1"/>
  <c r="Y668" i="1" s="1"/>
  <c r="Z668" i="1" s="1"/>
  <c r="AA668" i="1" s="1"/>
  <c r="AB668" i="1" s="1"/>
  <c r="AC668" i="1" s="1"/>
  <c r="AD668" i="1" s="1"/>
  <c r="AE668" i="1" s="1"/>
  <c r="AF668" i="1" s="1"/>
  <c r="AG668" i="1" s="1"/>
  <c r="AH668" i="1" s="1"/>
  <c r="AI668" i="1" s="1"/>
  <c r="AJ668" i="1" s="1"/>
  <c r="AK668" i="1" s="1"/>
  <c r="AL668" i="1" s="1"/>
  <c r="AM668" i="1" s="1"/>
  <c r="AN668" i="1" s="1"/>
  <c r="T668" i="1"/>
  <c r="S668" i="1"/>
  <c r="R668" i="1"/>
  <c r="Q668" i="1"/>
  <c r="P668" i="1"/>
  <c r="O668" i="1"/>
  <c r="N668" i="1"/>
  <c r="L668" i="1"/>
  <c r="W667" i="1"/>
  <c r="X667" i="1" s="1"/>
  <c r="Y667" i="1" s="1"/>
  <c r="Z667" i="1" s="1"/>
  <c r="AA667" i="1" s="1"/>
  <c r="AB667" i="1" s="1"/>
  <c r="AC667" i="1" s="1"/>
  <c r="AD667" i="1" s="1"/>
  <c r="AE667" i="1" s="1"/>
  <c r="AF667" i="1" s="1"/>
  <c r="AG667" i="1" s="1"/>
  <c r="AH667" i="1" s="1"/>
  <c r="AI667" i="1" s="1"/>
  <c r="AJ667" i="1" s="1"/>
  <c r="AK667" i="1" s="1"/>
  <c r="AL667" i="1" s="1"/>
  <c r="AM667" i="1" s="1"/>
  <c r="AN667" i="1" s="1"/>
  <c r="W666" i="1"/>
  <c r="X666" i="1" s="1"/>
  <c r="Y666" i="1" s="1"/>
  <c r="Z666" i="1" s="1"/>
  <c r="AA666" i="1" s="1"/>
  <c r="AB666" i="1" s="1"/>
  <c r="AC666" i="1" s="1"/>
  <c r="AD666" i="1" s="1"/>
  <c r="AE666" i="1" s="1"/>
  <c r="AF666" i="1" s="1"/>
  <c r="AG666" i="1" s="1"/>
  <c r="AH666" i="1" s="1"/>
  <c r="AI666" i="1" s="1"/>
  <c r="AJ666" i="1" s="1"/>
  <c r="AK666" i="1" s="1"/>
  <c r="AL666" i="1" s="1"/>
  <c r="AM666" i="1" s="1"/>
  <c r="AN666" i="1" s="1"/>
  <c r="U665" i="1"/>
  <c r="T665" i="1"/>
  <c r="S665" i="1"/>
  <c r="R665" i="1"/>
  <c r="Q665" i="1"/>
  <c r="P665" i="1"/>
  <c r="O665" i="1"/>
  <c r="N665" i="1"/>
  <c r="M665" i="1"/>
  <c r="L665" i="1"/>
  <c r="AN664" i="1"/>
  <c r="AM664" i="1"/>
  <c r="AL664" i="1"/>
  <c r="AK664" i="1"/>
  <c r="AJ664" i="1"/>
  <c r="AI664" i="1"/>
  <c r="AH664" i="1"/>
  <c r="AG664" i="1"/>
  <c r="AF664" i="1"/>
  <c r="AE664" i="1"/>
  <c r="AD664" i="1"/>
  <c r="AC664" i="1"/>
  <c r="AB664" i="1"/>
  <c r="AA664" i="1"/>
  <c r="Z664" i="1"/>
  <c r="Y664" i="1"/>
  <c r="X664" i="1"/>
  <c r="W664" i="1"/>
  <c r="U664" i="1"/>
  <c r="T664" i="1"/>
  <c r="S664" i="1"/>
  <c r="R664" i="1"/>
  <c r="Q664" i="1"/>
  <c r="P664" i="1"/>
  <c r="O664" i="1"/>
  <c r="N664" i="1"/>
  <c r="M664" i="1"/>
  <c r="L664" i="1"/>
  <c r="U663" i="1"/>
  <c r="T663" i="1"/>
  <c r="S663" i="1"/>
  <c r="R663" i="1"/>
  <c r="Q663" i="1"/>
  <c r="P663" i="1"/>
  <c r="O663" i="1"/>
  <c r="N663" i="1"/>
  <c r="M663" i="1"/>
  <c r="L663" i="1"/>
  <c r="U662" i="1"/>
  <c r="T662" i="1"/>
  <c r="S662" i="1"/>
  <c r="R662" i="1"/>
  <c r="Q662" i="1"/>
  <c r="P662" i="1"/>
  <c r="O662" i="1"/>
  <c r="N662" i="1"/>
  <c r="M662" i="1"/>
  <c r="L662" i="1"/>
  <c r="U654" i="1"/>
  <c r="U464" i="1" s="1"/>
  <c r="T654" i="1"/>
  <c r="T464" i="1" s="1"/>
  <c r="S654" i="1"/>
  <c r="S464" i="1" s="1"/>
  <c r="R654" i="1"/>
  <c r="R464" i="1" s="1"/>
  <c r="Q654" i="1"/>
  <c r="Q464" i="1" s="1"/>
  <c r="P654" i="1"/>
  <c r="P464" i="1" s="1"/>
  <c r="O654" i="1"/>
  <c r="O464" i="1" s="1"/>
  <c r="T652" i="1"/>
  <c r="N79" i="42" s="1"/>
  <c r="R652" i="1"/>
  <c r="P652" i="1"/>
  <c r="J79" i="42" s="1"/>
  <c r="T650" i="1"/>
  <c r="R650" i="1"/>
  <c r="P650" i="1"/>
  <c r="T649" i="1"/>
  <c r="R649" i="1"/>
  <c r="P649" i="1"/>
  <c r="P648" i="1"/>
  <c r="T646" i="1"/>
  <c r="R646" i="1"/>
  <c r="P646" i="1"/>
  <c r="AN645" i="1"/>
  <c r="AM645" i="1"/>
  <c r="AL645" i="1"/>
  <c r="AK645" i="1"/>
  <c r="AJ645" i="1"/>
  <c r="AI645" i="1"/>
  <c r="AH645" i="1"/>
  <c r="AG645" i="1"/>
  <c r="AF645" i="1"/>
  <c r="AE645" i="1"/>
  <c r="AD645" i="1"/>
  <c r="AC645" i="1"/>
  <c r="AB645" i="1"/>
  <c r="AA645" i="1"/>
  <c r="Z645" i="1"/>
  <c r="Y645" i="1"/>
  <c r="X645" i="1"/>
  <c r="W645" i="1"/>
  <c r="T645" i="1"/>
  <c r="R645" i="1"/>
  <c r="P645" i="1"/>
  <c r="AN644" i="1"/>
  <c r="AM644" i="1"/>
  <c r="AL644" i="1"/>
  <c r="AK644" i="1"/>
  <c r="AJ644" i="1"/>
  <c r="AI644" i="1"/>
  <c r="AH644" i="1"/>
  <c r="AG644" i="1"/>
  <c r="AF644" i="1"/>
  <c r="AE644" i="1"/>
  <c r="AD644" i="1"/>
  <c r="AC644" i="1"/>
  <c r="AB644" i="1"/>
  <c r="AA644" i="1"/>
  <c r="Z644" i="1"/>
  <c r="Y644" i="1"/>
  <c r="X644" i="1"/>
  <c r="W644" i="1"/>
  <c r="U644" i="1"/>
  <c r="U651" i="1" s="1"/>
  <c r="T644" i="1"/>
  <c r="S644" i="1"/>
  <c r="S651" i="1" s="1"/>
  <c r="R644" i="1"/>
  <c r="Q644" i="1"/>
  <c r="Q651" i="1" s="1"/>
  <c r="P644" i="1"/>
  <c r="O644" i="1"/>
  <c r="O651" i="1" s="1"/>
  <c r="N644" i="1"/>
  <c r="N651" i="1" s="1"/>
  <c r="U642" i="1"/>
  <c r="S642" i="1"/>
  <c r="Q642" i="1"/>
  <c r="Q655" i="1" s="1"/>
  <c r="K80" i="42" s="1"/>
  <c r="O642" i="1"/>
  <c r="O655" i="1" s="1"/>
  <c r="N642" i="1"/>
  <c r="R640" i="1"/>
  <c r="R639" i="1"/>
  <c r="P639" i="1"/>
  <c r="R638" i="1"/>
  <c r="T637" i="1"/>
  <c r="R637" i="1"/>
  <c r="P637" i="1"/>
  <c r="T636" i="1"/>
  <c r="R636" i="1"/>
  <c r="P636" i="1"/>
  <c r="T633" i="1"/>
  <c r="R633" i="1"/>
  <c r="P633" i="1"/>
  <c r="T627" i="1"/>
  <c r="R627" i="1"/>
  <c r="P627" i="1"/>
  <c r="T626" i="1"/>
  <c r="R626" i="1"/>
  <c r="P626" i="1"/>
  <c r="T625" i="1"/>
  <c r="R625" i="1"/>
  <c r="P625" i="1"/>
  <c r="T621" i="1"/>
  <c r="T533" i="1" s="1"/>
  <c r="T534" i="1" s="1"/>
  <c r="O10" i="48" s="1"/>
  <c r="AL10" i="48" s="1"/>
  <c r="R621" i="1"/>
  <c r="R533" i="1" s="1"/>
  <c r="P621" i="1"/>
  <c r="T618" i="1"/>
  <c r="R618" i="1"/>
  <c r="P618" i="1"/>
  <c r="U617" i="1"/>
  <c r="S617" i="1"/>
  <c r="Q617" i="1"/>
  <c r="O617" i="1"/>
  <c r="M613" i="1"/>
  <c r="M614" i="1" s="1"/>
  <c r="T611" i="1"/>
  <c r="T617" i="1" s="1"/>
  <c r="R611" i="1"/>
  <c r="R617" i="1" s="1"/>
  <c r="P611" i="1"/>
  <c r="P617" i="1" s="1"/>
  <c r="N611" i="1"/>
  <c r="T609" i="1"/>
  <c r="AL47" i="48" s="1"/>
  <c r="R609" i="1"/>
  <c r="P609" i="1"/>
  <c r="N609" i="1"/>
  <c r="N608" i="1"/>
  <c r="N613" i="1" s="1"/>
  <c r="N614" i="1" s="1"/>
  <c r="N606" i="1"/>
  <c r="U605" i="1"/>
  <c r="U608" i="1" s="1"/>
  <c r="S605" i="1"/>
  <c r="Q605" i="1"/>
  <c r="O605" i="1"/>
  <c r="O608" i="1" s="1"/>
  <c r="O613" i="1" s="1"/>
  <c r="O614" i="1" s="1"/>
  <c r="N605" i="1"/>
  <c r="U603" i="1"/>
  <c r="U493" i="1" s="1"/>
  <c r="S603" i="1"/>
  <c r="S493" i="1" s="1"/>
  <c r="Q603" i="1"/>
  <c r="Q493" i="1" s="1"/>
  <c r="O603" i="1"/>
  <c r="O493" i="1" s="1"/>
  <c r="N603" i="1"/>
  <c r="N493" i="1" s="1"/>
  <c r="AB600" i="1"/>
  <c r="AA600" i="1"/>
  <c r="Z600" i="1"/>
  <c r="Y600" i="1"/>
  <c r="X600" i="1"/>
  <c r="W600" i="1"/>
  <c r="U600" i="1"/>
  <c r="S600" i="1"/>
  <c r="Q600" i="1"/>
  <c r="O600" i="1"/>
  <c r="N600" i="1"/>
  <c r="M600" i="1"/>
  <c r="AN599" i="1"/>
  <c r="AM599" i="1"/>
  <c r="AL599" i="1"/>
  <c r="AK599" i="1"/>
  <c r="AJ599" i="1"/>
  <c r="AI599" i="1"/>
  <c r="AH599" i="1"/>
  <c r="AG599" i="1"/>
  <c r="AF599" i="1"/>
  <c r="AE599" i="1"/>
  <c r="AD599" i="1"/>
  <c r="AC599" i="1"/>
  <c r="AB599" i="1"/>
  <c r="AA599" i="1"/>
  <c r="Z599" i="1"/>
  <c r="Y599" i="1"/>
  <c r="X599" i="1"/>
  <c r="W599" i="1"/>
  <c r="O599" i="1"/>
  <c r="M599" i="1"/>
  <c r="U596" i="1"/>
  <c r="S596" i="1"/>
  <c r="Q596" i="1"/>
  <c r="O596" i="1"/>
  <c r="N596" i="1"/>
  <c r="P594" i="1"/>
  <c r="O594" i="1"/>
  <c r="M593" i="1"/>
  <c r="U592" i="1"/>
  <c r="S592" i="1"/>
  <c r="S624" i="1" s="1"/>
  <c r="Q592" i="1"/>
  <c r="Q624" i="1" s="1"/>
  <c r="O592" i="1"/>
  <c r="N592" i="1"/>
  <c r="N624" i="1" s="1"/>
  <c r="U590" i="1"/>
  <c r="O62" i="42" s="1"/>
  <c r="S590" i="1"/>
  <c r="M62" i="42" s="1"/>
  <c r="Q590" i="1"/>
  <c r="K62" i="42" s="1"/>
  <c r="O590" i="1"/>
  <c r="I62" i="42" s="1"/>
  <c r="N590" i="1"/>
  <c r="U589" i="1"/>
  <c r="O61" i="42" s="1"/>
  <c r="S589" i="1"/>
  <c r="M61" i="42" s="1"/>
  <c r="Q589" i="1"/>
  <c r="K61" i="42" s="1"/>
  <c r="O589" i="1"/>
  <c r="I61" i="42" s="1"/>
  <c r="N589" i="1"/>
  <c r="M587" i="1"/>
  <c r="U585" i="1"/>
  <c r="S585" i="1"/>
  <c r="Q585" i="1"/>
  <c r="O585" i="1"/>
  <c r="N585" i="1"/>
  <c r="U565" i="1"/>
  <c r="T565" i="1"/>
  <c r="S565" i="1"/>
  <c r="R565" i="1"/>
  <c r="Q565" i="1"/>
  <c r="P565" i="1"/>
  <c r="O565" i="1"/>
  <c r="N565" i="1"/>
  <c r="M565" i="1"/>
  <c r="U564" i="1"/>
  <c r="T564" i="1"/>
  <c r="S564" i="1"/>
  <c r="R564" i="1"/>
  <c r="Q564" i="1"/>
  <c r="P564" i="1"/>
  <c r="O564" i="1"/>
  <c r="N564" i="1"/>
  <c r="M564" i="1"/>
  <c r="L564" i="1"/>
  <c r="P557" i="1"/>
  <c r="O557" i="1"/>
  <c r="N557" i="1"/>
  <c r="M557" i="1"/>
  <c r="U556" i="1"/>
  <c r="S556" i="1"/>
  <c r="Q556" i="1"/>
  <c r="O556" i="1"/>
  <c r="N556" i="1"/>
  <c r="M556" i="1"/>
  <c r="P555" i="1"/>
  <c r="O555" i="1"/>
  <c r="N555" i="1"/>
  <c r="M555" i="1"/>
  <c r="U554" i="1"/>
  <c r="U559" i="1" s="1"/>
  <c r="T554" i="1"/>
  <c r="T559" i="1" s="1"/>
  <c r="S554" i="1"/>
  <c r="S559" i="1" s="1"/>
  <c r="R554" i="1"/>
  <c r="R559" i="1" s="1"/>
  <c r="Q554" i="1"/>
  <c r="Q559" i="1" s="1"/>
  <c r="P554" i="1"/>
  <c r="P559" i="1" s="1"/>
  <c r="O554" i="1"/>
  <c r="O559" i="1" s="1"/>
  <c r="N554" i="1"/>
  <c r="N559" i="1" s="1"/>
  <c r="M554" i="1"/>
  <c r="U550" i="1"/>
  <c r="U551" i="1" s="1"/>
  <c r="U557" i="1" s="1"/>
  <c r="T550" i="1"/>
  <c r="T551" i="1" s="1"/>
  <c r="T557" i="1" s="1"/>
  <c r="S550" i="1"/>
  <c r="S551" i="1" s="1"/>
  <c r="S557" i="1" s="1"/>
  <c r="R550" i="1"/>
  <c r="R551" i="1" s="1"/>
  <c r="R557" i="1" s="1"/>
  <c r="Q550" i="1"/>
  <c r="Q551" i="1" s="1"/>
  <c r="Q557" i="1" s="1"/>
  <c r="T546" i="1"/>
  <c r="T556" i="1" s="1"/>
  <c r="R546" i="1"/>
  <c r="R556" i="1" s="1"/>
  <c r="P546" i="1"/>
  <c r="P556" i="1" s="1"/>
  <c r="U545" i="1"/>
  <c r="S545" i="1"/>
  <c r="Q545" i="1"/>
  <c r="O545" i="1"/>
  <c r="M545" i="1"/>
  <c r="T543" i="1"/>
  <c r="R543" i="1"/>
  <c r="P543" i="1"/>
  <c r="U540" i="1"/>
  <c r="U555" i="1" s="1"/>
  <c r="T540" i="1"/>
  <c r="T555" i="1" s="1"/>
  <c r="S540" i="1"/>
  <c r="S555" i="1" s="1"/>
  <c r="R540" i="1"/>
  <c r="R555" i="1" s="1"/>
  <c r="Q540" i="1"/>
  <c r="Q555" i="1" s="1"/>
  <c r="U528" i="1"/>
  <c r="S528" i="1"/>
  <c r="S530" i="1" s="1"/>
  <c r="Q528" i="1"/>
  <c r="Q530" i="1" s="1"/>
  <c r="O528" i="1"/>
  <c r="R527" i="1"/>
  <c r="P527" i="1"/>
  <c r="P528" i="1" s="1"/>
  <c r="U520" i="1"/>
  <c r="V521" i="1" s="1"/>
  <c r="V631" i="1" s="1"/>
  <c r="V628" i="1" s="1"/>
  <c r="V630" i="1" s="1"/>
  <c r="T520" i="1"/>
  <c r="S520" i="1"/>
  <c r="R520" i="1"/>
  <c r="Q520" i="1"/>
  <c r="P520" i="1"/>
  <c r="O520" i="1"/>
  <c r="N520" i="1"/>
  <c r="M520" i="1"/>
  <c r="U502" i="1"/>
  <c r="S502" i="1"/>
  <c r="Q502" i="1"/>
  <c r="O502" i="1"/>
  <c r="M502" i="1"/>
  <c r="T328" i="1"/>
  <c r="R328" i="1"/>
  <c r="P328" i="1"/>
  <c r="T322" i="1"/>
  <c r="T603" i="1" s="1"/>
  <c r="T493" i="1" s="1"/>
  <c r="R322" i="1"/>
  <c r="E37" i="50" s="1"/>
  <c r="P322" i="1"/>
  <c r="P603" i="1" s="1"/>
  <c r="P493" i="1" s="1"/>
  <c r="M493" i="1"/>
  <c r="L493" i="1"/>
  <c r="U487" i="1"/>
  <c r="T487" i="1"/>
  <c r="S487" i="1"/>
  <c r="R487" i="1"/>
  <c r="Q487" i="1"/>
  <c r="P487" i="1"/>
  <c r="O487" i="1"/>
  <c r="N487" i="1"/>
  <c r="M487" i="1"/>
  <c r="L487" i="1"/>
  <c r="U486" i="1"/>
  <c r="T486" i="1"/>
  <c r="S486" i="1"/>
  <c r="R486" i="1"/>
  <c r="Q486" i="1"/>
  <c r="P486" i="1"/>
  <c r="O486" i="1"/>
  <c r="N486" i="1"/>
  <c r="M486" i="1"/>
  <c r="L486" i="1"/>
  <c r="U484" i="1"/>
  <c r="T484" i="1"/>
  <c r="S484" i="1"/>
  <c r="R484" i="1"/>
  <c r="Q484" i="1"/>
  <c r="P484" i="1"/>
  <c r="O484" i="1"/>
  <c r="N484" i="1"/>
  <c r="M484" i="1"/>
  <c r="L484" i="1"/>
  <c r="L488" i="1" s="1"/>
  <c r="L492" i="1" s="1"/>
  <c r="U480" i="1"/>
  <c r="T480" i="1"/>
  <c r="S480" i="1"/>
  <c r="R480" i="1"/>
  <c r="Q480" i="1"/>
  <c r="P480" i="1"/>
  <c r="O480" i="1"/>
  <c r="N480" i="1"/>
  <c r="M480" i="1"/>
  <c r="U320" i="1"/>
  <c r="U602" i="1" s="1"/>
  <c r="S320" i="1"/>
  <c r="S602" i="1" s="1"/>
  <c r="Q320" i="1"/>
  <c r="Q602" i="1" s="1"/>
  <c r="O320" i="1"/>
  <c r="O323" i="1" s="1"/>
  <c r="T318" i="1"/>
  <c r="R318" i="1"/>
  <c r="E36" i="50" s="1"/>
  <c r="P318" i="1"/>
  <c r="T473" i="1"/>
  <c r="R473" i="1"/>
  <c r="P473" i="1"/>
  <c r="N473" i="1"/>
  <c r="U472" i="1"/>
  <c r="V472" i="1" s="1"/>
  <c r="V599" i="1" s="1"/>
  <c r="S472" i="1"/>
  <c r="S599" i="1" s="1"/>
  <c r="Q472" i="1"/>
  <c r="P472" i="1"/>
  <c r="P599" i="1" s="1"/>
  <c r="N472" i="1"/>
  <c r="U470" i="1"/>
  <c r="U597" i="1" s="1"/>
  <c r="S470" i="1"/>
  <c r="S597" i="1" s="1"/>
  <c r="Q470" i="1"/>
  <c r="Q597" i="1" s="1"/>
  <c r="O470" i="1"/>
  <c r="O597" i="1" s="1"/>
  <c r="M470" i="1"/>
  <c r="M597" i="1" s="1"/>
  <c r="W467" i="1"/>
  <c r="T465" i="1"/>
  <c r="T470" i="1" s="1"/>
  <c r="R465" i="1"/>
  <c r="P465" i="1"/>
  <c r="N465" i="1"/>
  <c r="N464" i="1"/>
  <c r="M464" i="1"/>
  <c r="U459" i="1"/>
  <c r="S459" i="1"/>
  <c r="T459" i="1" s="1"/>
  <c r="Q459" i="1"/>
  <c r="R459" i="1" s="1"/>
  <c r="O459" i="1"/>
  <c r="P459" i="1" s="1"/>
  <c r="M459" i="1"/>
  <c r="N459" i="1" s="1"/>
  <c r="L454" i="1"/>
  <c r="U453" i="1"/>
  <c r="U694" i="1" s="1"/>
  <c r="T453" i="1"/>
  <c r="T566" i="1" s="1"/>
  <c r="S453" i="1"/>
  <c r="S566" i="1" s="1"/>
  <c r="R453" i="1"/>
  <c r="R694" i="1" s="1"/>
  <c r="Q453" i="1"/>
  <c r="Q694" i="1" s="1"/>
  <c r="P453" i="1"/>
  <c r="P694" i="1" s="1"/>
  <c r="O453" i="1"/>
  <c r="O456" i="1" s="1"/>
  <c r="N453" i="1"/>
  <c r="M453" i="1"/>
  <c r="L453" i="1"/>
  <c r="AD600" i="1"/>
  <c r="AC600" i="1"/>
  <c r="T315" i="1"/>
  <c r="R315" i="1"/>
  <c r="P315" i="1"/>
  <c r="P600" i="1" s="1"/>
  <c r="U312" i="1"/>
  <c r="S312" i="1"/>
  <c r="Q312" i="1"/>
  <c r="O312" i="1"/>
  <c r="M312" i="1"/>
  <c r="T311" i="1"/>
  <c r="T596" i="1" s="1"/>
  <c r="R311" i="1"/>
  <c r="P311" i="1"/>
  <c r="N311" i="1"/>
  <c r="E39" i="51" s="1"/>
  <c r="BF39" i="51" s="1"/>
  <c r="U310" i="1"/>
  <c r="S310" i="1"/>
  <c r="Q310" i="1"/>
  <c r="O310" i="1"/>
  <c r="M310" i="1"/>
  <c r="U309" i="1"/>
  <c r="S309" i="1"/>
  <c r="Q309" i="1"/>
  <c r="O309" i="1"/>
  <c r="M309" i="1"/>
  <c r="U302" i="1"/>
  <c r="S302" i="1"/>
  <c r="Q302" i="1"/>
  <c r="O302" i="1"/>
  <c r="M302" i="1"/>
  <c r="T301" i="1"/>
  <c r="R301" i="1"/>
  <c r="I35" i="51" s="1"/>
  <c r="BJ35" i="51" s="1"/>
  <c r="P301" i="1"/>
  <c r="G35" i="51" s="1"/>
  <c r="BH35" i="51" s="1"/>
  <c r="N301" i="1"/>
  <c r="E35" i="51" s="1"/>
  <c r="BF35" i="51" s="1"/>
  <c r="U300" i="1"/>
  <c r="S300" i="1"/>
  <c r="Q300" i="1"/>
  <c r="O300" i="1"/>
  <c r="M300" i="1"/>
  <c r="U299" i="1"/>
  <c r="S299" i="1"/>
  <c r="Q299" i="1"/>
  <c r="O299" i="1"/>
  <c r="M299" i="1"/>
  <c r="N449" i="1"/>
  <c r="M449" i="1"/>
  <c r="M307" i="1" s="1"/>
  <c r="T447" i="1"/>
  <c r="R447" i="1"/>
  <c r="P447" i="1"/>
  <c r="N447" i="1"/>
  <c r="T446" i="1"/>
  <c r="R446" i="1"/>
  <c r="P446" i="1"/>
  <c r="N446" i="1"/>
  <c r="T445" i="1"/>
  <c r="R445" i="1"/>
  <c r="P445" i="1"/>
  <c r="N445" i="1"/>
  <c r="T444" i="1"/>
  <c r="R444" i="1"/>
  <c r="P444" i="1"/>
  <c r="N444" i="1"/>
  <c r="T441" i="1"/>
  <c r="T417" i="1" s="1"/>
  <c r="R441" i="1"/>
  <c r="P441" i="1"/>
  <c r="N441" i="1"/>
  <c r="T440" i="1"/>
  <c r="R440" i="1"/>
  <c r="P440" i="1"/>
  <c r="N440" i="1"/>
  <c r="Q439" i="1"/>
  <c r="O439" i="1"/>
  <c r="M439" i="1"/>
  <c r="R438" i="1"/>
  <c r="P438" i="1"/>
  <c r="N438" i="1"/>
  <c r="T437" i="1"/>
  <c r="R437" i="1"/>
  <c r="P437" i="1"/>
  <c r="N437" i="1"/>
  <c r="U432" i="1"/>
  <c r="U675" i="1" s="1"/>
  <c r="T432" i="1"/>
  <c r="T675" i="1" s="1"/>
  <c r="S432" i="1"/>
  <c r="S675" i="1" s="1"/>
  <c r="R432" i="1"/>
  <c r="R675" i="1" s="1"/>
  <c r="Q432" i="1"/>
  <c r="P432" i="1"/>
  <c r="P675" i="1" s="1"/>
  <c r="O432" i="1"/>
  <c r="O675" i="1" s="1"/>
  <c r="N432" i="1"/>
  <c r="N675" i="1" s="1"/>
  <c r="M432" i="1"/>
  <c r="M675" i="1" s="1"/>
  <c r="L432" i="1"/>
  <c r="L675" i="1" s="1"/>
  <c r="R429" i="1"/>
  <c r="Q429" i="1"/>
  <c r="Q426" i="1" s="1"/>
  <c r="P429" i="1"/>
  <c r="P449" i="1" s="1"/>
  <c r="J81" i="42" s="1"/>
  <c r="O429" i="1"/>
  <c r="R428" i="1"/>
  <c r="Q428" i="1"/>
  <c r="P428" i="1"/>
  <c r="O428" i="1"/>
  <c r="O304" i="1" s="1"/>
  <c r="N428" i="1"/>
  <c r="M428" i="1"/>
  <c r="Z426" i="1"/>
  <c r="AA426" i="1" s="1"/>
  <c r="AB426" i="1" s="1"/>
  <c r="AC426" i="1" s="1"/>
  <c r="AD426" i="1" s="1"/>
  <c r="AE426" i="1" s="1"/>
  <c r="AF426" i="1" s="1"/>
  <c r="AG426" i="1" s="1"/>
  <c r="AH426" i="1" s="1"/>
  <c r="AI426" i="1" s="1"/>
  <c r="AJ426" i="1" s="1"/>
  <c r="AK426" i="1" s="1"/>
  <c r="AL426" i="1" s="1"/>
  <c r="AM426" i="1" s="1"/>
  <c r="AN426" i="1" s="1"/>
  <c r="W426" i="1"/>
  <c r="X426" i="1" s="1"/>
  <c r="U426" i="1"/>
  <c r="S426" i="1"/>
  <c r="M426" i="1"/>
  <c r="Q422" i="1"/>
  <c r="Q672" i="1" s="1"/>
  <c r="U421" i="1"/>
  <c r="U674" i="1" s="1"/>
  <c r="T421" i="1"/>
  <c r="T674" i="1" s="1"/>
  <c r="S421" i="1"/>
  <c r="S674" i="1" s="1"/>
  <c r="R421" i="1"/>
  <c r="R674" i="1" s="1"/>
  <c r="P421" i="1"/>
  <c r="P674" i="1" s="1"/>
  <c r="O421" i="1"/>
  <c r="O674" i="1" s="1"/>
  <c r="N421" i="1"/>
  <c r="N674" i="1" s="1"/>
  <c r="M421" i="1"/>
  <c r="M674" i="1" s="1"/>
  <c r="L421" i="1"/>
  <c r="L674" i="1" s="1"/>
  <c r="U417" i="1"/>
  <c r="S417" i="1"/>
  <c r="S414" i="1" s="1"/>
  <c r="R417" i="1"/>
  <c r="Q417" i="1"/>
  <c r="R416" i="1"/>
  <c r="Q416" i="1"/>
  <c r="X415" i="1"/>
  <c r="Y415" i="1" s="1"/>
  <c r="Z415" i="1" s="1"/>
  <c r="AA415" i="1" s="1"/>
  <c r="AB415" i="1" s="1"/>
  <c r="AC415" i="1" s="1"/>
  <c r="AD415" i="1" s="1"/>
  <c r="AE415" i="1" s="1"/>
  <c r="AF415" i="1" s="1"/>
  <c r="AG415" i="1" s="1"/>
  <c r="AH415" i="1" s="1"/>
  <c r="AI415" i="1" s="1"/>
  <c r="AJ415" i="1" s="1"/>
  <c r="AK415" i="1" s="1"/>
  <c r="AL415" i="1" s="1"/>
  <c r="AM415" i="1" s="1"/>
  <c r="AN415" i="1" s="1"/>
  <c r="O414" i="1"/>
  <c r="M414" i="1"/>
  <c r="S406" i="1"/>
  <c r="S699" i="1" s="1"/>
  <c r="AN405" i="1"/>
  <c r="AM405" i="1"/>
  <c r="AL405" i="1"/>
  <c r="AK405" i="1"/>
  <c r="AJ405" i="1"/>
  <c r="AI405" i="1"/>
  <c r="AH405" i="1"/>
  <c r="AG405" i="1"/>
  <c r="AF405" i="1"/>
  <c r="AE405" i="1"/>
  <c r="AD405" i="1"/>
  <c r="AC405" i="1"/>
  <c r="AB405" i="1"/>
  <c r="AA405" i="1"/>
  <c r="Z405" i="1"/>
  <c r="Y405" i="1"/>
  <c r="X405" i="1"/>
  <c r="W405" i="1"/>
  <c r="U403" i="1"/>
  <c r="U405" i="1" s="1"/>
  <c r="S403" i="1"/>
  <c r="S399" i="1"/>
  <c r="BE395" i="1"/>
  <c r="BD395" i="1"/>
  <c r="BC395" i="1"/>
  <c r="BB395" i="1"/>
  <c r="BA395" i="1"/>
  <c r="AZ395" i="1"/>
  <c r="AY395" i="1"/>
  <c r="AX395" i="1"/>
  <c r="AW395" i="1"/>
  <c r="AV395" i="1"/>
  <c r="AU395" i="1"/>
  <c r="AT395" i="1"/>
  <c r="AS395" i="1"/>
  <c r="AR395" i="1"/>
  <c r="AQ395" i="1"/>
  <c r="AP395" i="1"/>
  <c r="AO395" i="1"/>
  <c r="U390" i="1"/>
  <c r="T390" i="1"/>
  <c r="S390" i="1"/>
  <c r="U389" i="1"/>
  <c r="T389" i="1"/>
  <c r="S389" i="1"/>
  <c r="U388" i="1"/>
  <c r="T388" i="1"/>
  <c r="T387" i="1" s="1"/>
  <c r="S388" i="1"/>
  <c r="S387" i="1" s="1"/>
  <c r="BE386" i="1"/>
  <c r="BD386" i="1"/>
  <c r="BC386" i="1"/>
  <c r="BB386" i="1"/>
  <c r="BA386" i="1"/>
  <c r="AZ386" i="1"/>
  <c r="AY386" i="1"/>
  <c r="AX386" i="1"/>
  <c r="AW386" i="1"/>
  <c r="AV386" i="1"/>
  <c r="AU386" i="1"/>
  <c r="AT386" i="1"/>
  <c r="AS386" i="1"/>
  <c r="AR386" i="1"/>
  <c r="AQ386" i="1"/>
  <c r="AP386" i="1"/>
  <c r="AO386" i="1"/>
  <c r="U386" i="1"/>
  <c r="S386" i="1"/>
  <c r="AD372" i="1"/>
  <c r="AF372" i="1" s="1"/>
  <c r="AH372" i="1" s="1"/>
  <c r="AJ372" i="1" s="1"/>
  <c r="AL372" i="1" s="1"/>
  <c r="AN372" i="1" s="1"/>
  <c r="AC372" i="1"/>
  <c r="AE372" i="1" s="1"/>
  <c r="AG372" i="1" s="1"/>
  <c r="AI372" i="1" s="1"/>
  <c r="AK372" i="1" s="1"/>
  <c r="AM372" i="1" s="1"/>
  <c r="AD371" i="1"/>
  <c r="AF371" i="1" s="1"/>
  <c r="AH371" i="1" s="1"/>
  <c r="AJ371" i="1" s="1"/>
  <c r="AL371" i="1" s="1"/>
  <c r="AN371" i="1" s="1"/>
  <c r="AC371" i="1"/>
  <c r="AE371" i="1" s="1"/>
  <c r="AG371" i="1" s="1"/>
  <c r="AI371" i="1" s="1"/>
  <c r="AK371" i="1" s="1"/>
  <c r="AM371" i="1" s="1"/>
  <c r="X363" i="1"/>
  <c r="X375" i="1" s="1"/>
  <c r="X270" i="1" s="1"/>
  <c r="U351" i="1"/>
  <c r="T351" i="1"/>
  <c r="S351" i="1"/>
  <c r="R351" i="1"/>
  <c r="Q351" i="1"/>
  <c r="U350" i="1"/>
  <c r="V350" i="1" s="1"/>
  <c r="W350" i="1" s="1"/>
  <c r="X350" i="1" s="1"/>
  <c r="T350" i="1"/>
  <c r="S350" i="1"/>
  <c r="R350" i="1"/>
  <c r="Q350" i="1"/>
  <c r="U349" i="1"/>
  <c r="T349" i="1"/>
  <c r="S349" i="1"/>
  <c r="R349" i="1"/>
  <c r="Q349" i="1"/>
  <c r="U348" i="1"/>
  <c r="V348" i="1" s="1"/>
  <c r="W348" i="1" s="1"/>
  <c r="T348" i="1"/>
  <c r="S348" i="1"/>
  <c r="R348" i="1"/>
  <c r="Q348" i="1"/>
  <c r="Z347" i="1"/>
  <c r="AB347" i="1" s="1"/>
  <c r="Y347" i="1"/>
  <c r="AA347" i="1" s="1"/>
  <c r="U347" i="1"/>
  <c r="T347" i="1"/>
  <c r="S347" i="1"/>
  <c r="R347" i="1"/>
  <c r="Q347" i="1"/>
  <c r="U296" i="1"/>
  <c r="S296" i="1"/>
  <c r="Q296" i="1"/>
  <c r="O296" i="1"/>
  <c r="M296" i="1"/>
  <c r="T295" i="1"/>
  <c r="R295" i="1"/>
  <c r="R572" i="1" s="1"/>
  <c r="P295" i="1"/>
  <c r="P572" i="1" s="1"/>
  <c r="N295" i="1"/>
  <c r="U293" i="1"/>
  <c r="P29" i="48" s="1"/>
  <c r="AM29" i="48" s="1"/>
  <c r="S293" i="1"/>
  <c r="Q293" i="1"/>
  <c r="O293" i="1"/>
  <c r="M293" i="1"/>
  <c r="U292" i="1"/>
  <c r="P28" i="48" s="1"/>
  <c r="S292" i="1"/>
  <c r="Q292" i="1"/>
  <c r="O292" i="1"/>
  <c r="M292" i="1"/>
  <c r="U289" i="1"/>
  <c r="S289" i="1"/>
  <c r="Q289" i="1"/>
  <c r="O289" i="1"/>
  <c r="M289" i="1"/>
  <c r="T288" i="1"/>
  <c r="R288" i="1"/>
  <c r="P288" i="1"/>
  <c r="G27" i="51" s="1"/>
  <c r="BH27" i="51" s="1"/>
  <c r="N288" i="1"/>
  <c r="E27" i="51" s="1"/>
  <c r="BF27" i="51" s="1"/>
  <c r="U286" i="1"/>
  <c r="P24" i="48" s="1"/>
  <c r="AM24" i="48" s="1"/>
  <c r="S286" i="1"/>
  <c r="Q286" i="1"/>
  <c r="O286" i="1"/>
  <c r="F26" i="51" s="1"/>
  <c r="BG26" i="51" s="1"/>
  <c r="M286" i="1"/>
  <c r="D26" i="51" s="1"/>
  <c r="BE26" i="51" s="1"/>
  <c r="U285" i="1"/>
  <c r="P23" i="48" s="1"/>
  <c r="S285" i="1"/>
  <c r="Q285" i="1"/>
  <c r="O285" i="1"/>
  <c r="F25" i="51" s="1"/>
  <c r="BG25" i="51" s="1"/>
  <c r="M285" i="1"/>
  <c r="T282" i="1"/>
  <c r="R282" i="1"/>
  <c r="P282" i="1"/>
  <c r="N282" i="1"/>
  <c r="U280" i="1"/>
  <c r="P19" i="48" s="1"/>
  <c r="AM19" i="48" s="1"/>
  <c r="S280" i="1"/>
  <c r="Q280" i="1"/>
  <c r="O280" i="1"/>
  <c r="F22" i="51" s="1"/>
  <c r="M280" i="1"/>
  <c r="D22" i="51" s="1"/>
  <c r="U279" i="1"/>
  <c r="S279" i="1"/>
  <c r="Q279" i="1"/>
  <c r="O279" i="1"/>
  <c r="F21" i="51" s="1"/>
  <c r="M279" i="1"/>
  <c r="D21" i="51" s="1"/>
  <c r="T271" i="1"/>
  <c r="R271" i="1"/>
  <c r="P271" i="1"/>
  <c r="N271" i="1"/>
  <c r="N426" i="1" s="1"/>
  <c r="U269" i="1"/>
  <c r="P14" i="48" s="1"/>
  <c r="S269" i="1"/>
  <c r="Q269" i="1"/>
  <c r="O269" i="1"/>
  <c r="M269" i="1"/>
  <c r="U268" i="1"/>
  <c r="P13" i="48" s="1"/>
  <c r="AM13" i="48" s="1"/>
  <c r="S268" i="1"/>
  <c r="Q268" i="1"/>
  <c r="O268" i="1"/>
  <c r="M268" i="1"/>
  <c r="U261" i="1"/>
  <c r="S261" i="1"/>
  <c r="Q261" i="1"/>
  <c r="O261" i="1"/>
  <c r="M261" i="1"/>
  <c r="K261" i="1"/>
  <c r="I261" i="1"/>
  <c r="G261" i="1"/>
  <c r="E261" i="1"/>
  <c r="T260" i="1"/>
  <c r="P260" i="1"/>
  <c r="N260" i="1"/>
  <c r="L260" i="1"/>
  <c r="L16" i="1" s="1"/>
  <c r="J260" i="1"/>
  <c r="J16" i="1" s="1"/>
  <c r="H260" i="1"/>
  <c r="H16" i="1" s="1"/>
  <c r="F260" i="1"/>
  <c r="U259" i="1"/>
  <c r="S259" i="1"/>
  <c r="Q259" i="1"/>
  <c r="O259" i="1"/>
  <c r="M259" i="1"/>
  <c r="K259" i="1"/>
  <c r="I259" i="1"/>
  <c r="G259" i="1"/>
  <c r="E259" i="1"/>
  <c r="T258" i="1"/>
  <c r="P258" i="1"/>
  <c r="N258" i="1"/>
  <c r="L258" i="1"/>
  <c r="J258" i="1"/>
  <c r="H258" i="1"/>
  <c r="F258" i="1"/>
  <c r="U257" i="1"/>
  <c r="S257" i="1"/>
  <c r="Q257" i="1"/>
  <c r="O257" i="1"/>
  <c r="M257" i="1"/>
  <c r="K257" i="1"/>
  <c r="I257" i="1"/>
  <c r="G257" i="1"/>
  <c r="E257" i="1"/>
  <c r="T256" i="1"/>
  <c r="P256" i="1"/>
  <c r="N256" i="1"/>
  <c r="L256" i="1"/>
  <c r="J256" i="1"/>
  <c r="H256" i="1"/>
  <c r="F256" i="1"/>
  <c r="U254" i="1"/>
  <c r="X254" i="1" s="1"/>
  <c r="Y254" i="1" s="1"/>
  <c r="Z254" i="1" s="1"/>
  <c r="AA254" i="1" s="1"/>
  <c r="AB254" i="1" s="1"/>
  <c r="AC254" i="1" s="1"/>
  <c r="AD254" i="1" s="1"/>
  <c r="AE254" i="1" s="1"/>
  <c r="AF254" i="1" s="1"/>
  <c r="AG254" i="1" s="1"/>
  <c r="AH254" i="1" s="1"/>
  <c r="AI254" i="1" s="1"/>
  <c r="AJ254" i="1" s="1"/>
  <c r="AK254" i="1" s="1"/>
  <c r="AL254" i="1" s="1"/>
  <c r="AM254" i="1" s="1"/>
  <c r="AN254" i="1" s="1"/>
  <c r="S254" i="1"/>
  <c r="Q254" i="1"/>
  <c r="O254" i="1"/>
  <c r="M254" i="1"/>
  <c r="K254" i="1"/>
  <c r="I254" i="1"/>
  <c r="G254" i="1"/>
  <c r="E254" i="1"/>
  <c r="T253" i="1"/>
  <c r="T286" i="1" s="1"/>
  <c r="P253" i="1"/>
  <c r="P286" i="1" s="1"/>
  <c r="G26" i="51" s="1"/>
  <c r="BH26" i="51" s="1"/>
  <c r="N253" i="1"/>
  <c r="N286" i="1" s="1"/>
  <c r="E26" i="51" s="1"/>
  <c r="BF26" i="51" s="1"/>
  <c r="L253" i="1"/>
  <c r="J253" i="1"/>
  <c r="H253" i="1"/>
  <c r="F253" i="1"/>
  <c r="U251" i="1"/>
  <c r="S251" i="1"/>
  <c r="Q251" i="1"/>
  <c r="O251" i="1"/>
  <c r="M251" i="1"/>
  <c r="K251" i="1"/>
  <c r="I251" i="1"/>
  <c r="G251" i="1"/>
  <c r="E251" i="1"/>
  <c r="T250" i="1"/>
  <c r="T280" i="1" s="1"/>
  <c r="P250" i="1"/>
  <c r="P280" i="1" s="1"/>
  <c r="G22" i="51" s="1"/>
  <c r="N250" i="1"/>
  <c r="N280" i="1" s="1"/>
  <c r="E22" i="51" s="1"/>
  <c r="L250" i="1"/>
  <c r="J250" i="1"/>
  <c r="H250" i="1"/>
  <c r="F250" i="1"/>
  <c r="U247" i="1"/>
  <c r="U275" i="1" s="1"/>
  <c r="S247" i="1"/>
  <c r="S275" i="1" s="1"/>
  <c r="Q247" i="1"/>
  <c r="Q275" i="1" s="1"/>
  <c r="O247" i="1"/>
  <c r="O275" i="1" s="1"/>
  <c r="M247" i="1"/>
  <c r="K247" i="1"/>
  <c r="I247" i="1"/>
  <c r="G247" i="1"/>
  <c r="G262" i="1" s="1"/>
  <c r="E247" i="1"/>
  <c r="E262" i="1" s="1"/>
  <c r="K245" i="1"/>
  <c r="I245" i="1"/>
  <c r="G245" i="1"/>
  <c r="E245" i="1"/>
  <c r="W244" i="1"/>
  <c r="T244" i="1"/>
  <c r="P244" i="1"/>
  <c r="P269" i="1" s="1"/>
  <c r="N244" i="1"/>
  <c r="L244" i="1"/>
  <c r="L245" i="1" s="1"/>
  <c r="J244" i="1"/>
  <c r="J245" i="1" s="1"/>
  <c r="H244" i="1"/>
  <c r="H245" i="1" s="1"/>
  <c r="F244" i="1"/>
  <c r="L37" i="42"/>
  <c r="J37" i="42"/>
  <c r="H37" i="42"/>
  <c r="L36" i="42"/>
  <c r="J36" i="42"/>
  <c r="L34" i="42"/>
  <c r="L233" i="1"/>
  <c r="W231" i="1"/>
  <c r="X231" i="1" s="1"/>
  <c r="Y231" i="1" s="1"/>
  <c r="Z231" i="1" s="1"/>
  <c r="AA231" i="1" s="1"/>
  <c r="AB231" i="1" s="1"/>
  <c r="AC231" i="1" s="1"/>
  <c r="AD231" i="1" s="1"/>
  <c r="AE231" i="1" s="1"/>
  <c r="AF231" i="1" s="1"/>
  <c r="AG231" i="1" s="1"/>
  <c r="AH231" i="1" s="1"/>
  <c r="AI231" i="1" s="1"/>
  <c r="AJ231" i="1" s="1"/>
  <c r="AK231" i="1" s="1"/>
  <c r="AL231" i="1" s="1"/>
  <c r="AM231" i="1" s="1"/>
  <c r="AN231" i="1" s="1"/>
  <c r="W230" i="1"/>
  <c r="X230" i="1" s="1"/>
  <c r="Y230" i="1" s="1"/>
  <c r="Z230" i="1" s="1"/>
  <c r="AA230" i="1" s="1"/>
  <c r="AB230" i="1" s="1"/>
  <c r="AC230" i="1" s="1"/>
  <c r="AD230" i="1" s="1"/>
  <c r="AE230" i="1" s="1"/>
  <c r="AF230" i="1" s="1"/>
  <c r="AG230" i="1" s="1"/>
  <c r="AH230" i="1" s="1"/>
  <c r="AI230" i="1" s="1"/>
  <c r="AJ230" i="1" s="1"/>
  <c r="AK230" i="1" s="1"/>
  <c r="AL230" i="1" s="1"/>
  <c r="AM230" i="1" s="1"/>
  <c r="AN230" i="1" s="1"/>
  <c r="W228" i="1"/>
  <c r="U227" i="1"/>
  <c r="U234" i="1" s="1"/>
  <c r="T227" i="1"/>
  <c r="T233" i="1" s="1"/>
  <c r="S227" i="1"/>
  <c r="S233" i="1" s="1"/>
  <c r="R227" i="1"/>
  <c r="R233" i="1" s="1"/>
  <c r="Q227" i="1"/>
  <c r="Q234" i="1" s="1"/>
  <c r="P227" i="1"/>
  <c r="P234" i="1" s="1"/>
  <c r="O227" i="1"/>
  <c r="O234" i="1" s="1"/>
  <c r="N227" i="1"/>
  <c r="N234" i="1" s="1"/>
  <c r="M227" i="1"/>
  <c r="M233" i="1" s="1"/>
  <c r="U219" i="1"/>
  <c r="S219" i="1"/>
  <c r="Q219" i="1"/>
  <c r="O219" i="1"/>
  <c r="U218" i="1"/>
  <c r="S218" i="1"/>
  <c r="Q218" i="1"/>
  <c r="O218" i="1"/>
  <c r="M218" i="1"/>
  <c r="T217" i="1"/>
  <c r="T16" i="1" s="1"/>
  <c r="R217" i="1"/>
  <c r="P217" i="1"/>
  <c r="P16" i="1" s="1"/>
  <c r="N217" i="1"/>
  <c r="N16" i="1" s="1"/>
  <c r="U215" i="1"/>
  <c r="S215" i="1"/>
  <c r="Q215" i="1"/>
  <c r="O215" i="1"/>
  <c r="M215" i="1"/>
  <c r="T214" i="1"/>
  <c r="R214" i="1"/>
  <c r="P214" i="1"/>
  <c r="N214" i="1"/>
  <c r="N299" i="1" s="1"/>
  <c r="U212" i="1"/>
  <c r="S212" i="1"/>
  <c r="Q212" i="1"/>
  <c r="O212" i="1"/>
  <c r="U211" i="1"/>
  <c r="S211" i="1"/>
  <c r="Q211" i="1"/>
  <c r="O211" i="1"/>
  <c r="M211" i="1"/>
  <c r="T210" i="1"/>
  <c r="T292" i="1" s="1"/>
  <c r="R210" i="1"/>
  <c r="R292" i="1" s="1"/>
  <c r="P210" i="1"/>
  <c r="N210" i="1"/>
  <c r="U209" i="1"/>
  <c r="T209" i="1"/>
  <c r="S209" i="1"/>
  <c r="R209" i="1"/>
  <c r="Q209" i="1"/>
  <c r="P209" i="1"/>
  <c r="O209" i="1"/>
  <c r="U207" i="1"/>
  <c r="U208" i="1" s="1"/>
  <c r="S207" i="1"/>
  <c r="S205" i="1"/>
  <c r="U203" i="1"/>
  <c r="S203" i="1"/>
  <c r="Q203" i="1"/>
  <c r="O203" i="1"/>
  <c r="M203" i="1"/>
  <c r="U202" i="1"/>
  <c r="S202" i="1"/>
  <c r="Q202" i="1"/>
  <c r="W201" i="1"/>
  <c r="T201" i="1"/>
  <c r="V202" i="1" s="1"/>
  <c r="R201" i="1"/>
  <c r="P201" i="1"/>
  <c r="N201" i="1"/>
  <c r="U199" i="1"/>
  <c r="U200" i="1" s="1"/>
  <c r="S199" i="1"/>
  <c r="S200" i="1" s="1"/>
  <c r="U194" i="1"/>
  <c r="S194" i="1"/>
  <c r="Q194" i="1"/>
  <c r="O194" i="1"/>
  <c r="M194" i="1"/>
  <c r="T193" i="1"/>
  <c r="R193" i="1"/>
  <c r="P193" i="1"/>
  <c r="N193" i="1"/>
  <c r="U190" i="1"/>
  <c r="U191" i="1" s="1"/>
  <c r="S190" i="1"/>
  <c r="S191" i="1" s="1"/>
  <c r="U185" i="1"/>
  <c r="U220" i="1" s="1"/>
  <c r="S185" i="1"/>
  <c r="S220" i="1" s="1"/>
  <c r="Q185" i="1"/>
  <c r="O185" i="1"/>
  <c r="M185" i="1"/>
  <c r="M220" i="1" s="1"/>
  <c r="T182" i="1"/>
  <c r="R182" i="1"/>
  <c r="P182" i="1"/>
  <c r="N182" i="1"/>
  <c r="L182" i="1"/>
  <c r="J182" i="1"/>
  <c r="H182" i="1"/>
  <c r="P181" i="1"/>
  <c r="G72" i="51" s="1"/>
  <c r="BH72" i="51" s="1"/>
  <c r="O181" i="1"/>
  <c r="F72" i="51" s="1"/>
  <c r="BG72" i="51" s="1"/>
  <c r="U180" i="1"/>
  <c r="L71" i="51" s="1"/>
  <c r="S180" i="1"/>
  <c r="J71" i="51" s="1"/>
  <c r="Q180" i="1"/>
  <c r="H71" i="51" s="1"/>
  <c r="BI71" i="51" s="1"/>
  <c r="U179" i="1"/>
  <c r="L70" i="51" s="1"/>
  <c r="S179" i="1"/>
  <c r="J70" i="51" s="1"/>
  <c r="Q179" i="1"/>
  <c r="H70" i="51" s="1"/>
  <c r="BI70" i="51" s="1"/>
  <c r="U177" i="1"/>
  <c r="L68" i="51" s="1"/>
  <c r="S177" i="1"/>
  <c r="J68" i="51" s="1"/>
  <c r="Q177" i="1"/>
  <c r="H68" i="51" s="1"/>
  <c r="BI68" i="51" s="1"/>
  <c r="P177" i="1"/>
  <c r="G68" i="51" s="1"/>
  <c r="BH68" i="51" s="1"/>
  <c r="O177" i="1"/>
  <c r="F68" i="51" s="1"/>
  <c r="BG68" i="51" s="1"/>
  <c r="U176" i="1"/>
  <c r="L67" i="51" s="1"/>
  <c r="S176" i="1"/>
  <c r="J67" i="51" s="1"/>
  <c r="Q176" i="1"/>
  <c r="H67" i="51" s="1"/>
  <c r="BI67" i="51" s="1"/>
  <c r="O176" i="1"/>
  <c r="F67" i="51" s="1"/>
  <c r="BG67" i="51" s="1"/>
  <c r="M176" i="1"/>
  <c r="U175" i="1"/>
  <c r="L66" i="51" s="1"/>
  <c r="S175" i="1"/>
  <c r="J66" i="51" s="1"/>
  <c r="Q175" i="1"/>
  <c r="H66" i="51" s="1"/>
  <c r="BI66" i="51" s="1"/>
  <c r="O175" i="1"/>
  <c r="F66" i="51" s="1"/>
  <c r="BG66" i="51" s="1"/>
  <c r="M175" i="1"/>
  <c r="U164" i="1"/>
  <c r="S164" i="1"/>
  <c r="M71" i="51"/>
  <c r="BN71" i="51" s="1"/>
  <c r="T163" i="1"/>
  <c r="T180" i="1" s="1"/>
  <c r="K71" i="51" s="1"/>
  <c r="BL71" i="51" s="1"/>
  <c r="R163" i="1"/>
  <c r="R180" i="1" s="1"/>
  <c r="I71" i="51" s="1"/>
  <c r="BJ71" i="51" s="1"/>
  <c r="U161" i="1"/>
  <c r="S161" i="1"/>
  <c r="T160" i="1"/>
  <c r="V161" i="1" s="1"/>
  <c r="R160" i="1"/>
  <c r="R179" i="1" s="1"/>
  <c r="I70" i="51" s="1"/>
  <c r="BJ70" i="51" s="1"/>
  <c r="U157" i="1"/>
  <c r="S157" i="1"/>
  <c r="T156" i="1"/>
  <c r="T155" i="1"/>
  <c r="T154" i="1"/>
  <c r="T153" i="1"/>
  <c r="Z150" i="1"/>
  <c r="U150" i="1"/>
  <c r="S150" i="1"/>
  <c r="T149" i="1"/>
  <c r="T148" i="1"/>
  <c r="T147" i="1"/>
  <c r="T146" i="1"/>
  <c r="U141" i="1"/>
  <c r="S141" i="1"/>
  <c r="Q141" i="1"/>
  <c r="O141" i="1"/>
  <c r="U139" i="1"/>
  <c r="S139" i="1"/>
  <c r="Q139" i="1"/>
  <c r="X177" i="1"/>
  <c r="O68" i="51" s="1"/>
  <c r="BP68" i="51" s="1"/>
  <c r="Y138" i="1"/>
  <c r="T138" i="1"/>
  <c r="R138" i="1"/>
  <c r="R139" i="1" s="1"/>
  <c r="U135" i="1"/>
  <c r="T135" i="1"/>
  <c r="S135" i="1"/>
  <c r="R135" i="1"/>
  <c r="U134" i="1"/>
  <c r="T134" i="1"/>
  <c r="S134" i="1"/>
  <c r="R134" i="1"/>
  <c r="AN132" i="1"/>
  <c r="AN389" i="1" s="1"/>
  <c r="AM132" i="1"/>
  <c r="AM389" i="1" s="1"/>
  <c r="AL132" i="1"/>
  <c r="AL389" i="1" s="1"/>
  <c r="AK132" i="1"/>
  <c r="AK389" i="1" s="1"/>
  <c r="AJ132" i="1"/>
  <c r="AJ389" i="1" s="1"/>
  <c r="AI132" i="1"/>
  <c r="AI389" i="1" s="1"/>
  <c r="AH132" i="1"/>
  <c r="AH389" i="1" s="1"/>
  <c r="AG132" i="1"/>
  <c r="AG389" i="1" s="1"/>
  <c r="AF132" i="1"/>
  <c r="AF389" i="1" s="1"/>
  <c r="AE132" i="1"/>
  <c r="AE389" i="1" s="1"/>
  <c r="AD132" i="1"/>
  <c r="AD389" i="1" s="1"/>
  <c r="AC132" i="1"/>
  <c r="AC389" i="1" s="1"/>
  <c r="AB132" i="1"/>
  <c r="AB389" i="1" s="1"/>
  <c r="AA132" i="1"/>
  <c r="AA389" i="1" s="1"/>
  <c r="Z132" i="1"/>
  <c r="Z389" i="1" s="1"/>
  <c r="Y132" i="1"/>
  <c r="Y389" i="1" s="1"/>
  <c r="X132" i="1"/>
  <c r="X389" i="1" s="1"/>
  <c r="W132" i="1"/>
  <c r="W389" i="1" s="1"/>
  <c r="AN129" i="1"/>
  <c r="AN390" i="1" s="1"/>
  <c r="AM129" i="1"/>
  <c r="AM390" i="1" s="1"/>
  <c r="AL129" i="1"/>
  <c r="AL390" i="1" s="1"/>
  <c r="AK129" i="1"/>
  <c r="AK390" i="1" s="1"/>
  <c r="AJ129" i="1"/>
  <c r="AJ390" i="1" s="1"/>
  <c r="AI129" i="1"/>
  <c r="AI390" i="1" s="1"/>
  <c r="AH129" i="1"/>
  <c r="AH390" i="1" s="1"/>
  <c r="AG129" i="1"/>
  <c r="AG390" i="1" s="1"/>
  <c r="AF129" i="1"/>
  <c r="AF390" i="1" s="1"/>
  <c r="AE129" i="1"/>
  <c r="AE390" i="1" s="1"/>
  <c r="AD129" i="1"/>
  <c r="AD390" i="1" s="1"/>
  <c r="AC129" i="1"/>
  <c r="AC390" i="1" s="1"/>
  <c r="AB129" i="1"/>
  <c r="AB390" i="1" s="1"/>
  <c r="AA129" i="1"/>
  <c r="AA390" i="1" s="1"/>
  <c r="Z129" i="1"/>
  <c r="Z390" i="1" s="1"/>
  <c r="Z636" i="1" s="1"/>
  <c r="Y129" i="1"/>
  <c r="Y390" i="1" s="1"/>
  <c r="Y636" i="1" s="1"/>
  <c r="X129" i="1"/>
  <c r="X390" i="1" s="1"/>
  <c r="X636" i="1" s="1"/>
  <c r="W129" i="1"/>
  <c r="W390" i="1" s="1"/>
  <c r="W636" i="1" s="1"/>
  <c r="AN124" i="1"/>
  <c r="AN209" i="1" s="1"/>
  <c r="AM124" i="1"/>
  <c r="AM209" i="1" s="1"/>
  <c r="AL124" i="1"/>
  <c r="AL209" i="1" s="1"/>
  <c r="AK124" i="1"/>
  <c r="AK209" i="1" s="1"/>
  <c r="AJ124" i="1"/>
  <c r="AJ209" i="1" s="1"/>
  <c r="AI124" i="1"/>
  <c r="AI209" i="1" s="1"/>
  <c r="AH124" i="1"/>
  <c r="AH209" i="1" s="1"/>
  <c r="AG124" i="1"/>
  <c r="AG209" i="1" s="1"/>
  <c r="AF124" i="1"/>
  <c r="AF209" i="1" s="1"/>
  <c r="AE124" i="1"/>
  <c r="AE209" i="1" s="1"/>
  <c r="AD124" i="1"/>
  <c r="AD209" i="1" s="1"/>
  <c r="AC124" i="1"/>
  <c r="AC209" i="1" s="1"/>
  <c r="AB124" i="1"/>
  <c r="AB209" i="1" s="1"/>
  <c r="AA124" i="1"/>
  <c r="AA209" i="1" s="1"/>
  <c r="Z124" i="1"/>
  <c r="Z209" i="1" s="1"/>
  <c r="Y124" i="1"/>
  <c r="Y209" i="1" s="1"/>
  <c r="X124" i="1"/>
  <c r="X209" i="1" s="1"/>
  <c r="W124" i="1"/>
  <c r="W209" i="1" s="1"/>
  <c r="U118" i="1"/>
  <c r="S118" i="1"/>
  <c r="Q118" i="1"/>
  <c r="O118" i="1"/>
  <c r="M118" i="1"/>
  <c r="T117" i="1"/>
  <c r="T1" i="1" s="1"/>
  <c r="R117" i="1"/>
  <c r="P117" i="1"/>
  <c r="P176" i="1" s="1"/>
  <c r="G67" i="51" s="1"/>
  <c r="BH67" i="51" s="1"/>
  <c r="N117" i="1"/>
  <c r="N176" i="1" s="1"/>
  <c r="U115" i="1"/>
  <c r="S115" i="1"/>
  <c r="Q115" i="1"/>
  <c r="O115" i="1"/>
  <c r="U114" i="1"/>
  <c r="S114" i="1"/>
  <c r="Q114" i="1"/>
  <c r="O114" i="1"/>
  <c r="M114" i="1"/>
  <c r="T113" i="1"/>
  <c r="V115" i="1" s="1"/>
  <c r="R113" i="1"/>
  <c r="P113" i="1"/>
  <c r="N113" i="1"/>
  <c r="T111" i="1"/>
  <c r="R111" i="1"/>
  <c r="P111" i="1"/>
  <c r="N111" i="1"/>
  <c r="AN108" i="1"/>
  <c r="AL108" i="1"/>
  <c r="AJ108" i="1"/>
  <c r="AH108" i="1"/>
  <c r="AF108" i="1"/>
  <c r="AD108" i="1"/>
  <c r="AB108" i="1"/>
  <c r="Z108" i="1"/>
  <c r="X108" i="1"/>
  <c r="U106" i="1"/>
  <c r="S106" i="1"/>
  <c r="Q106" i="1"/>
  <c r="P106" i="1"/>
  <c r="O106" i="1"/>
  <c r="N106" i="1"/>
  <c r="M106" i="1"/>
  <c r="U103" i="1"/>
  <c r="S103" i="1"/>
  <c r="Q103" i="1"/>
  <c r="O103" i="1"/>
  <c r="M103" i="1"/>
  <c r="T102" i="1"/>
  <c r="R102" i="1"/>
  <c r="P102" i="1"/>
  <c r="N102" i="1"/>
  <c r="N175" i="1" s="1"/>
  <c r="U100" i="1"/>
  <c r="S100" i="1"/>
  <c r="Q100" i="1"/>
  <c r="O100" i="1"/>
  <c r="U99" i="1"/>
  <c r="S99" i="1"/>
  <c r="Q99" i="1"/>
  <c r="O99" i="1"/>
  <c r="M99" i="1"/>
  <c r="W98" i="1"/>
  <c r="X98" i="1" s="1"/>
  <c r="T98" i="1"/>
  <c r="V100" i="1" s="1"/>
  <c r="R98" i="1"/>
  <c r="P98" i="1"/>
  <c r="N98" i="1"/>
  <c r="T95" i="1"/>
  <c r="T66" i="1" s="1"/>
  <c r="R95" i="1"/>
  <c r="R66" i="1" s="1"/>
  <c r="P95" i="1"/>
  <c r="P66" i="1" s="1"/>
  <c r="N95" i="1"/>
  <c r="AN87" i="1"/>
  <c r="AM87" i="1"/>
  <c r="AL87" i="1"/>
  <c r="AF16" i="42" s="1"/>
  <c r="AK87" i="1"/>
  <c r="AE16" i="42" s="1"/>
  <c r="AJ87" i="1"/>
  <c r="AD16" i="42" s="1"/>
  <c r="AI87" i="1"/>
  <c r="AC16" i="42" s="1"/>
  <c r="AH87" i="1"/>
  <c r="AB16" i="42" s="1"/>
  <c r="AG87" i="1"/>
  <c r="AA16" i="42" s="1"/>
  <c r="AF87" i="1"/>
  <c r="Z16" i="42" s="1"/>
  <c r="AE87" i="1"/>
  <c r="Y16" i="42" s="1"/>
  <c r="AD87" i="1"/>
  <c r="X16" i="42" s="1"/>
  <c r="AC87" i="1"/>
  <c r="W16" i="42" s="1"/>
  <c r="AB87" i="1"/>
  <c r="V16" i="42" s="1"/>
  <c r="AA87" i="1"/>
  <c r="U16" i="42" s="1"/>
  <c r="Z87" i="1"/>
  <c r="T16" i="42" s="1"/>
  <c r="Y87" i="1"/>
  <c r="S16" i="42" s="1"/>
  <c r="X87" i="1"/>
  <c r="W87" i="1"/>
  <c r="U84" i="1"/>
  <c r="U63" i="1" s="1"/>
  <c r="S84" i="1"/>
  <c r="Q84" i="1"/>
  <c r="P84" i="1"/>
  <c r="O84" i="1"/>
  <c r="O63" i="1" s="1"/>
  <c r="N84" i="1"/>
  <c r="M84" i="1"/>
  <c r="M93" i="1" s="1"/>
  <c r="L84" i="1"/>
  <c r="L63" i="1" s="1"/>
  <c r="K84" i="1"/>
  <c r="K63" i="1" s="1"/>
  <c r="J84" i="1"/>
  <c r="J63" i="1" s="1"/>
  <c r="I84" i="1"/>
  <c r="I63" i="1" s="1"/>
  <c r="H84" i="1"/>
  <c r="G84" i="1"/>
  <c r="F84" i="1"/>
  <c r="E84" i="1"/>
  <c r="T80" i="1"/>
  <c r="R80" i="1"/>
  <c r="R76" i="1" s="1"/>
  <c r="W79" i="1"/>
  <c r="T79" i="1"/>
  <c r="T106" i="1" s="1"/>
  <c r="R79" i="1"/>
  <c r="W78" i="1"/>
  <c r="W84" i="1" s="1"/>
  <c r="W93" i="1" s="1"/>
  <c r="T78" i="1"/>
  <c r="R78" i="1"/>
  <c r="R74" i="1" s="1"/>
  <c r="U76" i="1"/>
  <c r="S76" i="1"/>
  <c r="Q76" i="1"/>
  <c r="P76" i="1"/>
  <c r="O76" i="1"/>
  <c r="N76" i="1"/>
  <c r="M76" i="1"/>
  <c r="L76" i="1"/>
  <c r="K76" i="1"/>
  <c r="J76" i="1"/>
  <c r="I76" i="1"/>
  <c r="H76" i="1"/>
  <c r="G76" i="1"/>
  <c r="U75" i="1"/>
  <c r="S75" i="1"/>
  <c r="Q75" i="1"/>
  <c r="P75" i="1"/>
  <c r="O75" i="1"/>
  <c r="N75" i="1"/>
  <c r="M75" i="1"/>
  <c r="L75" i="1"/>
  <c r="K75" i="1"/>
  <c r="J75" i="1"/>
  <c r="I75" i="1"/>
  <c r="H75" i="1"/>
  <c r="G75" i="1"/>
  <c r="U74" i="1"/>
  <c r="S74" i="1"/>
  <c r="Q74" i="1"/>
  <c r="P74" i="1"/>
  <c r="O74" i="1"/>
  <c r="N74" i="1"/>
  <c r="M74" i="1"/>
  <c r="L74" i="1"/>
  <c r="K74" i="1"/>
  <c r="J74" i="1"/>
  <c r="I74" i="1"/>
  <c r="H74" i="1"/>
  <c r="G74" i="1"/>
  <c r="U71" i="1"/>
  <c r="U81" i="1" s="1"/>
  <c r="S71" i="1"/>
  <c r="S81" i="1" s="1"/>
  <c r="Q71" i="1"/>
  <c r="Q81" i="1" s="1"/>
  <c r="O71" i="1"/>
  <c r="O81" i="1" s="1"/>
  <c r="M71" i="1"/>
  <c r="M81" i="1" s="1"/>
  <c r="T70" i="1"/>
  <c r="K62" i="51" s="1"/>
  <c r="R70" i="1"/>
  <c r="I62" i="51" s="1"/>
  <c r="P70" i="1"/>
  <c r="G62" i="51" s="1"/>
  <c r="N70" i="1"/>
  <c r="E62" i="51" s="1"/>
  <c r="T69" i="1"/>
  <c r="K61" i="51" s="1"/>
  <c r="R69" i="1"/>
  <c r="I61" i="51" s="1"/>
  <c r="P69" i="1"/>
  <c r="G61" i="51" s="1"/>
  <c r="N69" i="1"/>
  <c r="E61" i="51" s="1"/>
  <c r="U66" i="1"/>
  <c r="S66" i="1"/>
  <c r="Q66" i="1"/>
  <c r="O66" i="1"/>
  <c r="M66" i="1"/>
  <c r="N64" i="1"/>
  <c r="E17" i="1"/>
  <c r="AN16" i="1"/>
  <c r="AM16" i="1"/>
  <c r="AL16" i="1"/>
  <c r="AK16" i="1"/>
  <c r="AJ16" i="1"/>
  <c r="AI16" i="1"/>
  <c r="AH16" i="1"/>
  <c r="AG16" i="1"/>
  <c r="AF16" i="1"/>
  <c r="AE16" i="1"/>
  <c r="AD16" i="1"/>
  <c r="AC16" i="1"/>
  <c r="AB16" i="1"/>
  <c r="AA16" i="1"/>
  <c r="Z16" i="1"/>
  <c r="Y16" i="1"/>
  <c r="X16" i="1"/>
  <c r="W16" i="1"/>
  <c r="V16" i="1"/>
  <c r="U16" i="1"/>
  <c r="S16" i="1"/>
  <c r="Q16" i="1"/>
  <c r="O16" i="1"/>
  <c r="M16" i="1"/>
  <c r="K16" i="1"/>
  <c r="I16" i="1"/>
  <c r="G16" i="1"/>
  <c r="E16" i="1"/>
  <c r="E15" i="1" a="1"/>
  <c r="E15" i="1" s="1"/>
  <c r="E13" i="1"/>
  <c r="E12" i="1" a="1"/>
  <c r="E12" i="1" s="1"/>
  <c r="F10" i="1"/>
  <c r="F13" i="1" s="1"/>
  <c r="K8" i="1"/>
  <c r="J8" i="1"/>
  <c r="I8" i="1"/>
  <c r="H8" i="1"/>
  <c r="G8" i="1"/>
  <c r="F8" i="1"/>
  <c r="E8" i="1"/>
  <c r="E386" i="7"/>
  <c r="E385" i="7"/>
  <c r="E384" i="7"/>
  <c r="E383" i="7"/>
  <c r="C373" i="7"/>
  <c r="C372" i="7"/>
  <c r="C371" i="7"/>
  <c r="C370" i="7"/>
  <c r="C369" i="7"/>
  <c r="C368" i="7"/>
  <c r="C367" i="7"/>
  <c r="C366" i="7"/>
  <c r="C365" i="7"/>
  <c r="C364" i="7"/>
  <c r="C351" i="7"/>
  <c r="C350" i="7"/>
  <c r="C340" i="7"/>
  <c r="C339" i="7"/>
  <c r="E331" i="7"/>
  <c r="E303" i="7"/>
  <c r="E297" i="7"/>
  <c r="E125" i="7"/>
  <c r="F115" i="7"/>
  <c r="E114" i="7"/>
  <c r="E338" i="7" s="1"/>
  <c r="T3" i="7"/>
  <c r="U3" i="7" s="1"/>
  <c r="V3" i="7" s="1"/>
  <c r="W3" i="7" s="1"/>
  <c r="X3" i="7" s="1"/>
  <c r="Y3" i="7" s="1"/>
  <c r="Z3" i="7" s="1"/>
  <c r="AA3" i="7" s="1"/>
  <c r="AB3" i="7" s="1"/>
  <c r="AC3" i="7" s="1"/>
  <c r="AD3" i="7" s="1"/>
  <c r="AE3" i="7" s="1"/>
  <c r="B1" i="7"/>
  <c r="G28" i="26"/>
  <c r="E28" i="26"/>
  <c r="B2" i="26"/>
  <c r="E24" i="25"/>
  <c r="S384" i="7"/>
  <c r="R134" i="7"/>
  <c r="S303" i="7"/>
  <c r="R70" i="7"/>
  <c r="S261" i="7"/>
  <c r="R62" i="7"/>
  <c r="R340" i="7"/>
  <c r="R122" i="7"/>
  <c r="S262" i="7"/>
  <c r="R68" i="7"/>
  <c r="S258" i="7"/>
  <c r="R339" i="7"/>
  <c r="R123" i="7"/>
  <c r="S256" i="7"/>
  <c r="S297" i="7"/>
  <c r="S163" i="7"/>
  <c r="R136" i="7"/>
  <c r="S257" i="7"/>
  <c r="S331" i="7"/>
  <c r="S255" i="7"/>
  <c r="S383" i="7"/>
  <c r="S260" i="7"/>
  <c r="R125" i="7"/>
  <c r="S254" i="7"/>
  <c r="R63" i="7"/>
  <c r="R71" i="7"/>
  <c r="R69" i="7"/>
  <c r="R351" i="7"/>
  <c r="R14" i="7"/>
  <c r="S125" i="7"/>
  <c r="R64" i="7"/>
  <c r="R17" i="7"/>
  <c r="R137" i="7"/>
  <c r="S259" i="7"/>
  <c r="R124" i="7"/>
  <c r="R350" i="7"/>
  <c r="R135" i="7"/>
  <c r="S386" i="7"/>
  <c r="R16" i="7"/>
  <c r="S385" i="7"/>
  <c r="R40" i="7"/>
  <c r="AM50" i="48" l="1"/>
  <c r="AN50" i="48"/>
  <c r="Q31" i="48"/>
  <c r="AN31" i="48" s="1"/>
  <c r="AN28" i="48"/>
  <c r="AM23" i="48"/>
  <c r="P26" i="48"/>
  <c r="AM26" i="48" s="1"/>
  <c r="R528" i="1"/>
  <c r="R534" i="1"/>
  <c r="V3" i="1"/>
  <c r="P18" i="48"/>
  <c r="AM28" i="48"/>
  <c r="P31" i="48"/>
  <c r="AM31" i="48" s="1"/>
  <c r="V290" i="1"/>
  <c r="Q23" i="48"/>
  <c r="AN41" i="48"/>
  <c r="P16" i="48"/>
  <c r="AM16" i="48" s="1"/>
  <c r="AM14" i="48"/>
  <c r="E2" i="4"/>
  <c r="E137" i="7" a="1"/>
  <c r="E137" i="7" s="1"/>
  <c r="X113" i="1"/>
  <c r="Z113" i="1" s="1"/>
  <c r="J155" i="49"/>
  <c r="S326" i="1"/>
  <c r="T325" i="1"/>
  <c r="V326" i="1"/>
  <c r="U326" i="1"/>
  <c r="R176" i="1"/>
  <c r="I67" i="51" s="1"/>
  <c r="BJ67" i="51" s="1"/>
  <c r="R1" i="1"/>
  <c r="T2" i="1" s="1"/>
  <c r="V176" i="1"/>
  <c r="V1" i="1"/>
  <c r="V2" i="1" s="1"/>
  <c r="X151" i="1"/>
  <c r="X158" i="1"/>
  <c r="W151" i="1"/>
  <c r="U151" i="1"/>
  <c r="W163" i="1"/>
  <c r="W180" i="1" s="1"/>
  <c r="N71" i="51" s="1"/>
  <c r="BO71" i="51" s="1"/>
  <c r="U158" i="1"/>
  <c r="W158" i="1"/>
  <c r="V177" i="1"/>
  <c r="M68" i="51" s="1"/>
  <c r="BN68" i="51" s="1"/>
  <c r="X139" i="1"/>
  <c r="T245" i="1"/>
  <c r="V702" i="1"/>
  <c r="V682" i="1"/>
  <c r="V245" i="1"/>
  <c r="R5" i="1"/>
  <c r="V544" i="1"/>
  <c r="T5" i="1"/>
  <c r="V297" i="1"/>
  <c r="V5" i="1"/>
  <c r="V74" i="1"/>
  <c r="U471" i="1"/>
  <c r="U598" i="1" s="1"/>
  <c r="V459" i="1"/>
  <c r="V471" i="1" s="1"/>
  <c r="V212" i="1"/>
  <c r="V103" i="1"/>
  <c r="V323" i="1"/>
  <c r="V602" i="1"/>
  <c r="V248" i="1"/>
  <c r="V275" i="1"/>
  <c r="V181" i="1"/>
  <c r="V164" i="1"/>
  <c r="V219" i="1"/>
  <c r="V395" i="1"/>
  <c r="V530" i="1"/>
  <c r="V71" i="1"/>
  <c r="V81" i="1" s="1"/>
  <c r="V141" i="1"/>
  <c r="V139" i="1"/>
  <c r="V99" i="1"/>
  <c r="T399" i="1"/>
  <c r="U399" i="1" s="1"/>
  <c r="AN36" i="49"/>
  <c r="V76" i="1"/>
  <c r="AM27" i="49"/>
  <c r="V75" i="1"/>
  <c r="AH10" i="49"/>
  <c r="AO36" i="49"/>
  <c r="AS62" i="49"/>
  <c r="AR63" i="49"/>
  <c r="L52" i="49"/>
  <c r="AQ63" i="49"/>
  <c r="AG112" i="49"/>
  <c r="U620" i="1"/>
  <c r="AR62" i="49"/>
  <c r="O620" i="1"/>
  <c r="N79" i="49"/>
  <c r="T472" i="1"/>
  <c r="T599" i="1" s="1"/>
  <c r="AG96" i="49"/>
  <c r="J80" i="49"/>
  <c r="N156" i="49"/>
  <c r="L48" i="49"/>
  <c r="E14" i="1"/>
  <c r="E9" i="1" s="1"/>
  <c r="AK36" i="49"/>
  <c r="AS36" i="49"/>
  <c r="H52" i="49"/>
  <c r="N155" i="49"/>
  <c r="H50" i="49"/>
  <c r="H54" i="49"/>
  <c r="N94" i="1"/>
  <c r="N65" i="1" s="1"/>
  <c r="N66" i="1"/>
  <c r="L494" i="1"/>
  <c r="X79" i="1"/>
  <c r="X106" i="1" s="1"/>
  <c r="X111" i="1" s="1"/>
  <c r="Q449" i="1"/>
  <c r="K81" i="42" s="1"/>
  <c r="K432" i="42" s="1" a="1"/>
  <c r="K432" i="42" s="1"/>
  <c r="H155" i="49"/>
  <c r="J254" i="1"/>
  <c r="AP15" i="42"/>
  <c r="AP200" i="42" s="1" a="1"/>
  <c r="AP200" i="42" s="1"/>
  <c r="AO35" i="42"/>
  <c r="AO268" i="42" s="1" a="1"/>
  <c r="AO268" i="42" s="1"/>
  <c r="P215" i="1"/>
  <c r="AN195" i="42" a="1"/>
  <c r="AN195" i="42" s="1"/>
  <c r="AO195" i="42" a="1"/>
  <c r="AO195" i="42" s="1"/>
  <c r="P100" i="1"/>
  <c r="AL37" i="42"/>
  <c r="AL276" i="42" s="1" a="1"/>
  <c r="AL276" i="42" s="1"/>
  <c r="S405" i="1"/>
  <c r="T403" i="1"/>
  <c r="T405" i="1" s="1"/>
  <c r="AR35" i="42"/>
  <c r="AR268" i="42" s="1" a="1"/>
  <c r="AR268" i="42" s="1"/>
  <c r="S313" i="1"/>
  <c r="U313" i="1"/>
  <c r="AP36" i="42"/>
  <c r="AP272" i="42" s="1" a="1"/>
  <c r="AP272" i="42" s="1"/>
  <c r="AX36" i="42"/>
  <c r="AX272" i="42" s="1" a="1"/>
  <c r="AX272" i="42" s="1"/>
  <c r="AT45" i="42"/>
  <c r="AT304" i="42" s="1" a="1"/>
  <c r="AT304" i="42" s="1"/>
  <c r="AQ36" i="42"/>
  <c r="AQ272" i="42" s="1" a="1"/>
  <c r="AQ272" i="42" s="1"/>
  <c r="N233" i="1"/>
  <c r="H33" i="42" s="1"/>
  <c r="H260" i="42" s="1" a="1"/>
  <c r="H260" i="42" s="1"/>
  <c r="AO33" i="42"/>
  <c r="AO260" i="42" s="1" a="1"/>
  <c r="AO260" i="42" s="1"/>
  <c r="M63" i="1"/>
  <c r="AS36" i="42"/>
  <c r="AS272" i="42" s="1" a="1"/>
  <c r="AS272" i="42" s="1"/>
  <c r="F52" i="49"/>
  <c r="AN37" i="42"/>
  <c r="AN276" i="42" s="1" a="1"/>
  <c r="AN276" i="42" s="1"/>
  <c r="S27" i="49"/>
  <c r="AL12" i="42"/>
  <c r="AL188" i="42" s="1" a="1"/>
  <c r="AL188" i="42" s="1"/>
  <c r="AL190" i="42" s="1"/>
  <c r="S208" i="1"/>
  <c r="R521" i="1"/>
  <c r="R631" i="1" s="1"/>
  <c r="AT15" i="42"/>
  <c r="AT200" i="42" s="1" a="1"/>
  <c r="AT200" i="42" s="1"/>
  <c r="AO16" i="42"/>
  <c r="AO204" i="42" s="1" a="1"/>
  <c r="AO204" i="42" s="1"/>
  <c r="AT17" i="42"/>
  <c r="AT208" i="42" s="1" a="1"/>
  <c r="AT208" i="42" s="1"/>
  <c r="T183" i="42" a="1"/>
  <c r="T183" i="42" s="1"/>
  <c r="H157" i="49"/>
  <c r="H247" i="1"/>
  <c r="H248" i="1" s="1"/>
  <c r="AP46" i="42"/>
  <c r="AP308" i="42" s="1" a="1"/>
  <c r="AP308" i="42" s="1"/>
  <c r="AX46" i="42"/>
  <c r="AX308" i="42" s="1" a="1"/>
  <c r="AX308" i="42" s="1"/>
  <c r="J154" i="49"/>
  <c r="P211" i="1"/>
  <c r="AO15" i="42"/>
  <c r="AO200" i="42" s="1" a="1"/>
  <c r="AO200" i="42" s="1"/>
  <c r="P185" i="1"/>
  <c r="P274" i="1" s="1"/>
  <c r="E248" i="1"/>
  <c r="AL63" i="49"/>
  <c r="R103" i="1"/>
  <c r="P219" i="1"/>
  <c r="AR45" i="42"/>
  <c r="AR304" i="42" s="1" a="1"/>
  <c r="AR304" i="42" s="1"/>
  <c r="BK31" i="51"/>
  <c r="AN15" i="42"/>
  <c r="AN200" i="42" s="1" a="1"/>
  <c r="AN200" i="42" s="1"/>
  <c r="AV15" i="42"/>
  <c r="AV200" i="42" s="1" a="1"/>
  <c r="AV200" i="42" s="1"/>
  <c r="AT29" i="42"/>
  <c r="AT248" i="42" s="1" a="1"/>
  <c r="AT248" i="42" s="1"/>
  <c r="AS37" i="42"/>
  <c r="AS276" i="42" s="1" a="1"/>
  <c r="AS276" i="42" s="1"/>
  <c r="AS45" i="42"/>
  <c r="AS304" i="42" s="1" a="1"/>
  <c r="AS304" i="42" s="1"/>
  <c r="G191" i="42" a="1"/>
  <c r="G191" i="42" s="1"/>
  <c r="T75" i="1"/>
  <c r="N87" i="1"/>
  <c r="E76" i="51" s="1"/>
  <c r="U233" i="1"/>
  <c r="AP34" i="42"/>
  <c r="AP264" i="42" s="1" a="1"/>
  <c r="AP264" i="42" s="1"/>
  <c r="AM11" i="42"/>
  <c r="AM184" i="42" s="1" a="1"/>
  <c r="AM184" i="42" s="1"/>
  <c r="AQ28" i="42"/>
  <c r="AQ244" i="42" s="1" a="1"/>
  <c r="AQ244" i="42" s="1"/>
  <c r="AU35" i="42"/>
  <c r="AU268" i="42" s="1" a="1"/>
  <c r="AU268" i="42" s="1"/>
  <c r="AQ46" i="42"/>
  <c r="AQ308" i="42" s="1" a="1"/>
  <c r="AQ308" i="42" s="1"/>
  <c r="N307" i="1"/>
  <c r="AR34" i="42"/>
  <c r="AR264" i="42" s="1" a="1"/>
  <c r="AR264" i="42" s="1"/>
  <c r="R219" i="1"/>
  <c r="O303" i="1"/>
  <c r="AP36" i="49"/>
  <c r="N157" i="49"/>
  <c r="R439" i="1"/>
  <c r="AW35" i="42"/>
  <c r="AW268" i="42" s="1" a="1"/>
  <c r="AW268" i="42" s="1"/>
  <c r="AS46" i="42"/>
  <c r="AS308" i="42" s="1" a="1"/>
  <c r="AS308" i="42" s="1"/>
  <c r="F54" i="49"/>
  <c r="W479" i="1"/>
  <c r="W665" i="1" s="1"/>
  <c r="AO79" i="42"/>
  <c r="AO424" i="42" s="1" a="1"/>
  <c r="AO424" i="42" s="1"/>
  <c r="AM16" i="42"/>
  <c r="AM204" i="42" s="1" a="1"/>
  <c r="AM204" i="42" s="1"/>
  <c r="N691" i="1"/>
  <c r="D44" i="51"/>
  <c r="BE44" i="51" s="1"/>
  <c r="AT28" i="42"/>
  <c r="AT244" i="42" s="1" a="1"/>
  <c r="AT244" i="42" s="1"/>
  <c r="AT34" i="42"/>
  <c r="AT264" i="42" s="1" a="1"/>
  <c r="AT264" i="42" s="1"/>
  <c r="M27" i="49"/>
  <c r="M303" i="1"/>
  <c r="AP37" i="42"/>
  <c r="AP276" i="42" s="1" a="1"/>
  <c r="AP276" i="42" s="1"/>
  <c r="AP45" i="42"/>
  <c r="AP304" i="42" s="1" a="1"/>
  <c r="AP304" i="42" s="1"/>
  <c r="AX45" i="42"/>
  <c r="AX304" i="42" s="1" a="1"/>
  <c r="AX304" i="42" s="1"/>
  <c r="AN62" i="49"/>
  <c r="AK63" i="49"/>
  <c r="AS63" i="49"/>
  <c r="BM19" i="51"/>
  <c r="T19" i="51"/>
  <c r="U19" i="51" s="1"/>
  <c r="T100" i="1"/>
  <c r="T99" i="1"/>
  <c r="T642" i="1"/>
  <c r="G41" i="50" s="1"/>
  <c r="P63" i="1"/>
  <c r="P93" i="1"/>
  <c r="P64" i="1" s="1"/>
  <c r="S691" i="1"/>
  <c r="Q63" i="1"/>
  <c r="Q93" i="1"/>
  <c r="Q94" i="1" s="1"/>
  <c r="Q65" i="1" s="1"/>
  <c r="S93" i="1"/>
  <c r="S94" i="1" s="1"/>
  <c r="S65" i="1" s="1"/>
  <c r="S63" i="1"/>
  <c r="O426" i="1"/>
  <c r="O449" i="1"/>
  <c r="I81" i="42" s="1"/>
  <c r="I432" i="42" s="1" a="1"/>
  <c r="I432" i="42" s="1"/>
  <c r="E3" i="7"/>
  <c r="AX34" i="42"/>
  <c r="AX264" i="42" s="1" a="1"/>
  <c r="AX264" i="42" s="1"/>
  <c r="P521" i="1"/>
  <c r="P631" i="1" s="1"/>
  <c r="U387" i="1"/>
  <c r="O488" i="1"/>
  <c r="O492" i="1" s="1"/>
  <c r="U521" i="1"/>
  <c r="U631" i="1" s="1"/>
  <c r="C87" i="4"/>
  <c r="Q35" i="51"/>
  <c r="S35" i="51" s="1"/>
  <c r="AK27" i="49"/>
  <c r="J51" i="49"/>
  <c r="AM62" i="49"/>
  <c r="S290" i="1"/>
  <c r="P304" i="1"/>
  <c r="T545" i="1"/>
  <c r="N587" i="1"/>
  <c r="O670" i="1"/>
  <c r="BM27" i="51"/>
  <c r="Q191" i="42" a="1"/>
  <c r="Q191" i="42" s="1"/>
  <c r="F79" i="49"/>
  <c r="N203" i="1"/>
  <c r="L456" i="1"/>
  <c r="AM79" i="42"/>
  <c r="AM424" i="42" s="1" a="1"/>
  <c r="AM424" i="42" s="1"/>
  <c r="AW29" i="42"/>
  <c r="AW248" i="42" s="1" a="1"/>
  <c r="AW248" i="42" s="1"/>
  <c r="AU45" i="42"/>
  <c r="AU304" i="42" s="1" a="1"/>
  <c r="AU304" i="42" s="1"/>
  <c r="F75" i="49"/>
  <c r="AO62" i="49"/>
  <c r="P203" i="1"/>
  <c r="AM37" i="42"/>
  <c r="AM276" i="42" s="1" a="1"/>
  <c r="AM276" i="42" s="1"/>
  <c r="N259" i="1"/>
  <c r="N593" i="1"/>
  <c r="AS28" i="42"/>
  <c r="AS244" i="42" s="1" a="1"/>
  <c r="AS244" i="42" s="1"/>
  <c r="AP33" i="42"/>
  <c r="AP260" i="42" s="1" a="1"/>
  <c r="AP260" i="42" s="1"/>
  <c r="AR36" i="42"/>
  <c r="AR272" i="42" s="1" a="1"/>
  <c r="AR272" i="42" s="1"/>
  <c r="AR46" i="42"/>
  <c r="AR308" i="42" s="1" a="1"/>
  <c r="AR308" i="42" s="1"/>
  <c r="J75" i="49"/>
  <c r="N96" i="49"/>
  <c r="AN27" i="49"/>
  <c r="R114" i="1"/>
  <c r="Q304" i="1"/>
  <c r="AO37" i="42"/>
  <c r="AO276" i="42" s="1" a="1"/>
  <c r="AO276" i="42" s="1"/>
  <c r="AW45" i="42"/>
  <c r="AW304" i="42" s="1" a="1"/>
  <c r="AW304" i="42" s="1"/>
  <c r="AP35" i="49"/>
  <c r="N75" i="49"/>
  <c r="F80" i="49"/>
  <c r="N99" i="1"/>
  <c r="T114" i="1"/>
  <c r="N185" i="1"/>
  <c r="N186" i="1" s="1"/>
  <c r="AU28" i="42"/>
  <c r="AU244" i="42" s="1" a="1"/>
  <c r="AU244" i="42" s="1"/>
  <c r="AR33" i="42"/>
  <c r="AR260" i="42" s="1" a="1"/>
  <c r="AR260" i="42" s="1"/>
  <c r="AT36" i="42"/>
  <c r="AT272" i="42" s="1" a="1"/>
  <c r="AT272" i="42" s="1"/>
  <c r="AT46" i="42"/>
  <c r="AT308" i="42" s="1" a="1"/>
  <c r="AT308" i="42" s="1"/>
  <c r="F77" i="49"/>
  <c r="H53" i="49"/>
  <c r="T107" i="1"/>
  <c r="N17" i="42" s="1"/>
  <c r="AO17" i="42" s="1"/>
  <c r="AO208" i="42" s="1" a="1"/>
  <c r="AO208" i="42" s="1"/>
  <c r="R100" i="1"/>
  <c r="P212" i="1"/>
  <c r="Q303" i="1"/>
  <c r="S567" i="1"/>
  <c r="S576" i="1" s="1"/>
  <c r="O521" i="1"/>
  <c r="O631" i="1" s="1"/>
  <c r="AV28" i="42"/>
  <c r="AV244" i="42" s="1" a="1"/>
  <c r="AV244" i="42" s="1"/>
  <c r="AL36" i="42"/>
  <c r="AL272" i="42" s="1" a="1"/>
  <c r="AL272" i="42" s="1"/>
  <c r="AU36" i="42"/>
  <c r="AU272" i="42" s="1" a="1"/>
  <c r="AU272" i="42" s="1"/>
  <c r="J96" i="49"/>
  <c r="J157" i="49"/>
  <c r="AT33" i="42"/>
  <c r="AT260" i="42" s="1" a="1"/>
  <c r="AT260" i="42" s="1"/>
  <c r="AV46" i="42"/>
  <c r="AV308" i="42" s="1" a="1"/>
  <c r="AV308" i="42" s="1"/>
  <c r="AX16" i="42"/>
  <c r="AX204" i="42" s="1" a="1"/>
  <c r="AX204" i="42" s="1"/>
  <c r="AL11" i="42"/>
  <c r="AL184" i="42" s="1" a="1"/>
  <c r="AL184" i="42" s="1"/>
  <c r="AP28" i="42"/>
  <c r="AP244" i="42" s="1" a="1"/>
  <c r="AP244" i="42" s="1"/>
  <c r="AX28" i="42"/>
  <c r="AX244" i="42" s="1" a="1"/>
  <c r="AX244" i="42" s="1"/>
  <c r="AO36" i="42"/>
  <c r="AO272" i="42" s="1" a="1"/>
  <c r="AO272" i="42" s="1"/>
  <c r="AW46" i="42"/>
  <c r="AW308" i="42" s="1" a="1"/>
  <c r="AW308" i="42" s="1"/>
  <c r="AL35" i="49"/>
  <c r="T74" i="1"/>
  <c r="N107" i="1"/>
  <c r="H17" i="42" s="1"/>
  <c r="T219" i="1"/>
  <c r="S248" i="1"/>
  <c r="R651" i="1"/>
  <c r="H183" i="42" a="1"/>
  <c r="H183" i="42" s="1"/>
  <c r="S187" i="42" a="1"/>
  <c r="S187" i="42" s="1"/>
  <c r="AR203" i="42" a="1"/>
  <c r="AR203" i="42" s="1"/>
  <c r="P107" i="1"/>
  <c r="J17" i="42" s="1"/>
  <c r="Z138" i="1"/>
  <c r="AB138" i="1" s="1"/>
  <c r="AD138" i="1" s="1"/>
  <c r="P194" i="1"/>
  <c r="R212" i="1"/>
  <c r="U248" i="1"/>
  <c r="CJ46" i="51"/>
  <c r="CK46" i="51" s="1"/>
  <c r="CN48" i="51"/>
  <c r="O183" i="42" a="1"/>
  <c r="O183" i="42" s="1"/>
  <c r="AP63" i="49"/>
  <c r="P103" i="1"/>
  <c r="R118" i="1"/>
  <c r="S471" i="1"/>
  <c r="S598" i="1" s="1"/>
  <c r="L120" i="49" s="1"/>
  <c r="P642" i="1"/>
  <c r="J78" i="42" s="1"/>
  <c r="J420" i="42" s="1" a="1"/>
  <c r="J420" i="42" s="1"/>
  <c r="AR29" i="42"/>
  <c r="AR248" i="42" s="1" a="1"/>
  <c r="AR248" i="42" s="1"/>
  <c r="AP35" i="42"/>
  <c r="AP268" i="42" s="1" a="1"/>
  <c r="AP268" i="42" s="1"/>
  <c r="AX35" i="42"/>
  <c r="AX268" i="42" s="1" a="1"/>
  <c r="AX268" i="42" s="1"/>
  <c r="R183" i="42" a="1"/>
  <c r="R183" i="42" s="1"/>
  <c r="AV231" i="42" a="1"/>
  <c r="AV231" i="42" s="1"/>
  <c r="AH9" i="49"/>
  <c r="AM35" i="49"/>
  <c r="T118" i="1"/>
  <c r="R642" i="1"/>
  <c r="R655" i="1" s="1"/>
  <c r="J48" i="51"/>
  <c r="BK48" i="51" s="1"/>
  <c r="H81" i="49"/>
  <c r="J251" i="1"/>
  <c r="F257" i="1"/>
  <c r="AS29" i="42"/>
  <c r="AS248" i="42" s="1" a="1"/>
  <c r="AS248" i="42" s="1"/>
  <c r="AV34" i="42"/>
  <c r="AV264" i="42" s="1" a="1"/>
  <c r="AV264" i="42" s="1"/>
  <c r="AQ35" i="42"/>
  <c r="AQ268" i="42" s="1" a="1"/>
  <c r="AQ268" i="42" s="1"/>
  <c r="X183" i="42" a="1"/>
  <c r="X183" i="42" s="1"/>
  <c r="AF199" i="42" a="1"/>
  <c r="AF199" i="42" s="1"/>
  <c r="AR27" i="49"/>
  <c r="AV16" i="42"/>
  <c r="AV204" i="42" s="1" a="1"/>
  <c r="AV204" i="42" s="1"/>
  <c r="P115" i="1"/>
  <c r="L247" i="1"/>
  <c r="L248" i="1" s="1"/>
  <c r="N439" i="1"/>
  <c r="AE183" i="42" a="1"/>
  <c r="AE183" i="42" s="1"/>
  <c r="J257" i="1"/>
  <c r="F261" i="1"/>
  <c r="N430" i="1"/>
  <c r="M488" i="1"/>
  <c r="M492" i="1" s="1"/>
  <c r="M494" i="1" s="1"/>
  <c r="P691" i="1"/>
  <c r="H79" i="49"/>
  <c r="N71" i="1"/>
  <c r="N81" i="1" s="1"/>
  <c r="T84" i="1"/>
  <c r="T63" i="1" s="1"/>
  <c r="J259" i="1"/>
  <c r="S262" i="1"/>
  <c r="N488" i="1"/>
  <c r="N492" i="1" s="1"/>
  <c r="P544" i="1"/>
  <c r="L44" i="51"/>
  <c r="BM44" i="51" s="1"/>
  <c r="AG10" i="49"/>
  <c r="H75" i="49"/>
  <c r="F254" i="1"/>
  <c r="L259" i="1"/>
  <c r="U262" i="1"/>
  <c r="U449" i="1"/>
  <c r="P11" i="48" s="1"/>
  <c r="AM11" i="48" s="1"/>
  <c r="R691" i="1"/>
  <c r="AU29" i="42"/>
  <c r="AU248" i="42" s="1" a="1"/>
  <c r="AU248" i="42" s="1"/>
  <c r="AS35" i="42"/>
  <c r="AS268" i="42" s="1" a="1"/>
  <c r="AS268" i="42" s="1"/>
  <c r="AQ37" i="42"/>
  <c r="AQ276" i="42" s="1" a="1"/>
  <c r="AQ276" i="42" s="1"/>
  <c r="AW183" i="42" a="1"/>
  <c r="AW183" i="42" s="1"/>
  <c r="AM195" i="42" a="1"/>
  <c r="AM195" i="42" s="1"/>
  <c r="V27" i="49"/>
  <c r="AM36" i="49"/>
  <c r="L79" i="49"/>
  <c r="AP62" i="49"/>
  <c r="N154" i="49"/>
  <c r="O691" i="1"/>
  <c r="AR17" i="42"/>
  <c r="AR208" i="42" s="1" a="1"/>
  <c r="AR208" i="42" s="1"/>
  <c r="AR28" i="42"/>
  <c r="AR244" i="42" s="1" a="1"/>
  <c r="AR244" i="42" s="1"/>
  <c r="AW36" i="42"/>
  <c r="AW272" i="42" s="1" a="1"/>
  <c r="AW272" i="42" s="1"/>
  <c r="AQ45" i="42"/>
  <c r="AQ304" i="42" s="1" a="1"/>
  <c r="AQ304" i="42" s="1"/>
  <c r="AU46" i="42"/>
  <c r="AU308" i="42" s="1" a="1"/>
  <c r="AU308" i="42" s="1"/>
  <c r="G27" i="49"/>
  <c r="N52" i="49"/>
  <c r="L75" i="49"/>
  <c r="X160" i="1"/>
  <c r="X179" i="1" s="1"/>
  <c r="T161" i="1"/>
  <c r="BM10" i="51"/>
  <c r="AV29" i="42"/>
  <c r="AV248" i="42" s="1" a="1"/>
  <c r="AV248" i="42" s="1"/>
  <c r="AT35" i="42"/>
  <c r="AT268" i="42" s="1" a="1"/>
  <c r="AT268" i="42" s="1"/>
  <c r="N48" i="49"/>
  <c r="F53" i="49"/>
  <c r="AQ35" i="49"/>
  <c r="AQ62" i="49"/>
  <c r="N194" i="1"/>
  <c r="O191" i="42" a="1"/>
  <c r="O191" i="42" s="1"/>
  <c r="H77" i="49"/>
  <c r="AR16" i="42"/>
  <c r="AR204" i="42" s="1" a="1"/>
  <c r="AR204" i="42" s="1"/>
  <c r="R234" i="1"/>
  <c r="N427" i="1"/>
  <c r="O313" i="1"/>
  <c r="T488" i="1"/>
  <c r="T492" i="1" s="1"/>
  <c r="O593" i="1"/>
  <c r="H117" i="49" s="1"/>
  <c r="M691" i="1"/>
  <c r="K27" i="49"/>
  <c r="AA27" i="49"/>
  <c r="I27" i="49"/>
  <c r="J50" i="49"/>
  <c r="R75" i="1"/>
  <c r="O93" i="1"/>
  <c r="O64" i="1" s="1"/>
  <c r="Q313" i="1"/>
  <c r="U488" i="1"/>
  <c r="U492" i="1" s="1"/>
  <c r="N670" i="1"/>
  <c r="AP29" i="42"/>
  <c r="AP248" i="42" s="1" a="1"/>
  <c r="AP248" i="42" s="1"/>
  <c r="AX29" i="42"/>
  <c r="AX248" i="42" s="1" a="1"/>
  <c r="AX248" i="42" s="1"/>
  <c r="AS34" i="42"/>
  <c r="AS264" i="42" s="1" a="1"/>
  <c r="AS264" i="42" s="1"/>
  <c r="AV35" i="42"/>
  <c r="AV268" i="42" s="1" a="1"/>
  <c r="AV268" i="42" s="1"/>
  <c r="AT37" i="42"/>
  <c r="AT276" i="42" s="1" a="1"/>
  <c r="AT276" i="42" s="1"/>
  <c r="L27" i="49"/>
  <c r="AK35" i="49"/>
  <c r="AS35" i="49"/>
  <c r="AK62" i="49"/>
  <c r="AO63" i="49"/>
  <c r="J156" i="49"/>
  <c r="U613" i="1"/>
  <c r="U614" i="1" s="1"/>
  <c r="Y467" i="1"/>
  <c r="N18" i="7"/>
  <c r="Q18" i="7"/>
  <c r="O18" i="7"/>
  <c r="P18" i="7"/>
  <c r="T150" i="1"/>
  <c r="V151" i="1" s="1"/>
  <c r="T212" i="1"/>
  <c r="O233" i="1"/>
  <c r="I33" i="42" s="1"/>
  <c r="I260" i="42" s="1" a="1"/>
  <c r="I260" i="42" s="1"/>
  <c r="Q659" i="1"/>
  <c r="T691" i="1"/>
  <c r="H156" i="49"/>
  <c r="F16" i="1"/>
  <c r="P233" i="1"/>
  <c r="Q297" i="1"/>
  <c r="R449" i="1"/>
  <c r="L81" i="42" s="1"/>
  <c r="L432" i="42" s="1" a="1"/>
  <c r="L432" i="42" s="1"/>
  <c r="X467" i="1"/>
  <c r="P488" i="1"/>
  <c r="P492" i="1" s="1"/>
  <c r="R603" i="1"/>
  <c r="R493" i="1" s="1"/>
  <c r="L670" i="1"/>
  <c r="U691" i="1"/>
  <c r="Z43" i="51"/>
  <c r="P183" i="42" a="1"/>
  <c r="P183" i="42" s="1"/>
  <c r="AB187" i="42" a="1"/>
  <c r="AB187" i="42" s="1"/>
  <c r="AV195" i="42" a="1"/>
  <c r="AV195" i="42" s="1"/>
  <c r="AL27" i="49"/>
  <c r="AJ13" i="49"/>
  <c r="AJ27" i="49" s="1"/>
  <c r="Y157" i="1"/>
  <c r="AA157" i="1" s="1"/>
  <c r="AC157" i="1" s="1"/>
  <c r="H254" i="1"/>
  <c r="W422" i="1"/>
  <c r="X422" i="1" s="1"/>
  <c r="Q670" i="1"/>
  <c r="CN23" i="51"/>
  <c r="CN44" i="51" s="1"/>
  <c r="T115" i="1"/>
  <c r="Q233" i="1"/>
  <c r="F247" i="1"/>
  <c r="F248" i="1" s="1"/>
  <c r="Q262" i="1"/>
  <c r="R426" i="1"/>
  <c r="S449" i="1"/>
  <c r="N11" i="48" s="1"/>
  <c r="AK11" i="48" s="1"/>
  <c r="Q488" i="1"/>
  <c r="Q492" i="1" s="1"/>
  <c r="U560" i="1"/>
  <c r="Q19" i="51"/>
  <c r="S19" i="51" s="1"/>
  <c r="Q27" i="51"/>
  <c r="S27" i="51" s="1"/>
  <c r="AM15" i="42"/>
  <c r="AM200" i="42" s="1" a="1"/>
  <c r="AM200" i="42" s="1"/>
  <c r="AU15" i="42"/>
  <c r="AU200" i="42" s="1" a="1"/>
  <c r="AU200" i="42" s="1"/>
  <c r="AN16" i="42"/>
  <c r="AN204" i="42" s="1" a="1"/>
  <c r="AN204" i="42" s="1"/>
  <c r="AS17" i="42"/>
  <c r="AS208" i="42" s="1" a="1"/>
  <c r="AS208" i="42" s="1"/>
  <c r="AS33" i="42"/>
  <c r="AS260" i="42" s="1" a="1"/>
  <c r="AS260" i="42" s="1"/>
  <c r="AL34" i="42"/>
  <c r="AL264" i="42" s="1" a="1"/>
  <c r="AL264" i="42" s="1"/>
  <c r="AU34" i="42"/>
  <c r="AU264" i="42" s="1" a="1"/>
  <c r="AU264" i="42" s="1"/>
  <c r="AR37" i="42"/>
  <c r="AR276" i="42" s="1" a="1"/>
  <c r="AR276" i="42" s="1"/>
  <c r="Q183" i="42" a="1"/>
  <c r="Q183" i="42" s="1"/>
  <c r="Q27" i="49"/>
  <c r="AB27" i="49"/>
  <c r="AS27" i="49"/>
  <c r="J53" i="49"/>
  <c r="AR35" i="49"/>
  <c r="J79" i="49"/>
  <c r="L156" i="49"/>
  <c r="R488" i="1"/>
  <c r="R492" i="1" s="1"/>
  <c r="N27" i="49"/>
  <c r="AD27" i="49"/>
  <c r="W160" i="1"/>
  <c r="W161" i="1" s="1"/>
  <c r="N211" i="1"/>
  <c r="S234" i="1"/>
  <c r="O430" i="1"/>
  <c r="P439" i="1"/>
  <c r="S488" i="1"/>
  <c r="S492" i="1" s="1"/>
  <c r="R545" i="1"/>
  <c r="P670" i="1"/>
  <c r="O681" i="1"/>
  <c r="L195" i="42" a="1"/>
  <c r="L195" i="42" s="1"/>
  <c r="O27" i="49"/>
  <c r="AE27" i="49"/>
  <c r="O529" i="1"/>
  <c r="AS16" i="42"/>
  <c r="AS204" i="42" s="1" a="1"/>
  <c r="AS204" i="42" s="1"/>
  <c r="M186" i="1"/>
  <c r="T234" i="1"/>
  <c r="J247" i="1"/>
  <c r="J248" i="1" s="1"/>
  <c r="O560" i="1"/>
  <c r="P681" i="1"/>
  <c r="F44" i="51"/>
  <c r="BG44" i="51" s="1"/>
  <c r="AW15" i="42"/>
  <c r="AW200" i="42" s="1" a="1"/>
  <c r="AW200" i="42" s="1"/>
  <c r="AU17" i="42"/>
  <c r="AU208" i="42" s="1" a="1"/>
  <c r="AU208" i="42" s="1"/>
  <c r="AU33" i="42"/>
  <c r="AU260" i="42" s="1" a="1"/>
  <c r="AU260" i="42" s="1"/>
  <c r="AO34" i="42"/>
  <c r="AO264" i="42" s="1" a="1"/>
  <c r="AO264" i="42" s="1"/>
  <c r="AW34" i="42"/>
  <c r="AW264" i="42" s="1" a="1"/>
  <c r="AW264" i="42" s="1"/>
  <c r="AD183" i="42" a="1"/>
  <c r="AD183" i="42" s="1"/>
  <c r="P191" i="42" a="1"/>
  <c r="P191" i="42" s="1"/>
  <c r="H80" i="49"/>
  <c r="L157" i="49"/>
  <c r="F48" i="51"/>
  <c r="BG48" i="51" s="1"/>
  <c r="AT16" i="42"/>
  <c r="AT204" i="42" s="1" a="1"/>
  <c r="AT204" i="42" s="1"/>
  <c r="T157" i="1"/>
  <c r="V158" i="1" s="1"/>
  <c r="U186" i="1"/>
  <c r="L254" i="1"/>
  <c r="N414" i="1"/>
  <c r="O471" i="1"/>
  <c r="O598" i="1" s="1"/>
  <c r="H120" i="49" s="1"/>
  <c r="R544" i="1"/>
  <c r="S670" i="1"/>
  <c r="T11" i="51"/>
  <c r="U11" i="51" s="1"/>
  <c r="BK19" i="51"/>
  <c r="AX15" i="42"/>
  <c r="AX200" i="42" s="1" a="1"/>
  <c r="AX200" i="42" s="1"/>
  <c r="AV17" i="42"/>
  <c r="AV208" i="42" s="1" a="1"/>
  <c r="AV208" i="42" s="1"/>
  <c r="AV33" i="42"/>
  <c r="AV260" i="42" s="1" a="1"/>
  <c r="AV260" i="42" s="1"/>
  <c r="AU37" i="42"/>
  <c r="AU276" i="42" s="1" a="1"/>
  <c r="AU276" i="42" s="1"/>
  <c r="AF183" i="42" a="1"/>
  <c r="AF183" i="42" s="1"/>
  <c r="AO187" i="42" a="1"/>
  <c r="AO187" i="42" s="1"/>
  <c r="AE191" i="42" a="1"/>
  <c r="AE191" i="42" s="1"/>
  <c r="T195" i="42" a="1"/>
  <c r="T195" i="42" s="1"/>
  <c r="AQ36" i="49"/>
  <c r="J77" i="49"/>
  <c r="AM63" i="49"/>
  <c r="L78" i="49"/>
  <c r="H154" i="49"/>
  <c r="AP255" i="42" a="1"/>
  <c r="AP255" i="42" s="1"/>
  <c r="M274" i="1"/>
  <c r="N114" i="1"/>
  <c r="H44" i="51"/>
  <c r="BI44" i="51" s="1"/>
  <c r="N289" i="1"/>
  <c r="L681" i="1"/>
  <c r="U195" i="42" a="1"/>
  <c r="U195" i="42" s="1"/>
  <c r="R203" i="42" a="1"/>
  <c r="R203" i="42" s="1"/>
  <c r="L51" i="49"/>
  <c r="L77" i="49"/>
  <c r="S186" i="1"/>
  <c r="T670" i="1"/>
  <c r="T71" i="1"/>
  <c r="T81" i="1" s="1"/>
  <c r="AU16" i="42"/>
  <c r="AU204" i="42" s="1" a="1"/>
  <c r="AU204" i="42" s="1"/>
  <c r="R177" i="1"/>
  <c r="I68" i="51" s="1"/>
  <c r="BJ68" i="51" s="1"/>
  <c r="F251" i="1"/>
  <c r="H257" i="1"/>
  <c r="Q414" i="1"/>
  <c r="U303" i="1"/>
  <c r="Q529" i="1"/>
  <c r="Q395" i="1" s="1"/>
  <c r="U670" i="1"/>
  <c r="Q691" i="1"/>
  <c r="BM8" i="51"/>
  <c r="AQ15" i="42"/>
  <c r="AQ200" i="42" s="1" a="1"/>
  <c r="AQ200" i="42" s="1"/>
  <c r="AW17" i="42"/>
  <c r="AW208" i="42" s="1" a="1"/>
  <c r="AW208" i="42" s="1"/>
  <c r="AW33" i="42"/>
  <c r="AW260" i="42" s="1" a="1"/>
  <c r="AW260" i="42" s="1"/>
  <c r="AQ34" i="42"/>
  <c r="AQ264" i="42" s="1" a="1"/>
  <c r="AQ264" i="42" s="1"/>
  <c r="AV37" i="42"/>
  <c r="AV276" i="42" s="1" a="1"/>
  <c r="AV276" i="42" s="1"/>
  <c r="R187" i="42" a="1"/>
  <c r="R187" i="42" s="1"/>
  <c r="AV187" i="42" a="1"/>
  <c r="AV187" i="42" s="1"/>
  <c r="AF191" i="42" a="1"/>
  <c r="AF191" i="42" s="1"/>
  <c r="P199" i="42" a="1"/>
  <c r="P199" i="42" s="1"/>
  <c r="U203" i="42" a="1"/>
  <c r="U203" i="42" s="1"/>
  <c r="Y27" i="49"/>
  <c r="T27" i="49"/>
  <c r="AN35" i="49"/>
  <c r="AR36" i="49"/>
  <c r="H96" i="49"/>
  <c r="L154" i="49"/>
  <c r="S392" i="1"/>
  <c r="M313" i="1"/>
  <c r="T320" i="1"/>
  <c r="T602" i="1" s="1"/>
  <c r="M121" i="49" s="1"/>
  <c r="M151" i="49" s="1"/>
  <c r="O530" i="1"/>
  <c r="P545" i="1"/>
  <c r="T651" i="1"/>
  <c r="BE23" i="51"/>
  <c r="V48" i="51"/>
  <c r="W48" i="51" s="1"/>
  <c r="AO183" i="42" a="1"/>
  <c r="AO183" i="42" s="1"/>
  <c r="AQ27" i="49"/>
  <c r="U27" i="49"/>
  <c r="R115" i="1"/>
  <c r="R99" i="1"/>
  <c r="R141" i="1"/>
  <c r="T177" i="1"/>
  <c r="K68" i="51" s="1"/>
  <c r="BL68" i="51" s="1"/>
  <c r="T207" i="1"/>
  <c r="T208" i="1" s="1"/>
  <c r="H251" i="1"/>
  <c r="L257" i="1"/>
  <c r="F259" i="1"/>
  <c r="T392" i="1"/>
  <c r="U414" i="1"/>
  <c r="T567" i="1"/>
  <c r="T576" i="1" s="1"/>
  <c r="W483" i="1"/>
  <c r="X483" i="1" s="1"/>
  <c r="BK11" i="51"/>
  <c r="Z42" i="51"/>
  <c r="BG23" i="51"/>
  <c r="W31" i="51"/>
  <c r="AR15" i="42"/>
  <c r="AR200" i="42" s="1" a="1"/>
  <c r="AR200" i="42" s="1"/>
  <c r="AX17" i="42"/>
  <c r="AX208" i="42" s="1" a="1"/>
  <c r="AX208" i="42" s="1"/>
  <c r="AX33" i="42"/>
  <c r="AX260" i="42" s="1" a="1"/>
  <c r="AX260" i="42" s="1"/>
  <c r="AW37" i="42"/>
  <c r="AW276" i="42" s="1" a="1"/>
  <c r="AW276" i="42" s="1"/>
  <c r="Q199" i="42" a="1"/>
  <c r="Q199" i="42" s="1"/>
  <c r="F48" i="49"/>
  <c r="H78" i="49"/>
  <c r="S463" i="1"/>
  <c r="S303" i="1"/>
  <c r="R16" i="1"/>
  <c r="T76" i="1"/>
  <c r="T103" i="1"/>
  <c r="F245" i="1"/>
  <c r="H259" i="1"/>
  <c r="BI23" i="51"/>
  <c r="Z48" i="51"/>
  <c r="AW28" i="42"/>
  <c r="AW244" i="42" s="1" a="1"/>
  <c r="AW244" i="42" s="1"/>
  <c r="AQ29" i="42"/>
  <c r="AQ248" i="42" s="1" a="1"/>
  <c r="AQ248" i="42" s="1"/>
  <c r="AV36" i="42"/>
  <c r="AV272" i="42" s="1" a="1"/>
  <c r="AV272" i="42" s="1"/>
  <c r="AV45" i="42"/>
  <c r="AV304" i="42" s="1" a="1"/>
  <c r="AV304" i="42" s="1"/>
  <c r="AX191" i="42" a="1"/>
  <c r="AX191" i="42" s="1"/>
  <c r="W27" i="49"/>
  <c r="AL36" i="49"/>
  <c r="AW16" i="42"/>
  <c r="AW204" i="42" s="1" a="1"/>
  <c r="AW204" i="42" s="1"/>
  <c r="T141" i="1"/>
  <c r="T521" i="1"/>
  <c r="T631" i="1" s="1"/>
  <c r="Q14" i="51"/>
  <c r="AM12" i="42"/>
  <c r="AM188" i="42" s="1" a="1"/>
  <c r="AM188" i="42" s="1"/>
  <c r="AS15" i="42"/>
  <c r="AS200" i="42" s="1" a="1"/>
  <c r="AS200" i="42" s="1"/>
  <c r="AQ17" i="42"/>
  <c r="AQ208" i="42" s="1" a="1"/>
  <c r="AQ208" i="42" s="1"/>
  <c r="AQ33" i="42"/>
  <c r="AQ260" i="42" s="1" a="1"/>
  <c r="AQ260" i="42" s="1"/>
  <c r="AX37" i="42"/>
  <c r="AX276" i="42" s="1" a="1"/>
  <c r="AX276" i="42" s="1"/>
  <c r="N183" i="42" a="1"/>
  <c r="N183" i="42" s="1"/>
  <c r="AX183" i="42" a="1"/>
  <c r="AX183" i="42" s="1"/>
  <c r="U187" i="42" a="1"/>
  <c r="U187" i="42" s="1"/>
  <c r="AG9" i="49"/>
  <c r="AC27" i="49"/>
  <c r="J48" i="49"/>
  <c r="L155" i="49"/>
  <c r="O28" i="48"/>
  <c r="AL28" i="48" s="1"/>
  <c r="G22" i="50"/>
  <c r="M100" i="49"/>
  <c r="M110" i="49" s="1"/>
  <c r="N54" i="42"/>
  <c r="N332" i="42" s="1" a="1"/>
  <c r="N332" i="42" s="1"/>
  <c r="K29" i="51"/>
  <c r="M64" i="1"/>
  <c r="M94" i="1"/>
  <c r="K30" i="49"/>
  <c r="K48" i="49" s="1"/>
  <c r="L23" i="42"/>
  <c r="AN23" i="42" s="1"/>
  <c r="AN224" i="42" s="1" a="1"/>
  <c r="AN224" i="42" s="1"/>
  <c r="R268" i="1"/>
  <c r="R194" i="1"/>
  <c r="R211" i="1"/>
  <c r="R203" i="1"/>
  <c r="R185" i="1"/>
  <c r="R220" i="1" s="1"/>
  <c r="R215" i="1"/>
  <c r="K57" i="49"/>
  <c r="L40" i="42"/>
  <c r="AN40" i="42" s="1"/>
  <c r="AN284" i="42" s="1" a="1"/>
  <c r="AN284" i="42" s="1"/>
  <c r="R247" i="1"/>
  <c r="R269" i="1"/>
  <c r="R261" i="1"/>
  <c r="Y98" i="1"/>
  <c r="AA138" i="1"/>
  <c r="Y177" i="1"/>
  <c r="G14" i="50"/>
  <c r="K23" i="51"/>
  <c r="T589" i="1"/>
  <c r="N61" i="42" s="1"/>
  <c r="N356" i="42" s="1" a="1"/>
  <c r="N356" i="42" s="1"/>
  <c r="K33" i="42"/>
  <c r="K260" i="42" s="1" a="1"/>
  <c r="K260" i="42" s="1"/>
  <c r="W388" i="1"/>
  <c r="I18" i="7"/>
  <c r="G115" i="7"/>
  <c r="M70" i="51"/>
  <c r="BN70" i="51" s="1"/>
  <c r="M32" i="49"/>
  <c r="M50" i="49" s="1"/>
  <c r="N25" i="42"/>
  <c r="AO25" i="42" s="1"/>
  <c r="AO232" i="42" s="1" a="1"/>
  <c r="AO232" i="42" s="1"/>
  <c r="T279" i="1"/>
  <c r="T3" i="1" s="1"/>
  <c r="T194" i="1"/>
  <c r="T190" i="1"/>
  <c r="T191" i="1" s="1"/>
  <c r="T185" i="1"/>
  <c r="T220" i="1" s="1"/>
  <c r="I85" i="49"/>
  <c r="I95" i="49" s="1"/>
  <c r="J50" i="42"/>
  <c r="J320" i="42" s="1" a="1"/>
  <c r="J320" i="42" s="1"/>
  <c r="G18" i="51"/>
  <c r="BH18" i="51" s="1"/>
  <c r="X228" i="1"/>
  <c r="K18" i="7"/>
  <c r="Y150" i="1"/>
  <c r="F114" i="7"/>
  <c r="J18" i="7"/>
  <c r="L18" i="7"/>
  <c r="M18" i="7"/>
  <c r="G33" i="42"/>
  <c r="G260" i="42" s="1" a="1"/>
  <c r="G260" i="42" s="1"/>
  <c r="P10" i="49"/>
  <c r="Q12" i="42"/>
  <c r="Q188" i="42" s="1" a="1"/>
  <c r="Q188" i="42" s="1"/>
  <c r="N59" i="51"/>
  <c r="BK68" i="51"/>
  <c r="Q68" i="51"/>
  <c r="S68" i="51" s="1"/>
  <c r="M30" i="49"/>
  <c r="N23" i="42"/>
  <c r="AO23" i="42" s="1"/>
  <c r="AO224" i="42" s="1" a="1"/>
  <c r="AO224" i="42" s="1"/>
  <c r="T268" i="1"/>
  <c r="H31" i="49"/>
  <c r="I24" i="42"/>
  <c r="I228" i="42" s="1" a="1"/>
  <c r="I228" i="42" s="1"/>
  <c r="T218" i="1"/>
  <c r="J34" i="42"/>
  <c r="J264" i="42" s="1" a="1"/>
  <c r="J264" i="42" s="1"/>
  <c r="M57" i="49"/>
  <c r="N40" i="42"/>
  <c r="N284" i="42" s="1" a="1"/>
  <c r="N284" i="42" s="1"/>
  <c r="T247" i="1"/>
  <c r="T262" i="1" s="1"/>
  <c r="T269" i="1"/>
  <c r="G18" i="50"/>
  <c r="O24" i="48"/>
  <c r="AL24" i="48" s="1"/>
  <c r="K26" i="51"/>
  <c r="BL26" i="51" s="1"/>
  <c r="I86" i="49"/>
  <c r="J51" i="42"/>
  <c r="AM51" i="42" s="1"/>
  <c r="AM324" i="42" s="1" a="1"/>
  <c r="AM324" i="42" s="1"/>
  <c r="G19" i="51"/>
  <c r="BH19" i="51" s="1"/>
  <c r="G6" i="51"/>
  <c r="BH6" i="51" s="1"/>
  <c r="P585" i="1"/>
  <c r="P426" i="1"/>
  <c r="P502" i="1"/>
  <c r="P289" i="1"/>
  <c r="P414" i="1"/>
  <c r="I119" i="49"/>
  <c r="I149" i="49" s="1"/>
  <c r="J66" i="42"/>
  <c r="J376" i="42" s="1" a="1"/>
  <c r="J376" i="42" s="1"/>
  <c r="U529" i="1"/>
  <c r="U530" i="1"/>
  <c r="E9" i="50"/>
  <c r="K86" i="49"/>
  <c r="L51" i="42"/>
  <c r="AN51" i="42" s="1"/>
  <c r="AN324" i="42" s="1" a="1"/>
  <c r="AN324" i="42" s="1"/>
  <c r="I19" i="51"/>
  <c r="BJ19" i="51" s="1"/>
  <c r="I6" i="51"/>
  <c r="BJ6" i="51" s="1"/>
  <c r="R502" i="1"/>
  <c r="R289" i="1"/>
  <c r="R585" i="1"/>
  <c r="R414" i="1"/>
  <c r="D25" i="51"/>
  <c r="BE25" i="51" s="1"/>
  <c r="M290" i="1"/>
  <c r="D18" i="50"/>
  <c r="H26" i="51"/>
  <c r="BI26" i="51" s="1"/>
  <c r="Q675" i="1"/>
  <c r="Q427" i="1"/>
  <c r="Q430" i="1"/>
  <c r="Q599" i="1"/>
  <c r="R472" i="1"/>
  <c r="R599" i="1" s="1"/>
  <c r="J121" i="49"/>
  <c r="K68" i="42"/>
  <c r="K384" i="42" s="1" a="1"/>
  <c r="K384" i="42" s="1"/>
  <c r="P71" i="1"/>
  <c r="P81" i="1" s="1"/>
  <c r="Y79" i="1"/>
  <c r="AB150" i="1"/>
  <c r="BM68" i="51"/>
  <c r="T68" i="51"/>
  <c r="U68" i="51" s="1"/>
  <c r="BK70" i="51"/>
  <c r="Q70" i="51"/>
  <c r="S70" i="51" s="1"/>
  <c r="Q181" i="1"/>
  <c r="J31" i="49"/>
  <c r="K24" i="42"/>
  <c r="K228" i="42" s="1" a="1"/>
  <c r="K228" i="42" s="1"/>
  <c r="Q274" i="1"/>
  <c r="Q277" i="1" s="1"/>
  <c r="G33" i="49"/>
  <c r="H26" i="42"/>
  <c r="AL26" i="42" s="1"/>
  <c r="AL236" i="42" s="1" a="1"/>
  <c r="AL236" i="42" s="1"/>
  <c r="W229" i="1"/>
  <c r="W232" i="1" s="1"/>
  <c r="P57" i="49"/>
  <c r="Q40" i="42"/>
  <c r="Q284" i="42" s="1" a="1"/>
  <c r="Q284" i="42" s="1"/>
  <c r="W253" i="1"/>
  <c r="W269" i="1"/>
  <c r="Y244" i="1"/>
  <c r="I262" i="1"/>
  <c r="I248" i="1"/>
  <c r="G9" i="50"/>
  <c r="M86" i="49"/>
  <c r="M96" i="49" s="1"/>
  <c r="N51" i="42"/>
  <c r="AO51" i="42" s="1"/>
  <c r="AO324" i="42" s="1" a="1"/>
  <c r="AO324" i="42" s="1"/>
  <c r="K19" i="51"/>
  <c r="BL19" i="51" s="1"/>
  <c r="K6" i="51"/>
  <c r="BL6" i="51" s="1"/>
  <c r="T585" i="1"/>
  <c r="T502" i="1"/>
  <c r="T386" i="1"/>
  <c r="T312" i="1"/>
  <c r="T426" i="1"/>
  <c r="T296" i="1"/>
  <c r="N285" i="1"/>
  <c r="E18" i="50"/>
  <c r="I26" i="51"/>
  <c r="BJ26" i="51" s="1"/>
  <c r="P99" i="1"/>
  <c r="W106" i="1"/>
  <c r="W111" i="1" s="1"/>
  <c r="W114" i="1" s="1"/>
  <c r="T179" i="1"/>
  <c r="R181" i="1"/>
  <c r="I33" i="49"/>
  <c r="I51" i="49" s="1"/>
  <c r="J26" i="42"/>
  <c r="AM26" i="42" s="1"/>
  <c r="AM236" i="42" s="1" a="1"/>
  <c r="AM236" i="42" s="1"/>
  <c r="P285" i="1"/>
  <c r="T215" i="1"/>
  <c r="T254" i="1"/>
  <c r="F18" i="50"/>
  <c r="N24" i="48"/>
  <c r="AK24" i="48" s="1"/>
  <c r="J26" i="51"/>
  <c r="X348" i="1"/>
  <c r="W349" i="1"/>
  <c r="W351" i="1" s="1"/>
  <c r="N63" i="1"/>
  <c r="R71" i="1"/>
  <c r="R81" i="1" s="1"/>
  <c r="N86" i="1"/>
  <c r="W94" i="1"/>
  <c r="P114" i="1"/>
  <c r="G12" i="49"/>
  <c r="AG12" i="49" s="1"/>
  <c r="H14" i="42"/>
  <c r="AL14" i="42" s="1"/>
  <c r="AL196" i="42" s="1" a="1"/>
  <c r="AL196" i="42" s="1"/>
  <c r="W177" i="1"/>
  <c r="N68" i="51" s="1"/>
  <c r="BO68" i="51" s="1"/>
  <c r="T70" i="51"/>
  <c r="U70" i="51" s="1"/>
  <c r="BM70" i="51"/>
  <c r="S181" i="1"/>
  <c r="L31" i="49"/>
  <c r="M24" i="42"/>
  <c r="M228" i="42" s="1" a="1"/>
  <c r="M228" i="42" s="1"/>
  <c r="S274" i="1"/>
  <c r="S277" i="1" s="1"/>
  <c r="K33" i="49"/>
  <c r="L26" i="42"/>
  <c r="AN26" i="42" s="1"/>
  <c r="AN236" i="42" s="1" a="1"/>
  <c r="AN236" i="42" s="1"/>
  <c r="R285" i="1"/>
  <c r="K262" i="1"/>
  <c r="K248" i="1"/>
  <c r="T289" i="1"/>
  <c r="Y348" i="1"/>
  <c r="W403" i="1"/>
  <c r="W640" i="1" s="1"/>
  <c r="W677" i="1" s="1"/>
  <c r="L123" i="49"/>
  <c r="M70" i="42"/>
  <c r="M392" i="42" s="1" a="1"/>
  <c r="M392" i="42" s="1"/>
  <c r="S608" i="1"/>
  <c r="S620" i="1" s="1"/>
  <c r="W80" i="1"/>
  <c r="W76" i="1" s="1"/>
  <c r="I12" i="49"/>
  <c r="AH12" i="49" s="1"/>
  <c r="J14" i="42"/>
  <c r="AM14" i="42" s="1"/>
  <c r="AM196" i="42" s="1" a="1"/>
  <c r="AM196" i="42" s="1"/>
  <c r="M33" i="49"/>
  <c r="N26" i="42"/>
  <c r="AO26" i="42" s="1"/>
  <c r="AO236" i="42" s="1" a="1"/>
  <c r="AO236" i="42" s="1"/>
  <c r="T285" i="1"/>
  <c r="T203" i="1"/>
  <c r="G36" i="49"/>
  <c r="G54" i="49" s="1"/>
  <c r="H29" i="42"/>
  <c r="AL29" i="42" s="1"/>
  <c r="AL248" i="42" s="1" a="1"/>
  <c r="AL248" i="42" s="1"/>
  <c r="N309" i="1"/>
  <c r="M559" i="1"/>
  <c r="M560" i="1"/>
  <c r="P16" i="42"/>
  <c r="M76" i="51"/>
  <c r="U93" i="1"/>
  <c r="G11" i="49"/>
  <c r="AG11" i="49" s="1"/>
  <c r="H13" i="42"/>
  <c r="AL13" i="42" s="1"/>
  <c r="AL192" i="42" s="1" a="1"/>
  <c r="AL192" i="42" s="1"/>
  <c r="K12" i="49"/>
  <c r="AI12" i="49" s="1"/>
  <c r="L14" i="42"/>
  <c r="L196" i="42" s="1" a="1"/>
  <c r="L196" i="42" s="1"/>
  <c r="Q67" i="51"/>
  <c r="S67" i="51" s="1"/>
  <c r="BK67" i="51"/>
  <c r="O178" i="1"/>
  <c r="U181" i="1"/>
  <c r="N31" i="49"/>
  <c r="O24" i="42"/>
  <c r="O228" i="42" s="1" a="1"/>
  <c r="O228" i="42" s="1"/>
  <c r="U274" i="1"/>
  <c r="U277" i="1" s="1"/>
  <c r="I36" i="49"/>
  <c r="I54" i="49" s="1"/>
  <c r="J29" i="42"/>
  <c r="P309" i="1"/>
  <c r="G248" i="1"/>
  <c r="R259" i="1"/>
  <c r="T261" i="1"/>
  <c r="O274" i="1"/>
  <c r="O277" i="1" s="1"/>
  <c r="R296" i="1"/>
  <c r="M694" i="1"/>
  <c r="M701" i="1" s="1"/>
  <c r="M566" i="1"/>
  <c r="M567" i="1" s="1"/>
  <c r="M456" i="1"/>
  <c r="R119" i="49"/>
  <c r="S66" i="42"/>
  <c r="S376" i="42" s="1" a="1"/>
  <c r="S376" i="42" s="1"/>
  <c r="F17" i="1"/>
  <c r="Q16" i="42"/>
  <c r="Q204" i="42" s="1" a="1"/>
  <c r="Q204" i="42" s="1"/>
  <c r="N76" i="51"/>
  <c r="I11" i="49"/>
  <c r="AH11" i="49" s="1"/>
  <c r="J13" i="42"/>
  <c r="AM13" i="42" s="1"/>
  <c r="AM192" i="42" s="1" a="1"/>
  <c r="AM192" i="42" s="1"/>
  <c r="M12" i="49"/>
  <c r="AJ12" i="49" s="1"/>
  <c r="N14" i="42"/>
  <c r="AO14" i="42" s="1"/>
  <c r="AO196" i="42" s="1" a="1"/>
  <c r="AO196" i="42" s="1"/>
  <c r="X163" i="1"/>
  <c r="P175" i="1"/>
  <c r="T176" i="1"/>
  <c r="K67" i="51" s="1"/>
  <c r="BL67" i="51" s="1"/>
  <c r="P33" i="49"/>
  <c r="Q26" i="42"/>
  <c r="Q236" i="42" s="1" a="1"/>
  <c r="Q236" i="42" s="1"/>
  <c r="W285" i="1"/>
  <c r="K36" i="49"/>
  <c r="AI36" i="49" s="1"/>
  <c r="AI54" i="49" s="1"/>
  <c r="L29" i="42"/>
  <c r="AN29" i="42" s="1"/>
  <c r="AN248" i="42" s="1" a="1"/>
  <c r="AN248" i="42" s="1"/>
  <c r="R309" i="1"/>
  <c r="R313" i="1" s="1"/>
  <c r="X366" i="1"/>
  <c r="X378" i="1" s="1"/>
  <c r="X287" i="1" s="1"/>
  <c r="Z350" i="1"/>
  <c r="M118" i="49"/>
  <c r="M148" i="49" s="1"/>
  <c r="N65" i="42"/>
  <c r="N372" i="42" s="1" a="1"/>
  <c r="N372" i="42" s="1"/>
  <c r="Q323" i="1"/>
  <c r="G10" i="1"/>
  <c r="K9" i="49"/>
  <c r="AI9" i="49" s="1"/>
  <c r="L11" i="42"/>
  <c r="I58" i="51"/>
  <c r="R16" i="42"/>
  <c r="R204" i="42" s="1" a="1"/>
  <c r="R204" i="42" s="1"/>
  <c r="O76" i="51"/>
  <c r="K11" i="49"/>
  <c r="AI11" i="49" s="1"/>
  <c r="L13" i="42"/>
  <c r="AN13" i="42" s="1"/>
  <c r="AN192" i="42" s="1" a="1"/>
  <c r="AN192" i="42" s="1"/>
  <c r="T67" i="51"/>
  <c r="U67" i="51" s="1"/>
  <c r="BM67" i="51"/>
  <c r="Q178" i="1"/>
  <c r="G35" i="49"/>
  <c r="H28" i="42"/>
  <c r="M36" i="49"/>
  <c r="AJ36" i="49" s="1"/>
  <c r="N29" i="42"/>
  <c r="AO29" i="42" s="1"/>
  <c r="AO248" i="42" s="1" a="1"/>
  <c r="AO248" i="42" s="1"/>
  <c r="T309" i="1"/>
  <c r="BH22" i="51"/>
  <c r="G63" i="49"/>
  <c r="G81" i="49" s="1"/>
  <c r="H46" i="42"/>
  <c r="AL46" i="42" s="1"/>
  <c r="AL308" i="42" s="1" a="1"/>
  <c r="AL308" i="42" s="1"/>
  <c r="N261" i="1"/>
  <c r="N310" i="1"/>
  <c r="Y350" i="1"/>
  <c r="M9" i="49"/>
  <c r="AJ9" i="49" s="1"/>
  <c r="N11" i="42"/>
  <c r="AO11" i="42" s="1"/>
  <c r="AO184" i="42" s="1" a="1"/>
  <c r="AO184" i="42" s="1"/>
  <c r="K58" i="51"/>
  <c r="M11" i="49"/>
  <c r="AJ11" i="49" s="1"/>
  <c r="N13" i="42"/>
  <c r="AO13" i="42" s="1"/>
  <c r="AO192" i="42" s="1" a="1"/>
  <c r="AO192" i="42" s="1"/>
  <c r="T139" i="1"/>
  <c r="Z157" i="1"/>
  <c r="Z160" i="1" s="1"/>
  <c r="T164" i="1"/>
  <c r="R175" i="1"/>
  <c r="Y201" i="1"/>
  <c r="T211" i="1"/>
  <c r="I35" i="49"/>
  <c r="J28" i="42"/>
  <c r="AM28" i="42" s="1"/>
  <c r="AM244" i="42" s="1" a="1"/>
  <c r="AM244" i="42" s="1"/>
  <c r="P299" i="1"/>
  <c r="E13" i="50"/>
  <c r="I22" i="51"/>
  <c r="I63" i="49"/>
  <c r="J46" i="42"/>
  <c r="J308" i="42" s="1" a="1"/>
  <c r="J308" i="42" s="1"/>
  <c r="P261" i="1"/>
  <c r="P310" i="1"/>
  <c r="E22" i="50"/>
  <c r="K100" i="49"/>
  <c r="K110" i="49" s="1"/>
  <c r="L54" i="42"/>
  <c r="L332" i="42" s="1" a="1"/>
  <c r="L332" i="42" s="1"/>
  <c r="I29" i="51"/>
  <c r="AC347" i="1"/>
  <c r="AA363" i="1"/>
  <c r="AA375" i="1" s="1"/>
  <c r="T449" i="1"/>
  <c r="T414" i="1"/>
  <c r="R560" i="1"/>
  <c r="Q66" i="51"/>
  <c r="S66" i="51" s="1"/>
  <c r="BK66" i="51"/>
  <c r="S178" i="1"/>
  <c r="Q71" i="51"/>
  <c r="S71" i="51" s="1"/>
  <c r="BK71" i="51"/>
  <c r="R202" i="1"/>
  <c r="K35" i="49"/>
  <c r="AI35" i="49" s="1"/>
  <c r="AI53" i="49" s="1"/>
  <c r="L28" i="42"/>
  <c r="L244" i="42" s="1" a="1"/>
  <c r="L244" i="42" s="1"/>
  <c r="R299" i="1"/>
  <c r="N218" i="1"/>
  <c r="M234" i="1"/>
  <c r="G13" i="50"/>
  <c r="O19" i="48"/>
  <c r="AL19" i="48" s="1"/>
  <c r="K22" i="51"/>
  <c r="K63" i="49"/>
  <c r="AI63" i="49" s="1"/>
  <c r="AI81" i="49" s="1"/>
  <c r="L46" i="42"/>
  <c r="AN46" i="42" s="1"/>
  <c r="AN308" i="42" s="1" a="1"/>
  <c r="AN308" i="42" s="1"/>
  <c r="BE22" i="51"/>
  <c r="N28" i="48"/>
  <c r="AK28" i="48" s="1"/>
  <c r="F22" i="50"/>
  <c r="L100" i="49"/>
  <c r="M54" i="42"/>
  <c r="M332" i="42" s="1" a="1"/>
  <c r="M332" i="42" s="1"/>
  <c r="J29" i="51"/>
  <c r="S297" i="1"/>
  <c r="H56" i="42"/>
  <c r="AL56" i="42" s="1"/>
  <c r="AL340" i="42" s="1" a="1"/>
  <c r="AL340" i="42" s="1"/>
  <c r="E31" i="51"/>
  <c r="N572" i="1"/>
  <c r="O572" i="1"/>
  <c r="N296" i="1"/>
  <c r="AD347" i="1"/>
  <c r="AB363" i="1"/>
  <c r="AB375" i="1" s="1"/>
  <c r="N471" i="1"/>
  <c r="N598" i="1" s="1"/>
  <c r="O9" i="48"/>
  <c r="AL9" i="48" s="1"/>
  <c r="M127" i="49"/>
  <c r="N74" i="42"/>
  <c r="AO74" i="42" s="1"/>
  <c r="AO408" i="42" s="1" a="1"/>
  <c r="AO408" i="42" s="1"/>
  <c r="K11" i="51"/>
  <c r="BL11" i="51" s="1"/>
  <c r="T528" i="1"/>
  <c r="P9" i="49"/>
  <c r="N58" i="51"/>
  <c r="Q11" i="42"/>
  <c r="Q184" i="42" s="1" a="1"/>
  <c r="Q184" i="42" s="1"/>
  <c r="T175" i="1"/>
  <c r="G34" i="49"/>
  <c r="G52" i="49" s="1"/>
  <c r="H27" i="42"/>
  <c r="AL27" i="42" s="1"/>
  <c r="AL240" i="42" s="1" a="1"/>
  <c r="AL240" i="42" s="1"/>
  <c r="N292" i="1"/>
  <c r="M35" i="49"/>
  <c r="AJ35" i="49" s="1"/>
  <c r="N28" i="42"/>
  <c r="AO28" i="42" s="1"/>
  <c r="AO244" i="42" s="1" a="1"/>
  <c r="AO244" i="42" s="1"/>
  <c r="T299" i="1"/>
  <c r="O220" i="1"/>
  <c r="M63" i="49"/>
  <c r="AJ63" i="49" s="1"/>
  <c r="N46" i="42"/>
  <c r="N308" i="42" s="1" a="1"/>
  <c r="N308" i="42" s="1"/>
  <c r="T310" i="1"/>
  <c r="BF22" i="51"/>
  <c r="O290" i="1"/>
  <c r="I102" i="49"/>
  <c r="I112" i="49" s="1"/>
  <c r="G31" i="51"/>
  <c r="J56" i="42"/>
  <c r="AM56" i="42" s="1"/>
  <c r="AM340" i="42" s="1" a="1"/>
  <c r="AM340" i="42" s="1"/>
  <c r="G7" i="51"/>
  <c r="BH7" i="51" s="1"/>
  <c r="P592" i="1"/>
  <c r="P296" i="1"/>
  <c r="O570" i="1"/>
  <c r="N570" i="1"/>
  <c r="Q572" i="1"/>
  <c r="M304" i="1"/>
  <c r="M427" i="1"/>
  <c r="P471" i="1"/>
  <c r="P598" i="1" s="1"/>
  <c r="F12" i="1" a="1"/>
  <c r="F12" i="1" s="1"/>
  <c r="F14" i="1" s="1"/>
  <c r="F15" i="1" a="1"/>
  <c r="F15" i="1" s="1"/>
  <c r="N118" i="1"/>
  <c r="BM66" i="51"/>
  <c r="T66" i="51"/>
  <c r="U66" i="51" s="1"/>
  <c r="U178" i="1"/>
  <c r="BM71" i="51"/>
  <c r="T71" i="51"/>
  <c r="U71" i="51" s="1"/>
  <c r="O186" i="1"/>
  <c r="G32" i="49"/>
  <c r="G50" i="49" s="1"/>
  <c r="H25" i="42"/>
  <c r="AL25" i="42" s="1"/>
  <c r="AL232" i="42" s="1" a="1"/>
  <c r="AL232" i="42" s="1"/>
  <c r="N279" i="1"/>
  <c r="E21" i="51" s="1"/>
  <c r="T202" i="1"/>
  <c r="I34" i="49"/>
  <c r="I52" i="49" s="1"/>
  <c r="J27" i="42"/>
  <c r="AM27" i="42" s="1"/>
  <c r="AM240" i="42" s="1" a="1"/>
  <c r="AM240" i="42" s="1"/>
  <c r="P292" i="1"/>
  <c r="P218" i="1"/>
  <c r="H35" i="42"/>
  <c r="AL35" i="42" s="1"/>
  <c r="AL268" i="42" s="1" a="1"/>
  <c r="AL268" i="42" s="1"/>
  <c r="F85" i="49"/>
  <c r="G50" i="42"/>
  <c r="G320" i="42" s="1" a="1"/>
  <c r="G320" i="42" s="1"/>
  <c r="D18" i="51"/>
  <c r="BG22" i="51"/>
  <c r="E23" i="51"/>
  <c r="H22" i="50"/>
  <c r="N100" i="49"/>
  <c r="O54" i="42"/>
  <c r="O332" i="42" s="1" a="1"/>
  <c r="O332" i="42" s="1"/>
  <c r="L29" i="51"/>
  <c r="U297" i="1"/>
  <c r="R312" i="1"/>
  <c r="R471" i="1"/>
  <c r="R598" i="1" s="1"/>
  <c r="T597" i="1"/>
  <c r="Y78" i="1"/>
  <c r="K10" i="49"/>
  <c r="AI10" i="49" s="1"/>
  <c r="L12" i="42"/>
  <c r="AN12" i="42" s="1"/>
  <c r="AN188" i="42" s="1" a="1"/>
  <c r="AN188" i="42" s="1"/>
  <c r="I59" i="51"/>
  <c r="R84" i="1"/>
  <c r="P141" i="1"/>
  <c r="G30" i="49"/>
  <c r="G48" i="49" s="1"/>
  <c r="H23" i="42"/>
  <c r="AL23" i="42" s="1"/>
  <c r="AL224" i="42" s="1" a="1"/>
  <c r="AL224" i="42" s="1"/>
  <c r="N268" i="1"/>
  <c r="I32" i="49"/>
  <c r="J25" i="42"/>
  <c r="AM25" i="42" s="1"/>
  <c r="AM232" i="42" s="1" a="1"/>
  <c r="AM232" i="42" s="1"/>
  <c r="P279" i="1"/>
  <c r="G21" i="51" s="1"/>
  <c r="T199" i="1"/>
  <c r="T200" i="1" s="1"/>
  <c r="K34" i="49"/>
  <c r="K52" i="49" s="1"/>
  <c r="L27" i="42"/>
  <c r="AN27" i="42" s="1"/>
  <c r="AN240" i="42" s="1" a="1"/>
  <c r="AN240" i="42" s="1"/>
  <c r="N215" i="1"/>
  <c r="Q220" i="1"/>
  <c r="J35" i="42"/>
  <c r="AM35" i="42" s="1"/>
  <c r="AM268" i="42" s="1" a="1"/>
  <c r="AM268" i="42" s="1"/>
  <c r="G57" i="49"/>
  <c r="G75" i="49" s="1"/>
  <c r="H40" i="42"/>
  <c r="AL40" i="42" s="1"/>
  <c r="AL284" i="42" s="1" a="1"/>
  <c r="AL284" i="42" s="1"/>
  <c r="N247" i="1"/>
  <c r="N269" i="1"/>
  <c r="G23" i="51"/>
  <c r="P589" i="1"/>
  <c r="J61" i="42" s="1"/>
  <c r="AM61" i="42" s="1"/>
  <c r="AM356" i="42" s="1" a="1"/>
  <c r="AM356" i="42" s="1"/>
  <c r="Q290" i="1"/>
  <c r="V349" i="1"/>
  <c r="T471" i="1"/>
  <c r="T598" i="1" s="1"/>
  <c r="M10" i="49"/>
  <c r="AJ10" i="49" s="1"/>
  <c r="N12" i="42"/>
  <c r="AO12" i="42" s="1"/>
  <c r="AO188" i="42" s="1" a="1"/>
  <c r="AO188" i="42" s="1"/>
  <c r="K59" i="51"/>
  <c r="N103" i="1"/>
  <c r="R106" i="1"/>
  <c r="R107" i="1" s="1"/>
  <c r="P118" i="1"/>
  <c r="I30" i="49"/>
  <c r="I48" i="49" s="1"/>
  <c r="J23" i="42"/>
  <c r="AM23" i="42" s="1"/>
  <c r="AM224" i="42" s="1" a="1"/>
  <c r="AM224" i="42" s="1"/>
  <c r="P268" i="1"/>
  <c r="F31" i="49"/>
  <c r="G24" i="42"/>
  <c r="Q186" i="1"/>
  <c r="K32" i="49"/>
  <c r="L25" i="42"/>
  <c r="AN25" i="42" s="1"/>
  <c r="AN232" i="42" s="1" a="1"/>
  <c r="AN232" i="42" s="1"/>
  <c r="R279" i="1"/>
  <c r="M34" i="49"/>
  <c r="N27" i="42"/>
  <c r="AO27" i="42" s="1"/>
  <c r="AO240" i="42" s="1" a="1"/>
  <c r="AO240" i="42" s="1"/>
  <c r="R218" i="1"/>
  <c r="L35" i="42"/>
  <c r="AN35" i="42" s="1"/>
  <c r="AN268" i="42" s="1" a="1"/>
  <c r="AN268" i="42" s="1"/>
  <c r="I57" i="49"/>
  <c r="J40" i="42"/>
  <c r="AM40" i="42" s="1"/>
  <c r="AM284" i="42" s="1" a="1"/>
  <c r="AM284" i="42" s="1"/>
  <c r="P247" i="1"/>
  <c r="P262" i="1" s="1"/>
  <c r="P259" i="1"/>
  <c r="T251" i="1"/>
  <c r="H85" i="49"/>
  <c r="F18" i="51"/>
  <c r="BG18" i="51" s="1"/>
  <c r="I50" i="42"/>
  <c r="E14" i="50"/>
  <c r="I23" i="51"/>
  <c r="P427" i="1"/>
  <c r="P430" i="1"/>
  <c r="R589" i="1"/>
  <c r="L61" i="42" s="1"/>
  <c r="AN61" i="42" s="1"/>
  <c r="AN356" i="42" s="1" a="1"/>
  <c r="AN356" i="42" s="1"/>
  <c r="E35" i="50"/>
  <c r="R600" i="1"/>
  <c r="N694" i="1"/>
  <c r="N701" i="1" s="1"/>
  <c r="N566" i="1"/>
  <c r="N567" i="1" s="1"/>
  <c r="R320" i="1"/>
  <c r="F41" i="50"/>
  <c r="M78" i="42"/>
  <c r="M420" i="42" s="1" a="1"/>
  <c r="M420" i="42" s="1"/>
  <c r="S655" i="1"/>
  <c r="S736" i="1"/>
  <c r="M681" i="1"/>
  <c r="R304" i="1"/>
  <c r="G35" i="50"/>
  <c r="AL42" i="48"/>
  <c r="O694" i="1"/>
  <c r="O701" i="1" s="1"/>
  <c r="O566" i="1"/>
  <c r="O567" i="1" s="1"/>
  <c r="N456" i="1"/>
  <c r="O458" i="1" s="1"/>
  <c r="M471" i="1"/>
  <c r="M598" i="1" s="1"/>
  <c r="M615" i="1" s="1"/>
  <c r="L121" i="49"/>
  <c r="M68" i="42"/>
  <c r="M384" i="42" s="1" a="1"/>
  <c r="M384" i="42" s="1"/>
  <c r="S323" i="1"/>
  <c r="P566" i="1"/>
  <c r="P567" i="1" s="1"/>
  <c r="U599" i="1"/>
  <c r="T119" i="49"/>
  <c r="U66" i="42"/>
  <c r="U376" i="42" s="1" a="1"/>
  <c r="U376" i="42" s="1"/>
  <c r="N681" i="1"/>
  <c r="V119" i="49"/>
  <c r="W66" i="42"/>
  <c r="W376" i="42" s="1" a="1"/>
  <c r="W376" i="42" s="1"/>
  <c r="Q566" i="1"/>
  <c r="AK50" i="48" s="1"/>
  <c r="I125" i="49"/>
  <c r="J72" i="42"/>
  <c r="AM72" i="42" s="1"/>
  <c r="AM400" i="42" s="1" a="1"/>
  <c r="AM400" i="42" s="1"/>
  <c r="L79" i="42"/>
  <c r="AN79" i="42" s="1"/>
  <c r="AN424" i="42" s="1" a="1"/>
  <c r="AN424" i="42" s="1"/>
  <c r="P701" i="1"/>
  <c r="H39" i="51"/>
  <c r="BI39" i="51" s="1"/>
  <c r="Q594" i="1"/>
  <c r="Q593" i="1" s="1"/>
  <c r="O36" i="48"/>
  <c r="AL36" i="48" s="1"/>
  <c r="K35" i="51"/>
  <c r="BL35" i="51" s="1"/>
  <c r="W119" i="49"/>
  <c r="W149" i="49" s="1"/>
  <c r="X66" i="42"/>
  <c r="X376" i="42" s="1" a="1"/>
  <c r="X376" i="42" s="1"/>
  <c r="P456" i="1"/>
  <c r="N121" i="49"/>
  <c r="O68" i="42"/>
  <c r="O384" i="42" s="1" a="1"/>
  <c r="O384" i="42" s="1"/>
  <c r="U323" i="1"/>
  <c r="R566" i="1"/>
  <c r="R567" i="1" s="1"/>
  <c r="K125" i="49"/>
  <c r="K155" i="49" s="1"/>
  <c r="L72" i="42"/>
  <c r="AN72" i="42" s="1"/>
  <c r="AN400" i="42" s="1" a="1"/>
  <c r="AN400" i="42" s="1"/>
  <c r="Q701" i="1"/>
  <c r="I39" i="51"/>
  <c r="BJ39" i="51" s="1"/>
  <c r="R594" i="1"/>
  <c r="M423" i="1"/>
  <c r="G8" i="51"/>
  <c r="BH8" i="51" s="1"/>
  <c r="P596" i="1"/>
  <c r="Q456" i="1"/>
  <c r="G9" i="51"/>
  <c r="BH9" i="51" s="1"/>
  <c r="P605" i="1"/>
  <c r="U566" i="1"/>
  <c r="U567" i="1" s="1"/>
  <c r="AM51" i="48" s="1"/>
  <c r="L118" i="49"/>
  <c r="M65" i="42"/>
  <c r="M122" i="49"/>
  <c r="M152" i="49" s="1"/>
  <c r="N69" i="42"/>
  <c r="N388" i="42" s="1" a="1"/>
  <c r="N388" i="42" s="1"/>
  <c r="I80" i="42"/>
  <c r="I428" i="42" s="1" a="1"/>
  <c r="I428" i="42" s="1"/>
  <c r="O659" i="1"/>
  <c r="R681" i="1"/>
  <c r="R701" i="1"/>
  <c r="F84" i="49"/>
  <c r="G49" i="42"/>
  <c r="G316" i="42" s="1" a="1"/>
  <c r="G316" i="42" s="1"/>
  <c r="D17" i="51"/>
  <c r="BE17" i="51" s="1"/>
  <c r="D8" i="50"/>
  <c r="J85" i="49"/>
  <c r="K50" i="42"/>
  <c r="K320" i="42" s="1" a="1"/>
  <c r="K320" i="42" s="1"/>
  <c r="H18" i="51"/>
  <c r="BI18" i="51" s="1"/>
  <c r="M272" i="1"/>
  <c r="E24" i="50"/>
  <c r="K102" i="49"/>
  <c r="K112" i="49" s="1"/>
  <c r="L56" i="42"/>
  <c r="AN56" i="42" s="1"/>
  <c r="AN340" i="42" s="1" a="1"/>
  <c r="AN340" i="42" s="1"/>
  <c r="I7" i="51"/>
  <c r="BJ7" i="51" s="1"/>
  <c r="I31" i="51"/>
  <c r="R592" i="1"/>
  <c r="S572" i="1"/>
  <c r="Q570" i="1"/>
  <c r="N423" i="1"/>
  <c r="E34" i="50"/>
  <c r="I8" i="51"/>
  <c r="BJ8" i="51" s="1"/>
  <c r="R596" i="1"/>
  <c r="AF315" i="1"/>
  <c r="R456" i="1"/>
  <c r="Q471" i="1"/>
  <c r="E38" i="50"/>
  <c r="I9" i="51"/>
  <c r="BJ9" i="51" s="1"/>
  <c r="N502" i="1"/>
  <c r="S560" i="1"/>
  <c r="N560" i="1"/>
  <c r="J115" i="49"/>
  <c r="K59" i="42"/>
  <c r="K348" i="42" s="1" a="1"/>
  <c r="K348" i="42" s="1"/>
  <c r="S681" i="1"/>
  <c r="F58" i="49"/>
  <c r="G41" i="42"/>
  <c r="G288" i="42" s="1" a="1"/>
  <c r="G288" i="42" s="1"/>
  <c r="G62" i="49"/>
  <c r="H45" i="42"/>
  <c r="AL45" i="42" s="1"/>
  <c r="AL304" i="42" s="1" a="1"/>
  <c r="AL304" i="42" s="1"/>
  <c r="H261" i="1"/>
  <c r="BE21" i="51"/>
  <c r="D13" i="50"/>
  <c r="H22" i="51"/>
  <c r="M283" i="1"/>
  <c r="D17" i="50"/>
  <c r="H25" i="51"/>
  <c r="BI25" i="51" s="1"/>
  <c r="H18" i="50"/>
  <c r="L26" i="51"/>
  <c r="U290" i="1"/>
  <c r="F101" i="49"/>
  <c r="G55" i="42"/>
  <c r="G336" i="42" s="1" a="1"/>
  <c r="G336" i="42" s="1"/>
  <c r="D30" i="51"/>
  <c r="G24" i="50"/>
  <c r="M102" i="49"/>
  <c r="M112" i="49" s="1"/>
  <c r="N56" i="42"/>
  <c r="AO56" i="42" s="1"/>
  <c r="AO340" i="42" s="1" a="1"/>
  <c r="AO340" i="42" s="1"/>
  <c r="K7" i="51"/>
  <c r="BL7" i="51" s="1"/>
  <c r="K31" i="51"/>
  <c r="U572" i="1"/>
  <c r="S570" i="1"/>
  <c r="T572" i="1"/>
  <c r="R570" i="1"/>
  <c r="M297" i="1"/>
  <c r="O423" i="1"/>
  <c r="O427" i="1"/>
  <c r="R430" i="1"/>
  <c r="AL41" i="48"/>
  <c r="G34" i="50"/>
  <c r="K8" i="51"/>
  <c r="BL8" i="51" s="1"/>
  <c r="S456" i="1"/>
  <c r="N470" i="1"/>
  <c r="N597" i="1" s="1"/>
  <c r="G38" i="50"/>
  <c r="K9" i="51"/>
  <c r="BL9" i="51" s="1"/>
  <c r="T605" i="1"/>
  <c r="T560" i="1"/>
  <c r="N118" i="49"/>
  <c r="O65" i="42"/>
  <c r="O372" i="42" s="1" a="1"/>
  <c r="O372" i="42" s="1"/>
  <c r="T681" i="1"/>
  <c r="G61" i="49"/>
  <c r="G79" i="49" s="1"/>
  <c r="H44" i="42"/>
  <c r="AL44" i="42" s="1"/>
  <c r="AL300" i="42" s="1" a="1"/>
  <c r="AL300" i="42" s="1"/>
  <c r="N257" i="1"/>
  <c r="I62" i="49"/>
  <c r="J45" i="42"/>
  <c r="AM45" i="42" s="1"/>
  <c r="AM304" i="42" s="1" a="1"/>
  <c r="AM304" i="42" s="1"/>
  <c r="H84" i="49"/>
  <c r="I49" i="42"/>
  <c r="I316" i="42" s="1" a="1"/>
  <c r="I316" i="42" s="1"/>
  <c r="F17" i="51"/>
  <c r="BG17" i="51" s="1"/>
  <c r="N14" i="48"/>
  <c r="AK14" i="48" s="1"/>
  <c r="F8" i="50"/>
  <c r="L85" i="49"/>
  <c r="M50" i="42"/>
  <c r="M320" i="42" s="1" a="1"/>
  <c r="M320" i="42" s="1"/>
  <c r="J18" i="51"/>
  <c r="O272" i="1"/>
  <c r="N293" i="1"/>
  <c r="Y363" i="1"/>
  <c r="Y375" i="1" s="1"/>
  <c r="T456" i="1"/>
  <c r="W482" i="1"/>
  <c r="I122" i="49"/>
  <c r="I152" i="49" s="1"/>
  <c r="J69" i="42"/>
  <c r="J388" i="42" s="1" a="1"/>
  <c r="J388" i="42" s="1"/>
  <c r="L115" i="49"/>
  <c r="M59" i="42"/>
  <c r="M348" i="42" s="1" a="1"/>
  <c r="M348" i="42" s="1"/>
  <c r="T592" i="1"/>
  <c r="O602" i="1"/>
  <c r="M670" i="1"/>
  <c r="U701" i="1"/>
  <c r="H58" i="49"/>
  <c r="I41" i="42"/>
  <c r="I288" i="42" s="1" a="1"/>
  <c r="I288" i="42" s="1"/>
  <c r="L251" i="1"/>
  <c r="I61" i="49"/>
  <c r="J44" i="42"/>
  <c r="AM44" i="42" s="1"/>
  <c r="AM300" i="42" s="1" a="1"/>
  <c r="AM300" i="42" s="1"/>
  <c r="K62" i="49"/>
  <c r="AI62" i="49" s="1"/>
  <c r="AI80" i="49" s="1"/>
  <c r="L45" i="42"/>
  <c r="AN45" i="42" s="1"/>
  <c r="AN304" i="42" s="1" a="1"/>
  <c r="AN304" i="42" s="1"/>
  <c r="J261" i="1"/>
  <c r="BG21" i="51"/>
  <c r="F13" i="50"/>
  <c r="N19" i="48"/>
  <c r="AK19" i="48" s="1"/>
  <c r="J22" i="51"/>
  <c r="O283" i="1"/>
  <c r="F17" i="50"/>
  <c r="N23" i="48"/>
  <c r="AK23" i="48" s="1"/>
  <c r="J25" i="51"/>
  <c r="H101" i="49"/>
  <c r="I55" i="42"/>
  <c r="I336" i="42" s="1" a="1"/>
  <c r="I336" i="42" s="1"/>
  <c r="F30" i="51"/>
  <c r="O297" i="1"/>
  <c r="Z363" i="1"/>
  <c r="Z375" i="1" s="1"/>
  <c r="Q421" i="1"/>
  <c r="N300" i="1"/>
  <c r="N303" i="1" s="1"/>
  <c r="N302" i="1"/>
  <c r="P307" i="1"/>
  <c r="U456" i="1"/>
  <c r="P470" i="1"/>
  <c r="P597" i="1" s="1"/>
  <c r="W539" i="1"/>
  <c r="N116" i="49"/>
  <c r="O63" i="42"/>
  <c r="U624" i="1"/>
  <c r="G60" i="49"/>
  <c r="G78" i="49" s="1"/>
  <c r="H43" i="42"/>
  <c r="AL43" i="42" s="1"/>
  <c r="AL296" i="42" s="1" a="1"/>
  <c r="AL296" i="42" s="1"/>
  <c r="N254" i="1"/>
  <c r="K61" i="49"/>
  <c r="K79" i="49" s="1"/>
  <c r="L44" i="42"/>
  <c r="AN44" i="42" s="1"/>
  <c r="AN300" i="42" s="1" a="1"/>
  <c r="AN300" i="42" s="1"/>
  <c r="P257" i="1"/>
  <c r="M62" i="49"/>
  <c r="AJ62" i="49" s="1"/>
  <c r="N45" i="42"/>
  <c r="AO45" i="42" s="1"/>
  <c r="AO304" i="42" s="1" a="1"/>
  <c r="AO304" i="42" s="1"/>
  <c r="T259" i="1"/>
  <c r="D7" i="50"/>
  <c r="J84" i="49"/>
  <c r="K49" i="42"/>
  <c r="K316" i="42" s="1" a="1"/>
  <c r="K316" i="42" s="1"/>
  <c r="H17" i="51"/>
  <c r="BI17" i="51" s="1"/>
  <c r="H8" i="50"/>
  <c r="N85" i="49"/>
  <c r="O50" i="42"/>
  <c r="O320" i="42" s="1" a="1"/>
  <c r="O320" i="42" s="1"/>
  <c r="L18" i="51"/>
  <c r="Q272" i="1"/>
  <c r="P293" i="1"/>
  <c r="M415" i="1"/>
  <c r="R427" i="1"/>
  <c r="S427" i="1" s="1"/>
  <c r="S428" i="1" s="1"/>
  <c r="T428" i="1" s="1"/>
  <c r="G36" i="50"/>
  <c r="AL43" i="48"/>
  <c r="AL45" i="48"/>
  <c r="G37" i="50"/>
  <c r="N521" i="1"/>
  <c r="N631" i="1" s="1"/>
  <c r="N628" i="1" s="1"/>
  <c r="N630" i="1" s="1"/>
  <c r="M521" i="1"/>
  <c r="P590" i="1"/>
  <c r="J62" i="42" s="1"/>
  <c r="AM62" i="42" s="1"/>
  <c r="AM360" i="42" s="1" a="1"/>
  <c r="AM360" i="42" s="1"/>
  <c r="L119" i="49"/>
  <c r="M66" i="42"/>
  <c r="M376" i="42" s="1" a="1"/>
  <c r="M376" i="42" s="1"/>
  <c r="C66" i="48"/>
  <c r="C70" i="48" s="1"/>
  <c r="F88" i="42"/>
  <c r="AK88" i="42" s="1"/>
  <c r="J58" i="49"/>
  <c r="K41" i="42"/>
  <c r="K288" i="42" s="1" a="1"/>
  <c r="K288" i="42" s="1"/>
  <c r="M248" i="1"/>
  <c r="G59" i="49"/>
  <c r="H42" i="42"/>
  <c r="AL42" i="42" s="1"/>
  <c r="AL292" i="42" s="1" a="1"/>
  <c r="AL292" i="42" s="1"/>
  <c r="N251" i="1"/>
  <c r="I60" i="49"/>
  <c r="J43" i="42"/>
  <c r="AM43" i="42" s="1"/>
  <c r="AM296" i="42" s="1" a="1"/>
  <c r="AM296" i="42" s="1"/>
  <c r="M61" i="49"/>
  <c r="N44" i="42"/>
  <c r="AO44" i="42" s="1"/>
  <c r="AO300" i="42" s="1" a="1"/>
  <c r="AO300" i="42" s="1"/>
  <c r="L261" i="1"/>
  <c r="D12" i="50"/>
  <c r="H21" i="51"/>
  <c r="H13" i="50"/>
  <c r="L22" i="51"/>
  <c r="Q283" i="1"/>
  <c r="H17" i="50"/>
  <c r="L25" i="51"/>
  <c r="F100" i="49"/>
  <c r="G54" i="42"/>
  <c r="G332" i="42" s="1" a="1"/>
  <c r="G332" i="42" s="1"/>
  <c r="D29" i="51"/>
  <c r="D23" i="50"/>
  <c r="J101" i="49"/>
  <c r="K55" i="42"/>
  <c r="K336" i="42" s="1" a="1"/>
  <c r="K336" i="42" s="1"/>
  <c r="H30" i="51"/>
  <c r="N415" i="1"/>
  <c r="P300" i="1"/>
  <c r="P302" i="1"/>
  <c r="R470" i="1"/>
  <c r="T600" i="1"/>
  <c r="J77" i="42"/>
  <c r="AM77" i="42" s="1"/>
  <c r="AM416" i="42" s="1" a="1"/>
  <c r="AM416" i="42" s="1"/>
  <c r="S694" i="1"/>
  <c r="S701" i="1" s="1"/>
  <c r="I59" i="49"/>
  <c r="I77" i="49" s="1"/>
  <c r="J42" i="42"/>
  <c r="AM42" i="42" s="1"/>
  <c r="AM292" i="42" s="1" a="1"/>
  <c r="AM292" i="42" s="1"/>
  <c r="K60" i="49"/>
  <c r="K78" i="49" s="1"/>
  <c r="L43" i="42"/>
  <c r="AN43" i="42" s="1"/>
  <c r="AN296" i="42" s="1" a="1"/>
  <c r="AN296" i="42" s="1"/>
  <c r="P254" i="1"/>
  <c r="R257" i="1"/>
  <c r="N13" i="48"/>
  <c r="AK13" i="48" s="1"/>
  <c r="F7" i="50"/>
  <c r="L84" i="49"/>
  <c r="M49" i="42"/>
  <c r="M316" i="42" s="1" a="1"/>
  <c r="M316" i="42" s="1"/>
  <c r="J17" i="51"/>
  <c r="S272" i="1"/>
  <c r="R293" i="1"/>
  <c r="R297" i="1" s="1"/>
  <c r="O415" i="1"/>
  <c r="N419" i="1"/>
  <c r="N312" i="1"/>
  <c r="L693" i="1"/>
  <c r="L565" i="1"/>
  <c r="N119" i="49"/>
  <c r="O66" i="42"/>
  <c r="O376" i="42" s="1" a="1"/>
  <c r="O376" i="42" s="1"/>
  <c r="T694" i="1"/>
  <c r="T701" i="1" s="1"/>
  <c r="L58" i="49"/>
  <c r="M41" i="42"/>
  <c r="M288" i="42" s="1" a="1"/>
  <c r="M288" i="42" s="1"/>
  <c r="O248" i="1"/>
  <c r="K59" i="49"/>
  <c r="L42" i="42"/>
  <c r="AN42" i="42" s="1"/>
  <c r="AN292" i="42" s="1" a="1"/>
  <c r="AN292" i="42" s="1"/>
  <c r="P251" i="1"/>
  <c r="M60" i="49"/>
  <c r="M78" i="49" s="1"/>
  <c r="N43" i="42"/>
  <c r="AO43" i="42" s="1"/>
  <c r="AO296" i="42" s="1" a="1"/>
  <c r="AO296" i="42" s="1"/>
  <c r="M262" i="1"/>
  <c r="F12" i="50"/>
  <c r="N18" i="48"/>
  <c r="AK18" i="48" s="1"/>
  <c r="J21" i="51"/>
  <c r="S283" i="1"/>
  <c r="H100" i="49"/>
  <c r="I54" i="42"/>
  <c r="I332" i="42" s="1" a="1"/>
  <c r="I332" i="42" s="1"/>
  <c r="F29" i="51"/>
  <c r="N29" i="48"/>
  <c r="AK29" i="48" s="1"/>
  <c r="F23" i="50"/>
  <c r="L101" i="49"/>
  <c r="M55" i="42"/>
  <c r="M336" i="42" s="1" a="1"/>
  <c r="M336" i="42" s="1"/>
  <c r="J30" i="51"/>
  <c r="P415" i="1"/>
  <c r="O419" i="1"/>
  <c r="R300" i="1"/>
  <c r="R302" i="1"/>
  <c r="R530" i="1"/>
  <c r="P570" i="1"/>
  <c r="K126" i="49"/>
  <c r="K156" i="49" s="1"/>
  <c r="L73" i="42"/>
  <c r="AN73" i="42" s="1"/>
  <c r="AN404" i="42" s="1" a="1"/>
  <c r="AN404" i="42" s="1"/>
  <c r="I10" i="51"/>
  <c r="BJ10" i="51" s="1"/>
  <c r="R670" i="1"/>
  <c r="M59" i="49"/>
  <c r="N42" i="42"/>
  <c r="AO42" i="42" s="1"/>
  <c r="AO292" i="42" s="1" a="1"/>
  <c r="AO292" i="42" s="1"/>
  <c r="R254" i="1"/>
  <c r="T257" i="1"/>
  <c r="H7" i="50"/>
  <c r="N84" i="49"/>
  <c r="O49" i="42"/>
  <c r="O316" i="42" s="1" a="1"/>
  <c r="O316" i="42" s="1"/>
  <c r="L17" i="51"/>
  <c r="U272" i="1"/>
  <c r="M275" i="1"/>
  <c r="E19" i="50"/>
  <c r="I27" i="51"/>
  <c r="BJ27" i="51" s="1"/>
  <c r="R590" i="1"/>
  <c r="L62" i="42" s="1"/>
  <c r="AN62" i="42" s="1"/>
  <c r="AN360" i="42" s="1" a="1"/>
  <c r="AN360" i="42" s="1"/>
  <c r="T293" i="1"/>
  <c r="T297" i="1" s="1"/>
  <c r="P419" i="1"/>
  <c r="N304" i="1"/>
  <c r="P312" i="1"/>
  <c r="Q521" i="1"/>
  <c r="Q631" i="1" s="1"/>
  <c r="Q628" i="1" s="1"/>
  <c r="Q630" i="1" s="1"/>
  <c r="S529" i="1"/>
  <c r="J123" i="49"/>
  <c r="K70" i="42"/>
  <c r="K392" i="42" s="1" a="1"/>
  <c r="K392" i="42" s="1"/>
  <c r="Q608" i="1"/>
  <c r="Q620" i="1" s="1"/>
  <c r="N655" i="1"/>
  <c r="N659" i="1" s="1"/>
  <c r="N58" i="49"/>
  <c r="O41" i="42"/>
  <c r="Q248" i="1"/>
  <c r="R251" i="1"/>
  <c r="O262" i="1"/>
  <c r="H51" i="42"/>
  <c r="AL51" i="42" s="1"/>
  <c r="AL324" i="42" s="1" a="1"/>
  <c r="AL324" i="42" s="1"/>
  <c r="E19" i="51"/>
  <c r="BF19" i="51" s="1"/>
  <c r="H12" i="50"/>
  <c r="L21" i="51"/>
  <c r="U283" i="1"/>
  <c r="G19" i="50"/>
  <c r="K27" i="51"/>
  <c r="BL27" i="51" s="1"/>
  <c r="T590" i="1"/>
  <c r="N62" i="42" s="1"/>
  <c r="AO62" i="42" s="1"/>
  <c r="AO360" i="42" s="1" a="1"/>
  <c r="AO360" i="42" s="1"/>
  <c r="D22" i="50"/>
  <c r="J100" i="49"/>
  <c r="K54" i="42"/>
  <c r="K332" i="42" s="1" a="1"/>
  <c r="K332" i="42" s="1"/>
  <c r="H29" i="51"/>
  <c r="H23" i="50"/>
  <c r="N101" i="49"/>
  <c r="O55" i="42"/>
  <c r="O336" i="42" s="1" a="1"/>
  <c r="O336" i="42" s="1"/>
  <c r="L30" i="51"/>
  <c r="R415" i="1"/>
  <c r="T300" i="1"/>
  <c r="T302" i="1"/>
  <c r="L694" i="1"/>
  <c r="L566" i="1"/>
  <c r="P320" i="1"/>
  <c r="P602" i="1" s="1"/>
  <c r="S521" i="1"/>
  <c r="S631" i="1" s="1"/>
  <c r="S628" i="1" s="1"/>
  <c r="S630" i="1" s="1"/>
  <c r="P530" i="1"/>
  <c r="R605" i="1"/>
  <c r="I78" i="42"/>
  <c r="I420" i="42" s="1" a="1"/>
  <c r="I420" i="42" s="1"/>
  <c r="O119" i="49"/>
  <c r="O149" i="49" s="1"/>
  <c r="P66" i="42"/>
  <c r="P376" i="42" s="1" a="1"/>
  <c r="P376" i="42" s="1"/>
  <c r="H122" i="49"/>
  <c r="I69" i="42"/>
  <c r="I388" i="42" s="1" a="1"/>
  <c r="I388" i="42" s="1"/>
  <c r="M125" i="49"/>
  <c r="M155" i="49" s="1"/>
  <c r="N72" i="42"/>
  <c r="N400" i="42" s="1" a="1"/>
  <c r="N400" i="42" s="1"/>
  <c r="N115" i="49"/>
  <c r="O59" i="42"/>
  <c r="O348" i="42" s="1" a="1"/>
  <c r="O348" i="42" s="1"/>
  <c r="P119" i="49"/>
  <c r="Q66" i="42"/>
  <c r="Q376" i="42" s="1" a="1"/>
  <c r="Q376" i="42" s="1"/>
  <c r="N123" i="49"/>
  <c r="O70" i="42"/>
  <c r="O392" i="42" s="1" a="1"/>
  <c r="O392" i="42" s="1"/>
  <c r="D41" i="50"/>
  <c r="K78" i="42"/>
  <c r="K420" i="42" s="1" a="1"/>
  <c r="K420" i="42" s="1"/>
  <c r="Q736" i="1"/>
  <c r="Q119" i="49"/>
  <c r="Q149" i="49" s="1"/>
  <c r="R66" i="42"/>
  <c r="R376" i="42" s="1" a="1"/>
  <c r="R376" i="42" s="1"/>
  <c r="J122" i="49"/>
  <c r="K69" i="42"/>
  <c r="S119" i="49"/>
  <c r="S149" i="49" s="1"/>
  <c r="T66" i="42"/>
  <c r="T376" i="42" s="1" a="1"/>
  <c r="T376" i="42" s="1"/>
  <c r="L122" i="49"/>
  <c r="M69" i="42"/>
  <c r="M388" i="42" s="1" a="1"/>
  <c r="M388" i="42" s="1"/>
  <c r="I126" i="49"/>
  <c r="I156" i="49" s="1"/>
  <c r="J73" i="42"/>
  <c r="AM73" i="42" s="1"/>
  <c r="AM404" i="42" s="1" a="1"/>
  <c r="AM404" i="42" s="1"/>
  <c r="G10" i="51"/>
  <c r="BH10" i="51" s="1"/>
  <c r="W704" i="1"/>
  <c r="H41" i="50"/>
  <c r="O78" i="42"/>
  <c r="O420" i="42" s="1" a="1"/>
  <c r="O420" i="42" s="1"/>
  <c r="I127" i="49"/>
  <c r="I157" i="49" s="1"/>
  <c r="J74" i="42"/>
  <c r="AM74" i="42" s="1"/>
  <c r="AM408" i="42" s="1" a="1"/>
  <c r="AM408" i="42" s="1"/>
  <c r="G11" i="51"/>
  <c r="BH11" i="51" s="1"/>
  <c r="P560" i="1"/>
  <c r="U119" i="49"/>
  <c r="U149" i="49" s="1"/>
  <c r="V66" i="42"/>
  <c r="V376" i="42" s="1" a="1"/>
  <c r="V376" i="42" s="1"/>
  <c r="N122" i="49"/>
  <c r="O69" i="42"/>
  <c r="O388" i="42" s="1" a="1"/>
  <c r="O388" i="42" s="1"/>
  <c r="I124" i="49"/>
  <c r="J71" i="42"/>
  <c r="O8" i="48"/>
  <c r="AL8" i="48" s="1"/>
  <c r="M126" i="49"/>
  <c r="M156" i="49" s="1"/>
  <c r="N73" i="42"/>
  <c r="N404" i="42" s="1" a="1"/>
  <c r="N404" i="42" s="1"/>
  <c r="K10" i="51"/>
  <c r="BL10" i="51" s="1"/>
  <c r="E40" i="50"/>
  <c r="L77" i="42"/>
  <c r="AN77" i="42" s="1"/>
  <c r="AN416" i="42" s="1" a="1"/>
  <c r="AN416" i="42" s="1"/>
  <c r="U681" i="1"/>
  <c r="L691" i="1"/>
  <c r="K127" i="49"/>
  <c r="L74" i="42"/>
  <c r="AN74" i="42" s="1"/>
  <c r="AN408" i="42" s="1" a="1"/>
  <c r="AN408" i="42" s="1"/>
  <c r="I11" i="51"/>
  <c r="BJ11" i="51" s="1"/>
  <c r="Q560" i="1"/>
  <c r="K124" i="49"/>
  <c r="L71" i="42"/>
  <c r="AN71" i="42" s="1"/>
  <c r="AN396" i="42" s="1" a="1"/>
  <c r="AN396" i="42" s="1"/>
  <c r="G40" i="50"/>
  <c r="N77" i="42"/>
  <c r="N416" i="42" s="1" a="1"/>
  <c r="N416" i="42" s="1"/>
  <c r="H116" i="49"/>
  <c r="I63" i="42"/>
  <c r="I364" i="42" s="1" a="1"/>
  <c r="I364" i="42" s="1"/>
  <c r="M124" i="49"/>
  <c r="N71" i="42"/>
  <c r="AO71" i="42" s="1"/>
  <c r="AO396" i="42" s="1" a="1"/>
  <c r="AO396" i="42" s="1"/>
  <c r="U736" i="1"/>
  <c r="H118" i="49"/>
  <c r="I65" i="42"/>
  <c r="I372" i="42" s="1" a="1"/>
  <c r="I372" i="42" s="1"/>
  <c r="H119" i="49"/>
  <c r="I66" i="42"/>
  <c r="I376" i="42" s="1" a="1"/>
  <c r="I376" i="42" s="1"/>
  <c r="U655" i="1"/>
  <c r="O80" i="42" s="1"/>
  <c r="O428" i="42" s="1" a="1"/>
  <c r="O428" i="42" s="1"/>
  <c r="J116" i="49"/>
  <c r="K63" i="42"/>
  <c r="H115" i="49"/>
  <c r="I59" i="42"/>
  <c r="I348" i="42" s="1" a="1"/>
  <c r="I348" i="42" s="1"/>
  <c r="J118" i="49"/>
  <c r="K65" i="42"/>
  <c r="K372" i="42" s="1" a="1"/>
  <c r="K372" i="42" s="1"/>
  <c r="J119" i="49"/>
  <c r="K66" i="42"/>
  <c r="K376" i="42" s="1" a="1"/>
  <c r="K376" i="42" s="1"/>
  <c r="H123" i="49"/>
  <c r="I70" i="42"/>
  <c r="I392" i="42" s="1" a="1"/>
  <c r="I392" i="42" s="1"/>
  <c r="O624" i="1"/>
  <c r="L116" i="49"/>
  <c r="M63" i="42"/>
  <c r="M364" i="42" s="1" a="1"/>
  <c r="M364" i="42" s="1"/>
  <c r="P651" i="1"/>
  <c r="S31" i="51"/>
  <c r="C239" i="4"/>
  <c r="BM9" i="51"/>
  <c r="T9" i="51"/>
  <c r="U9" i="51" s="1"/>
  <c r="Q6" i="51"/>
  <c r="S6" i="51" s="1"/>
  <c r="BK6" i="51"/>
  <c r="C59" i="4"/>
  <c r="BK10" i="51"/>
  <c r="Q10" i="51"/>
  <c r="S10" i="51" s="1"/>
  <c r="E5" i="4"/>
  <c r="C7" i="4"/>
  <c r="W23" i="51"/>
  <c r="V44" i="51"/>
  <c r="W44" i="51" s="1"/>
  <c r="CJ47" i="51"/>
  <c r="CK47" i="51" s="1"/>
  <c r="CK30" i="51"/>
  <c r="D4" i="4"/>
  <c r="E4" i="4"/>
  <c r="C38" i="4"/>
  <c r="C178" i="4"/>
  <c r="C128" i="4"/>
  <c r="D48" i="51"/>
  <c r="BE48" i="51" s="1"/>
  <c r="BE31" i="51"/>
  <c r="CK22" i="51"/>
  <c r="CJ43" i="51"/>
  <c r="CK43" i="51" s="1"/>
  <c r="BG31" i="51"/>
  <c r="R55" i="51"/>
  <c r="CF55" i="51"/>
  <c r="Q7" i="51"/>
  <c r="S7" i="51" s="1"/>
  <c r="V21" i="51"/>
  <c r="J44" i="51"/>
  <c r="BK44" i="51" s="1"/>
  <c r="AM36" i="42"/>
  <c r="AM272" i="42" s="1" a="1"/>
  <c r="AM272" i="42" s="1"/>
  <c r="AN36" i="42"/>
  <c r="AN272" i="42" s="1" a="1"/>
  <c r="AN272" i="42" s="1"/>
  <c r="BM6" i="51"/>
  <c r="T7" i="51"/>
  <c r="U7" i="51" s="1"/>
  <c r="BK8" i="51"/>
  <c r="Q9" i="51"/>
  <c r="S9" i="51" s="1"/>
  <c r="CN27" i="51"/>
  <c r="CJ27" i="51" s="1"/>
  <c r="CK27" i="51" s="1"/>
  <c r="CJ31" i="51"/>
  <c r="H48" i="51"/>
  <c r="BI48" i="51" s="1"/>
  <c r="AN14" i="42"/>
  <c r="AN196" i="42" s="1" a="1"/>
  <c r="AN196" i="42" s="1"/>
  <c r="Z44" i="51"/>
  <c r="H454" i="42"/>
  <c r="H414" i="42"/>
  <c r="H314" i="42"/>
  <c r="H346" i="42"/>
  <c r="H330" i="42"/>
  <c r="H254" i="42"/>
  <c r="H214" i="42"/>
  <c r="H282" i="42"/>
  <c r="H182" i="42"/>
  <c r="H222" i="42"/>
  <c r="AL32" i="42"/>
  <c r="AL256" i="42" s="1" a="1"/>
  <c r="AL256" i="42" s="1"/>
  <c r="CK29" i="51"/>
  <c r="I6" i="42"/>
  <c r="Q23" i="51"/>
  <c r="CN46" i="51"/>
  <c r="T35" i="51"/>
  <c r="U35" i="51" s="1"/>
  <c r="AM34" i="42"/>
  <c r="AM264" i="42" s="1" a="1"/>
  <c r="AM264" i="42" s="1"/>
  <c r="CN43" i="51"/>
  <c r="AN34" i="42"/>
  <c r="AN264" i="42" s="1" a="1"/>
  <c r="AN264" i="42" s="1"/>
  <c r="CJ42" i="51"/>
  <c r="CK42" i="51" s="1"/>
  <c r="T23" i="51"/>
  <c r="L48" i="51"/>
  <c r="BM48" i="51" s="1"/>
  <c r="CK21" i="51"/>
  <c r="CN42" i="51"/>
  <c r="Z47" i="51"/>
  <c r="V30" i="51"/>
  <c r="CN47" i="51"/>
  <c r="V46" i="51"/>
  <c r="W46" i="51" s="1"/>
  <c r="V22" i="51"/>
  <c r="Z46" i="51"/>
  <c r="T31" i="51"/>
  <c r="K440" i="42" a="1"/>
  <c r="K440" i="42" s="1"/>
  <c r="K447" i="42" a="1"/>
  <c r="K447" i="42" s="1"/>
  <c r="K436" i="42" a="1"/>
  <c r="K436" i="42" s="1"/>
  <c r="K448" i="42" a="1"/>
  <c r="K448" i="42" s="1"/>
  <c r="K415" i="42" a="1"/>
  <c r="K415" i="42" s="1"/>
  <c r="K435" i="42" a="1"/>
  <c r="K435" i="42" s="1"/>
  <c r="K427" i="42" a="1"/>
  <c r="K427" i="42" s="1"/>
  <c r="K416" i="42" a="1"/>
  <c r="K416" i="42" s="1"/>
  <c r="K428" i="42" a="1"/>
  <c r="K428" i="42" s="1"/>
  <c r="K404" i="42" a="1"/>
  <c r="K404" i="42" s="1"/>
  <c r="K403" i="42" a="1"/>
  <c r="K403" i="42" s="1"/>
  <c r="K423" i="42" a="1"/>
  <c r="K423" i="42" s="1"/>
  <c r="K444" i="42" a="1"/>
  <c r="K444" i="42" s="1"/>
  <c r="K424" i="42" a="1"/>
  <c r="K424" i="42" s="1"/>
  <c r="K396" i="42" a="1"/>
  <c r="K396" i="42" s="1"/>
  <c r="K395" i="42" a="1"/>
  <c r="K395" i="42" s="1"/>
  <c r="K443" i="42" a="1"/>
  <c r="K443" i="42" s="1"/>
  <c r="K408" i="42" a="1"/>
  <c r="K408" i="42" s="1"/>
  <c r="K407" i="42" a="1"/>
  <c r="K407" i="42" s="1"/>
  <c r="K383" i="42" a="1"/>
  <c r="K383" i="42" s="1"/>
  <c r="K363" i="42" a="1"/>
  <c r="K363" i="42" s="1"/>
  <c r="K459" i="42" s="1"/>
  <c r="K431" i="42" a="1"/>
  <c r="K431" i="42" s="1"/>
  <c r="K419" i="42" a="1"/>
  <c r="K419" i="42" s="1"/>
  <c r="K387" i="42" a="1"/>
  <c r="K387" i="42" s="1"/>
  <c r="K399" i="42" a="1"/>
  <c r="K399" i="42" s="1"/>
  <c r="K367" i="42" a="1"/>
  <c r="K367" i="42" s="1"/>
  <c r="K439" i="42" a="1"/>
  <c r="K439" i="42" s="1"/>
  <c r="K379" i="42" a="1"/>
  <c r="K379" i="42" s="1"/>
  <c r="K391" i="42" a="1"/>
  <c r="K391" i="42" s="1"/>
  <c r="K467" i="42" s="1"/>
  <c r="K360" i="42" a="1"/>
  <c r="K360" i="42" s="1"/>
  <c r="K351" i="42" a="1"/>
  <c r="K351" i="42" s="1"/>
  <c r="K375" i="42" a="1"/>
  <c r="K375" i="42" s="1"/>
  <c r="K359" i="42" a="1"/>
  <c r="K359" i="42" s="1"/>
  <c r="K371" i="42" a="1"/>
  <c r="K371" i="42" s="1"/>
  <c r="K463" i="42" s="1"/>
  <c r="K356" i="42" a="1"/>
  <c r="K356" i="42" s="1"/>
  <c r="K355" i="42" a="1"/>
  <c r="K355" i="42" s="1"/>
  <c r="K400" i="42" a="1"/>
  <c r="K400" i="42" s="1"/>
  <c r="K295" i="42" a="1"/>
  <c r="K295" i="42" s="1"/>
  <c r="K347" i="42" a="1"/>
  <c r="K347" i="42" s="1"/>
  <c r="K455" i="42" s="1"/>
  <c r="K331" i="42" a="1"/>
  <c r="K331" i="42" s="1"/>
  <c r="K324" i="42" a="1"/>
  <c r="K324" i="42" s="1"/>
  <c r="K303" i="42" a="1"/>
  <c r="K303" i="42" s="1"/>
  <c r="K315" i="42" a="1"/>
  <c r="K315" i="42" s="1"/>
  <c r="K300" i="42" a="1"/>
  <c r="K300" i="42" s="1"/>
  <c r="K340" i="42" a="1"/>
  <c r="K340" i="42" s="1"/>
  <c r="K323" i="42" a="1"/>
  <c r="K323" i="42" s="1"/>
  <c r="K308" i="42" a="1"/>
  <c r="K308" i="42" s="1"/>
  <c r="K335" i="42" a="1"/>
  <c r="K335" i="42" s="1"/>
  <c r="K339" i="42" a="1"/>
  <c r="K339" i="42" s="1"/>
  <c r="K299" i="42" a="1"/>
  <c r="K299" i="42" s="1"/>
  <c r="K307" i="42" a="1"/>
  <c r="K307" i="42" s="1"/>
  <c r="K244" i="42" a="1"/>
  <c r="K244" i="42" s="1"/>
  <c r="K267" i="42" a="1"/>
  <c r="K267" i="42" s="1"/>
  <c r="K296" i="42" a="1"/>
  <c r="K296" i="42" s="1"/>
  <c r="K256" i="42" a="1"/>
  <c r="K256" i="42" s="1"/>
  <c r="K275" i="42" a="1"/>
  <c r="K275" i="42" s="1"/>
  <c r="K264" i="42" a="1"/>
  <c r="K264" i="42" s="1"/>
  <c r="K304" i="42" a="1"/>
  <c r="K304" i="42" s="1"/>
  <c r="K287" i="42" a="1"/>
  <c r="K287" i="42" s="1"/>
  <c r="K272" i="42" a="1"/>
  <c r="K272" i="42" s="1"/>
  <c r="K255" i="42" a="1"/>
  <c r="K255" i="42" s="1"/>
  <c r="K284" i="42" a="1"/>
  <c r="K284" i="42" s="1"/>
  <c r="K263" i="42" a="1"/>
  <c r="K263" i="42" s="1"/>
  <c r="K271" i="42" a="1"/>
  <c r="K271" i="42" s="1"/>
  <c r="K319" i="42" a="1"/>
  <c r="K319" i="42" s="1"/>
  <c r="K283" i="42" a="1"/>
  <c r="K283" i="42" s="1"/>
  <c r="K292" i="42" a="1"/>
  <c r="K292" i="42" s="1"/>
  <c r="K248" i="42" a="1"/>
  <c r="K248" i="42" s="1"/>
  <c r="K216" i="42" a="1"/>
  <c r="K216" i="42" s="1"/>
  <c r="K247" i="42" a="1"/>
  <c r="K247" i="42" s="1"/>
  <c r="K239" i="42" a="1"/>
  <c r="K239" i="42" s="1"/>
  <c r="K203" i="42" a="1"/>
  <c r="K203" i="42" s="1"/>
  <c r="K236" i="42" a="1"/>
  <c r="K236" i="42" s="1"/>
  <c r="K215" i="42" a="1"/>
  <c r="K215" i="42" s="1"/>
  <c r="K268" i="42" a="1"/>
  <c r="K268" i="42" s="1"/>
  <c r="K227" i="42" a="1"/>
  <c r="K227" i="42" s="1"/>
  <c r="K291" i="42" a="1"/>
  <c r="K291" i="42" s="1"/>
  <c r="K259" i="42" a="1"/>
  <c r="K259" i="42" s="1"/>
  <c r="K243" i="42" a="1"/>
  <c r="K243" i="42" s="1"/>
  <c r="K235" i="42" a="1"/>
  <c r="K235" i="42" s="1"/>
  <c r="K276" i="42" a="1"/>
  <c r="K276" i="42" s="1"/>
  <c r="K232" i="42" a="1"/>
  <c r="K232" i="42" s="1"/>
  <c r="K231" i="42" a="1"/>
  <c r="K231" i="42" s="1"/>
  <c r="K184" i="42" a="1"/>
  <c r="K184" i="42" s="1"/>
  <c r="K223" i="42" a="1"/>
  <c r="K223" i="42" s="1"/>
  <c r="K192" i="42" a="1"/>
  <c r="K192" i="42" s="1"/>
  <c r="K240" i="42" a="1"/>
  <c r="K240" i="42" s="1"/>
  <c r="K224" i="42" a="1"/>
  <c r="K224" i="42" s="1"/>
  <c r="K200" i="42" a="1"/>
  <c r="K200" i="42" s="1"/>
  <c r="K183" i="42" a="1"/>
  <c r="K183" i="42" s="1"/>
  <c r="K207" i="42" a="1"/>
  <c r="K207" i="42" s="1"/>
  <c r="K191" i="42" a="1"/>
  <c r="K191" i="42" s="1"/>
  <c r="K199" i="42" a="1"/>
  <c r="K199" i="42" s="1"/>
  <c r="K188" i="42" a="1"/>
  <c r="K188" i="42" s="1"/>
  <c r="K196" i="42" a="1"/>
  <c r="K196" i="42" s="1"/>
  <c r="K204" i="42" a="1"/>
  <c r="K204" i="42" s="1"/>
  <c r="K208" i="42" a="1"/>
  <c r="K208" i="42" s="1"/>
  <c r="K195" i="42" a="1"/>
  <c r="K195" i="42" s="1"/>
  <c r="AA447" i="42" a="1"/>
  <c r="AA447" i="42" s="1"/>
  <c r="AA415" i="42" a="1"/>
  <c r="AA415" i="42" s="1"/>
  <c r="AA427" i="42" a="1"/>
  <c r="AA427" i="42" s="1"/>
  <c r="AA403" i="42" a="1"/>
  <c r="AA403" i="42" s="1"/>
  <c r="AA435" i="42" a="1"/>
  <c r="AA435" i="42" s="1"/>
  <c r="AA423" i="42" a="1"/>
  <c r="AA423" i="42" s="1"/>
  <c r="AA439" i="42" a="1"/>
  <c r="AA439" i="42" s="1"/>
  <c r="AA395" i="42" a="1"/>
  <c r="AA395" i="42" s="1"/>
  <c r="AA407" i="42" a="1"/>
  <c r="AA407" i="42" s="1"/>
  <c r="AA443" i="42" a="1"/>
  <c r="AA443" i="42" s="1"/>
  <c r="AA431" i="42" a="1"/>
  <c r="AA431" i="42" s="1"/>
  <c r="AA383" i="42" a="1"/>
  <c r="AA383" i="42" s="1"/>
  <c r="AA419" i="42" a="1"/>
  <c r="AA419" i="42" s="1"/>
  <c r="AA399" i="42" a="1"/>
  <c r="AA399" i="42" s="1"/>
  <c r="AA363" i="42" a="1"/>
  <c r="AA363" i="42" s="1"/>
  <c r="AA459" i="42" s="1"/>
  <c r="AA375" i="42" a="1"/>
  <c r="AA375" i="42" s="1"/>
  <c r="AA387" i="42" a="1"/>
  <c r="AA387" i="42" s="1"/>
  <c r="AA367" i="42" a="1"/>
  <c r="AA367" i="42" s="1"/>
  <c r="AA379" i="42" a="1"/>
  <c r="AA379" i="42" s="1"/>
  <c r="AA391" i="42" a="1"/>
  <c r="AA391" i="42" s="1"/>
  <c r="AA467" i="42" s="1"/>
  <c r="AA351" i="42" a="1"/>
  <c r="AA351" i="42" s="1"/>
  <c r="AA371" i="42" a="1"/>
  <c r="AA371" i="42" s="1"/>
  <c r="AA463" i="42" s="1"/>
  <c r="AA355" i="42" a="1"/>
  <c r="AA355" i="42" s="1"/>
  <c r="AA359" i="42" a="1"/>
  <c r="AA359" i="42" s="1"/>
  <c r="AA295" i="42" a="1"/>
  <c r="AA295" i="42" s="1"/>
  <c r="AA347" i="42" a="1"/>
  <c r="AA347" i="42" s="1"/>
  <c r="AA455" i="42" s="1"/>
  <c r="AA335" i="42" a="1"/>
  <c r="AA335" i="42" s="1"/>
  <c r="AA303" i="42" a="1"/>
  <c r="AA303" i="42" s="1"/>
  <c r="AA315" i="42" a="1"/>
  <c r="AA315" i="42" s="1"/>
  <c r="AA331" i="42" a="1"/>
  <c r="AA331" i="42" s="1"/>
  <c r="AA323" i="42" a="1"/>
  <c r="AA323" i="42" s="1"/>
  <c r="AA339" i="42" a="1"/>
  <c r="AA339" i="42" s="1"/>
  <c r="AA308" i="42" a="1"/>
  <c r="AA308" i="42" s="1"/>
  <c r="AA291" i="42" a="1"/>
  <c r="AA291" i="42" s="1"/>
  <c r="AA299" i="42" a="1"/>
  <c r="AA299" i="42" s="1"/>
  <c r="AA307" i="42" a="1"/>
  <c r="AA307" i="42" s="1"/>
  <c r="AA244" i="42" a="1"/>
  <c r="AA244" i="42" s="1"/>
  <c r="AA267" i="42" a="1"/>
  <c r="AA267" i="42" s="1"/>
  <c r="AA275" i="42" a="1"/>
  <c r="AA275" i="42" s="1"/>
  <c r="AA264" i="42" a="1"/>
  <c r="AA264" i="42" s="1"/>
  <c r="AA287" i="42" a="1"/>
  <c r="AA287" i="42" s="1"/>
  <c r="AA272" i="42" a="1"/>
  <c r="AA272" i="42" s="1"/>
  <c r="AA255" i="42" a="1"/>
  <c r="AA255" i="42" s="1"/>
  <c r="AA319" i="42" a="1"/>
  <c r="AA319" i="42" s="1"/>
  <c r="AA263" i="42" a="1"/>
  <c r="AA263" i="42" s="1"/>
  <c r="AA271" i="42" a="1"/>
  <c r="AA271" i="42" s="1"/>
  <c r="AA304" i="42" a="1"/>
  <c r="AA304" i="42" s="1"/>
  <c r="AA283" i="42" a="1"/>
  <c r="AA283" i="42" s="1"/>
  <c r="AA243" i="42" a="1"/>
  <c r="AA243" i="42" s="1"/>
  <c r="AA216" i="42" a="1"/>
  <c r="AA216" i="42" s="1"/>
  <c r="AA239" i="42" a="1"/>
  <c r="AA239" i="42" s="1"/>
  <c r="AA203" i="42" a="1"/>
  <c r="AA203" i="42" s="1"/>
  <c r="AA276" i="42" a="1"/>
  <c r="AA276" i="42" s="1"/>
  <c r="AA215" i="42" a="1"/>
  <c r="AA215" i="42" s="1"/>
  <c r="AA227" i="42" a="1"/>
  <c r="AA227" i="42" s="1"/>
  <c r="AA260" i="42" a="1"/>
  <c r="AA260" i="42" s="1"/>
  <c r="AA235" i="42" a="1"/>
  <c r="AA235" i="42" s="1"/>
  <c r="AA247" i="42" a="1"/>
  <c r="AA247" i="42" s="1"/>
  <c r="AA248" i="42" a="1"/>
  <c r="AA248" i="42" s="1"/>
  <c r="AA259" i="42" a="1"/>
  <c r="AA259" i="42" s="1"/>
  <c r="AA268" i="42" a="1"/>
  <c r="AA268" i="42" s="1"/>
  <c r="AA207" i="42" a="1"/>
  <c r="AA207" i="42" s="1"/>
  <c r="AA204" i="42" a="1"/>
  <c r="AA204" i="42" s="1"/>
  <c r="AA200" i="42" a="1"/>
  <c r="AA200" i="42" s="1"/>
  <c r="AA183" i="42" a="1"/>
  <c r="AA183" i="42" s="1"/>
  <c r="AA223" i="42" a="1"/>
  <c r="AA223" i="42" s="1"/>
  <c r="AA191" i="42" a="1"/>
  <c r="AA191" i="42" s="1"/>
  <c r="AA231" i="42" a="1"/>
  <c r="AA231" i="42" s="1"/>
  <c r="AA199" i="42" a="1"/>
  <c r="AA199" i="42" s="1"/>
  <c r="AA208" i="42" a="1"/>
  <c r="AA208" i="42" s="1"/>
  <c r="AA195" i="42" a="1"/>
  <c r="AA195" i="42" s="1"/>
  <c r="AU447" i="42" a="1"/>
  <c r="AU447" i="42" s="1"/>
  <c r="AU415" i="42" a="1"/>
  <c r="AU415" i="42" s="1"/>
  <c r="AU431" i="42" a="1"/>
  <c r="AU431" i="42" s="1"/>
  <c r="AU427" i="42" a="1"/>
  <c r="AU427" i="42" s="1"/>
  <c r="AU403" i="42" a="1"/>
  <c r="AU403" i="42" s="1"/>
  <c r="AU439" i="42" a="1"/>
  <c r="AU439" i="42" s="1"/>
  <c r="AU423" i="42" a="1"/>
  <c r="AU423" i="42" s="1"/>
  <c r="AU435" i="42" a="1"/>
  <c r="AU435" i="42" s="1"/>
  <c r="AU443" i="42" a="1"/>
  <c r="AU443" i="42" s="1"/>
  <c r="AU363" i="42" a="1"/>
  <c r="AU363" i="42" s="1"/>
  <c r="AU459" i="42" s="1"/>
  <c r="AU375" i="42" a="1"/>
  <c r="AU375" i="42" s="1"/>
  <c r="AU407" i="42" a="1"/>
  <c r="AU407" i="42" s="1"/>
  <c r="AU387" i="42" a="1"/>
  <c r="AU387" i="42" s="1"/>
  <c r="AU395" i="42" a="1"/>
  <c r="AU395" i="42" s="1"/>
  <c r="AU399" i="42" a="1"/>
  <c r="AU399" i="42" s="1"/>
  <c r="AU391" i="42" a="1"/>
  <c r="AU391" i="42" s="1"/>
  <c r="AU467" i="42" s="1"/>
  <c r="AU419" i="42" a="1"/>
  <c r="AU419" i="42" s="1"/>
  <c r="AU383" i="42" a="1"/>
  <c r="AU383" i="42" s="1"/>
  <c r="AU351" i="42" a="1"/>
  <c r="AU351" i="42" s="1"/>
  <c r="AU367" i="42" a="1"/>
  <c r="AU367" i="42" s="1"/>
  <c r="AU355" i="42" a="1"/>
  <c r="AU355" i="42" s="1"/>
  <c r="AU379" i="42" a="1"/>
  <c r="AU379" i="42" s="1"/>
  <c r="AU371" i="42" a="1"/>
  <c r="AU371" i="42" s="1"/>
  <c r="AU463" i="42" s="1"/>
  <c r="AU359" i="42" a="1"/>
  <c r="AU359" i="42" s="1"/>
  <c r="AU347" i="42" a="1"/>
  <c r="AU347" i="42" s="1"/>
  <c r="AU455" i="42" s="1"/>
  <c r="AU303" i="42" a="1"/>
  <c r="AU303" i="42" s="1"/>
  <c r="AU339" i="42" a="1"/>
  <c r="AU339" i="42" s="1"/>
  <c r="AU315" i="42" a="1"/>
  <c r="AU315" i="42" s="1"/>
  <c r="AU323" i="42" a="1"/>
  <c r="AU323" i="42" s="1"/>
  <c r="AU331" i="42" a="1"/>
  <c r="AU331" i="42" s="1"/>
  <c r="AU335" i="42" a="1"/>
  <c r="AU335" i="42" s="1"/>
  <c r="AU319" i="42" a="1"/>
  <c r="AU319" i="42" s="1"/>
  <c r="AU267" i="42" a="1"/>
  <c r="AU267" i="42" s="1"/>
  <c r="AU275" i="42" a="1"/>
  <c r="AU275" i="42" s="1"/>
  <c r="AU243" i="42" a="1"/>
  <c r="AU243" i="42" s="1"/>
  <c r="AU287" i="42" a="1"/>
  <c r="AU287" i="42" s="1"/>
  <c r="AU299" i="42" a="1"/>
  <c r="AU299" i="42" s="1"/>
  <c r="AU255" i="42" a="1"/>
  <c r="AU255" i="42" s="1"/>
  <c r="AU263" i="42" a="1"/>
  <c r="AU263" i="42" s="1"/>
  <c r="AU307" i="42" a="1"/>
  <c r="AU307" i="42" s="1"/>
  <c r="AU271" i="42" a="1"/>
  <c r="AU271" i="42" s="1"/>
  <c r="AU291" i="42" a="1"/>
  <c r="AU291" i="42" s="1"/>
  <c r="AU283" i="42" a="1"/>
  <c r="AU283" i="42" s="1"/>
  <c r="AU239" i="42" a="1"/>
  <c r="AU239" i="42" s="1"/>
  <c r="AU203" i="42" a="1"/>
  <c r="AU203" i="42" s="1"/>
  <c r="AU215" i="42" a="1"/>
  <c r="AU215" i="42" s="1"/>
  <c r="AU295" i="42" a="1"/>
  <c r="AU295" i="42" s="1"/>
  <c r="AU227" i="42" a="1"/>
  <c r="AU227" i="42" s="1"/>
  <c r="AU235" i="42" a="1"/>
  <c r="AU235" i="42" s="1"/>
  <c r="AU247" i="42" a="1"/>
  <c r="AU247" i="42" s="1"/>
  <c r="AU216" i="42" a="1"/>
  <c r="AU216" i="42" s="1"/>
  <c r="AU183" i="42" a="1"/>
  <c r="AU183" i="42" s="1"/>
  <c r="AU191" i="42" a="1"/>
  <c r="AU191" i="42" s="1"/>
  <c r="AU199" i="42" a="1"/>
  <c r="AU199" i="42" s="1"/>
  <c r="AU223" i="42" a="1"/>
  <c r="AU223" i="42" s="1"/>
  <c r="AU259" i="42" a="1"/>
  <c r="AU259" i="42" s="1"/>
  <c r="AU195" i="42" a="1"/>
  <c r="AU195" i="42" s="1"/>
  <c r="AU231" i="42" a="1"/>
  <c r="AU231" i="42" s="1"/>
  <c r="K187" i="42" a="1"/>
  <c r="K187" i="42" s="1"/>
  <c r="L204" i="42" a="1"/>
  <c r="L204" i="42" s="1"/>
  <c r="I188" i="42" a="1"/>
  <c r="I188" i="42" s="1"/>
  <c r="M184" i="42" a="1"/>
  <c r="M184" i="42" s="1"/>
  <c r="D444" i="42" a="1"/>
  <c r="D444" i="42" s="1"/>
  <c r="AI440" i="42" a="1"/>
  <c r="AI440" i="42" s="1"/>
  <c r="D440" i="42" a="1"/>
  <c r="D440" i="42" s="1"/>
  <c r="AI436" i="42" a="1"/>
  <c r="AI436" i="42" s="1"/>
  <c r="AI448" i="42" a="1"/>
  <c r="AI448" i="42" s="1"/>
  <c r="AI420" i="42" a="1"/>
  <c r="AI420" i="42" s="1"/>
  <c r="D408" i="42" a="1"/>
  <c r="D408" i="42" s="1"/>
  <c r="AI400" i="42" a="1"/>
  <c r="AI400" i="42" s="1"/>
  <c r="D436" i="42" a="1"/>
  <c r="D436" i="42" s="1"/>
  <c r="D420" i="42" a="1"/>
  <c r="D420" i="42" s="1"/>
  <c r="D400" i="42" a="1"/>
  <c r="D400" i="42" s="1"/>
  <c r="AI416" i="42" a="1"/>
  <c r="AI416" i="42" s="1"/>
  <c r="AI428" i="42" a="1"/>
  <c r="AI428" i="42" s="1"/>
  <c r="AI404" i="42" a="1"/>
  <c r="AI404" i="42" s="1"/>
  <c r="D416" i="42" a="1"/>
  <c r="D416" i="42" s="1"/>
  <c r="AI444" i="42" a="1"/>
  <c r="AI444" i="42" s="1"/>
  <c r="D428" i="42" a="1"/>
  <c r="D428" i="42" s="1"/>
  <c r="D404" i="42" a="1"/>
  <c r="D404" i="42" s="1"/>
  <c r="D432" i="42" a="1"/>
  <c r="D432" i="42" s="1"/>
  <c r="AI424" i="42" a="1"/>
  <c r="AI424" i="42" s="1"/>
  <c r="AI408" i="42" a="1"/>
  <c r="AI408" i="42" s="1"/>
  <c r="D448" i="42" a="1"/>
  <c r="D448" i="42" s="1"/>
  <c r="AI432" i="42" a="1"/>
  <c r="AI432" i="42" s="1"/>
  <c r="D424" i="42" a="1"/>
  <c r="D424" i="42" s="1"/>
  <c r="D396" i="42" a="1"/>
  <c r="D396" i="42" s="1"/>
  <c r="D380" i="42" a="1"/>
  <c r="D380" i="42" s="1"/>
  <c r="AI372" i="42" a="1"/>
  <c r="AI372" i="42" s="1"/>
  <c r="AI464" i="42" s="1"/>
  <c r="D392" i="42" a="1"/>
  <c r="D392" i="42" s="1"/>
  <c r="D468" i="42" s="1"/>
  <c r="AI384" i="42" a="1"/>
  <c r="AI384" i="42" s="1"/>
  <c r="D384" i="42" a="1"/>
  <c r="D384" i="42" s="1"/>
  <c r="AI376" i="42" a="1"/>
  <c r="AI376" i="42" s="1"/>
  <c r="AI396" i="42" a="1"/>
  <c r="AI396" i="42" s="1"/>
  <c r="D388" i="42" a="1"/>
  <c r="D388" i="42" s="1"/>
  <c r="AI380" i="42" a="1"/>
  <c r="AI380" i="42" s="1"/>
  <c r="D368" i="42" a="1"/>
  <c r="D368" i="42" s="1"/>
  <c r="D348" i="42" a="1"/>
  <c r="D348" i="42" s="1"/>
  <c r="D456" i="42" s="1"/>
  <c r="AI364" i="42" a="1"/>
  <c r="AI364" i="42" s="1"/>
  <c r="AI460" i="42" s="1"/>
  <c r="D360" i="42" a="1"/>
  <c r="D360" i="42" s="1"/>
  <c r="AI352" i="42" a="1"/>
  <c r="AI352" i="42" s="1"/>
  <c r="AI392" i="42" a="1"/>
  <c r="AI392" i="42" s="1"/>
  <c r="AI468" i="42" s="1"/>
  <c r="D372" i="42" a="1"/>
  <c r="D372" i="42" s="1"/>
  <c r="D464" i="42" s="1"/>
  <c r="D352" i="42" a="1"/>
  <c r="D352" i="42" s="1"/>
  <c r="D376" i="42" a="1"/>
  <c r="D376" i="42" s="1"/>
  <c r="AI360" i="42" a="1"/>
  <c r="AI360" i="42" s="1"/>
  <c r="D364" i="42" a="1"/>
  <c r="D364" i="42" s="1"/>
  <c r="D460" i="42" s="1"/>
  <c r="AI388" i="42" a="1"/>
  <c r="AI388" i="42" s="1"/>
  <c r="AI368" i="42" a="1"/>
  <c r="AI368" i="42" s="1"/>
  <c r="D356" i="42" a="1"/>
  <c r="D356" i="42" s="1"/>
  <c r="D332" i="42" a="1"/>
  <c r="D332" i="42" s="1"/>
  <c r="D308" i="42" a="1"/>
  <c r="D308" i="42" s="1"/>
  <c r="AI304" i="42" a="1"/>
  <c r="AI304" i="42" s="1"/>
  <c r="AI336" i="42" a="1"/>
  <c r="AI336" i="42" s="1"/>
  <c r="D320" i="42" a="1"/>
  <c r="D320" i="42" s="1"/>
  <c r="AI316" i="42" a="1"/>
  <c r="AI316" i="42" s="1"/>
  <c r="AI332" i="42" a="1"/>
  <c r="AI332" i="42" s="1"/>
  <c r="AI324" i="42" a="1"/>
  <c r="AI324" i="42" s="1"/>
  <c r="D296" i="42" a="1"/>
  <c r="D296" i="42" s="1"/>
  <c r="AI292" i="42" a="1"/>
  <c r="AI292" i="42" s="1"/>
  <c r="AI356" i="42" a="1"/>
  <c r="AI356" i="42" s="1"/>
  <c r="D336" i="42" a="1"/>
  <c r="D336" i="42" s="1"/>
  <c r="AI348" i="42" a="1"/>
  <c r="AI348" i="42" s="1"/>
  <c r="AI456" i="42" s="1"/>
  <c r="D340" i="42" a="1"/>
  <c r="D340" i="42" s="1"/>
  <c r="D324" i="42" a="1"/>
  <c r="D324" i="42" s="1"/>
  <c r="AI320" i="42" a="1"/>
  <c r="AI320" i="42" s="1"/>
  <c r="AI340" i="42" a="1"/>
  <c r="AI340" i="42" s="1"/>
  <c r="D272" i="42" a="1"/>
  <c r="D272" i="42" s="1"/>
  <c r="AI268" i="42" a="1"/>
  <c r="AI268" i="42" s="1"/>
  <c r="D284" i="42" a="1"/>
  <c r="D284" i="42" s="1"/>
  <c r="AI276" i="42" a="1"/>
  <c r="AI276" i="42" s="1"/>
  <c r="D300" i="42" a="1"/>
  <c r="D300" i="42" s="1"/>
  <c r="D248" i="42" a="1"/>
  <c r="D248" i="42" s="1"/>
  <c r="AI244" i="42" a="1"/>
  <c r="AI244" i="42" s="1"/>
  <c r="D292" i="42" a="1"/>
  <c r="D292" i="42" s="1"/>
  <c r="AI288" i="42" a="1"/>
  <c r="AI288" i="42" s="1"/>
  <c r="D260" i="42" a="1"/>
  <c r="D260" i="42" s="1"/>
  <c r="AI256" i="42" a="1"/>
  <c r="AI256" i="42" s="1"/>
  <c r="AI308" i="42" a="1"/>
  <c r="AI308" i="42" s="1"/>
  <c r="D304" i="42" a="1"/>
  <c r="D304" i="42" s="1"/>
  <c r="D268" i="42" a="1"/>
  <c r="D268" i="42" s="1"/>
  <c r="AI264" i="42" a="1"/>
  <c r="AI264" i="42" s="1"/>
  <c r="AI300" i="42" a="1"/>
  <c r="AI300" i="42" s="1"/>
  <c r="D276" i="42" a="1"/>
  <c r="D276" i="42" s="1"/>
  <c r="AI272" i="42" a="1"/>
  <c r="AI272" i="42" s="1"/>
  <c r="D288" i="42" a="1"/>
  <c r="D288" i="42" s="1"/>
  <c r="AI284" i="42" a="1"/>
  <c r="AI284" i="42" s="1"/>
  <c r="AI296" i="42" a="1"/>
  <c r="AI296" i="42" s="1"/>
  <c r="D208" i="42" a="1"/>
  <c r="D208" i="42" s="1"/>
  <c r="AI204" i="42" a="1"/>
  <c r="AI204" i="42" s="1"/>
  <c r="D244" i="42" a="1"/>
  <c r="D244" i="42" s="1"/>
  <c r="D256" i="42" a="1"/>
  <c r="D256" i="42" s="1"/>
  <c r="AI248" i="42" a="1"/>
  <c r="AI248" i="42" s="1"/>
  <c r="AI240" i="42" a="1"/>
  <c r="AI240" i="42" s="1"/>
  <c r="D224" i="42" a="1"/>
  <c r="D224" i="42" s="1"/>
  <c r="AI216" i="42" a="1"/>
  <c r="AI216" i="42" s="1"/>
  <c r="AI260" i="42" a="1"/>
  <c r="AI260" i="42" s="1"/>
  <c r="D232" i="42" a="1"/>
  <c r="D232" i="42" s="1"/>
  <c r="AI228" i="42" a="1"/>
  <c r="AI228" i="42" s="1"/>
  <c r="D264" i="42" a="1"/>
  <c r="D264" i="42" s="1"/>
  <c r="D240" i="42" a="1"/>
  <c r="D240" i="42" s="1"/>
  <c r="AI236" i="42" a="1"/>
  <c r="AI236" i="42" s="1"/>
  <c r="D316" i="42" a="1"/>
  <c r="D316" i="42" s="1"/>
  <c r="D236" i="42" a="1"/>
  <c r="D236" i="42" s="1"/>
  <c r="AI232" i="42" a="1"/>
  <c r="AI232" i="42" s="1"/>
  <c r="D204" i="42" a="1"/>
  <c r="D204" i="42" s="1"/>
  <c r="D188" i="42" a="1"/>
  <c r="D188" i="42" s="1"/>
  <c r="AI184" i="42" a="1"/>
  <c r="AI184" i="42" s="1"/>
  <c r="D216" i="42" a="1"/>
  <c r="D216" i="42" s="1"/>
  <c r="AI208" i="42" a="1"/>
  <c r="AI208" i="42" s="1"/>
  <c r="D196" i="42" a="1"/>
  <c r="D196" i="42" s="1"/>
  <c r="AI192" i="42" a="1"/>
  <c r="AI192" i="42" s="1"/>
  <c r="AI224" i="42" a="1"/>
  <c r="AI224" i="42" s="1"/>
  <c r="AI200" i="42" a="1"/>
  <c r="AI200" i="42" s="1"/>
  <c r="D184" i="42" a="1"/>
  <c r="D184" i="42" s="1"/>
  <c r="U204" i="42" a="1"/>
  <c r="U204" i="42" s="1"/>
  <c r="AE200" i="42" a="1"/>
  <c r="AE200" i="42" s="1"/>
  <c r="O200" i="42" a="1"/>
  <c r="O200" i="42" s="1"/>
  <c r="T204" i="42" a="1"/>
  <c r="T204" i="42" s="1"/>
  <c r="AD200" i="42" a="1"/>
  <c r="AD200" i="42" s="1"/>
  <c r="N200" i="42" a="1"/>
  <c r="N200" i="42" s="1"/>
  <c r="D200" i="42" a="1"/>
  <c r="D200" i="42" s="1"/>
  <c r="AI196" i="42" a="1"/>
  <c r="AI196" i="42" s="1"/>
  <c r="M192" i="42" a="1"/>
  <c r="M192" i="42" s="1"/>
  <c r="D228" i="42" a="1"/>
  <c r="D228" i="42" s="1"/>
  <c r="S200" i="42" a="1"/>
  <c r="S200" i="42" s="1"/>
  <c r="T200" i="42" a="1"/>
  <c r="T200" i="42" s="1"/>
  <c r="D192" i="42" a="1"/>
  <c r="D192" i="42" s="1"/>
  <c r="AU207" i="42" a="1"/>
  <c r="AU207" i="42" s="1"/>
  <c r="AM454" i="42"/>
  <c r="AM414" i="42"/>
  <c r="AM330" i="42"/>
  <c r="AM314" i="42"/>
  <c r="AM346" i="42"/>
  <c r="AM282" i="42"/>
  <c r="AM222" i="42"/>
  <c r="AM254" i="42"/>
  <c r="AM214" i="42"/>
  <c r="AM182" i="42"/>
  <c r="F471" i="42" a="1"/>
  <c r="F471" i="42" s="1"/>
  <c r="V443" i="42" a="1"/>
  <c r="V443" i="42" s="1"/>
  <c r="V439" i="42" a="1"/>
  <c r="V439" i="42" s="1"/>
  <c r="V423" i="42" a="1"/>
  <c r="V423" i="42" s="1"/>
  <c r="V395" i="42" a="1"/>
  <c r="V395" i="42" s="1"/>
  <c r="V407" i="42" a="1"/>
  <c r="V407" i="42" s="1"/>
  <c r="V419" i="42" a="1"/>
  <c r="V419" i="42" s="1"/>
  <c r="V431" i="42" a="1"/>
  <c r="V431" i="42" s="1"/>
  <c r="V399" i="42" a="1"/>
  <c r="V399" i="42" s="1"/>
  <c r="V415" i="42" a="1"/>
  <c r="V415" i="42" s="1"/>
  <c r="V427" i="42" a="1"/>
  <c r="V427" i="42" s="1"/>
  <c r="V447" i="42" a="1"/>
  <c r="V447" i="42" s="1"/>
  <c r="V435" i="42" a="1"/>
  <c r="V435" i="42" s="1"/>
  <c r="V387" i="42" a="1"/>
  <c r="V387" i="42" s="1"/>
  <c r="V367" i="42" a="1"/>
  <c r="V367" i="42" s="1"/>
  <c r="V403" i="42" a="1"/>
  <c r="V403" i="42" s="1"/>
  <c r="V379" i="42" a="1"/>
  <c r="V379" i="42" s="1"/>
  <c r="V391" i="42" a="1"/>
  <c r="V391" i="42" s="1"/>
  <c r="V467" i="42" s="1"/>
  <c r="V371" i="42" a="1"/>
  <c r="V371" i="42" s="1"/>
  <c r="V463" i="42" s="1"/>
  <c r="V383" i="42" a="1"/>
  <c r="V383" i="42" s="1"/>
  <c r="V335" i="42" a="1"/>
  <c r="V335" i="42" s="1"/>
  <c r="V355" i="42" a="1"/>
  <c r="V355" i="42" s="1"/>
  <c r="V359" i="42" a="1"/>
  <c r="V359" i="42" s="1"/>
  <c r="V363" i="42" a="1"/>
  <c r="V363" i="42" s="1"/>
  <c r="V459" i="42" s="1"/>
  <c r="V347" i="42" a="1"/>
  <c r="V347" i="42" s="1"/>
  <c r="V455" i="42" s="1"/>
  <c r="V375" i="42" a="1"/>
  <c r="V375" i="42" s="1"/>
  <c r="V323" i="42" a="1"/>
  <c r="V323" i="42" s="1"/>
  <c r="V308" i="42" a="1"/>
  <c r="V308" i="42" s="1"/>
  <c r="V291" i="42" a="1"/>
  <c r="V291" i="42" s="1"/>
  <c r="V299" i="42" a="1"/>
  <c r="V299" i="42" s="1"/>
  <c r="V307" i="42" a="1"/>
  <c r="V307" i="42" s="1"/>
  <c r="V319" i="42" a="1"/>
  <c r="V319" i="42" s="1"/>
  <c r="V351" i="42" a="1"/>
  <c r="V351" i="42" s="1"/>
  <c r="V339" i="42" a="1"/>
  <c r="V339" i="42" s="1"/>
  <c r="V303" i="42" a="1"/>
  <c r="V303" i="42" s="1"/>
  <c r="V331" i="42" a="1"/>
  <c r="V331" i="42" s="1"/>
  <c r="V315" i="42" a="1"/>
  <c r="V315" i="42" s="1"/>
  <c r="V272" i="42" a="1"/>
  <c r="V272" i="42" s="1"/>
  <c r="V255" i="42" a="1"/>
  <c r="V255" i="42" s="1"/>
  <c r="V295" i="42" a="1"/>
  <c r="V295" i="42" s="1"/>
  <c r="V263" i="42" a="1"/>
  <c r="V263" i="42" s="1"/>
  <c r="V248" i="42" a="1"/>
  <c r="V248" i="42" s="1"/>
  <c r="V271" i="42" a="1"/>
  <c r="V271" i="42" s="1"/>
  <c r="V260" i="42" a="1"/>
  <c r="V260" i="42" s="1"/>
  <c r="V283" i="42" a="1"/>
  <c r="V283" i="42" s="1"/>
  <c r="V268" i="42" a="1"/>
  <c r="V268" i="42" s="1"/>
  <c r="V276" i="42" a="1"/>
  <c r="V276" i="42" s="1"/>
  <c r="V259" i="42" a="1"/>
  <c r="V259" i="42" s="1"/>
  <c r="V267" i="42" a="1"/>
  <c r="V267" i="42" s="1"/>
  <c r="V304" i="42" a="1"/>
  <c r="V304" i="42" s="1"/>
  <c r="V227" i="42" a="1"/>
  <c r="V227" i="42" s="1"/>
  <c r="V208" i="42" a="1"/>
  <c r="V208" i="42" s="1"/>
  <c r="V235" i="42" a="1"/>
  <c r="V235" i="42" s="1"/>
  <c r="V275" i="42" a="1"/>
  <c r="V275" i="42" s="1"/>
  <c r="V207" i="42" a="1"/>
  <c r="V207" i="42" s="1"/>
  <c r="V223" i="42" a="1"/>
  <c r="V223" i="42" s="1"/>
  <c r="V231" i="42" a="1"/>
  <c r="V231" i="42" s="1"/>
  <c r="V244" i="42" a="1"/>
  <c r="V244" i="42" s="1"/>
  <c r="V243" i="42" a="1"/>
  <c r="V243" i="42" s="1"/>
  <c r="V239" i="42" a="1"/>
  <c r="V239" i="42" s="1"/>
  <c r="V287" i="42" a="1"/>
  <c r="V287" i="42" s="1"/>
  <c r="V247" i="42" a="1"/>
  <c r="V247" i="42" s="1"/>
  <c r="V191" i="42" a="1"/>
  <c r="V191" i="42" s="1"/>
  <c r="V199" i="42" a="1"/>
  <c r="V199" i="42" s="1"/>
  <c r="V215" i="42" a="1"/>
  <c r="V215" i="42" s="1"/>
  <c r="V216" i="42" a="1"/>
  <c r="V216" i="42" s="1"/>
  <c r="V187" i="42" a="1"/>
  <c r="V187" i="42" s="1"/>
  <c r="V195" i="42" a="1"/>
  <c r="V195" i="42" s="1"/>
  <c r="V204" i="42" a="1"/>
  <c r="V204" i="42" s="1"/>
  <c r="V203" i="42" a="1"/>
  <c r="V203" i="42" s="1"/>
  <c r="V264" i="42" a="1"/>
  <c r="V264" i="42" s="1"/>
  <c r="V200" i="42" a="1"/>
  <c r="V200" i="42" s="1"/>
  <c r="AP447" i="42" a="1"/>
  <c r="AP447" i="42" s="1"/>
  <c r="AP443" i="42" a="1"/>
  <c r="AP443" i="42" s="1"/>
  <c r="AP423" i="42" a="1"/>
  <c r="AP423" i="42" s="1"/>
  <c r="AP395" i="42" a="1"/>
  <c r="AP395" i="42" s="1"/>
  <c r="AP435" i="42" a="1"/>
  <c r="AP435" i="42" s="1"/>
  <c r="AP407" i="42" a="1"/>
  <c r="AP407" i="42" s="1"/>
  <c r="AP419" i="42" a="1"/>
  <c r="AP419" i="42" s="1"/>
  <c r="AP439" i="42" a="1"/>
  <c r="AP439" i="42" s="1"/>
  <c r="AP431" i="42" a="1"/>
  <c r="AP431" i="42" s="1"/>
  <c r="AP367" i="42" a="1"/>
  <c r="AP367" i="42" s="1"/>
  <c r="AP415" i="42" a="1"/>
  <c r="AP415" i="42" s="1"/>
  <c r="AP379" i="42" a="1"/>
  <c r="AP379" i="42" s="1"/>
  <c r="AP403" i="42" a="1"/>
  <c r="AP403" i="42" s="1"/>
  <c r="AP427" i="42" a="1"/>
  <c r="AP427" i="42" s="1"/>
  <c r="AP391" i="42" a="1"/>
  <c r="AP391" i="42" s="1"/>
  <c r="AP467" i="42" s="1"/>
  <c r="AP371" i="42" a="1"/>
  <c r="AP371" i="42" s="1"/>
  <c r="AP463" i="42" s="1"/>
  <c r="AP387" i="42" a="1"/>
  <c r="AP387" i="42" s="1"/>
  <c r="AP355" i="42" a="1"/>
  <c r="AP355" i="42" s="1"/>
  <c r="AP383" i="42" a="1"/>
  <c r="AP383" i="42" s="1"/>
  <c r="AP375" i="42" a="1"/>
  <c r="AP375" i="42" s="1"/>
  <c r="AP359" i="42" a="1"/>
  <c r="AP359" i="42" s="1"/>
  <c r="AP363" i="42" a="1"/>
  <c r="AP363" i="42" s="1"/>
  <c r="AP459" i="42" s="1"/>
  <c r="AP291" i="42" a="1"/>
  <c r="AP291" i="42" s="1"/>
  <c r="AP399" i="42" a="1"/>
  <c r="AP399" i="42" s="1"/>
  <c r="AP331" i="42" a="1"/>
  <c r="AP331" i="42" s="1"/>
  <c r="AP299" i="42" a="1"/>
  <c r="AP299" i="42" s="1"/>
  <c r="AP307" i="42" a="1"/>
  <c r="AP307" i="42" s="1"/>
  <c r="AP335" i="42" a="1"/>
  <c r="AP335" i="42" s="1"/>
  <c r="AP347" i="42" a="1"/>
  <c r="AP347" i="42" s="1"/>
  <c r="AP455" i="42" s="1"/>
  <c r="AP339" i="42" a="1"/>
  <c r="AP339" i="42" s="1"/>
  <c r="AP319" i="42" a="1"/>
  <c r="AP319" i="42" s="1"/>
  <c r="AP295" i="42" a="1"/>
  <c r="AP295" i="42" s="1"/>
  <c r="AP351" i="42" a="1"/>
  <c r="AP351" i="42" s="1"/>
  <c r="AP303" i="42" a="1"/>
  <c r="AP303" i="42" s="1"/>
  <c r="AP263" i="42" a="1"/>
  <c r="AP263" i="42" s="1"/>
  <c r="AP323" i="42" a="1"/>
  <c r="AP323" i="42" s="1"/>
  <c r="AP271" i="42" a="1"/>
  <c r="AP271" i="42" s="1"/>
  <c r="AP315" i="42" a="1"/>
  <c r="AP315" i="42" s="1"/>
  <c r="AP283" i="42" a="1"/>
  <c r="AP283" i="42" s="1"/>
  <c r="AP259" i="42" a="1"/>
  <c r="AP259" i="42" s="1"/>
  <c r="AP267" i="42" a="1"/>
  <c r="AP267" i="42" s="1"/>
  <c r="AP275" i="42" a="1"/>
  <c r="AP275" i="42" s="1"/>
  <c r="AP243" i="42" a="1"/>
  <c r="AP243" i="42" s="1"/>
  <c r="AP235" i="42" a="1"/>
  <c r="AP235" i="42" s="1"/>
  <c r="AP207" i="42" a="1"/>
  <c r="AP207" i="42" s="1"/>
  <c r="AP287" i="42" a="1"/>
  <c r="AP287" i="42" s="1"/>
  <c r="AP247" i="42" a="1"/>
  <c r="AP247" i="42" s="1"/>
  <c r="AP223" i="42" a="1"/>
  <c r="AP223" i="42" s="1"/>
  <c r="AP231" i="42" a="1"/>
  <c r="AP231" i="42" s="1"/>
  <c r="AP239" i="42" a="1"/>
  <c r="AP239" i="42" s="1"/>
  <c r="AP215" i="42" a="1"/>
  <c r="AP215" i="42" s="1"/>
  <c r="AP203" i="42" a="1"/>
  <c r="AP203" i="42" s="1"/>
  <c r="AP199" i="42" a="1"/>
  <c r="AP199" i="42" s="1"/>
  <c r="AP216" i="42" a="1"/>
  <c r="AP216" i="42" s="1"/>
  <c r="AP227" i="42" a="1"/>
  <c r="AP227" i="42" s="1"/>
  <c r="AP187" i="42" a="1"/>
  <c r="AP187" i="42" s="1"/>
  <c r="AP195" i="42" a="1"/>
  <c r="AP195" i="42" s="1"/>
  <c r="AP191" i="42" a="1"/>
  <c r="AP191" i="42" s="1"/>
  <c r="AN6" i="42"/>
  <c r="G340" i="42" a="1"/>
  <c r="G340" i="42" s="1"/>
  <c r="G339" i="42" a="1"/>
  <c r="G339" i="42" s="1"/>
  <c r="G335" i="42" a="1"/>
  <c r="G335" i="42" s="1"/>
  <c r="G299" i="42" a="1"/>
  <c r="G299" i="42" s="1"/>
  <c r="G307" i="42" a="1"/>
  <c r="G307" i="42" s="1"/>
  <c r="G296" i="42" a="1"/>
  <c r="G296" i="42" s="1"/>
  <c r="G319" i="42" a="1"/>
  <c r="G319" i="42" s="1"/>
  <c r="G304" i="42" a="1"/>
  <c r="G304" i="42" s="1"/>
  <c r="G331" i="42" a="1"/>
  <c r="G331" i="42" s="1"/>
  <c r="G324" i="42" a="1"/>
  <c r="G324" i="42" s="1"/>
  <c r="G315" i="42" a="1"/>
  <c r="G315" i="42" s="1"/>
  <c r="G323" i="42" a="1"/>
  <c r="G323" i="42" s="1"/>
  <c r="G295" i="42" a="1"/>
  <c r="G295" i="42" s="1"/>
  <c r="G284" i="42" a="1"/>
  <c r="G284" i="42" s="1"/>
  <c r="G263" i="42" a="1"/>
  <c r="G263" i="42" s="1"/>
  <c r="G300" i="42" a="1"/>
  <c r="G300" i="42" s="1"/>
  <c r="G248" i="42" a="1"/>
  <c r="G248" i="42" s="1"/>
  <c r="G292" i="42" a="1"/>
  <c r="G292" i="42" s="1"/>
  <c r="G271" i="42" a="1"/>
  <c r="G271" i="42" s="1"/>
  <c r="G283" i="42" a="1"/>
  <c r="G283" i="42" s="1"/>
  <c r="G268" i="42" a="1"/>
  <c r="G268" i="42" s="1"/>
  <c r="G308" i="42" a="1"/>
  <c r="G308" i="42" s="1"/>
  <c r="G303" i="42" a="1"/>
  <c r="G303" i="42" s="1"/>
  <c r="G291" i="42" a="1"/>
  <c r="G291" i="42" s="1"/>
  <c r="G276" i="42" a="1"/>
  <c r="G276" i="42" s="1"/>
  <c r="G259" i="42" a="1"/>
  <c r="G259" i="42" s="1"/>
  <c r="G267" i="42" a="1"/>
  <c r="G267" i="42" s="1"/>
  <c r="G275" i="42" a="1"/>
  <c r="G275" i="42" s="1"/>
  <c r="G287" i="42" a="1"/>
  <c r="G287" i="42" s="1"/>
  <c r="G244" i="42" a="1"/>
  <c r="G244" i="42" s="1"/>
  <c r="G243" i="42" a="1"/>
  <c r="G243" i="42" s="1"/>
  <c r="G235" i="42" a="1"/>
  <c r="G235" i="42" s="1"/>
  <c r="G256" i="42" a="1"/>
  <c r="G256" i="42" s="1"/>
  <c r="G224" i="42" a="1"/>
  <c r="G224" i="42" s="1"/>
  <c r="G232" i="42" a="1"/>
  <c r="G232" i="42" s="1"/>
  <c r="G207" i="42" a="1"/>
  <c r="G207" i="42" s="1"/>
  <c r="G272" i="42" a="1"/>
  <c r="G272" i="42" s="1"/>
  <c r="G264" i="42" a="1"/>
  <c r="G264" i="42" s="1"/>
  <c r="G247" i="42" a="1"/>
  <c r="G247" i="42" s="1"/>
  <c r="G240" i="42" a="1"/>
  <c r="G240" i="42" s="1"/>
  <c r="G223" i="42" a="1"/>
  <c r="G223" i="42" s="1"/>
  <c r="G231" i="42" a="1"/>
  <c r="G231" i="42" s="1"/>
  <c r="G216" i="42" a="1"/>
  <c r="G216" i="42" s="1"/>
  <c r="G239" i="42" a="1"/>
  <c r="G239" i="42" s="1"/>
  <c r="G255" i="42" a="1"/>
  <c r="G255" i="42" s="1"/>
  <c r="G204" i="42" a="1"/>
  <c r="G204" i="42" s="1"/>
  <c r="G203" i="42" a="1"/>
  <c r="G203" i="42" s="1"/>
  <c r="G199" i="42" a="1"/>
  <c r="G199" i="42" s="1"/>
  <c r="G188" i="42" a="1"/>
  <c r="G188" i="42" s="1"/>
  <c r="G215" i="42" a="1"/>
  <c r="G215" i="42" s="1"/>
  <c r="G196" i="42" a="1"/>
  <c r="G196" i="42" s="1"/>
  <c r="G187" i="42" a="1"/>
  <c r="G187" i="42" s="1"/>
  <c r="G227" i="42" a="1"/>
  <c r="G227" i="42" s="1"/>
  <c r="G208" i="42" a="1"/>
  <c r="G208" i="42" s="1"/>
  <c r="G195" i="42" a="1"/>
  <c r="G195" i="42" s="1"/>
  <c r="G184" i="42" a="1"/>
  <c r="G184" i="42" s="1"/>
  <c r="G186" i="42" s="1"/>
  <c r="G192" i="42" a="1"/>
  <c r="G192" i="42" s="1"/>
  <c r="G236" i="42" a="1"/>
  <c r="G236" i="42" s="1"/>
  <c r="G200" i="42" a="1"/>
  <c r="G200" i="42" s="1"/>
  <c r="W443" i="42" a="1"/>
  <c r="W443" i="42" s="1"/>
  <c r="W407" i="42" a="1"/>
  <c r="W407" i="42" s="1"/>
  <c r="W419" i="42" a="1"/>
  <c r="W419" i="42" s="1"/>
  <c r="W431" i="42" a="1"/>
  <c r="W431" i="42" s="1"/>
  <c r="W415" i="42" a="1"/>
  <c r="W415" i="42" s="1"/>
  <c r="W427" i="42" a="1"/>
  <c r="W427" i="42" s="1"/>
  <c r="W447" i="42" a="1"/>
  <c r="W447" i="42" s="1"/>
  <c r="W423" i="42" a="1"/>
  <c r="W423" i="42" s="1"/>
  <c r="W367" i="42" a="1"/>
  <c r="W367" i="42" s="1"/>
  <c r="W403" i="42" a="1"/>
  <c r="W403" i="42" s="1"/>
  <c r="W379" i="42" a="1"/>
  <c r="W379" i="42" s="1"/>
  <c r="W391" i="42" a="1"/>
  <c r="W391" i="42" s="1"/>
  <c r="W467" i="42" s="1"/>
  <c r="W399" i="42" a="1"/>
  <c r="W399" i="42" s="1"/>
  <c r="W395" i="42" a="1"/>
  <c r="W395" i="42" s="1"/>
  <c r="W383" i="42" a="1"/>
  <c r="W383" i="42" s="1"/>
  <c r="W439" i="42" a="1"/>
  <c r="W439" i="42" s="1"/>
  <c r="W355" i="42" a="1"/>
  <c r="W355" i="42" s="1"/>
  <c r="W359" i="42" a="1"/>
  <c r="W359" i="42" s="1"/>
  <c r="W363" i="42" a="1"/>
  <c r="W363" i="42" s="1"/>
  <c r="W459" i="42" s="1"/>
  <c r="W347" i="42" a="1"/>
  <c r="W347" i="42" s="1"/>
  <c r="W455" i="42" s="1"/>
  <c r="W375" i="42" a="1"/>
  <c r="W375" i="42" s="1"/>
  <c r="W339" i="42" a="1"/>
  <c r="W339" i="42" s="1"/>
  <c r="W387" i="42" a="1"/>
  <c r="W387" i="42" s="1"/>
  <c r="W371" i="42" a="1"/>
  <c r="W371" i="42" s="1"/>
  <c r="W463" i="42" s="1"/>
  <c r="W299" i="42" a="1"/>
  <c r="W299" i="42" s="1"/>
  <c r="W307" i="42" a="1"/>
  <c r="W307" i="42" s="1"/>
  <c r="W319" i="42" a="1"/>
  <c r="W319" i="42" s="1"/>
  <c r="W304" i="42" a="1"/>
  <c r="W304" i="42" s="1"/>
  <c r="W351" i="42" a="1"/>
  <c r="W351" i="42" s="1"/>
  <c r="W335" i="42" a="1"/>
  <c r="W335" i="42" s="1"/>
  <c r="W435" i="42" a="1"/>
  <c r="W435" i="42" s="1"/>
  <c r="W331" i="42" a="1"/>
  <c r="W331" i="42" s="1"/>
  <c r="W315" i="42" a="1"/>
  <c r="W315" i="42" s="1"/>
  <c r="W323" i="42" a="1"/>
  <c r="W323" i="42" s="1"/>
  <c r="W295" i="42" a="1"/>
  <c r="W295" i="42" s="1"/>
  <c r="W263" i="42" a="1"/>
  <c r="W263" i="42" s="1"/>
  <c r="W248" i="42" a="1"/>
  <c r="W248" i="42" s="1"/>
  <c r="W271" i="42" a="1"/>
  <c r="W271" i="42" s="1"/>
  <c r="W260" i="42" a="1"/>
  <c r="W260" i="42" s="1"/>
  <c r="W283" i="42" a="1"/>
  <c r="W283" i="42" s="1"/>
  <c r="W268" i="42" a="1"/>
  <c r="W268" i="42" s="1"/>
  <c r="W276" i="42" a="1"/>
  <c r="W276" i="42" s="1"/>
  <c r="W259" i="42" a="1"/>
  <c r="W259" i="42" s="1"/>
  <c r="W267" i="42" a="1"/>
  <c r="W267" i="42" s="1"/>
  <c r="W303" i="42" a="1"/>
  <c r="W303" i="42" s="1"/>
  <c r="W291" i="42" a="1"/>
  <c r="W291" i="42" s="1"/>
  <c r="W275" i="42" a="1"/>
  <c r="W275" i="42" s="1"/>
  <c r="W287" i="42" a="1"/>
  <c r="W287" i="42" s="1"/>
  <c r="W235" i="42" a="1"/>
  <c r="W235" i="42" s="1"/>
  <c r="W207" i="42" a="1"/>
  <c r="W207" i="42" s="1"/>
  <c r="W308" i="42" a="1"/>
  <c r="W308" i="42" s="1"/>
  <c r="W223" i="42" a="1"/>
  <c r="W223" i="42" s="1"/>
  <c r="W231" i="42" a="1"/>
  <c r="W231" i="42" s="1"/>
  <c r="W244" i="42" a="1"/>
  <c r="W244" i="42" s="1"/>
  <c r="W243" i="42" a="1"/>
  <c r="W243" i="42" s="1"/>
  <c r="W216" i="42" a="1"/>
  <c r="W216" i="42" s="1"/>
  <c r="W239" i="42" a="1"/>
  <c r="W239" i="42" s="1"/>
  <c r="W255" i="42" a="1"/>
  <c r="W255" i="42" s="1"/>
  <c r="W264" i="42" a="1"/>
  <c r="W264" i="42" s="1"/>
  <c r="W199" i="42" a="1"/>
  <c r="W199" i="42" s="1"/>
  <c r="W215" i="42" a="1"/>
  <c r="W215" i="42" s="1"/>
  <c r="W208" i="42" a="1"/>
  <c r="W208" i="42" s="1"/>
  <c r="W272" i="42" a="1"/>
  <c r="W272" i="42" s="1"/>
  <c r="W187" i="42" a="1"/>
  <c r="W187" i="42" s="1"/>
  <c r="W195" i="42" a="1"/>
  <c r="W195" i="42" s="1"/>
  <c r="W204" i="42" a="1"/>
  <c r="W204" i="42" s="1"/>
  <c r="W203" i="42" a="1"/>
  <c r="W203" i="42" s="1"/>
  <c r="W200" i="42" a="1"/>
  <c r="W200" i="42" s="1"/>
  <c r="W191" i="42" a="1"/>
  <c r="W191" i="42" s="1"/>
  <c r="W247" i="42" a="1"/>
  <c r="W247" i="42" s="1"/>
  <c r="W227" i="42" a="1"/>
  <c r="W227" i="42" s="1"/>
  <c r="AQ443" i="42" a="1"/>
  <c r="AQ443" i="42" s="1"/>
  <c r="AQ447" i="42" a="1"/>
  <c r="AQ447" i="42" s="1"/>
  <c r="AQ423" i="42" a="1"/>
  <c r="AQ423" i="42" s="1"/>
  <c r="AQ395" i="42" a="1"/>
  <c r="AQ395" i="42" s="1"/>
  <c r="AQ435" i="42" a="1"/>
  <c r="AQ435" i="42" s="1"/>
  <c r="AQ407" i="42" a="1"/>
  <c r="AQ407" i="42" s="1"/>
  <c r="AQ419" i="42" a="1"/>
  <c r="AQ419" i="42" s="1"/>
  <c r="AQ439" i="42" a="1"/>
  <c r="AQ439" i="42" s="1"/>
  <c r="AQ415" i="42" a="1"/>
  <c r="AQ415" i="42" s="1"/>
  <c r="AQ431" i="42" a="1"/>
  <c r="AQ431" i="42" s="1"/>
  <c r="AQ427" i="42" a="1"/>
  <c r="AQ427" i="42" s="1"/>
  <c r="AQ379" i="42" a="1"/>
  <c r="AQ379" i="42" s="1"/>
  <c r="AQ403" i="42" a="1"/>
  <c r="AQ403" i="42" s="1"/>
  <c r="AQ391" i="42" a="1"/>
  <c r="AQ391" i="42" s="1"/>
  <c r="AQ467" i="42" s="1"/>
  <c r="AQ383" i="42" a="1"/>
  <c r="AQ383" i="42" s="1"/>
  <c r="AQ399" i="42" a="1"/>
  <c r="AQ399" i="42" s="1"/>
  <c r="AQ371" i="42" a="1"/>
  <c r="AQ371" i="42" s="1"/>
  <c r="AQ463" i="42" s="1"/>
  <c r="AQ375" i="42" a="1"/>
  <c r="AQ375" i="42" s="1"/>
  <c r="AQ347" i="42" a="1"/>
  <c r="AQ347" i="42" s="1"/>
  <c r="AQ455" i="42" s="1"/>
  <c r="AQ359" i="42" a="1"/>
  <c r="AQ359" i="42" s="1"/>
  <c r="AQ339" i="42" a="1"/>
  <c r="AQ339" i="42" s="1"/>
  <c r="AQ363" i="42" a="1"/>
  <c r="AQ363" i="42" s="1"/>
  <c r="AQ459" i="42" s="1"/>
  <c r="AQ367" i="42" a="1"/>
  <c r="AQ367" i="42" s="1"/>
  <c r="AQ387" i="42" a="1"/>
  <c r="AQ387" i="42" s="1"/>
  <c r="AQ299" i="42" a="1"/>
  <c r="AQ299" i="42" s="1"/>
  <c r="AQ307" i="42" a="1"/>
  <c r="AQ307" i="42" s="1"/>
  <c r="AQ335" i="42" a="1"/>
  <c r="AQ335" i="42" s="1"/>
  <c r="AQ319" i="42" a="1"/>
  <c r="AQ319" i="42" s="1"/>
  <c r="AQ355" i="42" a="1"/>
  <c r="AQ355" i="42" s="1"/>
  <c r="AQ295" i="42" a="1"/>
  <c r="AQ295" i="42" s="1"/>
  <c r="AQ351" i="42" a="1"/>
  <c r="AQ351" i="42" s="1"/>
  <c r="AQ303" i="42" a="1"/>
  <c r="AQ303" i="42" s="1"/>
  <c r="AQ315" i="42" a="1"/>
  <c r="AQ315" i="42" s="1"/>
  <c r="AQ323" i="42" a="1"/>
  <c r="AQ323" i="42" s="1"/>
  <c r="AQ331" i="42" a="1"/>
  <c r="AQ331" i="42" s="1"/>
  <c r="AQ291" i="42" a="1"/>
  <c r="AQ291" i="42" s="1"/>
  <c r="AQ271" i="42" a="1"/>
  <c r="AQ271" i="42" s="1"/>
  <c r="AQ283" i="42" a="1"/>
  <c r="AQ283" i="42" s="1"/>
  <c r="AQ259" i="42" a="1"/>
  <c r="AQ259" i="42" s="1"/>
  <c r="AQ267" i="42" a="1"/>
  <c r="AQ267" i="42" s="1"/>
  <c r="AQ275" i="42" a="1"/>
  <c r="AQ275" i="42" s="1"/>
  <c r="AQ287" i="42" a="1"/>
  <c r="AQ287" i="42" s="1"/>
  <c r="AQ207" i="42" a="1"/>
  <c r="AQ207" i="42" s="1"/>
  <c r="AQ247" i="42" a="1"/>
  <c r="AQ247" i="42" s="1"/>
  <c r="AQ223" i="42" a="1"/>
  <c r="AQ223" i="42" s="1"/>
  <c r="AQ231" i="42" a="1"/>
  <c r="AQ231" i="42" s="1"/>
  <c r="AQ239" i="42" a="1"/>
  <c r="AQ239" i="42" s="1"/>
  <c r="AQ255" i="42" a="1"/>
  <c r="AQ255" i="42" s="1"/>
  <c r="AQ263" i="42" a="1"/>
  <c r="AQ263" i="42" s="1"/>
  <c r="AQ243" i="42" a="1"/>
  <c r="AQ243" i="42" s="1"/>
  <c r="AQ235" i="42" a="1"/>
  <c r="AQ235" i="42" s="1"/>
  <c r="AQ216" i="42" a="1"/>
  <c r="AQ216" i="42" s="1"/>
  <c r="AQ227" i="42" a="1"/>
  <c r="AQ227" i="42" s="1"/>
  <c r="AQ187" i="42" a="1"/>
  <c r="AQ187" i="42" s="1"/>
  <c r="AQ195" i="42" a="1"/>
  <c r="AQ195" i="42" s="1"/>
  <c r="AQ183" i="42" a="1"/>
  <c r="AQ183" i="42" s="1"/>
  <c r="AQ215" i="42" a="1"/>
  <c r="AQ215" i="42" s="1"/>
  <c r="AQ203" i="42" a="1"/>
  <c r="AQ203" i="42" s="1"/>
  <c r="AQ199" i="42" a="1"/>
  <c r="AQ199" i="42" s="1"/>
  <c r="AU187" i="42" a="1"/>
  <c r="AU187" i="42" s="1"/>
  <c r="O208" i="42" a="1"/>
  <c r="O208" i="42" s="1"/>
  <c r="AW216" i="42" a="1"/>
  <c r="AW216" i="42" s="1"/>
  <c r="H307" i="42" a="1"/>
  <c r="H307" i="42" s="1"/>
  <c r="H319" i="42" a="1"/>
  <c r="H319" i="42" s="1"/>
  <c r="H331" i="42" a="1"/>
  <c r="H331" i="42" s="1"/>
  <c r="H295" i="42" a="1"/>
  <c r="H295" i="42" s="1"/>
  <c r="H339" i="42" a="1"/>
  <c r="H339" i="42" s="1"/>
  <c r="H323" i="42" a="1"/>
  <c r="H323" i="42" s="1"/>
  <c r="H335" i="42" a="1"/>
  <c r="H335" i="42" s="1"/>
  <c r="H271" i="42" a="1"/>
  <c r="H271" i="42" s="1"/>
  <c r="H283" i="42" a="1"/>
  <c r="H283" i="42" s="1"/>
  <c r="H247" i="42" a="1"/>
  <c r="H247" i="42" s="1"/>
  <c r="H315" i="42" a="1"/>
  <c r="H315" i="42" s="1"/>
  <c r="H291" i="42" a="1"/>
  <c r="H291" i="42" s="1"/>
  <c r="H303" i="42" a="1"/>
  <c r="H303" i="42" s="1"/>
  <c r="H276" i="42" a="1"/>
  <c r="H276" i="42" s="1"/>
  <c r="H259" i="42" a="1"/>
  <c r="H259" i="42" s="1"/>
  <c r="H299" i="42" a="1"/>
  <c r="H299" i="42" s="1"/>
  <c r="H267" i="42" a="1"/>
  <c r="H267" i="42" s="1"/>
  <c r="H256" i="42" a="1"/>
  <c r="H256" i="42" s="1"/>
  <c r="H275" i="42" a="1"/>
  <c r="H275" i="42" s="1"/>
  <c r="H264" i="42" a="1"/>
  <c r="H264" i="42" s="1"/>
  <c r="H287" i="42" a="1"/>
  <c r="H287" i="42" s="1"/>
  <c r="H207" i="42" a="1"/>
  <c r="H207" i="42" s="1"/>
  <c r="H272" i="42" a="1"/>
  <c r="H272" i="42" s="1"/>
  <c r="H223" i="42" a="1"/>
  <c r="H223" i="42" s="1"/>
  <c r="H263" i="42" a="1"/>
  <c r="H263" i="42" s="1"/>
  <c r="H231" i="42" a="1"/>
  <c r="H231" i="42" s="1"/>
  <c r="H216" i="42" a="1"/>
  <c r="H216" i="42" s="1"/>
  <c r="H239" i="42" a="1"/>
  <c r="H239" i="42" s="1"/>
  <c r="H255" i="42" a="1"/>
  <c r="H255" i="42" s="1"/>
  <c r="H243" i="42" a="1"/>
  <c r="H243" i="42" s="1"/>
  <c r="H235" i="42" a="1"/>
  <c r="H235" i="42" s="1"/>
  <c r="H215" i="42" a="1"/>
  <c r="H215" i="42" s="1"/>
  <c r="H187" i="42" a="1"/>
  <c r="H187" i="42" s="1"/>
  <c r="H227" i="42" a="1"/>
  <c r="H227" i="42" s="1"/>
  <c r="H195" i="42" a="1"/>
  <c r="H195" i="42" s="1"/>
  <c r="H184" i="42" a="1"/>
  <c r="H184" i="42" s="1"/>
  <c r="H203" i="42" a="1"/>
  <c r="H203" i="42" s="1"/>
  <c r="H199" i="42" a="1"/>
  <c r="H199" i="42" s="1"/>
  <c r="X443" i="42" a="1"/>
  <c r="X443" i="42" s="1"/>
  <c r="X439" i="42" a="1"/>
  <c r="X439" i="42" s="1"/>
  <c r="X407" i="42" a="1"/>
  <c r="X407" i="42" s="1"/>
  <c r="X419" i="42" a="1"/>
  <c r="X419" i="42" s="1"/>
  <c r="X431" i="42" a="1"/>
  <c r="X431" i="42" s="1"/>
  <c r="X399" i="42" a="1"/>
  <c r="X399" i="42" s="1"/>
  <c r="X415" i="42" a="1"/>
  <c r="X415" i="42" s="1"/>
  <c r="X427" i="42" a="1"/>
  <c r="X427" i="42" s="1"/>
  <c r="X435" i="42" a="1"/>
  <c r="X435" i="42" s="1"/>
  <c r="X403" i="42" a="1"/>
  <c r="X403" i="42" s="1"/>
  <c r="X423" i="42" a="1"/>
  <c r="X423" i="42" s="1"/>
  <c r="X379" i="42" a="1"/>
  <c r="X379" i="42" s="1"/>
  <c r="X391" i="42" a="1"/>
  <c r="X391" i="42" s="1"/>
  <c r="X467" i="42" s="1"/>
  <c r="X395" i="42" a="1"/>
  <c r="X395" i="42" s="1"/>
  <c r="X447" i="42" a="1"/>
  <c r="X447" i="42" s="1"/>
  <c r="X387" i="42" a="1"/>
  <c r="X387" i="42" s="1"/>
  <c r="X363" i="42" a="1"/>
  <c r="X363" i="42" s="1"/>
  <c r="X459" i="42" s="1"/>
  <c r="X383" i="42" a="1"/>
  <c r="X383" i="42" s="1"/>
  <c r="X347" i="42" a="1"/>
  <c r="X347" i="42" s="1"/>
  <c r="X455" i="42" s="1"/>
  <c r="X375" i="42" a="1"/>
  <c r="X375" i="42" s="1"/>
  <c r="X367" i="42" a="1"/>
  <c r="X367" i="42" s="1"/>
  <c r="X371" i="42" a="1"/>
  <c r="X371" i="42" s="1"/>
  <c r="X463" i="42" s="1"/>
  <c r="X351" i="42" a="1"/>
  <c r="X351" i="42" s="1"/>
  <c r="X355" i="42" a="1"/>
  <c r="X355" i="42" s="1"/>
  <c r="X359" i="42" a="1"/>
  <c r="X359" i="42" s="1"/>
  <c r="X307" i="42" a="1"/>
  <c r="X307" i="42" s="1"/>
  <c r="X319" i="42" a="1"/>
  <c r="X319" i="42" s="1"/>
  <c r="X304" i="42" a="1"/>
  <c r="X304" i="42" s="1"/>
  <c r="X295" i="42" a="1"/>
  <c r="X295" i="42" s="1"/>
  <c r="X339" i="42" a="1"/>
  <c r="X339" i="42" s="1"/>
  <c r="X335" i="42" a="1"/>
  <c r="X335" i="42" s="1"/>
  <c r="X331" i="42" a="1"/>
  <c r="X331" i="42" s="1"/>
  <c r="X323" i="42" a="1"/>
  <c r="X323" i="42" s="1"/>
  <c r="X271" i="42" a="1"/>
  <c r="X271" i="42" s="1"/>
  <c r="X260" i="42" a="1"/>
  <c r="X260" i="42" s="1"/>
  <c r="X283" i="42" a="1"/>
  <c r="X283" i="42" s="1"/>
  <c r="X268" i="42" a="1"/>
  <c r="X268" i="42" s="1"/>
  <c r="X247" i="42" a="1"/>
  <c r="X247" i="42" s="1"/>
  <c r="X276" i="42" a="1"/>
  <c r="X276" i="42" s="1"/>
  <c r="X259" i="42" a="1"/>
  <c r="X259" i="42" s="1"/>
  <c r="X267" i="42" a="1"/>
  <c r="X267" i="42" s="1"/>
  <c r="X291" i="42" a="1"/>
  <c r="X291" i="42" s="1"/>
  <c r="X303" i="42" a="1"/>
  <c r="X303" i="42" s="1"/>
  <c r="X299" i="42" a="1"/>
  <c r="X299" i="42" s="1"/>
  <c r="X275" i="42" a="1"/>
  <c r="X275" i="42" s="1"/>
  <c r="X264" i="42" a="1"/>
  <c r="X264" i="42" s="1"/>
  <c r="X287" i="42" a="1"/>
  <c r="X287" i="42" s="1"/>
  <c r="X315" i="42" a="1"/>
  <c r="X315" i="42" s="1"/>
  <c r="X308" i="42" a="1"/>
  <c r="X308" i="42" s="1"/>
  <c r="X248" i="42" a="1"/>
  <c r="X248" i="42" s="1"/>
  <c r="X207" i="42" a="1"/>
  <c r="X207" i="42" s="1"/>
  <c r="X223" i="42" a="1"/>
  <c r="X223" i="42" s="1"/>
  <c r="X231" i="42" a="1"/>
  <c r="X231" i="42" s="1"/>
  <c r="X244" i="42" a="1"/>
  <c r="X244" i="42" s="1"/>
  <c r="X243" i="42" a="1"/>
  <c r="X243" i="42" s="1"/>
  <c r="X216" i="42" a="1"/>
  <c r="X216" i="42" s="1"/>
  <c r="X239" i="42" a="1"/>
  <c r="X239" i="42" s="1"/>
  <c r="X255" i="42" a="1"/>
  <c r="X255" i="42" s="1"/>
  <c r="X263" i="42" a="1"/>
  <c r="X263" i="42" s="1"/>
  <c r="X272" i="42" a="1"/>
  <c r="X272" i="42" s="1"/>
  <c r="X235" i="42" a="1"/>
  <c r="X235" i="42" s="1"/>
  <c r="X208" i="42" a="1"/>
  <c r="X208" i="42" s="1"/>
  <c r="X187" i="42" a="1"/>
  <c r="X187" i="42" s="1"/>
  <c r="X195" i="42" a="1"/>
  <c r="X195" i="42" s="1"/>
  <c r="X204" i="42" a="1"/>
  <c r="X204" i="42" s="1"/>
  <c r="X203" i="42" a="1"/>
  <c r="X203" i="42" s="1"/>
  <c r="X200" i="42" a="1"/>
  <c r="X200" i="42" s="1"/>
  <c r="X199" i="42" a="1"/>
  <c r="X199" i="42" s="1"/>
  <c r="X215" i="42" a="1"/>
  <c r="X215" i="42" s="1"/>
  <c r="AR443" i="42" a="1"/>
  <c r="AR443" i="42" s="1"/>
  <c r="AR439" i="42" a="1"/>
  <c r="AR439" i="42" s="1"/>
  <c r="AR447" i="42" a="1"/>
  <c r="AR447" i="42" s="1"/>
  <c r="AR435" i="42" a="1"/>
  <c r="AR435" i="42" s="1"/>
  <c r="AR407" i="42" a="1"/>
  <c r="AR407" i="42" s="1"/>
  <c r="AR419" i="42" a="1"/>
  <c r="AR419" i="42" s="1"/>
  <c r="AR415" i="42" a="1"/>
  <c r="AR415" i="42" s="1"/>
  <c r="AR431" i="42" a="1"/>
  <c r="AR431" i="42" s="1"/>
  <c r="AR427" i="42" a="1"/>
  <c r="AR427" i="42" s="1"/>
  <c r="AR423" i="42" a="1"/>
  <c r="AR423" i="42" s="1"/>
  <c r="AR403" i="42" a="1"/>
  <c r="AR403" i="42" s="1"/>
  <c r="AR391" i="42" a="1"/>
  <c r="AR391" i="42" s="1"/>
  <c r="AR467" i="42" s="1"/>
  <c r="AR359" i="42" a="1"/>
  <c r="AR359" i="42" s="1"/>
  <c r="AR371" i="42" a="1"/>
  <c r="AR371" i="42" s="1"/>
  <c r="AR463" i="42" s="1"/>
  <c r="AR383" i="42" a="1"/>
  <c r="AR383" i="42" s="1"/>
  <c r="AR387" i="42" a="1"/>
  <c r="AR387" i="42" s="1"/>
  <c r="AR399" i="42" a="1"/>
  <c r="AR399" i="42" s="1"/>
  <c r="AR395" i="42" a="1"/>
  <c r="AR395" i="42" s="1"/>
  <c r="AR375" i="42" a="1"/>
  <c r="AR375" i="42" s="1"/>
  <c r="AR347" i="42" a="1"/>
  <c r="AR347" i="42" s="1"/>
  <c r="AR455" i="42" s="1"/>
  <c r="AR331" i="42" a="1"/>
  <c r="AR331" i="42" s="1"/>
  <c r="AR339" i="42" a="1"/>
  <c r="AR339" i="42" s="1"/>
  <c r="AR363" i="42" a="1"/>
  <c r="AR363" i="42" s="1"/>
  <c r="AR459" i="42" s="1"/>
  <c r="AR351" i="42" a="1"/>
  <c r="AR351" i="42" s="1"/>
  <c r="AR367" i="42" a="1"/>
  <c r="AR367" i="42" s="1"/>
  <c r="AR379" i="42" a="1"/>
  <c r="AR379" i="42" s="1"/>
  <c r="AR307" i="42" a="1"/>
  <c r="AR307" i="42" s="1"/>
  <c r="AR335" i="42" a="1"/>
  <c r="AR335" i="42" s="1"/>
  <c r="AR319" i="42" a="1"/>
  <c r="AR319" i="42" s="1"/>
  <c r="AR355" i="42" a="1"/>
  <c r="AR355" i="42" s="1"/>
  <c r="AR295" i="42" a="1"/>
  <c r="AR295" i="42" s="1"/>
  <c r="AR303" i="42" a="1"/>
  <c r="AR303" i="42" s="1"/>
  <c r="AR315" i="42" a="1"/>
  <c r="AR315" i="42" s="1"/>
  <c r="AR323" i="42" a="1"/>
  <c r="AR323" i="42" s="1"/>
  <c r="AR283" i="42" a="1"/>
  <c r="AR283" i="42" s="1"/>
  <c r="AR247" i="42" a="1"/>
  <c r="AR247" i="42" s="1"/>
  <c r="AR259" i="42" a="1"/>
  <c r="AR259" i="42" s="1"/>
  <c r="AR267" i="42" a="1"/>
  <c r="AR267" i="42" s="1"/>
  <c r="AR275" i="42" a="1"/>
  <c r="AR275" i="42" s="1"/>
  <c r="AR299" i="42" a="1"/>
  <c r="AR299" i="42" s="1"/>
  <c r="AR287" i="42" a="1"/>
  <c r="AR287" i="42" s="1"/>
  <c r="AR291" i="42" a="1"/>
  <c r="AR291" i="42" s="1"/>
  <c r="AR207" i="42" a="1"/>
  <c r="AR207" i="42" s="1"/>
  <c r="AR223" i="42" a="1"/>
  <c r="AR223" i="42" s="1"/>
  <c r="AR231" i="42" a="1"/>
  <c r="AR231" i="42" s="1"/>
  <c r="AR216" i="42" a="1"/>
  <c r="AR216" i="42" s="1"/>
  <c r="AR239" i="42" a="1"/>
  <c r="AR239" i="42" s="1"/>
  <c r="AR255" i="42" a="1"/>
  <c r="AR255" i="42" s="1"/>
  <c r="AR271" i="42" a="1"/>
  <c r="AR271" i="42" s="1"/>
  <c r="AR227" i="42" a="1"/>
  <c r="AR227" i="42" s="1"/>
  <c r="AR263" i="42" a="1"/>
  <c r="AR263" i="42" s="1"/>
  <c r="AR235" i="42" a="1"/>
  <c r="AR235" i="42" s="1"/>
  <c r="AR243" i="42" a="1"/>
  <c r="AR243" i="42" s="1"/>
  <c r="AR187" i="42" a="1"/>
  <c r="AR187" i="42" s="1"/>
  <c r="AR195" i="42" a="1"/>
  <c r="AR195" i="42" s="1"/>
  <c r="AR183" i="42" a="1"/>
  <c r="AR183" i="42" s="1"/>
  <c r="AR191" i="42" a="1"/>
  <c r="AR191" i="42" s="1"/>
  <c r="AR215" i="42" a="1"/>
  <c r="AR215" i="42" s="1"/>
  <c r="V183" i="42" a="1"/>
  <c r="V183" i="42" s="1"/>
  <c r="AI188" i="42" a="1"/>
  <c r="AI188" i="42" s="1"/>
  <c r="Z208" i="42" a="1"/>
  <c r="Z208" i="42" s="1"/>
  <c r="I444" i="42" a="1"/>
  <c r="I444" i="42" s="1"/>
  <c r="I439" i="42" a="1"/>
  <c r="I439" i="42" s="1"/>
  <c r="I440" i="42" a="1"/>
  <c r="I440" i="42" s="1"/>
  <c r="I447" i="42" a="1"/>
  <c r="I447" i="42" s="1"/>
  <c r="I443" i="42" a="1"/>
  <c r="I443" i="42" s="1"/>
  <c r="I419" i="42" a="1"/>
  <c r="I419" i="42" s="1"/>
  <c r="I436" i="42" a="1"/>
  <c r="I436" i="42" s="1"/>
  <c r="I431" i="42" a="1"/>
  <c r="I431" i="42" s="1"/>
  <c r="I400" i="42" a="1"/>
  <c r="I400" i="42" s="1"/>
  <c r="I399" i="42" a="1"/>
  <c r="I399" i="42" s="1"/>
  <c r="I435" i="42" a="1"/>
  <c r="I435" i="42" s="1"/>
  <c r="I415" i="42" a="1"/>
  <c r="I415" i="42" s="1"/>
  <c r="I427" i="42" a="1"/>
  <c r="I427" i="42" s="1"/>
  <c r="I416" i="42" a="1"/>
  <c r="I416" i="42" s="1"/>
  <c r="I404" i="42" a="1"/>
  <c r="I404" i="42" s="1"/>
  <c r="I403" i="42" a="1"/>
  <c r="I403" i="42" s="1"/>
  <c r="I423" i="42" a="1"/>
  <c r="I423" i="42" s="1"/>
  <c r="I448" i="42" a="1"/>
  <c r="I448" i="42" s="1"/>
  <c r="I391" i="42" a="1"/>
  <c r="I391" i="42" s="1"/>
  <c r="I467" i="42" s="1"/>
  <c r="I360" i="42" a="1"/>
  <c r="I360" i="42" s="1"/>
  <c r="I359" i="42" a="1"/>
  <c r="I359" i="42" s="1"/>
  <c r="I408" i="42" a="1"/>
  <c r="I408" i="42" s="1"/>
  <c r="I371" i="42" a="1"/>
  <c r="I371" i="42" s="1"/>
  <c r="I463" i="42" s="1"/>
  <c r="I383" i="42" a="1"/>
  <c r="I383" i="42" s="1"/>
  <c r="I375" i="42" a="1"/>
  <c r="I375" i="42" s="1"/>
  <c r="I387" i="42" a="1"/>
  <c r="I387" i="42" s="1"/>
  <c r="I424" i="42" a="1"/>
  <c r="I424" i="42" s="1"/>
  <c r="I395" i="42" a="1"/>
  <c r="I395" i="42" s="1"/>
  <c r="I407" i="42" a="1"/>
  <c r="I407" i="42" s="1"/>
  <c r="I347" i="42" a="1"/>
  <c r="I347" i="42" s="1"/>
  <c r="I455" i="42" s="1"/>
  <c r="I331" i="42" a="1"/>
  <c r="I331" i="42" s="1"/>
  <c r="I339" i="42" a="1"/>
  <c r="I339" i="42" s="1"/>
  <c r="I363" i="42" a="1"/>
  <c r="I363" i="42" s="1"/>
  <c r="I459" i="42" s="1"/>
  <c r="I351" i="42" a="1"/>
  <c r="I351" i="42" s="1"/>
  <c r="I367" i="42" a="1"/>
  <c r="I367" i="42" s="1"/>
  <c r="I396" i="42" a="1"/>
  <c r="I396" i="42" s="1"/>
  <c r="I379" i="42" a="1"/>
  <c r="I379" i="42" s="1"/>
  <c r="I356" i="42" a="1"/>
  <c r="I356" i="42" s="1"/>
  <c r="I355" i="42" a="1"/>
  <c r="I355" i="42" s="1"/>
  <c r="I296" i="42" a="1"/>
  <c r="I296" i="42" s="1"/>
  <c r="I319" i="42" a="1"/>
  <c r="I319" i="42" s="1"/>
  <c r="I304" i="42" a="1"/>
  <c r="I304" i="42" s="1"/>
  <c r="I295" i="42" a="1"/>
  <c r="I295" i="42" s="1"/>
  <c r="I324" i="42" a="1"/>
  <c r="I324" i="42" s="1"/>
  <c r="I303" i="42" a="1"/>
  <c r="I303" i="42" s="1"/>
  <c r="I292" i="42" a="1"/>
  <c r="I292" i="42" s="1"/>
  <c r="I300" i="42" a="1"/>
  <c r="I300" i="42" s="1"/>
  <c r="I340" i="42" a="1"/>
  <c r="I340" i="42" s="1"/>
  <c r="I323" i="42" a="1"/>
  <c r="I323" i="42" s="1"/>
  <c r="I308" i="42" a="1"/>
  <c r="I308" i="42" s="1"/>
  <c r="I335" i="42" a="1"/>
  <c r="I335" i="42" s="1"/>
  <c r="I283" i="42" a="1"/>
  <c r="I283" i="42" s="1"/>
  <c r="I268" i="42" a="1"/>
  <c r="I268" i="42" s="1"/>
  <c r="I247" i="42" a="1"/>
  <c r="I247" i="42" s="1"/>
  <c r="I291" i="42" a="1"/>
  <c r="I291" i="42" s="1"/>
  <c r="I315" i="42" a="1"/>
  <c r="I315" i="42" s="1"/>
  <c r="I276" i="42" a="1"/>
  <c r="I276" i="42" s="1"/>
  <c r="I259" i="42" a="1"/>
  <c r="I259" i="42" s="1"/>
  <c r="I299" i="42" a="1"/>
  <c r="I299" i="42" s="1"/>
  <c r="I267" i="42" a="1"/>
  <c r="I267" i="42" s="1"/>
  <c r="I256" i="42" a="1"/>
  <c r="I256" i="42" s="1"/>
  <c r="I275" i="42" a="1"/>
  <c r="I275" i="42" s="1"/>
  <c r="I264" i="42" a="1"/>
  <c r="I264" i="42" s="1"/>
  <c r="I287" i="42" a="1"/>
  <c r="I287" i="42" s="1"/>
  <c r="I272" i="42" a="1"/>
  <c r="I272" i="42" s="1"/>
  <c r="I284" i="42" a="1"/>
  <c r="I284" i="42" s="1"/>
  <c r="I240" i="42" a="1"/>
  <c r="I240" i="42" s="1"/>
  <c r="I223" i="42" a="1"/>
  <c r="I223" i="42" s="1"/>
  <c r="I204" i="42" a="1"/>
  <c r="I204" i="42" s="1"/>
  <c r="I263" i="42" a="1"/>
  <c r="I263" i="42" s="1"/>
  <c r="I231" i="42" a="1"/>
  <c r="I231" i="42" s="1"/>
  <c r="I248" i="42" a="1"/>
  <c r="I248" i="42" s="1"/>
  <c r="I216" i="42" a="1"/>
  <c r="I216" i="42" s="1"/>
  <c r="I239" i="42" a="1"/>
  <c r="I239" i="42" s="1"/>
  <c r="I255" i="42" a="1"/>
  <c r="I255" i="42" s="1"/>
  <c r="I236" i="42" a="1"/>
  <c r="I236" i="42" s="1"/>
  <c r="I271" i="42" a="1"/>
  <c r="I271" i="42" s="1"/>
  <c r="I227" i="42" a="1"/>
  <c r="I227" i="42" s="1"/>
  <c r="I307" i="42" a="1"/>
  <c r="I307" i="42" s="1"/>
  <c r="I244" i="42" a="1"/>
  <c r="I244" i="42" s="1"/>
  <c r="I243" i="42" a="1"/>
  <c r="I243" i="42" s="1"/>
  <c r="I232" i="42" a="1"/>
  <c r="I232" i="42" s="1"/>
  <c r="I187" i="42" a="1"/>
  <c r="I187" i="42" s="1"/>
  <c r="I208" i="42" a="1"/>
  <c r="I208" i="42" s="1"/>
  <c r="I195" i="42" a="1"/>
  <c r="I195" i="42" s="1"/>
  <c r="I184" i="42" a="1"/>
  <c r="I184" i="42" s="1"/>
  <c r="I224" i="42" a="1"/>
  <c r="I224" i="42" s="1"/>
  <c r="I192" i="42" a="1"/>
  <c r="I192" i="42" s="1"/>
  <c r="I235" i="42" a="1"/>
  <c r="I235" i="42" s="1"/>
  <c r="I200" i="42" a="1"/>
  <c r="I200" i="42" s="1"/>
  <c r="I183" i="42" a="1"/>
  <c r="I183" i="42" s="1"/>
  <c r="I207" i="42" a="1"/>
  <c r="I207" i="42" s="1"/>
  <c r="I191" i="42" a="1"/>
  <c r="I191" i="42" s="1"/>
  <c r="I203" i="42" a="1"/>
  <c r="I203" i="42" s="1"/>
  <c r="I199" i="42" a="1"/>
  <c r="I199" i="42" s="1"/>
  <c r="I215" i="42" a="1"/>
  <c r="I215" i="42" s="1"/>
  <c r="I196" i="42" a="1"/>
  <c r="I196" i="42" s="1"/>
  <c r="Y439" i="42" a="1"/>
  <c r="Y439" i="42" s="1"/>
  <c r="Y447" i="42" a="1"/>
  <c r="Y447" i="42" s="1"/>
  <c r="Y443" i="42" a="1"/>
  <c r="Y443" i="42" s="1"/>
  <c r="Y419" i="42" a="1"/>
  <c r="Y419" i="42" s="1"/>
  <c r="Y431" i="42" a="1"/>
  <c r="Y431" i="42" s="1"/>
  <c r="Y399" i="42" a="1"/>
  <c r="Y399" i="42" s="1"/>
  <c r="Y415" i="42" a="1"/>
  <c r="Y415" i="42" s="1"/>
  <c r="Y427" i="42" a="1"/>
  <c r="Y427" i="42" s="1"/>
  <c r="Y435" i="42" a="1"/>
  <c r="Y435" i="42" s="1"/>
  <c r="Y403" i="42" a="1"/>
  <c r="Y403" i="42" s="1"/>
  <c r="Y423" i="42" a="1"/>
  <c r="Y423" i="42" s="1"/>
  <c r="Y391" i="42" a="1"/>
  <c r="Y391" i="42" s="1"/>
  <c r="Y467" i="42" s="1"/>
  <c r="Y359" i="42" a="1"/>
  <c r="Y359" i="42" s="1"/>
  <c r="Y407" i="42" a="1"/>
  <c r="Y407" i="42" s="1"/>
  <c r="Y371" i="42" a="1"/>
  <c r="Y371" i="42" s="1"/>
  <c r="Y463" i="42" s="1"/>
  <c r="Y395" i="42" a="1"/>
  <c r="Y395" i="42" s="1"/>
  <c r="Y383" i="42" a="1"/>
  <c r="Y383" i="42" s="1"/>
  <c r="Y375" i="42" a="1"/>
  <c r="Y375" i="42" s="1"/>
  <c r="Y387" i="42" a="1"/>
  <c r="Y387" i="42" s="1"/>
  <c r="Y347" i="42" a="1"/>
  <c r="Y347" i="42" s="1"/>
  <c r="Y455" i="42" s="1"/>
  <c r="Y367" i="42" a="1"/>
  <c r="Y367" i="42" s="1"/>
  <c r="Y331" i="42" a="1"/>
  <c r="Y331" i="42" s="1"/>
  <c r="Y339" i="42" a="1"/>
  <c r="Y339" i="42" s="1"/>
  <c r="Y351" i="42" a="1"/>
  <c r="Y351" i="42" s="1"/>
  <c r="Y379" i="42" a="1"/>
  <c r="Y379" i="42" s="1"/>
  <c r="Y355" i="42" a="1"/>
  <c r="Y355" i="42" s="1"/>
  <c r="Y363" i="42" a="1"/>
  <c r="Y363" i="42" s="1"/>
  <c r="Y459" i="42" s="1"/>
  <c r="Y319" i="42" a="1"/>
  <c r="Y319" i="42" s="1"/>
  <c r="Y304" i="42" a="1"/>
  <c r="Y304" i="42" s="1"/>
  <c r="Y295" i="42" a="1"/>
  <c r="Y295" i="42" s="1"/>
  <c r="Y335" i="42" a="1"/>
  <c r="Y335" i="42" s="1"/>
  <c r="Y303" i="42" a="1"/>
  <c r="Y303" i="42" s="1"/>
  <c r="Y323" i="42" a="1"/>
  <c r="Y323" i="42" s="1"/>
  <c r="Y308" i="42" a="1"/>
  <c r="Y308" i="42" s="1"/>
  <c r="Y283" i="42" a="1"/>
  <c r="Y283" i="42" s="1"/>
  <c r="Y268" i="42" a="1"/>
  <c r="Y268" i="42" s="1"/>
  <c r="Y247" i="42" a="1"/>
  <c r="Y247" i="42" s="1"/>
  <c r="Y276" i="42" a="1"/>
  <c r="Y276" i="42" s="1"/>
  <c r="Y259" i="42" a="1"/>
  <c r="Y259" i="42" s="1"/>
  <c r="Y307" i="42" a="1"/>
  <c r="Y307" i="42" s="1"/>
  <c r="Y267" i="42" a="1"/>
  <c r="Y267" i="42" s="1"/>
  <c r="Y291" i="42" a="1"/>
  <c r="Y291" i="42" s="1"/>
  <c r="Y299" i="42" a="1"/>
  <c r="Y299" i="42" s="1"/>
  <c r="Y275" i="42" a="1"/>
  <c r="Y275" i="42" s="1"/>
  <c r="Y264" i="42" a="1"/>
  <c r="Y264" i="42" s="1"/>
  <c r="Y287" i="42" a="1"/>
  <c r="Y287" i="42" s="1"/>
  <c r="Y272" i="42" a="1"/>
  <c r="Y272" i="42" s="1"/>
  <c r="Y315" i="42" a="1"/>
  <c r="Y315" i="42" s="1"/>
  <c r="Y223" i="42" a="1"/>
  <c r="Y223" i="42" s="1"/>
  <c r="Y271" i="42" a="1"/>
  <c r="Y271" i="42" s="1"/>
  <c r="Y204" i="42" a="1"/>
  <c r="Y204" i="42" s="1"/>
  <c r="Y231" i="42" a="1"/>
  <c r="Y231" i="42" s="1"/>
  <c r="Y244" i="42" a="1"/>
  <c r="Y244" i="42" s="1"/>
  <c r="Y243" i="42" a="1"/>
  <c r="Y243" i="42" s="1"/>
  <c r="Y216" i="42" a="1"/>
  <c r="Y216" i="42" s="1"/>
  <c r="Y239" i="42" a="1"/>
  <c r="Y239" i="42" s="1"/>
  <c r="Y255" i="42" a="1"/>
  <c r="Y255" i="42" s="1"/>
  <c r="Y263" i="42" a="1"/>
  <c r="Y263" i="42" s="1"/>
  <c r="Y227" i="42" a="1"/>
  <c r="Y227" i="42" s="1"/>
  <c r="Y260" i="42" a="1"/>
  <c r="Y260" i="42" s="1"/>
  <c r="Y248" i="42" a="1"/>
  <c r="Y248" i="42" s="1"/>
  <c r="Y187" i="42" a="1"/>
  <c r="Y187" i="42" s="1"/>
  <c r="Y195" i="42" a="1"/>
  <c r="Y195" i="42" s="1"/>
  <c r="Y235" i="42" a="1"/>
  <c r="Y235" i="42" s="1"/>
  <c r="Y203" i="42" a="1"/>
  <c r="Y203" i="42" s="1"/>
  <c r="Y207" i="42" a="1"/>
  <c r="Y207" i="42" s="1"/>
  <c r="Y200" i="42" a="1"/>
  <c r="Y200" i="42" s="1"/>
  <c r="Y183" i="42" a="1"/>
  <c r="Y183" i="42" s="1"/>
  <c r="Y191" i="42" a="1"/>
  <c r="Y191" i="42" s="1"/>
  <c r="Y199" i="42" a="1"/>
  <c r="Y199" i="42" s="1"/>
  <c r="Y208" i="42" a="1"/>
  <c r="Y208" i="42" s="1"/>
  <c r="AS443" i="42" a="1"/>
  <c r="AS443" i="42" s="1"/>
  <c r="AS419" i="42" a="1"/>
  <c r="AS419" i="42" s="1"/>
  <c r="AS447" i="42" a="1"/>
  <c r="AS447" i="42" s="1"/>
  <c r="AS399" i="42" a="1"/>
  <c r="AS399" i="42" s="1"/>
  <c r="AS415" i="42" a="1"/>
  <c r="AS415" i="42" s="1"/>
  <c r="AS431" i="42" a="1"/>
  <c r="AS431" i="42" s="1"/>
  <c r="AS427" i="42" a="1"/>
  <c r="AS427" i="42" s="1"/>
  <c r="AS439" i="42" a="1"/>
  <c r="AS439" i="42" s="1"/>
  <c r="AS403" i="42" a="1"/>
  <c r="AS403" i="42" s="1"/>
  <c r="AS423" i="42" a="1"/>
  <c r="AS423" i="42" s="1"/>
  <c r="AS435" i="42" a="1"/>
  <c r="AS435" i="42" s="1"/>
  <c r="AS407" i="42" a="1"/>
  <c r="AS407" i="42" s="1"/>
  <c r="AS371" i="42" a="1"/>
  <c r="AS371" i="42" s="1"/>
  <c r="AS463" i="42" s="1"/>
  <c r="AS383" i="42" a="1"/>
  <c r="AS383" i="42" s="1"/>
  <c r="AS375" i="42" a="1"/>
  <c r="AS375" i="42" s="1"/>
  <c r="AS395" i="42" a="1"/>
  <c r="AS395" i="42" s="1"/>
  <c r="AS391" i="42" a="1"/>
  <c r="AS391" i="42" s="1"/>
  <c r="AS467" i="42" s="1"/>
  <c r="AS359" i="42" a="1"/>
  <c r="AS359" i="42" s="1"/>
  <c r="AS339" i="42" a="1"/>
  <c r="AS339" i="42" s="1"/>
  <c r="AS363" i="42" a="1"/>
  <c r="AS363" i="42" s="1"/>
  <c r="AS459" i="42" s="1"/>
  <c r="AS351" i="42" a="1"/>
  <c r="AS351" i="42" s="1"/>
  <c r="AS367" i="42" a="1"/>
  <c r="AS367" i="42" s="1"/>
  <c r="AS387" i="42" a="1"/>
  <c r="AS387" i="42" s="1"/>
  <c r="AS319" i="42" a="1"/>
  <c r="AS319" i="42" s="1"/>
  <c r="AS379" i="42" a="1"/>
  <c r="AS379" i="42" s="1"/>
  <c r="AS355" i="42" a="1"/>
  <c r="AS355" i="42" s="1"/>
  <c r="AS347" i="42" a="1"/>
  <c r="AS347" i="42" s="1"/>
  <c r="AS455" i="42" s="1"/>
  <c r="AS303" i="42" a="1"/>
  <c r="AS303" i="42" s="1"/>
  <c r="AS315" i="42" a="1"/>
  <c r="AS315" i="42" s="1"/>
  <c r="AS323" i="42" a="1"/>
  <c r="AS323" i="42" s="1"/>
  <c r="AS331" i="42" a="1"/>
  <c r="AS331" i="42" s="1"/>
  <c r="AS307" i="42" a="1"/>
  <c r="AS307" i="42" s="1"/>
  <c r="AS335" i="42" a="1"/>
  <c r="AS335" i="42" s="1"/>
  <c r="AS247" i="42" a="1"/>
  <c r="AS247" i="42" s="1"/>
  <c r="AS259" i="42" a="1"/>
  <c r="AS259" i="42" s="1"/>
  <c r="AS267" i="42" a="1"/>
  <c r="AS267" i="42" s="1"/>
  <c r="AS275" i="42" a="1"/>
  <c r="AS275" i="42" s="1"/>
  <c r="AS299" i="42" a="1"/>
  <c r="AS299" i="42" s="1"/>
  <c r="AS287" i="42" a="1"/>
  <c r="AS287" i="42" s="1"/>
  <c r="AS291" i="42" a="1"/>
  <c r="AS291" i="42" s="1"/>
  <c r="AS223" i="42" a="1"/>
  <c r="AS223" i="42" s="1"/>
  <c r="AS231" i="42" a="1"/>
  <c r="AS231" i="42" s="1"/>
  <c r="AS216" i="42" a="1"/>
  <c r="AS216" i="42" s="1"/>
  <c r="AS239" i="42" a="1"/>
  <c r="AS239" i="42" s="1"/>
  <c r="AS295" i="42" a="1"/>
  <c r="AS295" i="42" s="1"/>
  <c r="AS255" i="42" a="1"/>
  <c r="AS255" i="42" s="1"/>
  <c r="AS271" i="42" a="1"/>
  <c r="AS271" i="42" s="1"/>
  <c r="AS227" i="42" a="1"/>
  <c r="AS227" i="42" s="1"/>
  <c r="AS263" i="42" a="1"/>
  <c r="AS263" i="42" s="1"/>
  <c r="AS283" i="42" a="1"/>
  <c r="AS283" i="42" s="1"/>
  <c r="AS243" i="42" a="1"/>
  <c r="AS243" i="42" s="1"/>
  <c r="AS235" i="42" a="1"/>
  <c r="AS235" i="42" s="1"/>
  <c r="AS187" i="42" a="1"/>
  <c r="AS187" i="42" s="1"/>
  <c r="AS207" i="42" a="1"/>
  <c r="AS207" i="42" s="1"/>
  <c r="AS195" i="42" a="1"/>
  <c r="AS195" i="42" s="1"/>
  <c r="AS183" i="42" a="1"/>
  <c r="AS183" i="42" s="1"/>
  <c r="AS191" i="42" a="1"/>
  <c r="AS191" i="42" s="1"/>
  <c r="AS215" i="42" a="1"/>
  <c r="AS215" i="42" s="1"/>
  <c r="AS203" i="42" a="1"/>
  <c r="AS203" i="42" s="1"/>
  <c r="AS199" i="42" a="1"/>
  <c r="AS199" i="42" s="1"/>
  <c r="AA187" i="42" a="1"/>
  <c r="AA187" i="42" s="1"/>
  <c r="W183" i="42" a="1"/>
  <c r="W183" i="42" s="1"/>
  <c r="H188" i="42" a="1"/>
  <c r="H188" i="42" s="1"/>
  <c r="X191" i="42" a="1"/>
  <c r="X191" i="42" s="1"/>
  <c r="AT207" i="42" a="1"/>
  <c r="AT207" i="42" s="1"/>
  <c r="AV216" i="42" a="1"/>
  <c r="AV216" i="42" s="1"/>
  <c r="L223" i="42" a="1"/>
  <c r="L223" i="42" s="1"/>
  <c r="AM223" i="42" a="1"/>
  <c r="AM223" i="42" s="1"/>
  <c r="AD203" i="42" a="1"/>
  <c r="AD203" i="42" s="1"/>
  <c r="AD204" i="42" a="1"/>
  <c r="AD204" i="42" s="1"/>
  <c r="R207" i="42" a="1"/>
  <c r="R207" i="42" s="1"/>
  <c r="AC207" i="42" a="1"/>
  <c r="AC207" i="42" s="1"/>
  <c r="M216" i="42" a="1"/>
  <c r="M216" i="42" s="1"/>
  <c r="AC216" i="42" a="1"/>
  <c r="AC216" i="42" s="1"/>
  <c r="M223" i="42" a="1"/>
  <c r="M223" i="42" s="1"/>
  <c r="L231" i="42" a="1"/>
  <c r="L231" i="42" s="1"/>
  <c r="AE203" i="42" a="1"/>
  <c r="AE203" i="42" s="1"/>
  <c r="AE204" i="42" a="1"/>
  <c r="AE204" i="42" s="1"/>
  <c r="S207" i="42" a="1"/>
  <c r="S207" i="42" s="1"/>
  <c r="N215" i="42" a="1"/>
  <c r="N215" i="42" s="1"/>
  <c r="N216" i="42" a="1"/>
  <c r="N216" i="42" s="1"/>
  <c r="AD216" i="42" a="1"/>
  <c r="AD216" i="42" s="1"/>
  <c r="AT223" i="42" a="1"/>
  <c r="AT223" i="42" s="1"/>
  <c r="S231" i="42" a="1"/>
  <c r="S231" i="42" s="1"/>
  <c r="AL247" i="42" a="1"/>
  <c r="AL247" i="42" s="1"/>
  <c r="S260" i="42" a="1"/>
  <c r="S260" i="42" s="1"/>
  <c r="J439" i="42" a="1"/>
  <c r="J439" i="42" s="1"/>
  <c r="J440" i="42" a="1"/>
  <c r="J440" i="42" s="1"/>
  <c r="J435" i="42" a="1"/>
  <c r="J435" i="42" s="1"/>
  <c r="J447" i="42" a="1"/>
  <c r="J447" i="42" s="1"/>
  <c r="J448" i="42" a="1"/>
  <c r="J448" i="42" s="1"/>
  <c r="J444" i="42" a="1"/>
  <c r="J444" i="42" s="1"/>
  <c r="J415" i="42" a="1"/>
  <c r="J415" i="42" s="1"/>
  <c r="J427" i="42" a="1"/>
  <c r="J427" i="42" s="1"/>
  <c r="J432" i="42" a="1"/>
  <c r="J432" i="42" s="1"/>
  <c r="J423" i="42" a="1"/>
  <c r="J423" i="42" s="1"/>
  <c r="J424" i="42" a="1"/>
  <c r="J424" i="42" s="1"/>
  <c r="J443" i="42" a="1"/>
  <c r="J443" i="42" s="1"/>
  <c r="J419" i="42" a="1"/>
  <c r="J419" i="42" s="1"/>
  <c r="J436" i="42" a="1"/>
  <c r="J436" i="42" s="1"/>
  <c r="J431" i="42" a="1"/>
  <c r="J431" i="42" s="1"/>
  <c r="J371" i="42" a="1"/>
  <c r="J371" i="42" s="1"/>
  <c r="J463" i="42" s="1"/>
  <c r="J383" i="42" a="1"/>
  <c r="J383" i="42" s="1"/>
  <c r="J399" i="42" a="1"/>
  <c r="J399" i="42" s="1"/>
  <c r="J387" i="42" a="1"/>
  <c r="J387" i="42" s="1"/>
  <c r="J395" i="42" a="1"/>
  <c r="J395" i="42" s="1"/>
  <c r="J407" i="42" a="1"/>
  <c r="J407" i="42" s="1"/>
  <c r="J403" i="42" a="1"/>
  <c r="J403" i="42" s="1"/>
  <c r="J339" i="42" a="1"/>
  <c r="J339" i="42" s="1"/>
  <c r="J363" i="42" a="1"/>
  <c r="J363" i="42" s="1"/>
  <c r="J459" i="42" s="1"/>
  <c r="J351" i="42" a="1"/>
  <c r="J351" i="42" s="1"/>
  <c r="J375" i="42" a="1"/>
  <c r="J375" i="42" s="1"/>
  <c r="J367" i="42" a="1"/>
  <c r="J367" i="42" s="1"/>
  <c r="J379" i="42" a="1"/>
  <c r="J379" i="42" s="1"/>
  <c r="J359" i="42" a="1"/>
  <c r="J359" i="42" s="1"/>
  <c r="J391" i="42" a="1"/>
  <c r="J391" i="42" s="1"/>
  <c r="J467" i="42" s="1"/>
  <c r="J295" i="42" a="1"/>
  <c r="J295" i="42" s="1"/>
  <c r="J355" i="42" a="1"/>
  <c r="J355" i="42" s="1"/>
  <c r="J347" i="42" a="1"/>
  <c r="J347" i="42" s="1"/>
  <c r="J455" i="42" s="1"/>
  <c r="J331" i="42" a="1"/>
  <c r="J331" i="42" s="1"/>
  <c r="J303" i="42" a="1"/>
  <c r="J303" i="42" s="1"/>
  <c r="J315" i="42" a="1"/>
  <c r="J315" i="42" s="1"/>
  <c r="J323" i="42" a="1"/>
  <c r="J323" i="42" s="1"/>
  <c r="J335" i="42" a="1"/>
  <c r="J335" i="42" s="1"/>
  <c r="J291" i="42" a="1"/>
  <c r="J291" i="42" s="1"/>
  <c r="J276" i="42" a="1"/>
  <c r="J276" i="42" s="1"/>
  <c r="J259" i="42" a="1"/>
  <c r="J259" i="42" s="1"/>
  <c r="J299" i="42" a="1"/>
  <c r="J299" i="42" s="1"/>
  <c r="J267" i="42" a="1"/>
  <c r="J267" i="42" s="1"/>
  <c r="J256" i="42" a="1"/>
  <c r="J256" i="42" s="1"/>
  <c r="J275" i="42" a="1"/>
  <c r="J275" i="42" s="1"/>
  <c r="J287" i="42" a="1"/>
  <c r="J287" i="42" s="1"/>
  <c r="J272" i="42" a="1"/>
  <c r="J272" i="42" s="1"/>
  <c r="J319" i="42" a="1"/>
  <c r="J319" i="42" s="1"/>
  <c r="J307" i="42" a="1"/>
  <c r="J307" i="42" s="1"/>
  <c r="J204" i="42" a="1"/>
  <c r="J204" i="42" s="1"/>
  <c r="J263" i="42" a="1"/>
  <c r="J263" i="42" s="1"/>
  <c r="J231" i="42" a="1"/>
  <c r="J231" i="42" s="1"/>
  <c r="J216" i="42" a="1"/>
  <c r="J216" i="42" s="1"/>
  <c r="J247" i="42" a="1"/>
  <c r="J247" i="42" s="1"/>
  <c r="J239" i="42" a="1"/>
  <c r="J239" i="42" s="1"/>
  <c r="J283" i="42" a="1"/>
  <c r="J283" i="42" s="1"/>
  <c r="J255" i="42" a="1"/>
  <c r="J255" i="42" s="1"/>
  <c r="J215" i="42" a="1"/>
  <c r="J215" i="42" s="1"/>
  <c r="J271" i="42" a="1"/>
  <c r="J271" i="42" s="1"/>
  <c r="J227" i="42" a="1"/>
  <c r="J227" i="42" s="1"/>
  <c r="J243" i="42" a="1"/>
  <c r="J243" i="42" s="1"/>
  <c r="J235" i="42" a="1"/>
  <c r="J235" i="42" s="1"/>
  <c r="Z439" i="42" a="1"/>
  <c r="Z439" i="42" s="1"/>
  <c r="Z435" i="42" a="1"/>
  <c r="Z435" i="42" s="1"/>
  <c r="Z447" i="42" a="1"/>
  <c r="Z447" i="42" s="1"/>
  <c r="Z431" i="42" a="1"/>
  <c r="Z431" i="42" s="1"/>
  <c r="Z415" i="42" a="1"/>
  <c r="Z415" i="42" s="1"/>
  <c r="Z427" i="42" a="1"/>
  <c r="Z427" i="42" s="1"/>
  <c r="Z423" i="42" a="1"/>
  <c r="Z423" i="42" s="1"/>
  <c r="Z443" i="42" a="1"/>
  <c r="Z443" i="42" s="1"/>
  <c r="Z419" i="42" a="1"/>
  <c r="Z419" i="42" s="1"/>
  <c r="Z371" i="42" a="1"/>
  <c r="Z371" i="42" s="1"/>
  <c r="Z463" i="42" s="1"/>
  <c r="Z395" i="42" a="1"/>
  <c r="Z395" i="42" s="1"/>
  <c r="Z399" i="42" a="1"/>
  <c r="Z399" i="42" s="1"/>
  <c r="Z383" i="42" a="1"/>
  <c r="Z383" i="42" s="1"/>
  <c r="Z387" i="42" a="1"/>
  <c r="Z387" i="42" s="1"/>
  <c r="Z375" i="42" a="1"/>
  <c r="Z375" i="42" s="1"/>
  <c r="Z339" i="42" a="1"/>
  <c r="Z339" i="42" s="1"/>
  <c r="Z407" i="42" a="1"/>
  <c r="Z407" i="42" s="1"/>
  <c r="Z351" i="42" a="1"/>
  <c r="Z351" i="42" s="1"/>
  <c r="Z403" i="42" a="1"/>
  <c r="Z403" i="42" s="1"/>
  <c r="Z391" i="42" a="1"/>
  <c r="Z391" i="42" s="1"/>
  <c r="Z467" i="42" s="1"/>
  <c r="Z379" i="42" a="1"/>
  <c r="Z379" i="42" s="1"/>
  <c r="Z363" i="42" a="1"/>
  <c r="Z363" i="42" s="1"/>
  <c r="Z459" i="42" s="1"/>
  <c r="Z367" i="42" a="1"/>
  <c r="Z367" i="42" s="1"/>
  <c r="Z304" i="42" a="1"/>
  <c r="Z304" i="42" s="1"/>
  <c r="Z359" i="42" a="1"/>
  <c r="Z359" i="42" s="1"/>
  <c r="Z295" i="42" a="1"/>
  <c r="Z295" i="42" s="1"/>
  <c r="Z347" i="42" a="1"/>
  <c r="Z347" i="42" s="1"/>
  <c r="Z455" i="42" s="1"/>
  <c r="Z335" i="42" a="1"/>
  <c r="Z335" i="42" s="1"/>
  <c r="Z303" i="42" a="1"/>
  <c r="Z303" i="42" s="1"/>
  <c r="Z315" i="42" a="1"/>
  <c r="Z315" i="42" s="1"/>
  <c r="Z331" i="42" a="1"/>
  <c r="Z331" i="42" s="1"/>
  <c r="Z323" i="42" a="1"/>
  <c r="Z323" i="42" s="1"/>
  <c r="Z308" i="42" a="1"/>
  <c r="Z308" i="42" s="1"/>
  <c r="Z291" i="42" a="1"/>
  <c r="Z291" i="42" s="1"/>
  <c r="Z355" i="42" a="1"/>
  <c r="Z355" i="42" s="1"/>
  <c r="Z276" i="42" a="1"/>
  <c r="Z276" i="42" s="1"/>
  <c r="Z259" i="42" a="1"/>
  <c r="Z259" i="42" s="1"/>
  <c r="Z244" i="42" a="1"/>
  <c r="Z244" i="42" s="1"/>
  <c r="Z307" i="42" a="1"/>
  <c r="Z307" i="42" s="1"/>
  <c r="Z267" i="42" a="1"/>
  <c r="Z267" i="42" s="1"/>
  <c r="Z299" i="42" a="1"/>
  <c r="Z299" i="42" s="1"/>
  <c r="Z275" i="42" a="1"/>
  <c r="Z275" i="42" s="1"/>
  <c r="Z264" i="42" a="1"/>
  <c r="Z264" i="42" s="1"/>
  <c r="Z287" i="42" a="1"/>
  <c r="Z287" i="42" s="1"/>
  <c r="Z272" i="42" a="1"/>
  <c r="Z272" i="42" s="1"/>
  <c r="Z255" i="42" a="1"/>
  <c r="Z255" i="42" s="1"/>
  <c r="Z319" i="42" a="1"/>
  <c r="Z319" i="42" s="1"/>
  <c r="Z271" i="42" a="1"/>
  <c r="Z271" i="42" s="1"/>
  <c r="Z268" i="42" a="1"/>
  <c r="Z268" i="42" s="1"/>
  <c r="Z204" i="42" a="1"/>
  <c r="Z204" i="42" s="1"/>
  <c r="Z231" i="42" a="1"/>
  <c r="Z231" i="42" s="1"/>
  <c r="Z243" i="42" a="1"/>
  <c r="Z243" i="42" s="1"/>
  <c r="Z216" i="42" a="1"/>
  <c r="Z216" i="42" s="1"/>
  <c r="Z239" i="42" a="1"/>
  <c r="Z239" i="42" s="1"/>
  <c r="Z263" i="42" a="1"/>
  <c r="Z263" i="42" s="1"/>
  <c r="Z215" i="42" a="1"/>
  <c r="Z215" i="42" s="1"/>
  <c r="Z227" i="42" a="1"/>
  <c r="Z227" i="42" s="1"/>
  <c r="Z260" i="42" a="1"/>
  <c r="Z260" i="42" s="1"/>
  <c r="Z235" i="42" a="1"/>
  <c r="Z235" i="42" s="1"/>
  <c r="Z247" i="42" a="1"/>
  <c r="Z247" i="42" s="1"/>
  <c r="Z248" i="42" a="1"/>
  <c r="Z248" i="42" s="1"/>
  <c r="Z283" i="42" a="1"/>
  <c r="Z283" i="42" s="1"/>
  <c r="AT447" i="42" a="1"/>
  <c r="AT447" i="42" s="1"/>
  <c r="AT443" i="42" a="1"/>
  <c r="AT443" i="42" s="1"/>
  <c r="AT399" i="42" a="1"/>
  <c r="AT399" i="42" s="1"/>
  <c r="AT415" i="42" a="1"/>
  <c r="AT415" i="42" s="1"/>
  <c r="AT431" i="42" a="1"/>
  <c r="AT431" i="42" s="1"/>
  <c r="AT427" i="42" a="1"/>
  <c r="AT427" i="42" s="1"/>
  <c r="AT403" i="42" a="1"/>
  <c r="AT403" i="42" s="1"/>
  <c r="AT439" i="42" a="1"/>
  <c r="AT439" i="42" s="1"/>
  <c r="AT423" i="42" a="1"/>
  <c r="AT423" i="42" s="1"/>
  <c r="AT435" i="42" a="1"/>
  <c r="AT435" i="42" s="1"/>
  <c r="AT419" i="42" a="1"/>
  <c r="AT419" i="42" s="1"/>
  <c r="AT383" i="42" a="1"/>
  <c r="AT383" i="42" s="1"/>
  <c r="AT363" i="42" a="1"/>
  <c r="AT363" i="42" s="1"/>
  <c r="AT459" i="42" s="1"/>
  <c r="AT407" i="42" a="1"/>
  <c r="AT407" i="42" s="1"/>
  <c r="AT375" i="42" a="1"/>
  <c r="AT375" i="42" s="1"/>
  <c r="AT387" i="42" a="1"/>
  <c r="AT387" i="42" s="1"/>
  <c r="AT395" i="42" a="1"/>
  <c r="AT395" i="42" s="1"/>
  <c r="AT391" i="42" a="1"/>
  <c r="AT391" i="42" s="1"/>
  <c r="AT467" i="42" s="1"/>
  <c r="AT371" i="42" a="1"/>
  <c r="AT371" i="42" s="1"/>
  <c r="AT463" i="42" s="1"/>
  <c r="AT359" i="42" a="1"/>
  <c r="AT359" i="42" s="1"/>
  <c r="AT339" i="42" a="1"/>
  <c r="AT339" i="42" s="1"/>
  <c r="AT351" i="42" a="1"/>
  <c r="AT351" i="42" s="1"/>
  <c r="AT367" i="42" a="1"/>
  <c r="AT367" i="42" s="1"/>
  <c r="AT355" i="42" a="1"/>
  <c r="AT355" i="42" s="1"/>
  <c r="AT379" i="42" a="1"/>
  <c r="AT379" i="42" s="1"/>
  <c r="AT295" i="42" a="1"/>
  <c r="AT295" i="42" s="1"/>
  <c r="AT347" i="42" a="1"/>
  <c r="AT347" i="42" s="1"/>
  <c r="AT455" i="42" s="1"/>
  <c r="AT303" i="42" a="1"/>
  <c r="AT303" i="42" s="1"/>
  <c r="AT315" i="42" a="1"/>
  <c r="AT315" i="42" s="1"/>
  <c r="AT323" i="42" a="1"/>
  <c r="AT323" i="42" s="1"/>
  <c r="AT331" i="42" a="1"/>
  <c r="AT331" i="42" s="1"/>
  <c r="AT307" i="42" a="1"/>
  <c r="AT307" i="42" s="1"/>
  <c r="AT335" i="42" a="1"/>
  <c r="AT335" i="42" s="1"/>
  <c r="AT319" i="42" a="1"/>
  <c r="AT319" i="42" s="1"/>
  <c r="AT259" i="42" a="1"/>
  <c r="AT259" i="42" s="1"/>
  <c r="AT267" i="42" a="1"/>
  <c r="AT267" i="42" s="1"/>
  <c r="AT275" i="42" a="1"/>
  <c r="AT275" i="42" s="1"/>
  <c r="AT299" i="42" a="1"/>
  <c r="AT299" i="42" s="1"/>
  <c r="AT287" i="42" a="1"/>
  <c r="AT287" i="42" s="1"/>
  <c r="AT255" i="42" a="1"/>
  <c r="AT255" i="42" s="1"/>
  <c r="AT263" i="42" a="1"/>
  <c r="AT263" i="42" s="1"/>
  <c r="AT271" i="42" a="1"/>
  <c r="AT271" i="42" s="1"/>
  <c r="AT291" i="42" a="1"/>
  <c r="AT291" i="42" s="1"/>
  <c r="AT283" i="42" a="1"/>
  <c r="AT283" i="42" s="1"/>
  <c r="AT231" i="42" a="1"/>
  <c r="AT231" i="42" s="1"/>
  <c r="AT247" i="42" a="1"/>
  <c r="AT247" i="42" s="1"/>
  <c r="AT216" i="42" a="1"/>
  <c r="AT216" i="42" s="1"/>
  <c r="AT239" i="42" a="1"/>
  <c r="AT239" i="42" s="1"/>
  <c r="AT203" i="42" a="1"/>
  <c r="AT203" i="42" s="1"/>
  <c r="AT215" i="42" a="1"/>
  <c r="AT215" i="42" s="1"/>
  <c r="AT227" i="42" a="1"/>
  <c r="AT227" i="42" s="1"/>
  <c r="AT243" i="42" a="1"/>
  <c r="AT243" i="42" s="1"/>
  <c r="AT235" i="42" a="1"/>
  <c r="AT235" i="42" s="1"/>
  <c r="J188" i="42" a="1"/>
  <c r="J188" i="42" s="1"/>
  <c r="M195" i="42" a="1"/>
  <c r="M195" i="42" s="1"/>
  <c r="AC195" i="42" a="1"/>
  <c r="AC195" i="42" s="1"/>
  <c r="AV207" i="42" a="1"/>
  <c r="AV207" i="42" s="1"/>
  <c r="AX216" i="42" a="1"/>
  <c r="AX216" i="42" s="1"/>
  <c r="S223" i="42" a="1"/>
  <c r="S223" i="42" s="1"/>
  <c r="AE227" i="42" a="1"/>
  <c r="AE227" i="42" s="1"/>
  <c r="O192" i="42" a="1"/>
  <c r="O192" i="42" s="1"/>
  <c r="AW195" i="42" a="1"/>
  <c r="AW195" i="42" s="1"/>
  <c r="J199" i="42" a="1"/>
  <c r="J199" i="42" s="1"/>
  <c r="R199" i="42" a="1"/>
  <c r="R199" i="42" s="1"/>
  <c r="Z199" i="42" a="1"/>
  <c r="Z199" i="42" s="1"/>
  <c r="P200" i="42" a="1"/>
  <c r="P200" i="42" s="1"/>
  <c r="AF200" i="42" a="1"/>
  <c r="AF200" i="42" s="1"/>
  <c r="J203" i="42" a="1"/>
  <c r="J203" i="42" s="1"/>
  <c r="AF203" i="42" a="1"/>
  <c r="AF203" i="42" s="1"/>
  <c r="AF204" i="42" a="1"/>
  <c r="AF204" i="42" s="1"/>
  <c r="T207" i="42" a="1"/>
  <c r="T207" i="42" s="1"/>
  <c r="O215" i="42" a="1"/>
  <c r="O215" i="42" s="1"/>
  <c r="AD215" i="42" a="1"/>
  <c r="AD215" i="42" s="1"/>
  <c r="T231" i="42" a="1"/>
  <c r="T231" i="42" s="1"/>
  <c r="O236" i="42" a="1"/>
  <c r="O236" i="42" s="1"/>
  <c r="M239" i="42" a="1"/>
  <c r="M239" i="42" s="1"/>
  <c r="L447" i="42" a="1"/>
  <c r="L447" i="42" s="1"/>
  <c r="L448" i="42" a="1"/>
  <c r="L448" i="42" s="1"/>
  <c r="L427" i="42" a="1"/>
  <c r="L427" i="42" s="1"/>
  <c r="L435" i="42" a="1"/>
  <c r="L435" i="42" s="1"/>
  <c r="L403" i="42" a="1"/>
  <c r="L403" i="42" s="1"/>
  <c r="L423" i="42" a="1"/>
  <c r="L423" i="42" s="1"/>
  <c r="L444" i="42" a="1"/>
  <c r="L444" i="42" s="1"/>
  <c r="L443" i="42" a="1"/>
  <c r="L443" i="42" s="1"/>
  <c r="L407" i="42" a="1"/>
  <c r="L407" i="42" s="1"/>
  <c r="L419" i="42" a="1"/>
  <c r="L419" i="42" s="1"/>
  <c r="L431" i="42" a="1"/>
  <c r="L431" i="42" s="1"/>
  <c r="L440" i="42" a="1"/>
  <c r="L440" i="42" s="1"/>
  <c r="L439" i="42" a="1"/>
  <c r="L439" i="42" s="1"/>
  <c r="L436" i="42" a="1"/>
  <c r="L436" i="42" s="1"/>
  <c r="L415" i="42" a="1"/>
  <c r="L415" i="42" s="1"/>
  <c r="L363" i="42" a="1"/>
  <c r="L363" i="42" s="1"/>
  <c r="L459" i="42" s="1"/>
  <c r="L375" i="42" a="1"/>
  <c r="L375" i="42" s="1"/>
  <c r="L387" i="42" a="1"/>
  <c r="L387" i="42" s="1"/>
  <c r="L399" i="42" a="1"/>
  <c r="L399" i="42" s="1"/>
  <c r="L395" i="42" a="1"/>
  <c r="L395" i="42" s="1"/>
  <c r="L379" i="42" a="1"/>
  <c r="L379" i="42" s="1"/>
  <c r="L391" i="42" a="1"/>
  <c r="L391" i="42" s="1"/>
  <c r="L467" i="42" s="1"/>
  <c r="L351" i="42" a="1"/>
  <c r="L351" i="42" s="1"/>
  <c r="L367" i="42" a="1"/>
  <c r="L367" i="42" s="1"/>
  <c r="L335" i="42" a="1"/>
  <c r="L335" i="42" s="1"/>
  <c r="L359" i="42" a="1"/>
  <c r="L359" i="42" s="1"/>
  <c r="L371" i="42" a="1"/>
  <c r="L371" i="42" s="1"/>
  <c r="L463" i="42" s="1"/>
  <c r="L355" i="42" a="1"/>
  <c r="L355" i="42" s="1"/>
  <c r="L347" i="42" a="1"/>
  <c r="L347" i="42" s="1"/>
  <c r="L455" i="42" s="1"/>
  <c r="L331" i="42" a="1"/>
  <c r="L331" i="42" s="1"/>
  <c r="L303" i="42" a="1"/>
  <c r="L303" i="42" s="1"/>
  <c r="L315" i="42" a="1"/>
  <c r="L315" i="42" s="1"/>
  <c r="L323" i="42" a="1"/>
  <c r="L323" i="42" s="1"/>
  <c r="L383" i="42" a="1"/>
  <c r="L383" i="42" s="1"/>
  <c r="L339" i="42" a="1"/>
  <c r="L339" i="42" s="1"/>
  <c r="L299" i="42" a="1"/>
  <c r="L299" i="42" s="1"/>
  <c r="L307" i="42" a="1"/>
  <c r="L307" i="42" s="1"/>
  <c r="L319" i="42" a="1"/>
  <c r="L319" i="42" s="1"/>
  <c r="L256" i="42" a="1"/>
  <c r="L256" i="42" s="1"/>
  <c r="L275" i="42" a="1"/>
  <c r="L275" i="42" s="1"/>
  <c r="L264" i="42" a="1"/>
  <c r="L264" i="42" s="1"/>
  <c r="L243" i="42" a="1"/>
  <c r="L243" i="42" s="1"/>
  <c r="L287" i="42" a="1"/>
  <c r="L287" i="42" s="1"/>
  <c r="L272" i="42" a="1"/>
  <c r="L272" i="42" s="1"/>
  <c r="L263" i="42" a="1"/>
  <c r="L263" i="42" s="1"/>
  <c r="L271" i="42" a="1"/>
  <c r="L271" i="42" s="1"/>
  <c r="L283" i="42" a="1"/>
  <c r="L283" i="42" s="1"/>
  <c r="L291" i="42" a="1"/>
  <c r="L291" i="42" s="1"/>
  <c r="L295" i="42" a="1"/>
  <c r="L295" i="42" s="1"/>
  <c r="L203" i="42" a="1"/>
  <c r="L203" i="42" s="1"/>
  <c r="L215" i="42" a="1"/>
  <c r="L215" i="42" s="1"/>
  <c r="L255" i="42" a="1"/>
  <c r="L255" i="42" s="1"/>
  <c r="L227" i="42" a="1"/>
  <c r="L227" i="42" s="1"/>
  <c r="L259" i="42" a="1"/>
  <c r="L259" i="42" s="1"/>
  <c r="L235" i="42" a="1"/>
  <c r="L235" i="42" s="1"/>
  <c r="L276" i="42" a="1"/>
  <c r="L276" i="42" s="1"/>
  <c r="L267" i="42" a="1"/>
  <c r="L267" i="42" s="1"/>
  <c r="L247" i="42" a="1"/>
  <c r="L247" i="42" s="1"/>
  <c r="L239" i="42" a="1"/>
  <c r="L239" i="42" s="1"/>
  <c r="AB447" i="42" a="1"/>
  <c r="AB447" i="42" s="1"/>
  <c r="AB427" i="42" a="1"/>
  <c r="AB427" i="42" s="1"/>
  <c r="AB403" i="42" a="1"/>
  <c r="AB403" i="42" s="1"/>
  <c r="AB435" i="42" a="1"/>
  <c r="AB435" i="42" s="1"/>
  <c r="AB423" i="42" a="1"/>
  <c r="AB423" i="42" s="1"/>
  <c r="AB439" i="42" a="1"/>
  <c r="AB439" i="42" s="1"/>
  <c r="AB407" i="42" a="1"/>
  <c r="AB407" i="42" s="1"/>
  <c r="AB419" i="42" a="1"/>
  <c r="AB419" i="42" s="1"/>
  <c r="AB443" i="42" a="1"/>
  <c r="AB443" i="42" s="1"/>
  <c r="AB431" i="42" a="1"/>
  <c r="AB431" i="42" s="1"/>
  <c r="AB415" i="42" a="1"/>
  <c r="AB415" i="42" s="1"/>
  <c r="AB363" i="42" a="1"/>
  <c r="AB363" i="42" s="1"/>
  <c r="AB459" i="42" s="1"/>
  <c r="AB375" i="42" a="1"/>
  <c r="AB375" i="42" s="1"/>
  <c r="AB387" i="42" a="1"/>
  <c r="AB387" i="42" s="1"/>
  <c r="AB379" i="42" a="1"/>
  <c r="AB379" i="42" s="1"/>
  <c r="AB391" i="42" a="1"/>
  <c r="AB391" i="42" s="1"/>
  <c r="AB467" i="42" s="1"/>
  <c r="AB351" i="42" a="1"/>
  <c r="AB351" i="42" s="1"/>
  <c r="AB399" i="42" a="1"/>
  <c r="AB399" i="42" s="1"/>
  <c r="AB395" i="42" a="1"/>
  <c r="AB395" i="42" s="1"/>
  <c r="AB371" i="42" a="1"/>
  <c r="AB371" i="42" s="1"/>
  <c r="AB463" i="42" s="1"/>
  <c r="AB335" i="42" a="1"/>
  <c r="AB335" i="42" s="1"/>
  <c r="AB355" i="42" a="1"/>
  <c r="AB355" i="42" s="1"/>
  <c r="AB359" i="42" a="1"/>
  <c r="AB359" i="42" s="1"/>
  <c r="AB367" i="42" a="1"/>
  <c r="AB367" i="42" s="1"/>
  <c r="AB383" i="42" a="1"/>
  <c r="AB383" i="42" s="1"/>
  <c r="AB347" i="42" a="1"/>
  <c r="AB347" i="42" s="1"/>
  <c r="AB455" i="42" s="1"/>
  <c r="AB303" i="42" a="1"/>
  <c r="AB303" i="42" s="1"/>
  <c r="AB315" i="42" a="1"/>
  <c r="AB315" i="42" s="1"/>
  <c r="AB331" i="42" a="1"/>
  <c r="AB331" i="42" s="1"/>
  <c r="AB323" i="42" a="1"/>
  <c r="AB323" i="42" s="1"/>
  <c r="AB339" i="42" a="1"/>
  <c r="AB339" i="42" s="1"/>
  <c r="AB308" i="42" a="1"/>
  <c r="AB308" i="42" s="1"/>
  <c r="AB299" i="42" a="1"/>
  <c r="AB299" i="42" s="1"/>
  <c r="AB307" i="42" a="1"/>
  <c r="AB307" i="42" s="1"/>
  <c r="AB319" i="42" a="1"/>
  <c r="AB319" i="42" s="1"/>
  <c r="AB304" i="42" a="1"/>
  <c r="AB304" i="42" s="1"/>
  <c r="AB275" i="42" a="1"/>
  <c r="AB275" i="42" s="1"/>
  <c r="AB291" i="42" a="1"/>
  <c r="AB291" i="42" s="1"/>
  <c r="AB264" i="42" a="1"/>
  <c r="AB264" i="42" s="1"/>
  <c r="AB243" i="42" a="1"/>
  <c r="AB243" i="42" s="1"/>
  <c r="AB287" i="42" a="1"/>
  <c r="AB287" i="42" s="1"/>
  <c r="AB272" i="42" a="1"/>
  <c r="AB272" i="42" s="1"/>
  <c r="AB255" i="42" a="1"/>
  <c r="AB255" i="42" s="1"/>
  <c r="AB263" i="42" a="1"/>
  <c r="AB263" i="42" s="1"/>
  <c r="AB248" i="42" a="1"/>
  <c r="AB248" i="42" s="1"/>
  <c r="AB271" i="42" a="1"/>
  <c r="AB271" i="42" s="1"/>
  <c r="AB260" i="42" a="1"/>
  <c r="AB260" i="42" s="1"/>
  <c r="AB283" i="42" a="1"/>
  <c r="AB283" i="42" s="1"/>
  <c r="AB268" i="42" a="1"/>
  <c r="AB268" i="42" s="1"/>
  <c r="AB295" i="42" a="1"/>
  <c r="AB295" i="42" s="1"/>
  <c r="AB203" i="42" a="1"/>
  <c r="AB203" i="42" s="1"/>
  <c r="AB276" i="42" a="1"/>
  <c r="AB276" i="42" s="1"/>
  <c r="AB244" i="42" a="1"/>
  <c r="AB244" i="42" s="1"/>
  <c r="AB215" i="42" a="1"/>
  <c r="AB215" i="42" s="1"/>
  <c r="AB227" i="42" a="1"/>
  <c r="AB227" i="42" s="1"/>
  <c r="AB208" i="42" a="1"/>
  <c r="AB208" i="42" s="1"/>
  <c r="AB267" i="42" a="1"/>
  <c r="AB267" i="42" s="1"/>
  <c r="AB235" i="42" a="1"/>
  <c r="AB235" i="42" s="1"/>
  <c r="AB247" i="42" a="1"/>
  <c r="AB247" i="42" s="1"/>
  <c r="AB259" i="42" a="1"/>
  <c r="AB259" i="42" s="1"/>
  <c r="AB223" i="42" a="1"/>
  <c r="AB223" i="42" s="1"/>
  <c r="AB239" i="42" a="1"/>
  <c r="AB239" i="42" s="1"/>
  <c r="AV435" i="42" a="1"/>
  <c r="AV435" i="42" s="1"/>
  <c r="AV447" i="42" a="1"/>
  <c r="AV447" i="42" s="1"/>
  <c r="AV443" i="42" a="1"/>
  <c r="AV443" i="42" s="1"/>
  <c r="AV439" i="42" a="1"/>
  <c r="AV439" i="42" s="1"/>
  <c r="AV415" i="42" a="1"/>
  <c r="AV415" i="42" s="1"/>
  <c r="AV431" i="42" a="1"/>
  <c r="AV431" i="42" s="1"/>
  <c r="AV427" i="42" a="1"/>
  <c r="AV427" i="42" s="1"/>
  <c r="AV403" i="42" a="1"/>
  <c r="AV403" i="42" s="1"/>
  <c r="AV423" i="42" a="1"/>
  <c r="AV423" i="42" s="1"/>
  <c r="AV407" i="42" a="1"/>
  <c r="AV407" i="42" s="1"/>
  <c r="AV419" i="42" a="1"/>
  <c r="AV419" i="42" s="1"/>
  <c r="AV375" i="42" a="1"/>
  <c r="AV375" i="42" s="1"/>
  <c r="AV387" i="42" a="1"/>
  <c r="AV387" i="42" s="1"/>
  <c r="AV395" i="42" a="1"/>
  <c r="AV395" i="42" s="1"/>
  <c r="AV399" i="42" a="1"/>
  <c r="AV399" i="42" s="1"/>
  <c r="AV379" i="42" a="1"/>
  <c r="AV379" i="42" s="1"/>
  <c r="AV391" i="42" a="1"/>
  <c r="AV391" i="42" s="1"/>
  <c r="AV467" i="42" s="1"/>
  <c r="AV363" i="42" a="1"/>
  <c r="AV363" i="42" s="1"/>
  <c r="AV459" i="42" s="1"/>
  <c r="AV335" i="42" a="1"/>
  <c r="AV335" i="42" s="1"/>
  <c r="AV367" i="42" a="1"/>
  <c r="AV367" i="42" s="1"/>
  <c r="AV355" i="42" a="1"/>
  <c r="AV355" i="42" s="1"/>
  <c r="AV371" i="42" a="1"/>
  <c r="AV371" i="42" s="1"/>
  <c r="AV463" i="42" s="1"/>
  <c r="AV359" i="42" a="1"/>
  <c r="AV359" i="42" s="1"/>
  <c r="AV383" i="42" a="1"/>
  <c r="AV383" i="42" s="1"/>
  <c r="AV339" i="42" a="1"/>
  <c r="AV339" i="42" s="1"/>
  <c r="AV315" i="42" a="1"/>
  <c r="AV315" i="42" s="1"/>
  <c r="AV323" i="42" a="1"/>
  <c r="AV323" i="42" s="1"/>
  <c r="AV299" i="42" a="1"/>
  <c r="AV299" i="42" s="1"/>
  <c r="AV351" i="42" a="1"/>
  <c r="AV351" i="42" s="1"/>
  <c r="AV331" i="42" a="1"/>
  <c r="AV331" i="42" s="1"/>
  <c r="AV319" i="42" a="1"/>
  <c r="AV319" i="42" s="1"/>
  <c r="AV347" i="42" a="1"/>
  <c r="AV347" i="42" s="1"/>
  <c r="AV455" i="42" s="1"/>
  <c r="AV275" i="42" a="1"/>
  <c r="AV275" i="42" s="1"/>
  <c r="AV243" i="42" a="1"/>
  <c r="AV243" i="42" s="1"/>
  <c r="AV287" i="42" a="1"/>
  <c r="AV287" i="42" s="1"/>
  <c r="AV255" i="42" a="1"/>
  <c r="AV255" i="42" s="1"/>
  <c r="AV263" i="42" a="1"/>
  <c r="AV263" i="42" s="1"/>
  <c r="AV271" i="42" a="1"/>
  <c r="AV271" i="42" s="1"/>
  <c r="AV307" i="42" a="1"/>
  <c r="AV307" i="42" s="1"/>
  <c r="AV291" i="42" a="1"/>
  <c r="AV291" i="42" s="1"/>
  <c r="AV283" i="42" a="1"/>
  <c r="AV283" i="42" s="1"/>
  <c r="AV303" i="42" a="1"/>
  <c r="AV303" i="42" s="1"/>
  <c r="AV295" i="42" a="1"/>
  <c r="AV295" i="42" s="1"/>
  <c r="AV215" i="42" a="1"/>
  <c r="AV215" i="42" s="1"/>
  <c r="AV227" i="42" a="1"/>
  <c r="AV227" i="42" s="1"/>
  <c r="AV235" i="42" a="1"/>
  <c r="AV235" i="42" s="1"/>
  <c r="AV223" i="42" a="1"/>
  <c r="AV223" i="42" s="1"/>
  <c r="AV259" i="42" a="1"/>
  <c r="AV259" i="42" s="1"/>
  <c r="AV267" i="42" a="1"/>
  <c r="AV267" i="42" s="1"/>
  <c r="AV239" i="42" a="1"/>
  <c r="AV239" i="42" s="1"/>
  <c r="AL199" i="42" a="1"/>
  <c r="AL199" i="42" s="1"/>
  <c r="AT199" i="42" a="1"/>
  <c r="AT199" i="42" s="1"/>
  <c r="AV203" i="42" a="1"/>
  <c r="AV203" i="42" s="1"/>
  <c r="AL207" i="42" a="1"/>
  <c r="AL207" i="42" s="1"/>
  <c r="AW207" i="42" a="1"/>
  <c r="AW207" i="42" s="1"/>
  <c r="Q208" i="42" a="1"/>
  <c r="Q208" i="42" s="1"/>
  <c r="AE208" i="42" a="1"/>
  <c r="AE208" i="42" s="1"/>
  <c r="AM216" i="42" a="1"/>
  <c r="AM216" i="42" s="1"/>
  <c r="U223" i="42" a="1"/>
  <c r="U223" i="42" s="1"/>
  <c r="AF227" i="42" a="1"/>
  <c r="AF227" i="42" s="1"/>
  <c r="U239" i="42" a="1"/>
  <c r="U239" i="42" s="1"/>
  <c r="M447" i="42" a="1"/>
  <c r="M447" i="42" s="1"/>
  <c r="M448" i="42" a="1"/>
  <c r="M448" i="42" s="1"/>
  <c r="M443" i="42" a="1"/>
  <c r="M443" i="42" s="1"/>
  <c r="M404" i="42" a="1"/>
  <c r="M404" i="42" s="1"/>
  <c r="M403" i="42" a="1"/>
  <c r="M403" i="42" s="1"/>
  <c r="M423" i="42" a="1"/>
  <c r="M423" i="42" s="1"/>
  <c r="M444" i="42" a="1"/>
  <c r="M444" i="42" s="1"/>
  <c r="M424" i="42" a="1"/>
  <c r="M424" i="42" s="1"/>
  <c r="M408" i="42" a="1"/>
  <c r="M408" i="42" s="1"/>
  <c r="M419" i="42" a="1"/>
  <c r="M419" i="42" s="1"/>
  <c r="M431" i="42" a="1"/>
  <c r="M431" i="42" s="1"/>
  <c r="M439" i="42" a="1"/>
  <c r="M439" i="42" s="1"/>
  <c r="M440" i="42" a="1"/>
  <c r="M440" i="42" s="1"/>
  <c r="M436" i="42" a="1"/>
  <c r="M436" i="42" s="1"/>
  <c r="M427" i="42" a="1"/>
  <c r="M427" i="42" s="1"/>
  <c r="M435" i="42" a="1"/>
  <c r="M435" i="42" s="1"/>
  <c r="M416" i="42" a="1"/>
  <c r="M416" i="42" s="1"/>
  <c r="M375" i="42" a="1"/>
  <c r="M375" i="42" s="1"/>
  <c r="M387" i="42" a="1"/>
  <c r="M387" i="42" s="1"/>
  <c r="M399" i="42" a="1"/>
  <c r="M399" i="42" s="1"/>
  <c r="M395" i="42" a="1"/>
  <c r="M395" i="42" s="1"/>
  <c r="M396" i="42" a="1"/>
  <c r="M396" i="42" s="1"/>
  <c r="M407" i="42" a="1"/>
  <c r="M407" i="42" s="1"/>
  <c r="M391" i="42" a="1"/>
  <c r="M391" i="42" s="1"/>
  <c r="M467" i="42" s="1"/>
  <c r="M415" i="42" a="1"/>
  <c r="M415" i="42" s="1"/>
  <c r="M400" i="42" a="1"/>
  <c r="M400" i="42" s="1"/>
  <c r="M367" i="42" a="1"/>
  <c r="M367" i="42" s="1"/>
  <c r="M363" i="42" a="1"/>
  <c r="M363" i="42" s="1"/>
  <c r="M459" i="42" s="1"/>
  <c r="M335" i="42" a="1"/>
  <c r="M335" i="42" s="1"/>
  <c r="M359" i="42" a="1"/>
  <c r="M359" i="42" s="1"/>
  <c r="M371" i="42" a="1"/>
  <c r="M371" i="42" s="1"/>
  <c r="M463" i="42" s="1"/>
  <c r="M356" i="42" a="1"/>
  <c r="M356" i="42" s="1"/>
  <c r="M355" i="42" a="1"/>
  <c r="M355" i="42" s="1"/>
  <c r="M379" i="42" a="1"/>
  <c r="M379" i="42" s="1"/>
  <c r="M340" i="42" a="1"/>
  <c r="M340" i="42" s="1"/>
  <c r="M347" i="42" a="1"/>
  <c r="M347" i="42" s="1"/>
  <c r="M455" i="42" s="1"/>
  <c r="M383" i="42" a="1"/>
  <c r="M383" i="42" s="1"/>
  <c r="M315" i="42" a="1"/>
  <c r="M315" i="42" s="1"/>
  <c r="M300" i="42" a="1"/>
  <c r="M300" i="42" s="1"/>
  <c r="M323" i="42" a="1"/>
  <c r="M323" i="42" s="1"/>
  <c r="M351" i="42" a="1"/>
  <c r="M351" i="42" s="1"/>
  <c r="M308" i="42" a="1"/>
  <c r="M308" i="42" s="1"/>
  <c r="M339" i="42" a="1"/>
  <c r="M339" i="42" s="1"/>
  <c r="M299" i="42" a="1"/>
  <c r="M299" i="42" s="1"/>
  <c r="M307" i="42" a="1"/>
  <c r="M307" i="42" s="1"/>
  <c r="M319" i="42" a="1"/>
  <c r="M319" i="42" s="1"/>
  <c r="M360" i="42" a="1"/>
  <c r="M360" i="42" s="1"/>
  <c r="M331" i="42" a="1"/>
  <c r="M331" i="42" s="1"/>
  <c r="M324" i="42" a="1"/>
  <c r="M324" i="42" s="1"/>
  <c r="M264" i="42" a="1"/>
  <c r="M264" i="42" s="1"/>
  <c r="M243" i="42" a="1"/>
  <c r="M243" i="42" s="1"/>
  <c r="M287" i="42" a="1"/>
  <c r="M287" i="42" s="1"/>
  <c r="M272" i="42" a="1"/>
  <c r="M272" i="42" s="1"/>
  <c r="M255" i="42" a="1"/>
  <c r="M255" i="42" s="1"/>
  <c r="M304" i="42" a="1"/>
  <c r="M304" i="42" s="1"/>
  <c r="M303" i="42" a="1"/>
  <c r="M303" i="42" s="1"/>
  <c r="M284" i="42" a="1"/>
  <c r="M284" i="42" s="1"/>
  <c r="M263" i="42" a="1"/>
  <c r="M263" i="42" s="1"/>
  <c r="M271" i="42" a="1"/>
  <c r="M271" i="42" s="1"/>
  <c r="M260" i="42" a="1"/>
  <c r="M260" i="42" s="1"/>
  <c r="M283" i="42" a="1"/>
  <c r="M283" i="42" s="1"/>
  <c r="M268" i="42" a="1"/>
  <c r="M268" i="42" s="1"/>
  <c r="M291" i="42" a="1"/>
  <c r="M291" i="42" s="1"/>
  <c r="M295" i="42" a="1"/>
  <c r="M295" i="42" s="1"/>
  <c r="M276" i="42" a="1"/>
  <c r="M276" i="42" s="1"/>
  <c r="M292" i="42" a="1"/>
  <c r="M292" i="42" s="1"/>
  <c r="M236" i="42" a="1"/>
  <c r="M236" i="42" s="1"/>
  <c r="M215" i="42" a="1"/>
  <c r="M215" i="42" s="1"/>
  <c r="M227" i="42" a="1"/>
  <c r="M227" i="42" s="1"/>
  <c r="M296" i="42" a="1"/>
  <c r="M296" i="42" s="1"/>
  <c r="M259" i="42" a="1"/>
  <c r="M259" i="42" s="1"/>
  <c r="M208" i="42" a="1"/>
  <c r="M208" i="42" s="1"/>
  <c r="M235" i="42" a="1"/>
  <c r="M235" i="42" s="1"/>
  <c r="M224" i="42" a="1"/>
  <c r="M224" i="42" s="1"/>
  <c r="M232" i="42" a="1"/>
  <c r="M232" i="42" s="1"/>
  <c r="M244" i="42" a="1"/>
  <c r="M244" i="42" s="1"/>
  <c r="M240" i="42" a="1"/>
  <c r="M240" i="42" s="1"/>
  <c r="M275" i="42" a="1"/>
  <c r="M275" i="42" s="1"/>
  <c r="M231" i="42" a="1"/>
  <c r="M231" i="42" s="1"/>
  <c r="M267" i="42" a="1"/>
  <c r="M267" i="42" s="1"/>
  <c r="M248" i="42" a="1"/>
  <c r="M248" i="42" s="1"/>
  <c r="M256" i="42" a="1"/>
  <c r="M256" i="42" s="1"/>
  <c r="AC447" i="42" a="1"/>
  <c r="AC447" i="42" s="1"/>
  <c r="AC443" i="42" a="1"/>
  <c r="AC443" i="42" s="1"/>
  <c r="AC403" i="42" a="1"/>
  <c r="AC403" i="42" s="1"/>
  <c r="AC435" i="42" a="1"/>
  <c r="AC435" i="42" s="1"/>
  <c r="AC423" i="42" a="1"/>
  <c r="AC423" i="42" s="1"/>
  <c r="AC439" i="42" a="1"/>
  <c r="AC439" i="42" s="1"/>
  <c r="AC407" i="42" a="1"/>
  <c r="AC407" i="42" s="1"/>
  <c r="AC419" i="42" a="1"/>
  <c r="AC419" i="42" s="1"/>
  <c r="AC431" i="42" a="1"/>
  <c r="AC431" i="42" s="1"/>
  <c r="AC427" i="42" a="1"/>
  <c r="AC427" i="42" s="1"/>
  <c r="AC375" i="42" a="1"/>
  <c r="AC375" i="42" s="1"/>
  <c r="AC387" i="42" a="1"/>
  <c r="AC387" i="42" s="1"/>
  <c r="AC415" i="42" a="1"/>
  <c r="AC415" i="42" s="1"/>
  <c r="AC391" i="42" a="1"/>
  <c r="AC391" i="42" s="1"/>
  <c r="AC467" i="42" s="1"/>
  <c r="AC395" i="42" a="1"/>
  <c r="AC395" i="42" s="1"/>
  <c r="AC399" i="42" a="1"/>
  <c r="AC399" i="42" s="1"/>
  <c r="AC371" i="42" a="1"/>
  <c r="AC371" i="42" s="1"/>
  <c r="AC463" i="42" s="1"/>
  <c r="AC335" i="42" a="1"/>
  <c r="AC335" i="42" s="1"/>
  <c r="AC355" i="42" a="1"/>
  <c r="AC355" i="42" s="1"/>
  <c r="AC379" i="42" a="1"/>
  <c r="AC379" i="42" s="1"/>
  <c r="AC359" i="42" a="1"/>
  <c r="AC359" i="42" s="1"/>
  <c r="AC347" i="42" a="1"/>
  <c r="AC347" i="42" s="1"/>
  <c r="AC455" i="42" s="1"/>
  <c r="AC367" i="42" a="1"/>
  <c r="AC367" i="42" s="1"/>
  <c r="AC363" i="42" a="1"/>
  <c r="AC363" i="42" s="1"/>
  <c r="AC459" i="42" s="1"/>
  <c r="AC315" i="42" a="1"/>
  <c r="AC315" i="42" s="1"/>
  <c r="AC331" i="42" a="1"/>
  <c r="AC331" i="42" s="1"/>
  <c r="AC323" i="42" a="1"/>
  <c r="AC323" i="42" s="1"/>
  <c r="AC339" i="42" a="1"/>
  <c r="AC339" i="42" s="1"/>
  <c r="AC308" i="42" a="1"/>
  <c r="AC308" i="42" s="1"/>
  <c r="AC351" i="42" a="1"/>
  <c r="AC351" i="42" s="1"/>
  <c r="AC299" i="42" a="1"/>
  <c r="AC299" i="42" s="1"/>
  <c r="AC383" i="42" a="1"/>
  <c r="AC383" i="42" s="1"/>
  <c r="AC307" i="42" a="1"/>
  <c r="AC307" i="42" s="1"/>
  <c r="AC319" i="42" a="1"/>
  <c r="AC319" i="42" s="1"/>
  <c r="AC291" i="42" a="1"/>
  <c r="AC291" i="42" s="1"/>
  <c r="AC264" i="42" a="1"/>
  <c r="AC264" i="42" s="1"/>
  <c r="AC243" i="42" a="1"/>
  <c r="AC243" i="42" s="1"/>
  <c r="AC287" i="42" a="1"/>
  <c r="AC287" i="42" s="1"/>
  <c r="AC272" i="42" a="1"/>
  <c r="AC272" i="42" s="1"/>
  <c r="AC255" i="42" a="1"/>
  <c r="AC255" i="42" s="1"/>
  <c r="AC263" i="42" a="1"/>
  <c r="AC263" i="42" s="1"/>
  <c r="AC271" i="42" a="1"/>
  <c r="AC271" i="42" s="1"/>
  <c r="AC303" i="42" a="1"/>
  <c r="AC303" i="42" s="1"/>
  <c r="AC260" i="42" a="1"/>
  <c r="AC260" i="42" s="1"/>
  <c r="AC283" i="42" a="1"/>
  <c r="AC283" i="42" s="1"/>
  <c r="AC304" i="42" a="1"/>
  <c r="AC304" i="42" s="1"/>
  <c r="AC268" i="42" a="1"/>
  <c r="AC268" i="42" s="1"/>
  <c r="AC295" i="42" a="1"/>
  <c r="AC295" i="42" s="1"/>
  <c r="AC276" i="42" a="1"/>
  <c r="AC276" i="42" s="1"/>
  <c r="AC244" i="42" a="1"/>
  <c r="AC244" i="42" s="1"/>
  <c r="AC215" i="42" a="1"/>
  <c r="AC215" i="42" s="1"/>
  <c r="AC227" i="42" a="1"/>
  <c r="AC227" i="42" s="1"/>
  <c r="AC208" i="42" a="1"/>
  <c r="AC208" i="42" s="1"/>
  <c r="AC275" i="42" a="1"/>
  <c r="AC275" i="42" s="1"/>
  <c r="AC267" i="42" a="1"/>
  <c r="AC267" i="42" s="1"/>
  <c r="AC235" i="42" a="1"/>
  <c r="AC235" i="42" s="1"/>
  <c r="AC247" i="42" a="1"/>
  <c r="AC247" i="42" s="1"/>
  <c r="AC259" i="42" a="1"/>
  <c r="AC259" i="42" s="1"/>
  <c r="AC248" i="42" a="1"/>
  <c r="AC248" i="42" s="1"/>
  <c r="AC231" i="42" a="1"/>
  <c r="AC231" i="42" s="1"/>
  <c r="AW447" i="42" a="1"/>
  <c r="AW447" i="42" s="1"/>
  <c r="AW431" i="42" a="1"/>
  <c r="AW431" i="42" s="1"/>
  <c r="AW443" i="42" a="1"/>
  <c r="AW443" i="42" s="1"/>
  <c r="AW403" i="42" a="1"/>
  <c r="AW403" i="42" s="1"/>
  <c r="AW439" i="42" a="1"/>
  <c r="AW439" i="42" s="1"/>
  <c r="AW423" i="42" a="1"/>
  <c r="AW423" i="42" s="1"/>
  <c r="AW407" i="42" a="1"/>
  <c r="AW407" i="42" s="1"/>
  <c r="AW435" i="42" a="1"/>
  <c r="AW435" i="42" s="1"/>
  <c r="AW419" i="42" a="1"/>
  <c r="AW419" i="42" s="1"/>
  <c r="AW415" i="42" a="1"/>
  <c r="AW415" i="42" s="1"/>
  <c r="AW427" i="42" a="1"/>
  <c r="AW427" i="42" s="1"/>
  <c r="AW387" i="42" a="1"/>
  <c r="AW387" i="42" s="1"/>
  <c r="AW395" i="42" a="1"/>
  <c r="AW395" i="42" s="1"/>
  <c r="AW367" i="42" a="1"/>
  <c r="AW367" i="42" s="1"/>
  <c r="AW399" i="42" a="1"/>
  <c r="AW399" i="42" s="1"/>
  <c r="AW379" i="42" a="1"/>
  <c r="AW379" i="42" s="1"/>
  <c r="AW391" i="42" a="1"/>
  <c r="AW391" i="42" s="1"/>
  <c r="AW467" i="42" s="1"/>
  <c r="AW363" i="42" a="1"/>
  <c r="AW363" i="42" s="1"/>
  <c r="AW459" i="42" s="1"/>
  <c r="AW335" i="42" a="1"/>
  <c r="AW335" i="42" s="1"/>
  <c r="AW355" i="42" a="1"/>
  <c r="AW355" i="42" s="1"/>
  <c r="AW347" i="42" a="1"/>
  <c r="AW347" i="42" s="1"/>
  <c r="AW455" i="42" s="1"/>
  <c r="AW371" i="42" a="1"/>
  <c r="AW371" i="42" s="1"/>
  <c r="AW463" i="42" s="1"/>
  <c r="AW359" i="42" a="1"/>
  <c r="AW359" i="42" s="1"/>
  <c r="AW383" i="42" a="1"/>
  <c r="AW383" i="42" s="1"/>
  <c r="AW375" i="42" a="1"/>
  <c r="AW375" i="42" s="1"/>
  <c r="AW323" i="42" a="1"/>
  <c r="AW323" i="42" s="1"/>
  <c r="AW299" i="42" a="1"/>
  <c r="AW299" i="42" s="1"/>
  <c r="AW351" i="42" a="1"/>
  <c r="AW351" i="42" s="1"/>
  <c r="AW331" i="42" a="1"/>
  <c r="AW331" i="42" s="1"/>
  <c r="AW307" i="42" a="1"/>
  <c r="AW307" i="42" s="1"/>
  <c r="AW319" i="42" a="1"/>
  <c r="AW319" i="42" s="1"/>
  <c r="AW339" i="42" a="1"/>
  <c r="AW339" i="42" s="1"/>
  <c r="AW287" i="42" a="1"/>
  <c r="AW287" i="42" s="1"/>
  <c r="AW315" i="42" a="1"/>
  <c r="AW315" i="42" s="1"/>
  <c r="AW255" i="42" a="1"/>
  <c r="AW255" i="42" s="1"/>
  <c r="AW263" i="42" a="1"/>
  <c r="AW263" i="42" s="1"/>
  <c r="AW271" i="42" a="1"/>
  <c r="AW271" i="42" s="1"/>
  <c r="AW291" i="42" a="1"/>
  <c r="AW291" i="42" s="1"/>
  <c r="AW283" i="42" a="1"/>
  <c r="AW283" i="42" s="1"/>
  <c r="AW303" i="42" a="1"/>
  <c r="AW303" i="42" s="1"/>
  <c r="AW295" i="42" a="1"/>
  <c r="AW295" i="42" s="1"/>
  <c r="AW227" i="42" a="1"/>
  <c r="AW227" i="42" s="1"/>
  <c r="AW235" i="42" a="1"/>
  <c r="AW235" i="42" s="1"/>
  <c r="AW243" i="42" a="1"/>
  <c r="AW243" i="42" s="1"/>
  <c r="AW223" i="42" a="1"/>
  <c r="AW223" i="42" s="1"/>
  <c r="AW259" i="42" a="1"/>
  <c r="AW259" i="42" s="1"/>
  <c r="AW267" i="42" a="1"/>
  <c r="AW267" i="42" s="1"/>
  <c r="AW231" i="42" a="1"/>
  <c r="AW231" i="42" s="1"/>
  <c r="AW247" i="42" a="1"/>
  <c r="AW247" i="42" s="1"/>
  <c r="AW275" i="42" a="1"/>
  <c r="AW275" i="42" s="1"/>
  <c r="AW239" i="42" a="1"/>
  <c r="AW239" i="42" s="1"/>
  <c r="O184" i="42" a="1"/>
  <c r="O184" i="42" s="1"/>
  <c r="AW187" i="42" a="1"/>
  <c r="AW187" i="42" s="1"/>
  <c r="J191" i="42" a="1"/>
  <c r="J191" i="42" s="1"/>
  <c r="R191" i="42" a="1"/>
  <c r="R191" i="42" s="1"/>
  <c r="Z191" i="42" a="1"/>
  <c r="Z191" i="42" s="1"/>
  <c r="S199" i="42" a="1"/>
  <c r="S199" i="42" s="1"/>
  <c r="Q200" i="42" a="1"/>
  <c r="Q200" i="42" s="1"/>
  <c r="M203" i="42" a="1"/>
  <c r="M203" i="42" s="1"/>
  <c r="M204" i="42" a="1"/>
  <c r="M204" i="42" s="1"/>
  <c r="J207" i="42" a="1"/>
  <c r="J207" i="42" s="1"/>
  <c r="U207" i="42" a="1"/>
  <c r="U207" i="42" s="1"/>
  <c r="AE215" i="42" a="1"/>
  <c r="AE215" i="42" s="1"/>
  <c r="T216" i="42" a="1"/>
  <c r="T216" i="42" s="1"/>
  <c r="Z223" i="42" a="1"/>
  <c r="Z223" i="42" s="1"/>
  <c r="AC239" i="42" a="1"/>
  <c r="AC239" i="42" s="1"/>
  <c r="N448" i="42" a="1"/>
  <c r="N448" i="42" s="1"/>
  <c r="N443" i="42" a="1"/>
  <c r="N443" i="42" s="1"/>
  <c r="N444" i="42" a="1"/>
  <c r="N444" i="42" s="1"/>
  <c r="N439" i="42" a="1"/>
  <c r="N439" i="42" s="1"/>
  <c r="N423" i="42" a="1"/>
  <c r="N423" i="42" s="1"/>
  <c r="N424" i="42" a="1"/>
  <c r="N424" i="42" s="1"/>
  <c r="N395" i="42" a="1"/>
  <c r="N395" i="42" s="1"/>
  <c r="N447" i="42" a="1"/>
  <c r="N447" i="42" s="1"/>
  <c r="N407" i="42" a="1"/>
  <c r="N407" i="42" s="1"/>
  <c r="N419" i="42" a="1"/>
  <c r="N419" i="42" s="1"/>
  <c r="N431" i="42" a="1"/>
  <c r="N431" i="42" s="1"/>
  <c r="N440" i="42" a="1"/>
  <c r="N440" i="42" s="1"/>
  <c r="N436" i="42" a="1"/>
  <c r="N436" i="42" s="1"/>
  <c r="N399" i="42" a="1"/>
  <c r="N399" i="42" s="1"/>
  <c r="N415" i="42" a="1"/>
  <c r="N415" i="42" s="1"/>
  <c r="N427" i="42" a="1"/>
  <c r="N427" i="42" s="1"/>
  <c r="N387" i="42" a="1"/>
  <c r="N387" i="42" s="1"/>
  <c r="N367" i="42" a="1"/>
  <c r="N367" i="42" s="1"/>
  <c r="N379" i="42" a="1"/>
  <c r="N379" i="42" s="1"/>
  <c r="N391" i="42" a="1"/>
  <c r="N391" i="42" s="1"/>
  <c r="N467" i="42" s="1"/>
  <c r="N371" i="42" a="1"/>
  <c r="N371" i="42" s="1"/>
  <c r="N463" i="42" s="1"/>
  <c r="N403" i="42" a="1"/>
  <c r="N403" i="42" s="1"/>
  <c r="N383" i="42" a="1"/>
  <c r="N383" i="42" s="1"/>
  <c r="N363" i="42" a="1"/>
  <c r="N363" i="42" s="1"/>
  <c r="N459" i="42" s="1"/>
  <c r="N335" i="42" a="1"/>
  <c r="N335" i="42" s="1"/>
  <c r="N375" i="42" a="1"/>
  <c r="N375" i="42" s="1"/>
  <c r="N359" i="42" a="1"/>
  <c r="N359" i="42" s="1"/>
  <c r="N355" i="42" a="1"/>
  <c r="N355" i="42" s="1"/>
  <c r="N347" i="42" a="1"/>
  <c r="N347" i="42" s="1"/>
  <c r="N455" i="42" s="1"/>
  <c r="N435" i="42" a="1"/>
  <c r="N435" i="42" s="1"/>
  <c r="N323" i="42" a="1"/>
  <c r="N323" i="42" s="1"/>
  <c r="N351" i="42" a="1"/>
  <c r="N351" i="42" s="1"/>
  <c r="N339" i="42" a="1"/>
  <c r="N339" i="42" s="1"/>
  <c r="N299" i="42" a="1"/>
  <c r="N299" i="42" s="1"/>
  <c r="N307" i="42" a="1"/>
  <c r="N307" i="42" s="1"/>
  <c r="N319" i="42" a="1"/>
  <c r="N319" i="42" s="1"/>
  <c r="N331" i="42" a="1"/>
  <c r="N331" i="42" s="1"/>
  <c r="N303" i="42" a="1"/>
  <c r="N303" i="42" s="1"/>
  <c r="N315" i="42" a="1"/>
  <c r="N315" i="42" s="1"/>
  <c r="N272" i="42" a="1"/>
  <c r="N272" i="42" s="1"/>
  <c r="N255" i="42" a="1"/>
  <c r="N255" i="42" s="1"/>
  <c r="N263" i="42" a="1"/>
  <c r="N263" i="42" s="1"/>
  <c r="N271" i="42" a="1"/>
  <c r="N271" i="42" s="1"/>
  <c r="N260" i="42" a="1"/>
  <c r="N260" i="42" s="1"/>
  <c r="N283" i="42" a="1"/>
  <c r="N283" i="42" s="1"/>
  <c r="N268" i="42" a="1"/>
  <c r="N268" i="42" s="1"/>
  <c r="N291" i="42" a="1"/>
  <c r="N291" i="42" s="1"/>
  <c r="N295" i="42" a="1"/>
  <c r="N295" i="42" s="1"/>
  <c r="N276" i="42" a="1"/>
  <c r="N276" i="42" s="1"/>
  <c r="N259" i="42" a="1"/>
  <c r="N259" i="42" s="1"/>
  <c r="N267" i="42" a="1"/>
  <c r="N267" i="42" s="1"/>
  <c r="N227" i="42" a="1"/>
  <c r="N227" i="42" s="1"/>
  <c r="N264" i="42" a="1"/>
  <c r="N264" i="42" s="1"/>
  <c r="N235" i="42" a="1"/>
  <c r="N235" i="42" s="1"/>
  <c r="N207" i="42" a="1"/>
  <c r="N207" i="42" s="1"/>
  <c r="N243" i="42" a="1"/>
  <c r="N243" i="42" s="1"/>
  <c r="N223" i="42" a="1"/>
  <c r="N223" i="42" s="1"/>
  <c r="N275" i="42" a="1"/>
  <c r="N275" i="42" s="1"/>
  <c r="N231" i="42" a="1"/>
  <c r="N231" i="42" s="1"/>
  <c r="N247" i="42" a="1"/>
  <c r="N247" i="42" s="1"/>
  <c r="N239" i="42" a="1"/>
  <c r="N239" i="42" s="1"/>
  <c r="N256" i="42" a="1"/>
  <c r="N256" i="42" s="1"/>
  <c r="N287" i="42" a="1"/>
  <c r="N287" i="42" s="1"/>
  <c r="AD431" i="42" a="1"/>
  <c r="AD431" i="42" s="1"/>
  <c r="AD443" i="42" a="1"/>
  <c r="AD443" i="42" s="1"/>
  <c r="AD439" i="42" a="1"/>
  <c r="AD439" i="42" s="1"/>
  <c r="AD435" i="42" a="1"/>
  <c r="AD435" i="42" s="1"/>
  <c r="AD423" i="42" a="1"/>
  <c r="AD423" i="42" s="1"/>
  <c r="AD395" i="42" a="1"/>
  <c r="AD395" i="42" s="1"/>
  <c r="AD407" i="42" a="1"/>
  <c r="AD407" i="42" s="1"/>
  <c r="AD419" i="42" a="1"/>
  <c r="AD419" i="42" s="1"/>
  <c r="AD399" i="42" a="1"/>
  <c r="AD399" i="42" s="1"/>
  <c r="AD447" i="42" a="1"/>
  <c r="AD447" i="42" s="1"/>
  <c r="AD415" i="42" a="1"/>
  <c r="AD415" i="42" s="1"/>
  <c r="AD427" i="42" a="1"/>
  <c r="AD427" i="42" s="1"/>
  <c r="AD387" i="42" a="1"/>
  <c r="AD387" i="42" s="1"/>
  <c r="AD367" i="42" a="1"/>
  <c r="AD367" i="42" s="1"/>
  <c r="AD379" i="42" a="1"/>
  <c r="AD379" i="42" s="1"/>
  <c r="AD391" i="42" a="1"/>
  <c r="AD391" i="42" s="1"/>
  <c r="AD467" i="42" s="1"/>
  <c r="AD371" i="42" a="1"/>
  <c r="AD371" i="42" s="1"/>
  <c r="AD463" i="42" s="1"/>
  <c r="AD383" i="42" a="1"/>
  <c r="AD383" i="42" s="1"/>
  <c r="AD403" i="42" a="1"/>
  <c r="AD403" i="42" s="1"/>
  <c r="AD335" i="42" a="1"/>
  <c r="AD335" i="42" s="1"/>
  <c r="AD355" i="42" a="1"/>
  <c r="AD355" i="42" s="1"/>
  <c r="AD359" i="42" a="1"/>
  <c r="AD359" i="42" s="1"/>
  <c r="AD347" i="42" a="1"/>
  <c r="AD347" i="42" s="1"/>
  <c r="AD455" i="42" s="1"/>
  <c r="AD363" i="42" a="1"/>
  <c r="AD363" i="42" s="1"/>
  <c r="AD459" i="42" s="1"/>
  <c r="AD375" i="42" a="1"/>
  <c r="AD375" i="42" s="1"/>
  <c r="AD331" i="42" a="1"/>
  <c r="AD331" i="42" s="1"/>
  <c r="AD323" i="42" a="1"/>
  <c r="AD323" i="42" s="1"/>
  <c r="AD339" i="42" a="1"/>
  <c r="AD339" i="42" s="1"/>
  <c r="AD308" i="42" a="1"/>
  <c r="AD308" i="42" s="1"/>
  <c r="AD291" i="42" a="1"/>
  <c r="AD291" i="42" s="1"/>
  <c r="AD351" i="42" a="1"/>
  <c r="AD351" i="42" s="1"/>
  <c r="AD299" i="42" a="1"/>
  <c r="AD299" i="42" s="1"/>
  <c r="AD307" i="42" a="1"/>
  <c r="AD307" i="42" s="1"/>
  <c r="AD319" i="42" a="1"/>
  <c r="AD319" i="42" s="1"/>
  <c r="AD303" i="42" a="1"/>
  <c r="AD303" i="42" s="1"/>
  <c r="AD315" i="42" a="1"/>
  <c r="AD315" i="42" s="1"/>
  <c r="AD272" i="42" a="1"/>
  <c r="AD272" i="42" s="1"/>
  <c r="AD255" i="42" a="1"/>
  <c r="AD255" i="42" s="1"/>
  <c r="AD263" i="42" a="1"/>
  <c r="AD263" i="42" s="1"/>
  <c r="AD248" i="42" a="1"/>
  <c r="AD248" i="42" s="1"/>
  <c r="AD271" i="42" a="1"/>
  <c r="AD271" i="42" s="1"/>
  <c r="AD260" i="42" a="1"/>
  <c r="AD260" i="42" s="1"/>
  <c r="AD283" i="42" a="1"/>
  <c r="AD283" i="42" s="1"/>
  <c r="AD268" i="42" a="1"/>
  <c r="AD268" i="42" s="1"/>
  <c r="AD304" i="42" a="1"/>
  <c r="AD304" i="42" s="1"/>
  <c r="AD295" i="42" a="1"/>
  <c r="AD295" i="42" s="1"/>
  <c r="AD276" i="42" a="1"/>
  <c r="AD276" i="42" s="1"/>
  <c r="AD259" i="42" a="1"/>
  <c r="AD259" i="42" s="1"/>
  <c r="AD267" i="42" a="1"/>
  <c r="AD267" i="42" s="1"/>
  <c r="AD227" i="42" a="1"/>
  <c r="AD227" i="42" s="1"/>
  <c r="AD208" i="42" a="1"/>
  <c r="AD208" i="42" s="1"/>
  <c r="AD275" i="42" a="1"/>
  <c r="AD275" i="42" s="1"/>
  <c r="AD235" i="42" a="1"/>
  <c r="AD235" i="42" s="1"/>
  <c r="AD247" i="42" a="1"/>
  <c r="AD247" i="42" s="1"/>
  <c r="AD207" i="42" a="1"/>
  <c r="AD207" i="42" s="1"/>
  <c r="AD223" i="42" a="1"/>
  <c r="AD223" i="42" s="1"/>
  <c r="AD264" i="42" a="1"/>
  <c r="AD264" i="42" s="1"/>
  <c r="AD231" i="42" a="1"/>
  <c r="AD231" i="42" s="1"/>
  <c r="AD287" i="42" a="1"/>
  <c r="AD287" i="42" s="1"/>
  <c r="AD239" i="42" a="1"/>
  <c r="AD239" i="42" s="1"/>
  <c r="AD244" i="42" a="1"/>
  <c r="AD244" i="42" s="1"/>
  <c r="AD243" i="42" a="1"/>
  <c r="AD243" i="42" s="1"/>
  <c r="AX447" i="42" a="1"/>
  <c r="AX447" i="42" s="1"/>
  <c r="AX443" i="42" a="1"/>
  <c r="AX443" i="42" s="1"/>
  <c r="AX439" i="42" a="1"/>
  <c r="AX439" i="42" s="1"/>
  <c r="AX423" i="42" a="1"/>
  <c r="AX423" i="42" s="1"/>
  <c r="AX395" i="42" a="1"/>
  <c r="AX395" i="42" s="1"/>
  <c r="AX407" i="42" a="1"/>
  <c r="AX407" i="42" s="1"/>
  <c r="AX435" i="42" a="1"/>
  <c r="AX435" i="42" s="1"/>
  <c r="AX419" i="42" a="1"/>
  <c r="AX419" i="42" s="1"/>
  <c r="AX431" i="42" a="1"/>
  <c r="AX431" i="42" s="1"/>
  <c r="AX415" i="42" a="1"/>
  <c r="AX415" i="42" s="1"/>
  <c r="AX367" i="42" a="1"/>
  <c r="AX367" i="42" s="1"/>
  <c r="AX379" i="42" a="1"/>
  <c r="AX379" i="42" s="1"/>
  <c r="AX427" i="42" a="1"/>
  <c r="AX427" i="42" s="1"/>
  <c r="AX399" i="42" a="1"/>
  <c r="AX399" i="42" s="1"/>
  <c r="AX391" i="42" a="1"/>
  <c r="AX391" i="42" s="1"/>
  <c r="AX467" i="42" s="1"/>
  <c r="AX371" i="42" a="1"/>
  <c r="AX371" i="42" s="1"/>
  <c r="AX463" i="42" s="1"/>
  <c r="AX355" i="42" a="1"/>
  <c r="AX355" i="42" s="1"/>
  <c r="AX403" i="42" a="1"/>
  <c r="AX403" i="42" s="1"/>
  <c r="AX347" i="42" a="1"/>
  <c r="AX347" i="42" s="1"/>
  <c r="AX455" i="42" s="1"/>
  <c r="AX359" i="42" a="1"/>
  <c r="AX359" i="42" s="1"/>
  <c r="AX383" i="42" a="1"/>
  <c r="AX383" i="42" s="1"/>
  <c r="AX363" i="42" a="1"/>
  <c r="AX363" i="42" s="1"/>
  <c r="AX459" i="42" s="1"/>
  <c r="AX291" i="42" a="1"/>
  <c r="AX291" i="42" s="1"/>
  <c r="AX299" i="42" a="1"/>
  <c r="AX299" i="42" s="1"/>
  <c r="AX351" i="42" a="1"/>
  <c r="AX351" i="42" s="1"/>
  <c r="AX331" i="42" a="1"/>
  <c r="AX331" i="42" s="1"/>
  <c r="AX375" i="42" a="1"/>
  <c r="AX375" i="42" s="1"/>
  <c r="AX307" i="42" a="1"/>
  <c r="AX307" i="42" s="1"/>
  <c r="AX387" i="42" a="1"/>
  <c r="AX387" i="42" s="1"/>
  <c r="AX319" i="42" a="1"/>
  <c r="AX319" i="42" s="1"/>
  <c r="AX295" i="42" a="1"/>
  <c r="AX295" i="42" s="1"/>
  <c r="AX335" i="42" a="1"/>
  <c r="AX335" i="42" s="1"/>
  <c r="AX303" i="42" a="1"/>
  <c r="AX303" i="42" s="1"/>
  <c r="AX339" i="42" a="1"/>
  <c r="AX339" i="42" s="1"/>
  <c r="AX315" i="42" a="1"/>
  <c r="AX315" i="42" s="1"/>
  <c r="AX323" i="42" a="1"/>
  <c r="AX323" i="42" s="1"/>
  <c r="AX263" i="42" a="1"/>
  <c r="AX263" i="42" s="1"/>
  <c r="AX271" i="42" a="1"/>
  <c r="AX271" i="42" s="1"/>
  <c r="AX283" i="42" a="1"/>
  <c r="AX283" i="42" s="1"/>
  <c r="AX259" i="42" a="1"/>
  <c r="AX259" i="42" s="1"/>
  <c r="AX267" i="42" a="1"/>
  <c r="AX267" i="42" s="1"/>
  <c r="AX275" i="42" a="1"/>
  <c r="AX275" i="42" s="1"/>
  <c r="AX235" i="42" a="1"/>
  <c r="AX235" i="42" s="1"/>
  <c r="AX287" i="42" a="1"/>
  <c r="AX287" i="42" s="1"/>
  <c r="AX207" i="42" a="1"/>
  <c r="AX207" i="42" s="1"/>
  <c r="AX243" i="42" a="1"/>
  <c r="AX243" i="42" s="1"/>
  <c r="AX255" i="42" a="1"/>
  <c r="AX255" i="42" s="1"/>
  <c r="AX223" i="42" a="1"/>
  <c r="AX223" i="42" s="1"/>
  <c r="AX231" i="42" a="1"/>
  <c r="AX231" i="42" s="1"/>
  <c r="AX247" i="42" a="1"/>
  <c r="AX247" i="42" s="1"/>
  <c r="AX239" i="42" a="1"/>
  <c r="AX239" i="42" s="1"/>
  <c r="N187" i="42" a="1"/>
  <c r="N187" i="42" s="1"/>
  <c r="AD187" i="42" a="1"/>
  <c r="AD187" i="42" s="1"/>
  <c r="AL191" i="42" a="1"/>
  <c r="AL191" i="42" s="1"/>
  <c r="AT191" i="42" a="1"/>
  <c r="AT191" i="42" s="1"/>
  <c r="M196" i="42" a="1"/>
  <c r="M196" i="42" s="1"/>
  <c r="AM199" i="42" a="1"/>
  <c r="AM199" i="42" s="1"/>
  <c r="AW203" i="42" a="1"/>
  <c r="AW203" i="42" s="1"/>
  <c r="AM207" i="42" a="1"/>
  <c r="AM207" i="42" s="1"/>
  <c r="R208" i="42" a="1"/>
  <c r="R208" i="42" s="1"/>
  <c r="AF208" i="42" a="1"/>
  <c r="AF208" i="42" s="1"/>
  <c r="AX215" i="42" a="1"/>
  <c r="AX215" i="42" s="1"/>
  <c r="AN216" i="42" a="1"/>
  <c r="AN216" i="42" s="1"/>
  <c r="O444" i="42" a="1"/>
  <c r="O444" i="42" s="1"/>
  <c r="O440" i="42" a="1"/>
  <c r="O440" i="42" s="1"/>
  <c r="O436" i="42" a="1"/>
  <c r="O436" i="42" s="1"/>
  <c r="O424" i="42" a="1"/>
  <c r="O424" i="42" s="1"/>
  <c r="O447" i="42" a="1"/>
  <c r="O447" i="42" s="1"/>
  <c r="O408" i="42" a="1"/>
  <c r="O408" i="42" s="1"/>
  <c r="O407" i="42" a="1"/>
  <c r="O407" i="42" s="1"/>
  <c r="O419" i="42" a="1"/>
  <c r="O419" i="42" s="1"/>
  <c r="O431" i="42" a="1"/>
  <c r="O431" i="42" s="1"/>
  <c r="O439" i="42" a="1"/>
  <c r="O439" i="42" s="1"/>
  <c r="O443" i="42" a="1"/>
  <c r="O443" i="42" s="1"/>
  <c r="O415" i="42" a="1"/>
  <c r="O415" i="42" s="1"/>
  <c r="O427" i="42" a="1"/>
  <c r="O427" i="42" s="1"/>
  <c r="O435" i="42" a="1"/>
  <c r="O435" i="42" s="1"/>
  <c r="O416" i="42" a="1"/>
  <c r="O416" i="42" s="1"/>
  <c r="O448" i="42" a="1"/>
  <c r="O448" i="42" s="1"/>
  <c r="O423" i="42" a="1"/>
  <c r="O423" i="42" s="1"/>
  <c r="O399" i="42" a="1"/>
  <c r="O399" i="42" s="1"/>
  <c r="O367" i="42" a="1"/>
  <c r="O367" i="42" s="1"/>
  <c r="O395" i="42" a="1"/>
  <c r="O395" i="42" s="1"/>
  <c r="O379" i="42" a="1"/>
  <c r="O379" i="42" s="1"/>
  <c r="O391" i="42" a="1"/>
  <c r="O391" i="42" s="1"/>
  <c r="O467" i="42" s="1"/>
  <c r="O396" i="42" a="1"/>
  <c r="O396" i="42" s="1"/>
  <c r="O404" i="42" a="1"/>
  <c r="O404" i="42" s="1"/>
  <c r="O403" i="42" a="1"/>
  <c r="O403" i="42" s="1"/>
  <c r="O400" i="42" a="1"/>
  <c r="O400" i="42" s="1"/>
  <c r="O383" i="42" a="1"/>
  <c r="O383" i="42" s="1"/>
  <c r="O356" i="42" a="1"/>
  <c r="O356" i="42" s="1"/>
  <c r="O355" i="42" a="1"/>
  <c r="O355" i="42" s="1"/>
  <c r="O371" i="42" a="1"/>
  <c r="O371" i="42" s="1"/>
  <c r="O463" i="42" s="1"/>
  <c r="O340" i="42" a="1"/>
  <c r="O340" i="42" s="1"/>
  <c r="O347" i="42" a="1"/>
  <c r="O347" i="42" s="1"/>
  <c r="O455" i="42" s="1"/>
  <c r="O339" i="42" a="1"/>
  <c r="O339" i="42" s="1"/>
  <c r="O360" i="42" a="1"/>
  <c r="O360" i="42" s="1"/>
  <c r="O387" i="42" a="1"/>
  <c r="O387" i="42" s="1"/>
  <c r="O363" i="42" a="1"/>
  <c r="O363" i="42" s="1"/>
  <c r="O459" i="42" s="1"/>
  <c r="O375" i="42" a="1"/>
  <c r="O375" i="42" s="1"/>
  <c r="O359" i="42" a="1"/>
  <c r="O359" i="42" s="1"/>
  <c r="O299" i="42" a="1"/>
  <c r="O299" i="42" s="1"/>
  <c r="O307" i="42" a="1"/>
  <c r="O307" i="42" s="1"/>
  <c r="O296" i="42" a="1"/>
  <c r="O296" i="42" s="1"/>
  <c r="O335" i="42" a="1"/>
  <c r="O335" i="42" s="1"/>
  <c r="O319" i="42" a="1"/>
  <c r="O319" i="42" s="1"/>
  <c r="O304" i="42" a="1"/>
  <c r="O304" i="42" s="1"/>
  <c r="O331" i="42" a="1"/>
  <c r="O331" i="42" s="1"/>
  <c r="O324" i="42" a="1"/>
  <c r="O324" i="42" s="1"/>
  <c r="O315" i="42" a="1"/>
  <c r="O315" i="42" s="1"/>
  <c r="O323" i="42" a="1"/>
  <c r="O323" i="42" s="1"/>
  <c r="O351" i="42" a="1"/>
  <c r="O351" i="42" s="1"/>
  <c r="O303" i="42" a="1"/>
  <c r="O303" i="42" s="1"/>
  <c r="O284" i="42" a="1"/>
  <c r="O284" i="42" s="1"/>
  <c r="O263" i="42" a="1"/>
  <c r="O263" i="42" s="1"/>
  <c r="O248" i="42" a="1"/>
  <c r="O248" i="42" s="1"/>
  <c r="O308" i="42" a="1"/>
  <c r="O308" i="42" s="1"/>
  <c r="O271" i="42" a="1"/>
  <c r="O271" i="42" s="1"/>
  <c r="O260" i="42" a="1"/>
  <c r="O260" i="42" s="1"/>
  <c r="O283" i="42" a="1"/>
  <c r="O283" i="42" s="1"/>
  <c r="O268" i="42" a="1"/>
  <c r="O268" i="42" s="1"/>
  <c r="O291" i="42" a="1"/>
  <c r="O291" i="42" s="1"/>
  <c r="O276" i="42" a="1"/>
  <c r="O276" i="42" s="1"/>
  <c r="O259" i="42" a="1"/>
  <c r="O259" i="42" s="1"/>
  <c r="O295" i="42" a="1"/>
  <c r="O295" i="42" s="1"/>
  <c r="O292" i="42" a="1"/>
  <c r="O292" i="42" s="1"/>
  <c r="O267" i="42" a="1"/>
  <c r="O267" i="42" s="1"/>
  <c r="O300" i="42" a="1"/>
  <c r="O300" i="42" s="1"/>
  <c r="O275" i="42" a="1"/>
  <c r="O275" i="42" s="1"/>
  <c r="O287" i="42" a="1"/>
  <c r="O287" i="42" s="1"/>
  <c r="O264" i="42" a="1"/>
  <c r="O264" i="42" s="1"/>
  <c r="O235" i="42" a="1"/>
  <c r="O235" i="42" s="1"/>
  <c r="O272" i="42" a="1"/>
  <c r="O272" i="42" s="1"/>
  <c r="O255" i="42" a="1"/>
  <c r="O255" i="42" s="1"/>
  <c r="O224" i="42" a="1"/>
  <c r="O224" i="42" s="1"/>
  <c r="O232" i="42" a="1"/>
  <c r="O232" i="42" s="1"/>
  <c r="O207" i="42" a="1"/>
  <c r="O207" i="42" s="1"/>
  <c r="O244" i="42" a="1"/>
  <c r="O244" i="42" s="1"/>
  <c r="O243" i="42" a="1"/>
  <c r="O243" i="42" s="1"/>
  <c r="O240" i="42" a="1"/>
  <c r="O240" i="42" s="1"/>
  <c r="O223" i="42" a="1"/>
  <c r="O223" i="42" s="1"/>
  <c r="O231" i="42" a="1"/>
  <c r="O231" i="42" s="1"/>
  <c r="O216" i="42" a="1"/>
  <c r="O216" i="42" s="1"/>
  <c r="O247" i="42" a="1"/>
  <c r="O247" i="42" s="1"/>
  <c r="O239" i="42" a="1"/>
  <c r="O239" i="42" s="1"/>
  <c r="O256" i="42" a="1"/>
  <c r="O256" i="42" s="1"/>
  <c r="AE439" i="42" a="1"/>
  <c r="AE439" i="42" s="1"/>
  <c r="AE407" i="42" a="1"/>
  <c r="AE407" i="42" s="1"/>
  <c r="AE419" i="42" a="1"/>
  <c r="AE419" i="42" s="1"/>
  <c r="AE431" i="42" a="1"/>
  <c r="AE431" i="42" s="1"/>
  <c r="AE447" i="42" a="1"/>
  <c r="AE447" i="42" s="1"/>
  <c r="AE415" i="42" a="1"/>
  <c r="AE415" i="42" s="1"/>
  <c r="AE443" i="42" a="1"/>
  <c r="AE443" i="42" s="1"/>
  <c r="AE427" i="42" a="1"/>
  <c r="AE427" i="42" s="1"/>
  <c r="AE435" i="42" a="1"/>
  <c r="AE435" i="42" s="1"/>
  <c r="AE423" i="42" a="1"/>
  <c r="AE423" i="42" s="1"/>
  <c r="AE367" i="42" a="1"/>
  <c r="AE367" i="42" s="1"/>
  <c r="AE379" i="42" a="1"/>
  <c r="AE379" i="42" s="1"/>
  <c r="AE391" i="42" a="1"/>
  <c r="AE391" i="42" s="1"/>
  <c r="AE467" i="42" s="1"/>
  <c r="AE383" i="42" a="1"/>
  <c r="AE383" i="42" s="1"/>
  <c r="AE403" i="42" a="1"/>
  <c r="AE403" i="42" s="1"/>
  <c r="AE399" i="42" a="1"/>
  <c r="AE399" i="42" s="1"/>
  <c r="AE395" i="42" a="1"/>
  <c r="AE395" i="42" s="1"/>
  <c r="AE355" i="42" a="1"/>
  <c r="AE355" i="42" s="1"/>
  <c r="AE359" i="42" a="1"/>
  <c r="AE359" i="42" s="1"/>
  <c r="AE387" i="42" a="1"/>
  <c r="AE387" i="42" s="1"/>
  <c r="AE347" i="42" a="1"/>
  <c r="AE347" i="42" s="1"/>
  <c r="AE455" i="42" s="1"/>
  <c r="AE363" i="42" a="1"/>
  <c r="AE363" i="42" s="1"/>
  <c r="AE459" i="42" s="1"/>
  <c r="AE339" i="42" a="1"/>
  <c r="AE339" i="42" s="1"/>
  <c r="AE371" i="42" a="1"/>
  <c r="AE371" i="42" s="1"/>
  <c r="AE463" i="42" s="1"/>
  <c r="AE351" i="42" a="1"/>
  <c r="AE351" i="42" s="1"/>
  <c r="AE299" i="42" a="1"/>
  <c r="AE299" i="42" s="1"/>
  <c r="AE307" i="42" a="1"/>
  <c r="AE307" i="42" s="1"/>
  <c r="AE319" i="42" a="1"/>
  <c r="AE319" i="42" s="1"/>
  <c r="AE304" i="42" a="1"/>
  <c r="AE304" i="42" s="1"/>
  <c r="AE375" i="42" a="1"/>
  <c r="AE375" i="42" s="1"/>
  <c r="AE315" i="42" a="1"/>
  <c r="AE315" i="42" s="1"/>
  <c r="AE331" i="42" a="1"/>
  <c r="AE331" i="42" s="1"/>
  <c r="AE323" i="42" a="1"/>
  <c r="AE323" i="42" s="1"/>
  <c r="AE335" i="42" a="1"/>
  <c r="AE335" i="42" s="1"/>
  <c r="AE263" i="42" a="1"/>
  <c r="AE263" i="42" s="1"/>
  <c r="AE248" i="42" a="1"/>
  <c r="AE248" i="42" s="1"/>
  <c r="AE271" i="42" a="1"/>
  <c r="AE271" i="42" s="1"/>
  <c r="AE260" i="42" a="1"/>
  <c r="AE260" i="42" s="1"/>
  <c r="AE303" i="42" a="1"/>
  <c r="AE303" i="42" s="1"/>
  <c r="AE283" i="42" a="1"/>
  <c r="AE283" i="42" s="1"/>
  <c r="AE268" i="42" a="1"/>
  <c r="AE268" i="42" s="1"/>
  <c r="AE276" i="42" a="1"/>
  <c r="AE276" i="42" s="1"/>
  <c r="AE259" i="42" a="1"/>
  <c r="AE259" i="42" s="1"/>
  <c r="AE295" i="42" a="1"/>
  <c r="AE295" i="42" s="1"/>
  <c r="AE267" i="42" a="1"/>
  <c r="AE267" i="42" s="1"/>
  <c r="AE308" i="42" a="1"/>
  <c r="AE308" i="42" s="1"/>
  <c r="AE275" i="42" a="1"/>
  <c r="AE275" i="42" s="1"/>
  <c r="AE287" i="42" a="1"/>
  <c r="AE287" i="42" s="1"/>
  <c r="AE235" i="42" a="1"/>
  <c r="AE235" i="42" s="1"/>
  <c r="AE247" i="42" a="1"/>
  <c r="AE247" i="42" s="1"/>
  <c r="AE291" i="42" a="1"/>
  <c r="AE291" i="42" s="1"/>
  <c r="AE255" i="42" a="1"/>
  <c r="AE255" i="42" s="1"/>
  <c r="AE207" i="42" a="1"/>
  <c r="AE207" i="42" s="1"/>
  <c r="AE223" i="42" a="1"/>
  <c r="AE223" i="42" s="1"/>
  <c r="AE264" i="42" a="1"/>
  <c r="AE264" i="42" s="1"/>
  <c r="AE231" i="42" a="1"/>
  <c r="AE231" i="42" s="1"/>
  <c r="AE216" i="42" a="1"/>
  <c r="AE216" i="42" s="1"/>
  <c r="AE272" i="42" a="1"/>
  <c r="AE272" i="42" s="1"/>
  <c r="AE239" i="42" a="1"/>
  <c r="AE239" i="42" s="1"/>
  <c r="AE244" i="42" a="1"/>
  <c r="AE244" i="42" s="1"/>
  <c r="AE243" i="42" a="1"/>
  <c r="AE243" i="42" s="1"/>
  <c r="J183" i="42" a="1"/>
  <c r="J183" i="42" s="1"/>
  <c r="Z183" i="42" a="1"/>
  <c r="Z183" i="42" s="1"/>
  <c r="AX187" i="42" a="1"/>
  <c r="AX187" i="42" s="1"/>
  <c r="S191" i="42" a="1"/>
  <c r="S191" i="42" s="1"/>
  <c r="L199" i="42" a="1"/>
  <c r="L199" i="42" s="1"/>
  <c r="T199" i="42" a="1"/>
  <c r="T199" i="42" s="1"/>
  <c r="AB199" i="42" a="1"/>
  <c r="AB199" i="42" s="1"/>
  <c r="J200" i="42" a="1"/>
  <c r="J200" i="42" s="1"/>
  <c r="R200" i="42" a="1"/>
  <c r="R200" i="42" s="1"/>
  <c r="Z200" i="42" a="1"/>
  <c r="Z200" i="42" s="1"/>
  <c r="N203" i="42" a="1"/>
  <c r="N203" i="42" s="1"/>
  <c r="N204" i="42" a="1"/>
  <c r="N204" i="42" s="1"/>
  <c r="Q215" i="42" a="1"/>
  <c r="Q215" i="42" s="1"/>
  <c r="U216" i="42" a="1"/>
  <c r="U216" i="42" s="1"/>
  <c r="AB231" i="42" a="1"/>
  <c r="AB231" i="42" s="1"/>
  <c r="P443" i="42" a="1"/>
  <c r="P443" i="42" s="1"/>
  <c r="P439" i="42" a="1"/>
  <c r="P439" i="42" s="1"/>
  <c r="P407" i="42" a="1"/>
  <c r="P407" i="42" s="1"/>
  <c r="P447" i="42" a="1"/>
  <c r="P447" i="42" s="1"/>
  <c r="P419" i="42" a="1"/>
  <c r="P419" i="42" s="1"/>
  <c r="P431" i="42" a="1"/>
  <c r="P431" i="42" s="1"/>
  <c r="P399" i="42" a="1"/>
  <c r="P399" i="42" s="1"/>
  <c r="P415" i="42" a="1"/>
  <c r="P415" i="42" s="1"/>
  <c r="P427" i="42" a="1"/>
  <c r="P427" i="42" s="1"/>
  <c r="P435" i="42" a="1"/>
  <c r="P435" i="42" s="1"/>
  <c r="P403" i="42" a="1"/>
  <c r="P403" i="42" s="1"/>
  <c r="P379" i="42" a="1"/>
  <c r="P379" i="42" s="1"/>
  <c r="P395" i="42" a="1"/>
  <c r="P395" i="42" s="1"/>
  <c r="P423" i="42" a="1"/>
  <c r="P423" i="42" s="1"/>
  <c r="P391" i="42" a="1"/>
  <c r="P391" i="42" s="1"/>
  <c r="P467" i="42" s="1"/>
  <c r="P387" i="42" a="1"/>
  <c r="P387" i="42" s="1"/>
  <c r="P371" i="42" a="1"/>
  <c r="P371" i="42" s="1"/>
  <c r="P463" i="42" s="1"/>
  <c r="P347" i="42" a="1"/>
  <c r="P347" i="42" s="1"/>
  <c r="P455" i="42" s="1"/>
  <c r="P383" i="42" a="1"/>
  <c r="P383" i="42" s="1"/>
  <c r="P351" i="42" a="1"/>
  <c r="P351" i="42" s="1"/>
  <c r="P363" i="42" a="1"/>
  <c r="P363" i="42" s="1"/>
  <c r="P459" i="42" s="1"/>
  <c r="P367" i="42" a="1"/>
  <c r="P367" i="42" s="1"/>
  <c r="P355" i="42" a="1"/>
  <c r="P355" i="42" s="1"/>
  <c r="P339" i="42" a="1"/>
  <c r="P339" i="42" s="1"/>
  <c r="P307" i="42" a="1"/>
  <c r="P307" i="42" s="1"/>
  <c r="P359" i="42" a="1"/>
  <c r="P359" i="42" s="1"/>
  <c r="P335" i="42" a="1"/>
  <c r="P335" i="42" s="1"/>
  <c r="P319" i="42" a="1"/>
  <c r="P319" i="42" s="1"/>
  <c r="P304" i="42" a="1"/>
  <c r="P304" i="42" s="1"/>
  <c r="P295" i="42" a="1"/>
  <c r="P295" i="42" s="1"/>
  <c r="P375" i="42" a="1"/>
  <c r="P375" i="42" s="1"/>
  <c r="P331" i="42" a="1"/>
  <c r="P331" i="42" s="1"/>
  <c r="P323" i="42" a="1"/>
  <c r="P323" i="42" s="1"/>
  <c r="P315" i="42" a="1"/>
  <c r="P315" i="42" s="1"/>
  <c r="P299" i="42" a="1"/>
  <c r="P299" i="42" s="1"/>
  <c r="P271" i="42" a="1"/>
  <c r="P271" i="42" s="1"/>
  <c r="P308" i="42" a="1"/>
  <c r="P308" i="42" s="1"/>
  <c r="P260" i="42" a="1"/>
  <c r="P260" i="42" s="1"/>
  <c r="P283" i="42" a="1"/>
  <c r="P283" i="42" s="1"/>
  <c r="P268" i="42" a="1"/>
  <c r="P268" i="42" s="1"/>
  <c r="P247" i="42" a="1"/>
  <c r="P247" i="42" s="1"/>
  <c r="P291" i="42" a="1"/>
  <c r="P291" i="42" s="1"/>
  <c r="P276" i="42" a="1"/>
  <c r="P276" i="42" s="1"/>
  <c r="P259" i="42" a="1"/>
  <c r="P259" i="42" s="1"/>
  <c r="P267" i="42" a="1"/>
  <c r="P267" i="42" s="1"/>
  <c r="P275" i="42" a="1"/>
  <c r="P275" i="42" s="1"/>
  <c r="P264" i="42" a="1"/>
  <c r="P264" i="42" s="1"/>
  <c r="P287" i="42" a="1"/>
  <c r="P287" i="42" s="1"/>
  <c r="P207" i="42" a="1"/>
  <c r="P207" i="42" s="1"/>
  <c r="P244" i="42" a="1"/>
  <c r="P244" i="42" s="1"/>
  <c r="P243" i="42" a="1"/>
  <c r="P243" i="42" s="1"/>
  <c r="P223" i="42" a="1"/>
  <c r="P223" i="42" s="1"/>
  <c r="P231" i="42" a="1"/>
  <c r="P231" i="42" s="1"/>
  <c r="P216" i="42" a="1"/>
  <c r="P216" i="42" s="1"/>
  <c r="P239" i="42" a="1"/>
  <c r="P239" i="42" s="1"/>
  <c r="P248" i="42" a="1"/>
  <c r="P248" i="42" s="1"/>
  <c r="P303" i="42" a="1"/>
  <c r="P303" i="42" s="1"/>
  <c r="P235" i="42" a="1"/>
  <c r="P235" i="42" s="1"/>
  <c r="P272" i="42" a="1"/>
  <c r="P272" i="42" s="1"/>
  <c r="P263" i="42" a="1"/>
  <c r="P263" i="42" s="1"/>
  <c r="P255" i="42" a="1"/>
  <c r="P255" i="42" s="1"/>
  <c r="AF443" i="42" a="1"/>
  <c r="AF443" i="42" s="1"/>
  <c r="AF439" i="42" a="1"/>
  <c r="AF439" i="42" s="1"/>
  <c r="AF407" i="42" a="1"/>
  <c r="AF407" i="42" s="1"/>
  <c r="AF419" i="42" a="1"/>
  <c r="AF419" i="42" s="1"/>
  <c r="AF399" i="42" a="1"/>
  <c r="AF399" i="42" s="1"/>
  <c r="AF431" i="42" a="1"/>
  <c r="AF431" i="42" s="1"/>
  <c r="AF415" i="42" a="1"/>
  <c r="AF415" i="42" s="1"/>
  <c r="AF447" i="42" a="1"/>
  <c r="AF447" i="42" s="1"/>
  <c r="AF427" i="42" a="1"/>
  <c r="AF427" i="42" s="1"/>
  <c r="AF403" i="42" a="1"/>
  <c r="AF403" i="42" s="1"/>
  <c r="AF379" i="42" a="1"/>
  <c r="AF379" i="42" s="1"/>
  <c r="AF391" i="42" a="1"/>
  <c r="AF391" i="42" s="1"/>
  <c r="AF467" i="42" s="1"/>
  <c r="AF395" i="42" a="1"/>
  <c r="AF395" i="42" s="1"/>
  <c r="AF387" i="42" a="1"/>
  <c r="AF387" i="42" s="1"/>
  <c r="AF435" i="42" a="1"/>
  <c r="AF435" i="42" s="1"/>
  <c r="AF359" i="42" a="1"/>
  <c r="AF359" i="42" s="1"/>
  <c r="AF347" i="42" a="1"/>
  <c r="AF347" i="42" s="1"/>
  <c r="AF455" i="42" s="1"/>
  <c r="AF363" i="42" a="1"/>
  <c r="AF363" i="42" s="1"/>
  <c r="AF459" i="42" s="1"/>
  <c r="AF367" i="42" a="1"/>
  <c r="AF367" i="42" s="1"/>
  <c r="AF351" i="42" a="1"/>
  <c r="AF351" i="42" s="1"/>
  <c r="AF383" i="42" a="1"/>
  <c r="AF383" i="42" s="1"/>
  <c r="AF375" i="42" a="1"/>
  <c r="AF375" i="42" s="1"/>
  <c r="AF371" i="42" a="1"/>
  <c r="AF371" i="42" s="1"/>
  <c r="AF463" i="42" s="1"/>
  <c r="AF423" i="42" a="1"/>
  <c r="AF423" i="42" s="1"/>
  <c r="AF355" i="42" a="1"/>
  <c r="AF355" i="42" s="1"/>
  <c r="AF307" i="42" a="1"/>
  <c r="AF307" i="42" s="1"/>
  <c r="AF319" i="42" a="1"/>
  <c r="AF319" i="42" s="1"/>
  <c r="AF304" i="42" a="1"/>
  <c r="AF304" i="42" s="1"/>
  <c r="AF295" i="42" a="1"/>
  <c r="AF295" i="42" s="1"/>
  <c r="AF331" i="42" a="1"/>
  <c r="AF331" i="42" s="1"/>
  <c r="AF323" i="42" a="1"/>
  <c r="AF323" i="42" s="1"/>
  <c r="AF335" i="42" a="1"/>
  <c r="AF335" i="42" s="1"/>
  <c r="AF339" i="42" a="1"/>
  <c r="AF339" i="42" s="1"/>
  <c r="AF271" i="42" a="1"/>
  <c r="AF271" i="42" s="1"/>
  <c r="AF260" i="42" a="1"/>
  <c r="AF260" i="42" s="1"/>
  <c r="AF299" i="42" a="1"/>
  <c r="AF299" i="42" s="1"/>
  <c r="AF283" i="42" a="1"/>
  <c r="AF283" i="42" s="1"/>
  <c r="AF303" i="42" a="1"/>
  <c r="AF303" i="42" s="1"/>
  <c r="AF268" i="42" a="1"/>
  <c r="AF268" i="42" s="1"/>
  <c r="AF247" i="42" a="1"/>
  <c r="AF247" i="42" s="1"/>
  <c r="AF276" i="42" a="1"/>
  <c r="AF276" i="42" s="1"/>
  <c r="AF259" i="42" a="1"/>
  <c r="AF259" i="42" s="1"/>
  <c r="AF267" i="42" a="1"/>
  <c r="AF267" i="42" s="1"/>
  <c r="AF315" i="42" a="1"/>
  <c r="AF315" i="42" s="1"/>
  <c r="AF308" i="42" a="1"/>
  <c r="AF308" i="42" s="1"/>
  <c r="AF275" i="42" a="1"/>
  <c r="AF275" i="42" s="1"/>
  <c r="AF264" i="42" a="1"/>
  <c r="AF264" i="42" s="1"/>
  <c r="AF287" i="42" a="1"/>
  <c r="AF287" i="42" s="1"/>
  <c r="AF291" i="42" a="1"/>
  <c r="AF291" i="42" s="1"/>
  <c r="AF255" i="42" a="1"/>
  <c r="AF255" i="42" s="1"/>
  <c r="AF207" i="42" a="1"/>
  <c r="AF207" i="42" s="1"/>
  <c r="AF263" i="42" a="1"/>
  <c r="AF263" i="42" s="1"/>
  <c r="AF223" i="42" a="1"/>
  <c r="AF223" i="42" s="1"/>
  <c r="AF231" i="42" a="1"/>
  <c r="AF231" i="42" s="1"/>
  <c r="AF248" i="42" a="1"/>
  <c r="AF248" i="42" s="1"/>
  <c r="AF216" i="42" a="1"/>
  <c r="AF216" i="42" s="1"/>
  <c r="AF272" i="42" a="1"/>
  <c r="AF272" i="42" s="1"/>
  <c r="AF239" i="42" a="1"/>
  <c r="AF239" i="42" s="1"/>
  <c r="AF244" i="42" a="1"/>
  <c r="AF244" i="42" s="1"/>
  <c r="AF243" i="42" a="1"/>
  <c r="AF243" i="42" s="1"/>
  <c r="AF235" i="42" a="1"/>
  <c r="AF235" i="42" s="1"/>
  <c r="AL183" i="42" a="1"/>
  <c r="AL183" i="42" s="1"/>
  <c r="AT183" i="42" a="1"/>
  <c r="AT183" i="42" s="1"/>
  <c r="O187" i="42" a="1"/>
  <c r="O187" i="42" s="1"/>
  <c r="AE187" i="42" a="1"/>
  <c r="AE187" i="42" s="1"/>
  <c r="M188" i="42" a="1"/>
  <c r="M188" i="42" s="1"/>
  <c r="AM191" i="42" a="1"/>
  <c r="AM191" i="42" s="1"/>
  <c r="P195" i="42" a="1"/>
  <c r="P195" i="42" s="1"/>
  <c r="AF195" i="42" a="1"/>
  <c r="AF195" i="42" s="1"/>
  <c r="AN199" i="42" a="1"/>
  <c r="AN199" i="42" s="1"/>
  <c r="AV199" i="42" a="1"/>
  <c r="AV199" i="42" s="1"/>
  <c r="AN203" i="42" a="1"/>
  <c r="AN203" i="42" s="1"/>
  <c r="AX203" i="42" a="1"/>
  <c r="AX203" i="42" s="1"/>
  <c r="AN207" i="42" a="1"/>
  <c r="AN207" i="42" s="1"/>
  <c r="S208" i="42" a="1"/>
  <c r="S208" i="42" s="1"/>
  <c r="AO216" i="42" a="1"/>
  <c r="AO216" i="42" s="1"/>
  <c r="Q439" i="42" a="1"/>
  <c r="Q439" i="42" s="1"/>
  <c r="Q447" i="42" a="1"/>
  <c r="Q447" i="42" s="1"/>
  <c r="Q443" i="42" a="1"/>
  <c r="Q443" i="42" s="1"/>
  <c r="Q419" i="42" a="1"/>
  <c r="Q419" i="42" s="1"/>
  <c r="Q431" i="42" a="1"/>
  <c r="Q431" i="42" s="1"/>
  <c r="Q399" i="42" a="1"/>
  <c r="Q399" i="42" s="1"/>
  <c r="Q415" i="42" a="1"/>
  <c r="Q415" i="42" s="1"/>
  <c r="Q427" i="42" a="1"/>
  <c r="Q427" i="42" s="1"/>
  <c r="Q435" i="42" a="1"/>
  <c r="Q435" i="42" s="1"/>
  <c r="Q403" i="42" a="1"/>
  <c r="Q403" i="42" s="1"/>
  <c r="Q423" i="42" a="1"/>
  <c r="Q423" i="42" s="1"/>
  <c r="Q391" i="42" a="1"/>
  <c r="Q391" i="42" s="1"/>
  <c r="Q467" i="42" s="1"/>
  <c r="Q359" i="42" a="1"/>
  <c r="Q359" i="42" s="1"/>
  <c r="Q371" i="42" a="1"/>
  <c r="Q371" i="42" s="1"/>
  <c r="Q463" i="42" s="1"/>
  <c r="Q383" i="42" a="1"/>
  <c r="Q383" i="42" s="1"/>
  <c r="Q407" i="42" a="1"/>
  <c r="Q407" i="42" s="1"/>
  <c r="Q375" i="42" a="1"/>
  <c r="Q375" i="42" s="1"/>
  <c r="Q387" i="42" a="1"/>
  <c r="Q387" i="42" s="1"/>
  <c r="Q347" i="42" a="1"/>
  <c r="Q347" i="42" s="1"/>
  <c r="Q455" i="42" s="1"/>
  <c r="Q331" i="42" a="1"/>
  <c r="Q331" i="42" s="1"/>
  <c r="Q379" i="42" a="1"/>
  <c r="Q379" i="42" s="1"/>
  <c r="Q339" i="42" a="1"/>
  <c r="Q339" i="42" s="1"/>
  <c r="Q395" i="42" a="1"/>
  <c r="Q395" i="42" s="1"/>
  <c r="Q351" i="42" a="1"/>
  <c r="Q351" i="42" s="1"/>
  <c r="Q363" i="42" a="1"/>
  <c r="Q363" i="42" s="1"/>
  <c r="Q459" i="42" s="1"/>
  <c r="Q367" i="42" a="1"/>
  <c r="Q367" i="42" s="1"/>
  <c r="Q355" i="42" a="1"/>
  <c r="Q355" i="42" s="1"/>
  <c r="Q335" i="42" a="1"/>
  <c r="Q335" i="42" s="1"/>
  <c r="Q319" i="42" a="1"/>
  <c r="Q319" i="42" s="1"/>
  <c r="Q304" i="42" a="1"/>
  <c r="Q304" i="42" s="1"/>
  <c r="Q295" i="42" a="1"/>
  <c r="Q295" i="42" s="1"/>
  <c r="Q303" i="42" a="1"/>
  <c r="Q303" i="42" s="1"/>
  <c r="Q323" i="42" a="1"/>
  <c r="Q323" i="42" s="1"/>
  <c r="Q308" i="42" a="1"/>
  <c r="Q308" i="42" s="1"/>
  <c r="Q283" i="42" a="1"/>
  <c r="Q283" i="42" s="1"/>
  <c r="Q268" i="42" a="1"/>
  <c r="Q268" i="42" s="1"/>
  <c r="Q247" i="42" a="1"/>
  <c r="Q247" i="42" s="1"/>
  <c r="Q291" i="42" a="1"/>
  <c r="Q291" i="42" s="1"/>
  <c r="Q276" i="42" a="1"/>
  <c r="Q276" i="42" s="1"/>
  <c r="Q259" i="42" a="1"/>
  <c r="Q259" i="42" s="1"/>
  <c r="Q267" i="42" a="1"/>
  <c r="Q267" i="42" s="1"/>
  <c r="Q275" i="42" a="1"/>
  <c r="Q275" i="42" s="1"/>
  <c r="Q264" i="42" a="1"/>
  <c r="Q264" i="42" s="1"/>
  <c r="Q287" i="42" a="1"/>
  <c r="Q287" i="42" s="1"/>
  <c r="Q307" i="42" a="1"/>
  <c r="Q307" i="42" s="1"/>
  <c r="Q272" i="42" a="1"/>
  <c r="Q272" i="42" s="1"/>
  <c r="Q244" i="42" a="1"/>
  <c r="Q244" i="42" s="1"/>
  <c r="Q243" i="42" a="1"/>
  <c r="Q243" i="42" s="1"/>
  <c r="Q260" i="42" a="1"/>
  <c r="Q260" i="42" s="1"/>
  <c r="Q223" i="42" a="1"/>
  <c r="Q223" i="42" s="1"/>
  <c r="Q299" i="42" a="1"/>
  <c r="Q299" i="42" s="1"/>
  <c r="Q231" i="42" a="1"/>
  <c r="Q231" i="42" s="1"/>
  <c r="Q216" i="42" a="1"/>
  <c r="Q216" i="42" s="1"/>
  <c r="Q239" i="42" a="1"/>
  <c r="Q239" i="42" s="1"/>
  <c r="Q271" i="42" a="1"/>
  <c r="Q271" i="42" s="1"/>
  <c r="Q248" i="42" a="1"/>
  <c r="Q248" i="42" s="1"/>
  <c r="Q227" i="42" a="1"/>
  <c r="Q227" i="42" s="1"/>
  <c r="Q315" i="42" a="1"/>
  <c r="Q315" i="42" s="1"/>
  <c r="AK471" i="42" a="1"/>
  <c r="AK471" i="42" s="1"/>
  <c r="S183" i="42" a="1"/>
  <c r="S183" i="42" s="1"/>
  <c r="L191" i="42" a="1"/>
  <c r="L191" i="42" s="1"/>
  <c r="T191" i="42" a="1"/>
  <c r="T191" i="42" s="1"/>
  <c r="AB191" i="42" a="1"/>
  <c r="AB191" i="42" s="1"/>
  <c r="M199" i="42" a="1"/>
  <c r="M199" i="42" s="1"/>
  <c r="U199" i="42" a="1"/>
  <c r="U199" i="42" s="1"/>
  <c r="AC199" i="42" a="1"/>
  <c r="AC199" i="42" s="1"/>
  <c r="O203" i="42" a="1"/>
  <c r="O203" i="42" s="1"/>
  <c r="O204" i="42" a="1"/>
  <c r="O204" i="42" s="1"/>
  <c r="L207" i="42" a="1"/>
  <c r="L207" i="42" s="1"/>
  <c r="Z207" i="42" a="1"/>
  <c r="Z207" i="42" s="1"/>
  <c r="AC223" i="42" a="1"/>
  <c r="AC223" i="42" s="1"/>
  <c r="R439" i="42" a="1"/>
  <c r="R439" i="42" s="1"/>
  <c r="R435" i="42" a="1"/>
  <c r="R435" i="42" s="1"/>
  <c r="R447" i="42" a="1"/>
  <c r="R447" i="42" s="1"/>
  <c r="R415" i="42" a="1"/>
  <c r="R415" i="42" s="1"/>
  <c r="R427" i="42" a="1"/>
  <c r="R427" i="42" s="1"/>
  <c r="R443" i="42" a="1"/>
  <c r="R443" i="42" s="1"/>
  <c r="R423" i="42" a="1"/>
  <c r="R423" i="42" s="1"/>
  <c r="R419" i="42" a="1"/>
  <c r="R419" i="42" s="1"/>
  <c r="R431" i="42" a="1"/>
  <c r="R431" i="42" s="1"/>
  <c r="R371" i="42" a="1"/>
  <c r="R371" i="42" s="1"/>
  <c r="R463" i="42" s="1"/>
  <c r="R383" i="42" a="1"/>
  <c r="R383" i="42" s="1"/>
  <c r="R407" i="42" a="1"/>
  <c r="R407" i="42" s="1"/>
  <c r="R403" i="42" a="1"/>
  <c r="R403" i="42" s="1"/>
  <c r="R387" i="42" a="1"/>
  <c r="R387" i="42" s="1"/>
  <c r="R399" i="42" a="1"/>
  <c r="R399" i="42" s="1"/>
  <c r="R395" i="42" a="1"/>
  <c r="R395" i="42" s="1"/>
  <c r="R379" i="42" a="1"/>
  <c r="R379" i="42" s="1"/>
  <c r="R339" i="42" a="1"/>
  <c r="R339" i="42" s="1"/>
  <c r="R351" i="42" a="1"/>
  <c r="R351" i="42" s="1"/>
  <c r="R363" i="42" a="1"/>
  <c r="R363" i="42" s="1"/>
  <c r="R459" i="42" s="1"/>
  <c r="R391" i="42" a="1"/>
  <c r="R391" i="42" s="1"/>
  <c r="R467" i="42" s="1"/>
  <c r="R367" i="42" a="1"/>
  <c r="R367" i="42" s="1"/>
  <c r="R375" i="42" a="1"/>
  <c r="R375" i="42" s="1"/>
  <c r="R359" i="42" a="1"/>
  <c r="R359" i="42" s="1"/>
  <c r="R304" i="42" a="1"/>
  <c r="R304" i="42" s="1"/>
  <c r="R295" i="42" a="1"/>
  <c r="R295" i="42" s="1"/>
  <c r="R303" i="42" a="1"/>
  <c r="R303" i="42" s="1"/>
  <c r="R331" i="42" a="1"/>
  <c r="R331" i="42" s="1"/>
  <c r="R315" i="42" a="1"/>
  <c r="R315" i="42" s="1"/>
  <c r="R323" i="42" a="1"/>
  <c r="R323" i="42" s="1"/>
  <c r="R308" i="42" a="1"/>
  <c r="R308" i="42" s="1"/>
  <c r="R291" i="42" a="1"/>
  <c r="R291" i="42" s="1"/>
  <c r="R347" i="42" a="1"/>
  <c r="R347" i="42" s="1"/>
  <c r="R455" i="42" s="1"/>
  <c r="R355" i="42" a="1"/>
  <c r="R355" i="42" s="1"/>
  <c r="R335" i="42" a="1"/>
  <c r="R335" i="42" s="1"/>
  <c r="R276" i="42" a="1"/>
  <c r="R276" i="42" s="1"/>
  <c r="R259" i="42" a="1"/>
  <c r="R259" i="42" s="1"/>
  <c r="R244" i="42" a="1"/>
  <c r="R244" i="42" s="1"/>
  <c r="R267" i="42" a="1"/>
  <c r="R267" i="42" s="1"/>
  <c r="R275" i="42" a="1"/>
  <c r="R275" i="42" s="1"/>
  <c r="R264" i="42" a="1"/>
  <c r="R264" i="42" s="1"/>
  <c r="R287" i="42" a="1"/>
  <c r="R287" i="42" s="1"/>
  <c r="R307" i="42" a="1"/>
  <c r="R307" i="42" s="1"/>
  <c r="R272" i="42" a="1"/>
  <c r="R272" i="42" s="1"/>
  <c r="R255" i="42" a="1"/>
  <c r="R255" i="42" s="1"/>
  <c r="R319" i="42" a="1"/>
  <c r="R319" i="42" s="1"/>
  <c r="R299" i="42" a="1"/>
  <c r="R299" i="42" s="1"/>
  <c r="R283" i="42" a="1"/>
  <c r="R283" i="42" s="1"/>
  <c r="R231" i="42" a="1"/>
  <c r="R231" i="42" s="1"/>
  <c r="R216" i="42" a="1"/>
  <c r="R216" i="42" s="1"/>
  <c r="R239" i="42" a="1"/>
  <c r="R239" i="42" s="1"/>
  <c r="R271" i="42" a="1"/>
  <c r="R271" i="42" s="1"/>
  <c r="R268" i="42" a="1"/>
  <c r="R268" i="42" s="1"/>
  <c r="R248" i="42" a="1"/>
  <c r="R248" i="42" s="1"/>
  <c r="R215" i="42" a="1"/>
  <c r="R215" i="42" s="1"/>
  <c r="R247" i="42" a="1"/>
  <c r="R247" i="42" s="1"/>
  <c r="R227" i="42" a="1"/>
  <c r="R227" i="42" s="1"/>
  <c r="R235" i="42" a="1"/>
  <c r="R235" i="42" s="1"/>
  <c r="R263" i="42" a="1"/>
  <c r="R263" i="42" s="1"/>
  <c r="R243" i="42" a="1"/>
  <c r="R243" i="42" s="1"/>
  <c r="R260" i="42" a="1"/>
  <c r="R260" i="42" s="1"/>
  <c r="AL400" i="42" a="1"/>
  <c r="AL400" i="42" s="1"/>
  <c r="AL399" i="42" a="1"/>
  <c r="AL399" i="42" s="1"/>
  <c r="AL404" i="42" a="1"/>
  <c r="AL404" i="42" s="1"/>
  <c r="AL403" i="42" a="1"/>
  <c r="AL403" i="42" s="1"/>
  <c r="AL384" i="42" a="1"/>
  <c r="AL384" i="42" s="1"/>
  <c r="AL383" i="42" a="1"/>
  <c r="AL383" i="42" s="1"/>
  <c r="AL364" i="42" a="1"/>
  <c r="AL364" i="42" s="1"/>
  <c r="AL363" i="42" a="1"/>
  <c r="AL363" i="42" s="1"/>
  <c r="AL408" i="42" a="1"/>
  <c r="AL408" i="42" s="1"/>
  <c r="AL395" i="42" a="1"/>
  <c r="AL395" i="42" s="1"/>
  <c r="AL376" i="42" a="1"/>
  <c r="AL376" i="42" s="1"/>
  <c r="AL375" i="42" a="1"/>
  <c r="AL375" i="42" s="1"/>
  <c r="AL396" i="42" a="1"/>
  <c r="AL396" i="42" s="1"/>
  <c r="AL388" i="42" a="1"/>
  <c r="AL388" i="42" s="1"/>
  <c r="AL387" i="42" a="1"/>
  <c r="AL387" i="42" s="1"/>
  <c r="AL407" i="42" a="1"/>
  <c r="AL407" i="42" s="1"/>
  <c r="AL392" i="42" a="1"/>
  <c r="AL392" i="42" s="1"/>
  <c r="AL391" i="42" a="1"/>
  <c r="AL391" i="42" s="1"/>
  <c r="AL339" i="42" a="1"/>
  <c r="AL339" i="42" s="1"/>
  <c r="AL379" i="42" a="1"/>
  <c r="AL379" i="42" s="1"/>
  <c r="AL367" i="42" a="1"/>
  <c r="AL367" i="42" s="1"/>
  <c r="AL352" i="42" a="1"/>
  <c r="AL352" i="42" s="1"/>
  <c r="AL351" i="42" a="1"/>
  <c r="AL351" i="42" s="1"/>
  <c r="AL372" i="42" a="1"/>
  <c r="AL372" i="42" s="1"/>
  <c r="AL360" i="42" a="1"/>
  <c r="AL360" i="42" s="1"/>
  <c r="AL356" i="42" a="1"/>
  <c r="AL356" i="42" s="1"/>
  <c r="AL355" i="42" a="1"/>
  <c r="AL355" i="42" s="1"/>
  <c r="AL371" i="42" a="1"/>
  <c r="AL371" i="42" s="1"/>
  <c r="AL368" i="42" a="1"/>
  <c r="AL368" i="42" s="1"/>
  <c r="AL380" i="42" a="1"/>
  <c r="AL380" i="42" s="1"/>
  <c r="AL359" i="42" a="1"/>
  <c r="AL359" i="42" s="1"/>
  <c r="AL295" i="42" a="1"/>
  <c r="AL295" i="42" s="1"/>
  <c r="AL303" i="42" a="1"/>
  <c r="AL303" i="42" s="1"/>
  <c r="AL315" i="42" a="1"/>
  <c r="AL315" i="42" s="1"/>
  <c r="AL348" i="42" a="1"/>
  <c r="AL348" i="42" s="1"/>
  <c r="AL323" i="42" a="1"/>
  <c r="AL323" i="42" s="1"/>
  <c r="AL335" i="42" a="1"/>
  <c r="AL335" i="42" s="1"/>
  <c r="AL331" i="42" a="1"/>
  <c r="AL331" i="42" s="1"/>
  <c r="AL347" i="42" a="1"/>
  <c r="AL347" i="42" s="1"/>
  <c r="AL307" i="42" a="1"/>
  <c r="AL307" i="42" s="1"/>
  <c r="AL319" i="42" a="1"/>
  <c r="AL319" i="42" s="1"/>
  <c r="AL259" i="42" a="1"/>
  <c r="AL259" i="42" s="1"/>
  <c r="AL267" i="42" a="1"/>
  <c r="AL267" i="42" s="1"/>
  <c r="AL275" i="42" a="1"/>
  <c r="AL275" i="42" s="1"/>
  <c r="AL287" i="42" a="1"/>
  <c r="AL287" i="42" s="1"/>
  <c r="AL255" i="42" a="1"/>
  <c r="AL255" i="42" s="1"/>
  <c r="AL291" i="42" a="1"/>
  <c r="AL291" i="42" s="1"/>
  <c r="AL263" i="42" a="1"/>
  <c r="AL263" i="42" s="1"/>
  <c r="AL271" i="42" a="1"/>
  <c r="AL271" i="42" s="1"/>
  <c r="AL299" i="42" a="1"/>
  <c r="AL299" i="42" s="1"/>
  <c r="AL283" i="42" a="1"/>
  <c r="AL283" i="42" s="1"/>
  <c r="AL231" i="42" a="1"/>
  <c r="AL231" i="42" s="1"/>
  <c r="AL216" i="42" a="1"/>
  <c r="AL216" i="42" s="1"/>
  <c r="AL239" i="42" a="1"/>
  <c r="AL239" i="42" s="1"/>
  <c r="AL203" i="42" a="1"/>
  <c r="AL203" i="42" s="1"/>
  <c r="AL243" i="42" a="1"/>
  <c r="AL243" i="42" s="1"/>
  <c r="AL215" i="42" a="1"/>
  <c r="AL215" i="42" s="1"/>
  <c r="AL227" i="42" a="1"/>
  <c r="AL227" i="42" s="1"/>
  <c r="AL235" i="42" a="1"/>
  <c r="AL235" i="42" s="1"/>
  <c r="AM183" i="42" a="1"/>
  <c r="AM183" i="42" s="1"/>
  <c r="P187" i="42" a="1"/>
  <c r="P187" i="42" s="1"/>
  <c r="AF187" i="42" a="1"/>
  <c r="AF187" i="42" s="1"/>
  <c r="AN191" i="42" a="1"/>
  <c r="AN191" i="42" s="1"/>
  <c r="AV191" i="42" a="1"/>
  <c r="AV191" i="42" s="1"/>
  <c r="Q195" i="42" a="1"/>
  <c r="Q195" i="42" s="1"/>
  <c r="O196" i="42" a="1"/>
  <c r="O196" i="42" s="1"/>
  <c r="AO199" i="42" a="1"/>
  <c r="AO199" i="42" s="1"/>
  <c r="AW199" i="42" a="1"/>
  <c r="AW199" i="42" s="1"/>
  <c r="AO203" i="42" a="1"/>
  <c r="AO203" i="42" s="1"/>
  <c r="AO207" i="42" a="1"/>
  <c r="AO207" i="42" s="1"/>
  <c r="J223" i="42" a="1"/>
  <c r="J223" i="42" s="1"/>
  <c r="O227" i="42" a="1"/>
  <c r="O227" i="42" s="1"/>
  <c r="S447" i="42" a="1"/>
  <c r="S447" i="42" s="1"/>
  <c r="S415" i="42" a="1"/>
  <c r="S415" i="42" s="1"/>
  <c r="S427" i="42" a="1"/>
  <c r="S427" i="42" s="1"/>
  <c r="S443" i="42" a="1"/>
  <c r="S443" i="42" s="1"/>
  <c r="S439" i="42" a="1"/>
  <c r="S439" i="42" s="1"/>
  <c r="S435" i="42" a="1"/>
  <c r="S435" i="42" s="1"/>
  <c r="S403" i="42" a="1"/>
  <c r="S403" i="42" s="1"/>
  <c r="S423" i="42" a="1"/>
  <c r="S423" i="42" s="1"/>
  <c r="S395" i="42" a="1"/>
  <c r="S395" i="42" s="1"/>
  <c r="S407" i="42" a="1"/>
  <c r="S407" i="42" s="1"/>
  <c r="S383" i="42" a="1"/>
  <c r="S383" i="42" s="1"/>
  <c r="S431" i="42" a="1"/>
  <c r="S431" i="42" s="1"/>
  <c r="S363" i="42" a="1"/>
  <c r="S363" i="42" s="1"/>
  <c r="S459" i="42" s="1"/>
  <c r="S419" i="42" a="1"/>
  <c r="S419" i="42" s="1"/>
  <c r="S387" i="42" a="1"/>
  <c r="S387" i="42" s="1"/>
  <c r="S367" i="42" a="1"/>
  <c r="S367" i="42" s="1"/>
  <c r="S379" i="42" a="1"/>
  <c r="S379" i="42" s="1"/>
  <c r="S399" i="42" a="1"/>
  <c r="S399" i="42" s="1"/>
  <c r="S391" i="42" a="1"/>
  <c r="S391" i="42" s="1"/>
  <c r="S467" i="42" s="1"/>
  <c r="S351" i="42" a="1"/>
  <c r="S351" i="42" s="1"/>
  <c r="S355" i="42" a="1"/>
  <c r="S355" i="42" s="1"/>
  <c r="S375" i="42" a="1"/>
  <c r="S375" i="42" s="1"/>
  <c r="S359" i="42" a="1"/>
  <c r="S359" i="42" s="1"/>
  <c r="S371" i="42" a="1"/>
  <c r="S371" i="42" s="1"/>
  <c r="S463" i="42" s="1"/>
  <c r="S339" i="42" a="1"/>
  <c r="S339" i="42" s="1"/>
  <c r="S295" i="42" a="1"/>
  <c r="S295" i="42" s="1"/>
  <c r="S303" i="42" a="1"/>
  <c r="S303" i="42" s="1"/>
  <c r="S331" i="42" a="1"/>
  <c r="S331" i="42" s="1"/>
  <c r="S315" i="42" a="1"/>
  <c r="S315" i="42" s="1"/>
  <c r="S323" i="42" a="1"/>
  <c r="S323" i="42" s="1"/>
  <c r="S308" i="42" a="1"/>
  <c r="S308" i="42" s="1"/>
  <c r="S291" i="42" a="1"/>
  <c r="S291" i="42" s="1"/>
  <c r="S299" i="42" a="1"/>
  <c r="S299" i="42" s="1"/>
  <c r="S347" i="42" a="1"/>
  <c r="S347" i="42" s="1"/>
  <c r="S455" i="42" s="1"/>
  <c r="S307" i="42" a="1"/>
  <c r="S307" i="42" s="1"/>
  <c r="S335" i="42" a="1"/>
  <c r="S335" i="42" s="1"/>
  <c r="S304" i="42" a="1"/>
  <c r="S304" i="42" s="1"/>
  <c r="S244" i="42" a="1"/>
  <c r="S244" i="42" s="1"/>
  <c r="S267" i="42" a="1"/>
  <c r="S267" i="42" s="1"/>
  <c r="S275" i="42" a="1"/>
  <c r="S275" i="42" s="1"/>
  <c r="S264" i="42" a="1"/>
  <c r="S264" i="42" s="1"/>
  <c r="S287" i="42" a="1"/>
  <c r="S287" i="42" s="1"/>
  <c r="S272" i="42" a="1"/>
  <c r="S272" i="42" s="1"/>
  <c r="S255" i="42" a="1"/>
  <c r="S255" i="42" s="1"/>
  <c r="S263" i="42" a="1"/>
  <c r="S263" i="42" s="1"/>
  <c r="S319" i="42" a="1"/>
  <c r="S319" i="42" s="1"/>
  <c r="S271" i="42" a="1"/>
  <c r="S271" i="42" s="1"/>
  <c r="S283" i="42" a="1"/>
  <c r="S283" i="42" s="1"/>
  <c r="S216" i="42" a="1"/>
  <c r="S216" i="42" s="1"/>
  <c r="S259" i="42" a="1"/>
  <c r="S259" i="42" s="1"/>
  <c r="S239" i="42" a="1"/>
  <c r="S239" i="42" s="1"/>
  <c r="S268" i="42" a="1"/>
  <c r="S268" i="42" s="1"/>
  <c r="S203" i="42" a="1"/>
  <c r="S203" i="42" s="1"/>
  <c r="S248" i="42" a="1"/>
  <c r="S248" i="42" s="1"/>
  <c r="S215" i="42" a="1"/>
  <c r="S215" i="42" s="1"/>
  <c r="S247" i="42" a="1"/>
  <c r="S247" i="42" s="1"/>
  <c r="S276" i="42" a="1"/>
  <c r="S276" i="42" s="1"/>
  <c r="S227" i="42" a="1"/>
  <c r="S227" i="42" s="1"/>
  <c r="S235" i="42" a="1"/>
  <c r="S235" i="42" s="1"/>
  <c r="S243" i="42" a="1"/>
  <c r="S243" i="42" s="1"/>
  <c r="AM447" i="42" a="1"/>
  <c r="AM447" i="42" s="1"/>
  <c r="AM439" i="42" a="1"/>
  <c r="AM439" i="42" s="1"/>
  <c r="AM431" i="42" a="1"/>
  <c r="AM431" i="42" s="1"/>
  <c r="AM415" i="42" a="1"/>
  <c r="AM415" i="42" s="1"/>
  <c r="AM427" i="42" a="1"/>
  <c r="AM427" i="42" s="1"/>
  <c r="AM403" i="42" a="1"/>
  <c r="AM403" i="42" s="1"/>
  <c r="AM443" i="42" a="1"/>
  <c r="AM443" i="42" s="1"/>
  <c r="AM423" i="42" a="1"/>
  <c r="AM423" i="42" s="1"/>
  <c r="AM435" i="42" a="1"/>
  <c r="AM435" i="42" s="1"/>
  <c r="AM363" i="42" a="1"/>
  <c r="AM363" i="42" s="1"/>
  <c r="AM459" i="42" s="1"/>
  <c r="AM395" i="42" a="1"/>
  <c r="AM395" i="42" s="1"/>
  <c r="AM375" i="42" a="1"/>
  <c r="AM375" i="42" s="1"/>
  <c r="AM399" i="42" a="1"/>
  <c r="AM399" i="42" s="1"/>
  <c r="AM387" i="42" a="1"/>
  <c r="AM387" i="42" s="1"/>
  <c r="AM407" i="42" a="1"/>
  <c r="AM407" i="42" s="1"/>
  <c r="AM391" i="42" a="1"/>
  <c r="AM391" i="42" s="1"/>
  <c r="AM467" i="42" s="1"/>
  <c r="AM379" i="42" a="1"/>
  <c r="AM379" i="42" s="1"/>
  <c r="AM351" i="42" a="1"/>
  <c r="AM351" i="42" s="1"/>
  <c r="AM367" i="42" a="1"/>
  <c r="AM367" i="42" s="1"/>
  <c r="AM383" i="42" a="1"/>
  <c r="AM383" i="42" s="1"/>
  <c r="AM355" i="42" a="1"/>
  <c r="AM355" i="42" s="1"/>
  <c r="AM419" i="42" a="1"/>
  <c r="AM419" i="42" s="1"/>
  <c r="AM371" i="42" a="1"/>
  <c r="AM371" i="42" s="1"/>
  <c r="AM463" i="42" s="1"/>
  <c r="AM359" i="42" a="1"/>
  <c r="AM359" i="42" s="1"/>
  <c r="AM303" i="42" a="1"/>
  <c r="AM303" i="42" s="1"/>
  <c r="AM315" i="42" a="1"/>
  <c r="AM315" i="42" s="1"/>
  <c r="AM323" i="42" a="1"/>
  <c r="AM323" i="42" s="1"/>
  <c r="AM335" i="42" a="1"/>
  <c r="AM335" i="42" s="1"/>
  <c r="AM331" i="42" a="1"/>
  <c r="AM331" i="42" s="1"/>
  <c r="AM347" i="42" a="1"/>
  <c r="AM347" i="42" s="1"/>
  <c r="AM455" i="42" s="1"/>
  <c r="AM339" i="42" a="1"/>
  <c r="AM339" i="42" s="1"/>
  <c r="AM319" i="42" a="1"/>
  <c r="AM319" i="42" s="1"/>
  <c r="AM267" i="42" a="1"/>
  <c r="AM267" i="42" s="1"/>
  <c r="AM275" i="42" a="1"/>
  <c r="AM275" i="42" s="1"/>
  <c r="AM243" i="42" a="1"/>
  <c r="AM243" i="42" s="1"/>
  <c r="AM287" i="42" a="1"/>
  <c r="AM287" i="42" s="1"/>
  <c r="AM255" i="42" a="1"/>
  <c r="AM255" i="42" s="1"/>
  <c r="AM295" i="42" a="1"/>
  <c r="AM295" i="42" s="1"/>
  <c r="AM291" i="42" a="1"/>
  <c r="AM291" i="42" s="1"/>
  <c r="AM263" i="42" a="1"/>
  <c r="AM263" i="42" s="1"/>
  <c r="AM271" i="42" a="1"/>
  <c r="AM271" i="42" s="1"/>
  <c r="AM283" i="42" a="1"/>
  <c r="AM283" i="42" s="1"/>
  <c r="AM299" i="42" a="1"/>
  <c r="AM299" i="42" s="1"/>
  <c r="AM307" i="42" a="1"/>
  <c r="AM307" i="42" s="1"/>
  <c r="AM239" i="42" a="1"/>
  <c r="AM239" i="42" s="1"/>
  <c r="AM203" i="42" a="1"/>
  <c r="AM203" i="42" s="1"/>
  <c r="AM259" i="42" a="1"/>
  <c r="AM259" i="42" s="1"/>
  <c r="AM215" i="42" a="1"/>
  <c r="AM215" i="42" s="1"/>
  <c r="AM227" i="42" a="1"/>
  <c r="AM227" i="42" s="1"/>
  <c r="AM235" i="42" a="1"/>
  <c r="AM235" i="42" s="1"/>
  <c r="AM247" i="42" a="1"/>
  <c r="AM247" i="42" s="1"/>
  <c r="L183" i="42" a="1"/>
  <c r="L183" i="42" s="1"/>
  <c r="AB183" i="42" a="1"/>
  <c r="AB183" i="42" s="1"/>
  <c r="J184" i="42" a="1"/>
  <c r="J184" i="42" s="1"/>
  <c r="M191" i="42" a="1"/>
  <c r="M191" i="42" s="1"/>
  <c r="AC191" i="42" a="1"/>
  <c r="AC191" i="42" s="1"/>
  <c r="N199" i="42" a="1"/>
  <c r="N199" i="42" s="1"/>
  <c r="AD199" i="42" a="1"/>
  <c r="AD199" i="42" s="1"/>
  <c r="L200" i="42" a="1"/>
  <c r="L200" i="42" s="1"/>
  <c r="AB200" i="42" a="1"/>
  <c r="AB200" i="42" s="1"/>
  <c r="P203" i="42" a="1"/>
  <c r="P203" i="42" s="1"/>
  <c r="Z203" i="42" a="1"/>
  <c r="Z203" i="42" s="1"/>
  <c r="AB204" i="42" a="1"/>
  <c r="AB204" i="42" s="1"/>
  <c r="M207" i="42" a="1"/>
  <c r="M207" i="42" s="1"/>
  <c r="AO215" i="42" a="1"/>
  <c r="AO215" i="42" s="1"/>
  <c r="AX227" i="42" a="1"/>
  <c r="AX227" i="42" s="1"/>
  <c r="AM231" i="42" a="1"/>
  <c r="AM231" i="42" s="1"/>
  <c r="Q263" i="42" a="1"/>
  <c r="Q263" i="42" s="1"/>
  <c r="T447" i="42" a="1"/>
  <c r="T447" i="42" s="1"/>
  <c r="T427" i="42" a="1"/>
  <c r="T427" i="42" s="1"/>
  <c r="T443" i="42" a="1"/>
  <c r="T443" i="42" s="1"/>
  <c r="T439" i="42" a="1"/>
  <c r="T439" i="42" s="1"/>
  <c r="T435" i="42" a="1"/>
  <c r="T435" i="42" s="1"/>
  <c r="T403" i="42" a="1"/>
  <c r="T403" i="42" s="1"/>
  <c r="T423" i="42" a="1"/>
  <c r="T423" i="42" s="1"/>
  <c r="T407" i="42" a="1"/>
  <c r="T407" i="42" s="1"/>
  <c r="T419" i="42" a="1"/>
  <c r="T419" i="42" s="1"/>
  <c r="T431" i="42" a="1"/>
  <c r="T431" i="42" s="1"/>
  <c r="T415" i="42" a="1"/>
  <c r="T415" i="42" s="1"/>
  <c r="T363" i="42" a="1"/>
  <c r="T363" i="42" s="1"/>
  <c r="T459" i="42" s="1"/>
  <c r="T375" i="42" a="1"/>
  <c r="T375" i="42" s="1"/>
  <c r="T387" i="42" a="1"/>
  <c r="T387" i="42" s="1"/>
  <c r="T379" i="42" a="1"/>
  <c r="T379" i="42" s="1"/>
  <c r="T399" i="42" a="1"/>
  <c r="T399" i="42" s="1"/>
  <c r="T395" i="42" a="1"/>
  <c r="T395" i="42" s="1"/>
  <c r="T391" i="42" a="1"/>
  <c r="T391" i="42" s="1"/>
  <c r="T467" i="42" s="1"/>
  <c r="T351" i="42" a="1"/>
  <c r="T351" i="42" s="1"/>
  <c r="T335" i="42" a="1"/>
  <c r="T335" i="42" s="1"/>
  <c r="T383" i="42" a="1"/>
  <c r="T383" i="42" s="1"/>
  <c r="T355" i="42" a="1"/>
  <c r="T355" i="42" s="1"/>
  <c r="T367" i="42" a="1"/>
  <c r="T367" i="42" s="1"/>
  <c r="T359" i="42" a="1"/>
  <c r="T359" i="42" s="1"/>
  <c r="T371" i="42" a="1"/>
  <c r="T371" i="42" s="1"/>
  <c r="T463" i="42" s="1"/>
  <c r="T303" i="42" a="1"/>
  <c r="T303" i="42" s="1"/>
  <c r="T331" i="42" a="1"/>
  <c r="T331" i="42" s="1"/>
  <c r="T315" i="42" a="1"/>
  <c r="T315" i="42" s="1"/>
  <c r="T323" i="42" a="1"/>
  <c r="T323" i="42" s="1"/>
  <c r="T308" i="42" a="1"/>
  <c r="T308" i="42" s="1"/>
  <c r="T299" i="42" a="1"/>
  <c r="T299" i="42" s="1"/>
  <c r="T347" i="42" a="1"/>
  <c r="T347" i="42" s="1"/>
  <c r="T455" i="42" s="1"/>
  <c r="T307" i="42" a="1"/>
  <c r="T307" i="42" s="1"/>
  <c r="T319" i="42" a="1"/>
  <c r="T319" i="42" s="1"/>
  <c r="T304" i="42" a="1"/>
  <c r="T304" i="42" s="1"/>
  <c r="T339" i="42" a="1"/>
  <c r="T339" i="42" s="1"/>
  <c r="T275" i="42" a="1"/>
  <c r="T275" i="42" s="1"/>
  <c r="T264" i="42" a="1"/>
  <c r="T264" i="42" s="1"/>
  <c r="T243" i="42" a="1"/>
  <c r="T243" i="42" s="1"/>
  <c r="T287" i="42" a="1"/>
  <c r="T287" i="42" s="1"/>
  <c r="T272" i="42" a="1"/>
  <c r="T272" i="42" s="1"/>
  <c r="T255" i="42" a="1"/>
  <c r="T255" i="42" s="1"/>
  <c r="T295" i="42" a="1"/>
  <c r="T295" i="42" s="1"/>
  <c r="T263" i="42" a="1"/>
  <c r="T263" i="42" s="1"/>
  <c r="T248" i="42" a="1"/>
  <c r="T248" i="42" s="1"/>
  <c r="T271" i="42" a="1"/>
  <c r="T271" i="42" s="1"/>
  <c r="T260" i="42" a="1"/>
  <c r="T260" i="42" s="1"/>
  <c r="T283" i="42" a="1"/>
  <c r="T283" i="42" s="1"/>
  <c r="T268" i="42" a="1"/>
  <c r="T268" i="42" s="1"/>
  <c r="T203" i="42" a="1"/>
  <c r="T203" i="42" s="1"/>
  <c r="T215" i="42" a="1"/>
  <c r="T215" i="42" s="1"/>
  <c r="T247" i="42" a="1"/>
  <c r="T247" i="42" s="1"/>
  <c r="T276" i="42" a="1"/>
  <c r="T276" i="42" s="1"/>
  <c r="T227" i="42" a="1"/>
  <c r="T227" i="42" s="1"/>
  <c r="T291" i="42" a="1"/>
  <c r="T291" i="42" s="1"/>
  <c r="T208" i="42" a="1"/>
  <c r="T208" i="42" s="1"/>
  <c r="T235" i="42" a="1"/>
  <c r="T235" i="42" s="1"/>
  <c r="T267" i="42" a="1"/>
  <c r="T267" i="42" s="1"/>
  <c r="T223" i="42" a="1"/>
  <c r="T223" i="42" s="1"/>
  <c r="T244" i="42" a="1"/>
  <c r="T244" i="42" s="1"/>
  <c r="T259" i="42" a="1"/>
  <c r="T259" i="42" s="1"/>
  <c r="T239" i="42" a="1"/>
  <c r="T239" i="42" s="1"/>
  <c r="AN435" i="42" a="1"/>
  <c r="AN435" i="42" s="1"/>
  <c r="AN447" i="42" a="1"/>
  <c r="AN447" i="42" s="1"/>
  <c r="AN443" i="42" a="1"/>
  <c r="AN443" i="42" s="1"/>
  <c r="AN439" i="42" a="1"/>
  <c r="AN439" i="42" s="1"/>
  <c r="AN415" i="42" a="1"/>
  <c r="AN415" i="42" s="1"/>
  <c r="AN427" i="42" a="1"/>
  <c r="AN427" i="42" s="1"/>
  <c r="AN403" i="42" a="1"/>
  <c r="AN403" i="42" s="1"/>
  <c r="AN423" i="42" a="1"/>
  <c r="AN423" i="42" s="1"/>
  <c r="AN407" i="42" a="1"/>
  <c r="AN407" i="42" s="1"/>
  <c r="AN419" i="42" a="1"/>
  <c r="AN419" i="42" s="1"/>
  <c r="AN431" i="42" a="1"/>
  <c r="AN431" i="42" s="1"/>
  <c r="AN395" i="42" a="1"/>
  <c r="AN395" i="42" s="1"/>
  <c r="AN375" i="42" a="1"/>
  <c r="AN375" i="42" s="1"/>
  <c r="AN399" i="42" a="1"/>
  <c r="AN399" i="42" s="1"/>
  <c r="AN387" i="42" a="1"/>
  <c r="AN387" i="42" s="1"/>
  <c r="AN379" i="42" a="1"/>
  <c r="AN379" i="42" s="1"/>
  <c r="AN367" i="42" a="1"/>
  <c r="AN367" i="42" s="1"/>
  <c r="AN391" i="42" a="1"/>
  <c r="AN391" i="42" s="1"/>
  <c r="AN467" i="42" s="1"/>
  <c r="AN335" i="42" a="1"/>
  <c r="AN335" i="42" s="1"/>
  <c r="AN383" i="42" a="1"/>
  <c r="AN383" i="42" s="1"/>
  <c r="AN355" i="42" a="1"/>
  <c r="AN355" i="42" s="1"/>
  <c r="AN371" i="42" a="1"/>
  <c r="AN371" i="42" s="1"/>
  <c r="AN463" i="42" s="1"/>
  <c r="AN359" i="42" a="1"/>
  <c r="AN359" i="42" s="1"/>
  <c r="AN363" i="42" a="1"/>
  <c r="AN363" i="42" s="1"/>
  <c r="AN459" i="42" s="1"/>
  <c r="AN315" i="42" a="1"/>
  <c r="AN315" i="42" s="1"/>
  <c r="AN323" i="42" a="1"/>
  <c r="AN323" i="42" s="1"/>
  <c r="AN331" i="42" a="1"/>
  <c r="AN331" i="42" s="1"/>
  <c r="AN299" i="42" a="1"/>
  <c r="AN299" i="42" s="1"/>
  <c r="AN347" i="42" a="1"/>
  <c r="AN347" i="42" s="1"/>
  <c r="AN455" i="42" s="1"/>
  <c r="AN339" i="42" a="1"/>
  <c r="AN339" i="42" s="1"/>
  <c r="AN319" i="42" a="1"/>
  <c r="AN319" i="42" s="1"/>
  <c r="AN351" i="42" a="1"/>
  <c r="AN351" i="42" s="1"/>
  <c r="AN275" i="42" a="1"/>
  <c r="AN275" i="42" s="1"/>
  <c r="AN303" i="42" a="1"/>
  <c r="AN303" i="42" s="1"/>
  <c r="AN243" i="42" a="1"/>
  <c r="AN243" i="42" s="1"/>
  <c r="AN287" i="42" a="1"/>
  <c r="AN287" i="42" s="1"/>
  <c r="AN255" i="42" a="1"/>
  <c r="AN255" i="42" s="1"/>
  <c r="AN295" i="42" a="1"/>
  <c r="AN295" i="42" s="1"/>
  <c r="AN291" i="42" a="1"/>
  <c r="AN291" i="42" s="1"/>
  <c r="AN263" i="42" a="1"/>
  <c r="AN263" i="42" s="1"/>
  <c r="AN271" i="42" a="1"/>
  <c r="AN271" i="42" s="1"/>
  <c r="AN283" i="42" a="1"/>
  <c r="AN283" i="42" s="1"/>
  <c r="AN307" i="42" a="1"/>
  <c r="AN307" i="42" s="1"/>
  <c r="AN267" i="42" a="1"/>
  <c r="AN267" i="42" s="1"/>
  <c r="AN259" i="42" a="1"/>
  <c r="AN259" i="42" s="1"/>
  <c r="AN215" i="42" a="1"/>
  <c r="AN215" i="42" s="1"/>
  <c r="AN227" i="42" a="1"/>
  <c r="AN227" i="42" s="1"/>
  <c r="AN235" i="42" a="1"/>
  <c r="AN235" i="42" s="1"/>
  <c r="AN247" i="42" a="1"/>
  <c r="AN247" i="42" s="1"/>
  <c r="AN223" i="42" a="1"/>
  <c r="AN223" i="42" s="1"/>
  <c r="AN239" i="42" a="1"/>
  <c r="AN239" i="42" s="1"/>
  <c r="AN183" i="42" a="1"/>
  <c r="AN183" i="42" s="1"/>
  <c r="AV183" i="42" a="1"/>
  <c r="AV183" i="42" s="1"/>
  <c r="Q187" i="42" a="1"/>
  <c r="Q187" i="42" s="1"/>
  <c r="O188" i="42" a="1"/>
  <c r="O188" i="42" s="1"/>
  <c r="AW191" i="42" a="1"/>
  <c r="AW191" i="42" s="1"/>
  <c r="J195" i="42" a="1"/>
  <c r="J195" i="42" s="1"/>
  <c r="R195" i="42" a="1"/>
  <c r="R195" i="42" s="1"/>
  <c r="Z195" i="42" a="1"/>
  <c r="Z195" i="42" s="1"/>
  <c r="AX199" i="42" a="1"/>
  <c r="AX199" i="42" s="1"/>
  <c r="AL223" i="42" a="1"/>
  <c r="AL223" i="42" s="1"/>
  <c r="P227" i="42" a="1"/>
  <c r="P227" i="42" s="1"/>
  <c r="U447" i="42" a="1"/>
  <c r="U447" i="42" s="1"/>
  <c r="U443" i="42" a="1"/>
  <c r="U443" i="42" s="1"/>
  <c r="U439" i="42" a="1"/>
  <c r="U439" i="42" s="1"/>
  <c r="U435" i="42" a="1"/>
  <c r="U435" i="42" s="1"/>
  <c r="U403" i="42" a="1"/>
  <c r="U403" i="42" s="1"/>
  <c r="U423" i="42" a="1"/>
  <c r="U423" i="42" s="1"/>
  <c r="U419" i="42" a="1"/>
  <c r="U419" i="42" s="1"/>
  <c r="U431" i="42" a="1"/>
  <c r="U431" i="42" s="1"/>
  <c r="U427" i="42" a="1"/>
  <c r="U427" i="42" s="1"/>
  <c r="U375" i="42" a="1"/>
  <c r="U375" i="42" s="1"/>
  <c r="U407" i="42" a="1"/>
  <c r="U407" i="42" s="1"/>
  <c r="U387" i="42" a="1"/>
  <c r="U387" i="42" s="1"/>
  <c r="U399" i="42" a="1"/>
  <c r="U399" i="42" s="1"/>
  <c r="U395" i="42" a="1"/>
  <c r="U395" i="42" s="1"/>
  <c r="U391" i="42" a="1"/>
  <c r="U391" i="42" s="1"/>
  <c r="U467" i="42" s="1"/>
  <c r="U415" i="42" a="1"/>
  <c r="U415" i="42" s="1"/>
  <c r="U335" i="42" a="1"/>
  <c r="U335" i="42" s="1"/>
  <c r="U383" i="42" a="1"/>
  <c r="U383" i="42" s="1"/>
  <c r="U355" i="42" a="1"/>
  <c r="U355" i="42" s="1"/>
  <c r="U367" i="42" a="1"/>
  <c r="U367" i="42" s="1"/>
  <c r="U359" i="42" a="1"/>
  <c r="U359" i="42" s="1"/>
  <c r="U363" i="42" a="1"/>
  <c r="U363" i="42" s="1"/>
  <c r="U459" i="42" s="1"/>
  <c r="U347" i="42" a="1"/>
  <c r="U347" i="42" s="1"/>
  <c r="U455" i="42" s="1"/>
  <c r="U371" i="42" a="1"/>
  <c r="U371" i="42" s="1"/>
  <c r="U463" i="42" s="1"/>
  <c r="U379" i="42" a="1"/>
  <c r="U379" i="42" s="1"/>
  <c r="U331" i="42" a="1"/>
  <c r="U331" i="42" s="1"/>
  <c r="U315" i="42" a="1"/>
  <c r="U315" i="42" s="1"/>
  <c r="U323" i="42" a="1"/>
  <c r="U323" i="42" s="1"/>
  <c r="U308" i="42" a="1"/>
  <c r="U308" i="42" s="1"/>
  <c r="U299" i="42" a="1"/>
  <c r="U299" i="42" s="1"/>
  <c r="U307" i="42" a="1"/>
  <c r="U307" i="42" s="1"/>
  <c r="U319" i="42" a="1"/>
  <c r="U319" i="42" s="1"/>
  <c r="U351" i="42" a="1"/>
  <c r="U351" i="42" s="1"/>
  <c r="U339" i="42" a="1"/>
  <c r="U339" i="42" s="1"/>
  <c r="U264" i="42" a="1"/>
  <c r="U264" i="42" s="1"/>
  <c r="U243" i="42" a="1"/>
  <c r="U243" i="42" s="1"/>
  <c r="U287" i="42" a="1"/>
  <c r="U287" i="42" s="1"/>
  <c r="U272" i="42" a="1"/>
  <c r="U272" i="42" s="1"/>
  <c r="U255" i="42" a="1"/>
  <c r="U255" i="42" s="1"/>
  <c r="U295" i="42" a="1"/>
  <c r="U295" i="42" s="1"/>
  <c r="U263" i="42" a="1"/>
  <c r="U263" i="42" s="1"/>
  <c r="U271" i="42" a="1"/>
  <c r="U271" i="42" s="1"/>
  <c r="U260" i="42" a="1"/>
  <c r="U260" i="42" s="1"/>
  <c r="U283" i="42" a="1"/>
  <c r="U283" i="42" s="1"/>
  <c r="U268" i="42" a="1"/>
  <c r="U268" i="42" s="1"/>
  <c r="U276" i="42" a="1"/>
  <c r="U276" i="42" s="1"/>
  <c r="U291" i="42" a="1"/>
  <c r="U291" i="42" s="1"/>
  <c r="U303" i="42" a="1"/>
  <c r="U303" i="42" s="1"/>
  <c r="U215" i="42" a="1"/>
  <c r="U215" i="42" s="1"/>
  <c r="U247" i="42" a="1"/>
  <c r="U247" i="42" s="1"/>
  <c r="U248" i="42" a="1"/>
  <c r="U248" i="42" s="1"/>
  <c r="U227" i="42" a="1"/>
  <c r="U227" i="42" s="1"/>
  <c r="U208" i="42" a="1"/>
  <c r="U208" i="42" s="1"/>
  <c r="U235" i="42" a="1"/>
  <c r="U235" i="42" s="1"/>
  <c r="U304" i="42" a="1"/>
  <c r="U304" i="42" s="1"/>
  <c r="U275" i="42" a="1"/>
  <c r="U275" i="42" s="1"/>
  <c r="U267" i="42" a="1"/>
  <c r="U267" i="42" s="1"/>
  <c r="U231" i="42" a="1"/>
  <c r="U231" i="42" s="1"/>
  <c r="U244" i="42" a="1"/>
  <c r="U244" i="42" s="1"/>
  <c r="AO447" i="42" a="1"/>
  <c r="AO447" i="42" s="1"/>
  <c r="AO431" i="42" a="1"/>
  <c r="AO431" i="42" s="1"/>
  <c r="AO443" i="42" a="1"/>
  <c r="AO443" i="42" s="1"/>
  <c r="AO403" i="42" a="1"/>
  <c r="AO403" i="42" s="1"/>
  <c r="AO423" i="42" a="1"/>
  <c r="AO423" i="42" s="1"/>
  <c r="AO435" i="42" a="1"/>
  <c r="AO435" i="42" s="1"/>
  <c r="AO407" i="42" a="1"/>
  <c r="AO407" i="42" s="1"/>
  <c r="AO419" i="42" a="1"/>
  <c r="AO419" i="42" s="1"/>
  <c r="AO415" i="42" a="1"/>
  <c r="AO415" i="42" s="1"/>
  <c r="AO427" i="42" a="1"/>
  <c r="AO427" i="42" s="1"/>
  <c r="AO399" i="42" a="1"/>
  <c r="AO399" i="42" s="1"/>
  <c r="AO387" i="42" a="1"/>
  <c r="AO387" i="42" s="1"/>
  <c r="AO367" i="42" a="1"/>
  <c r="AO367" i="42" s="1"/>
  <c r="AO379" i="42" a="1"/>
  <c r="AO379" i="42" s="1"/>
  <c r="AO439" i="42" a="1"/>
  <c r="AO439" i="42" s="1"/>
  <c r="AO391" i="42" a="1"/>
  <c r="AO391" i="42" s="1"/>
  <c r="AO467" i="42" s="1"/>
  <c r="AO335" i="42" a="1"/>
  <c r="AO335" i="42" s="1"/>
  <c r="AO383" i="42" a="1"/>
  <c r="AO383" i="42" s="1"/>
  <c r="AO355" i="42" a="1"/>
  <c r="AO355" i="42" s="1"/>
  <c r="AO371" i="42" a="1"/>
  <c r="AO371" i="42" s="1"/>
  <c r="AO463" i="42" s="1"/>
  <c r="AO375" i="42" a="1"/>
  <c r="AO375" i="42" s="1"/>
  <c r="AO347" i="42" a="1"/>
  <c r="AO347" i="42" s="1"/>
  <c r="AO455" i="42" s="1"/>
  <c r="AO359" i="42" a="1"/>
  <c r="AO359" i="42" s="1"/>
  <c r="AO395" i="42" a="1"/>
  <c r="AO395" i="42" s="1"/>
  <c r="AO323" i="42" a="1"/>
  <c r="AO323" i="42" s="1"/>
  <c r="AO331" i="42" a="1"/>
  <c r="AO331" i="42" s="1"/>
  <c r="AO299" i="42" a="1"/>
  <c r="AO299" i="42" s="1"/>
  <c r="AO307" i="42" a="1"/>
  <c r="AO307" i="42" s="1"/>
  <c r="AO339" i="42" a="1"/>
  <c r="AO339" i="42" s="1"/>
  <c r="AO319" i="42" a="1"/>
  <c r="AO319" i="42" s="1"/>
  <c r="AO363" i="42" a="1"/>
  <c r="AO363" i="42" s="1"/>
  <c r="AO459" i="42" s="1"/>
  <c r="AO351" i="42" a="1"/>
  <c r="AO351" i="42" s="1"/>
  <c r="AO287" i="42" a="1"/>
  <c r="AO287" i="42" s="1"/>
  <c r="AO255" i="42" a="1"/>
  <c r="AO255" i="42" s="1"/>
  <c r="AO295" i="42" a="1"/>
  <c r="AO295" i="42" s="1"/>
  <c r="AO291" i="42" a="1"/>
  <c r="AO291" i="42" s="1"/>
  <c r="AO263" i="42" a="1"/>
  <c r="AO263" i="42" s="1"/>
  <c r="AO315" i="42" a="1"/>
  <c r="AO315" i="42" s="1"/>
  <c r="AO271" i="42" a="1"/>
  <c r="AO271" i="42" s="1"/>
  <c r="AO283" i="42" a="1"/>
  <c r="AO283" i="42" s="1"/>
  <c r="AO227" i="42" a="1"/>
  <c r="AO227" i="42" s="1"/>
  <c r="AO243" i="42" a="1"/>
  <c r="AO243" i="42" s="1"/>
  <c r="AO235" i="42" a="1"/>
  <c r="AO235" i="42" s="1"/>
  <c r="AO247" i="42" a="1"/>
  <c r="AO247" i="42" s="1"/>
  <c r="AO223" i="42" a="1"/>
  <c r="AO223" i="42" s="1"/>
  <c r="AO231" i="42" a="1"/>
  <c r="AO231" i="42" s="1"/>
  <c r="AO303" i="42" a="1"/>
  <c r="AO303" i="42" s="1"/>
  <c r="AO239" i="42" a="1"/>
  <c r="AO239" i="42" s="1"/>
  <c r="AO267" i="42" a="1"/>
  <c r="AO267" i="42" s="1"/>
  <c r="AO275" i="42" a="1"/>
  <c r="AO275" i="42" s="1"/>
  <c r="AO259" i="42" a="1"/>
  <c r="AO259" i="42" s="1"/>
  <c r="M183" i="42" a="1"/>
  <c r="M183" i="42" s="1"/>
  <c r="U183" i="42" a="1"/>
  <c r="U183" i="42" s="1"/>
  <c r="AC183" i="42" a="1"/>
  <c r="AC183" i="42" s="1"/>
  <c r="N191" i="42" a="1"/>
  <c r="N191" i="42" s="1"/>
  <c r="AD191" i="42" a="1"/>
  <c r="AD191" i="42" s="1"/>
  <c r="AL195" i="42" a="1"/>
  <c r="AL195" i="42" s="1"/>
  <c r="AT195" i="42" a="1"/>
  <c r="AT195" i="42" s="1"/>
  <c r="O199" i="42" a="1"/>
  <c r="O199" i="42" s="1"/>
  <c r="AE199" i="42" a="1"/>
  <c r="AE199" i="42" s="1"/>
  <c r="M200" i="42" a="1"/>
  <c r="M200" i="42" s="1"/>
  <c r="U200" i="42" a="1"/>
  <c r="U200" i="42" s="1"/>
  <c r="AC200" i="42" a="1"/>
  <c r="AC200" i="42" s="1"/>
  <c r="Q203" i="42" a="1"/>
  <c r="Q203" i="42" s="1"/>
  <c r="AC203" i="42" a="1"/>
  <c r="AC203" i="42" s="1"/>
  <c r="S204" i="42" a="1"/>
  <c r="S204" i="42" s="1"/>
  <c r="AC204" i="42" a="1"/>
  <c r="AC204" i="42" s="1"/>
  <c r="Q207" i="42" a="1"/>
  <c r="Q207" i="42" s="1"/>
  <c r="AB207" i="42" a="1"/>
  <c r="AB207" i="42" s="1"/>
  <c r="L216" i="42" a="1"/>
  <c r="L216" i="42" s="1"/>
  <c r="AB216" i="42" a="1"/>
  <c r="AB216" i="42" s="1"/>
  <c r="AN231" i="42" a="1"/>
  <c r="AN231" i="42" s="1"/>
  <c r="M247" i="42" a="1"/>
  <c r="M247" i="42" s="1"/>
  <c r="Q255" i="42" a="1"/>
  <c r="Q255" i="42" s="1"/>
  <c r="U259" i="42" a="1"/>
  <c r="U259" i="42" s="1"/>
  <c r="C460" i="42"/>
  <c r="AH364" i="42"/>
  <c r="AH460" i="42" s="1"/>
  <c r="C463" i="42"/>
  <c r="AH371" i="42"/>
  <c r="AH463" i="42" s="1"/>
  <c r="C464" i="42"/>
  <c r="AH372" i="42"/>
  <c r="AH464" i="42" s="1"/>
  <c r="AH363" i="42"/>
  <c r="AH459" i="42" s="1"/>
  <c r="AH347" i="42"/>
  <c r="AH455" i="42" s="1"/>
  <c r="AH348" i="42"/>
  <c r="AH456" i="42" s="1"/>
  <c r="H27" i="49"/>
  <c r="AH13" i="49"/>
  <c r="AH27" i="49" s="1"/>
  <c r="X27" i="49"/>
  <c r="AP13" i="49"/>
  <c r="AP27" i="49" s="1"/>
  <c r="AH391" i="42"/>
  <c r="AH467" i="42" s="1"/>
  <c r="AH392" i="42"/>
  <c r="AH468" i="42" s="1"/>
  <c r="F27" i="49"/>
  <c r="AG13" i="49"/>
  <c r="AG27" i="49" s="1"/>
  <c r="AI13" i="49"/>
  <c r="AI27" i="49" s="1"/>
  <c r="J27" i="49"/>
  <c r="Z27" i="49"/>
  <c r="AO13" i="49"/>
  <c r="AO27" i="49" s="1"/>
  <c r="H48" i="49"/>
  <c r="J54" i="49"/>
  <c r="AL62" i="49"/>
  <c r="N78" i="49"/>
  <c r="AN63" i="49"/>
  <c r="P27" i="49"/>
  <c r="F50" i="49"/>
  <c r="F51" i="49"/>
  <c r="F81" i="49"/>
  <c r="H51" i="49"/>
  <c r="L50" i="49"/>
  <c r="J81" i="49"/>
  <c r="R27" i="49"/>
  <c r="AO35" i="49"/>
  <c r="F78" i="49"/>
  <c r="N51" i="49"/>
  <c r="J78" i="49"/>
  <c r="L96" i="49"/>
  <c r="H112" i="49"/>
  <c r="J112" i="49"/>
  <c r="J52" i="49"/>
  <c r="L112" i="49"/>
  <c r="N112" i="49"/>
  <c r="AM71" i="51"/>
  <c r="AM67" i="51"/>
  <c r="CU25" i="51"/>
  <c r="CU43" i="49"/>
  <c r="DY39" i="49"/>
  <c r="DG44" i="49"/>
  <c r="CR42" i="49"/>
  <c r="AO33" i="51"/>
  <c r="DH40" i="49"/>
  <c r="DK142" i="49"/>
  <c r="DS67" i="49"/>
  <c r="CY66" i="49"/>
  <c r="DY43" i="49"/>
  <c r="CT68" i="49"/>
  <c r="CO130" i="49"/>
  <c r="CT107" i="49"/>
  <c r="CN140" i="49"/>
  <c r="DS44" i="49"/>
  <c r="DT41" i="49"/>
  <c r="CT29" i="51"/>
  <c r="DS138" i="49"/>
  <c r="CU66" i="49"/>
  <c r="AH26" i="51"/>
  <c r="S278" i="7"/>
  <c r="DX89" i="49"/>
  <c r="DN42" i="49"/>
  <c r="AL70" i="51"/>
  <c r="CU45" i="49"/>
  <c r="CS137" i="49"/>
  <c r="DY136" i="49"/>
  <c r="DP105" i="49"/>
  <c r="DX140" i="49"/>
  <c r="DY133" i="49"/>
  <c r="R47" i="7"/>
  <c r="CU69" i="49"/>
  <c r="CU71" i="49"/>
  <c r="DK44" i="49"/>
  <c r="T290" i="7"/>
  <c r="S168" i="7"/>
  <c r="CT131" i="49"/>
  <c r="CX31" i="51"/>
  <c r="S270" i="7"/>
  <c r="DW20" i="49"/>
  <c r="CX10" i="51"/>
  <c r="S366" i="7"/>
  <c r="CQ90" i="49"/>
  <c r="DX106" i="49"/>
  <c r="DA18" i="51"/>
  <c r="DU39" i="49"/>
  <c r="T329" i="7"/>
  <c r="AP29" i="51"/>
  <c r="AK11" i="51"/>
  <c r="CS69" i="49"/>
  <c r="CV37" i="51"/>
  <c r="CP44" i="49"/>
  <c r="AG9" i="51"/>
  <c r="DQ66" i="49"/>
  <c r="AP10" i="51"/>
  <c r="AL34" i="51"/>
  <c r="DR45" i="49"/>
  <c r="DG136" i="49"/>
  <c r="CU8" i="51"/>
  <c r="DT20" i="49"/>
  <c r="CO68" i="49"/>
  <c r="CS42" i="49"/>
  <c r="S329" i="7"/>
  <c r="DW43" i="49"/>
  <c r="DJ134" i="49"/>
  <c r="CZ43" i="49"/>
  <c r="CQ66" i="49"/>
  <c r="DV70" i="49"/>
  <c r="DO70" i="49"/>
  <c r="DY132" i="49"/>
  <c r="CT39" i="51"/>
  <c r="AP69" i="51"/>
  <c r="CT30" i="51"/>
  <c r="DH140" i="49"/>
  <c r="T288" i="7"/>
  <c r="CY90" i="49"/>
  <c r="CM130" i="49"/>
  <c r="DZ40" i="49"/>
  <c r="DR89" i="49"/>
  <c r="CY68" i="49"/>
  <c r="DN132" i="49"/>
  <c r="T346" i="7"/>
  <c r="DX68" i="49"/>
  <c r="CS9" i="51"/>
  <c r="AJ8" i="51"/>
  <c r="CT38" i="51"/>
  <c r="CO91" i="49"/>
  <c r="DD139" i="49"/>
  <c r="DL139" i="49"/>
  <c r="CY11" i="51"/>
  <c r="DN41" i="49"/>
  <c r="CR40" i="49"/>
  <c r="DL131" i="49"/>
  <c r="CX136" i="49"/>
  <c r="DB67" i="49"/>
  <c r="CS105" i="49"/>
  <c r="CT71" i="51"/>
  <c r="CZ18" i="51"/>
  <c r="CT134" i="49"/>
  <c r="DO142" i="49"/>
  <c r="CV68" i="49"/>
  <c r="DW133" i="49"/>
  <c r="DX133" i="49"/>
  <c r="CP137" i="49"/>
  <c r="DX138" i="49"/>
  <c r="AN9" i="51"/>
  <c r="CQ106" i="49"/>
  <c r="CZ29" i="51"/>
  <c r="DO43" i="49"/>
  <c r="AK29" i="51"/>
  <c r="CY133" i="49"/>
  <c r="AG67" i="51"/>
  <c r="DK45" i="49"/>
  <c r="DD41" i="49"/>
  <c r="DW138" i="49"/>
  <c r="DN67" i="49"/>
  <c r="DV138" i="49"/>
  <c r="AJ38" i="51"/>
  <c r="AO30" i="51"/>
  <c r="DP91" i="49"/>
  <c r="DZ71" i="49"/>
  <c r="DY91" i="49"/>
  <c r="DA71" i="51"/>
  <c r="DT66" i="49"/>
  <c r="DA11" i="51"/>
  <c r="CZ90" i="49"/>
  <c r="AG30" i="51"/>
  <c r="CY135" i="49"/>
  <c r="DS43" i="49"/>
  <c r="CN44" i="49"/>
  <c r="AH69" i="51"/>
  <c r="S359" i="7"/>
  <c r="DU136" i="49"/>
  <c r="DB131" i="49"/>
  <c r="DG45" i="49"/>
  <c r="T358" i="7"/>
  <c r="CX21" i="51"/>
  <c r="DA131" i="49"/>
  <c r="S286" i="7"/>
  <c r="CW34" i="51"/>
  <c r="CW91" i="49"/>
  <c r="AK26" i="51"/>
  <c r="CY8" i="51"/>
  <c r="DW39" i="49"/>
  <c r="DU72" i="49"/>
  <c r="CQ72" i="49"/>
  <c r="DA34" i="51"/>
  <c r="DL70" i="49"/>
  <c r="CT6" i="51"/>
  <c r="DD43" i="49"/>
  <c r="CS34" i="51"/>
  <c r="CM138" i="49"/>
  <c r="DX41" i="49"/>
  <c r="S305" i="7"/>
  <c r="CV11" i="51"/>
  <c r="DR66" i="49"/>
  <c r="DS66" i="49"/>
  <c r="CP67" i="49"/>
  <c r="CV20" i="49"/>
  <c r="DL137" i="49"/>
  <c r="CM44" i="49"/>
  <c r="CT90" i="49"/>
  <c r="DY137" i="49"/>
  <c r="CS130" i="49"/>
  <c r="DK135" i="49"/>
  <c r="CZ41" i="49"/>
  <c r="CZ131" i="49"/>
  <c r="DK106" i="49"/>
  <c r="DC40" i="49"/>
  <c r="AE34" i="51"/>
  <c r="DH135" i="49"/>
  <c r="S370" i="7"/>
  <c r="DN68" i="49"/>
  <c r="AF30" i="51"/>
  <c r="AM70" i="51"/>
  <c r="DA41" i="49"/>
  <c r="CY33" i="51"/>
  <c r="CY45" i="49"/>
  <c r="DK134" i="49"/>
  <c r="CX40" i="49"/>
  <c r="CZ45" i="49"/>
  <c r="AG69" i="51"/>
  <c r="T373" i="7"/>
  <c r="S267" i="7"/>
  <c r="CW69" i="49"/>
  <c r="AO35" i="51"/>
  <c r="CS72" i="49"/>
  <c r="AJ69" i="51"/>
  <c r="DH43" i="49"/>
  <c r="T221" i="7"/>
  <c r="S247" i="7"/>
  <c r="AK33" i="51"/>
  <c r="AM21" i="51"/>
  <c r="CY72" i="51"/>
  <c r="DW89" i="49"/>
  <c r="S210" i="7"/>
  <c r="DH106" i="49"/>
  <c r="CS67" i="51"/>
  <c r="CR43" i="49"/>
  <c r="AE7" i="51"/>
  <c r="DB138" i="49"/>
  <c r="DV105" i="49"/>
  <c r="T211" i="7"/>
  <c r="DR138" i="49"/>
  <c r="DR130" i="49"/>
  <c r="DV45" i="49"/>
  <c r="CY19" i="51"/>
  <c r="CW29" i="51"/>
  <c r="CR70" i="49"/>
  <c r="DN44" i="49"/>
  <c r="DV136" i="49"/>
  <c r="DF39" i="49"/>
  <c r="DS70" i="49"/>
  <c r="S365" i="7"/>
  <c r="CS26" i="51"/>
  <c r="DP132" i="49"/>
  <c r="S184" i="7"/>
  <c r="DR106" i="49"/>
  <c r="DP42" i="49"/>
  <c r="DX45" i="49"/>
  <c r="AN7" i="51"/>
  <c r="DG70" i="49"/>
  <c r="CR131" i="49"/>
  <c r="CS33" i="51"/>
  <c r="CU70" i="49"/>
  <c r="S347" i="7"/>
  <c r="DK39" i="49"/>
  <c r="DN130" i="49"/>
  <c r="DB89" i="49"/>
  <c r="CW11" i="51"/>
  <c r="CX132" i="49"/>
  <c r="DA68" i="49"/>
  <c r="CZ140" i="49"/>
  <c r="AE30" i="51"/>
  <c r="CO89" i="49"/>
  <c r="DQ141" i="49"/>
  <c r="CU39" i="49"/>
  <c r="DU67" i="49"/>
  <c r="AN34" i="51"/>
  <c r="DT43" i="49"/>
  <c r="AI35" i="51"/>
  <c r="CS136" i="49"/>
  <c r="CV67" i="49"/>
  <c r="DG140" i="49"/>
  <c r="AM17" i="51"/>
  <c r="CQ142" i="49"/>
  <c r="CT105" i="49"/>
  <c r="DW130" i="49"/>
  <c r="CU106" i="49"/>
  <c r="DA25" i="51"/>
  <c r="CY107" i="49"/>
  <c r="DL134" i="49"/>
  <c r="CP40" i="49"/>
  <c r="DA138" i="49"/>
  <c r="DS90" i="49"/>
  <c r="CM136" i="49"/>
  <c r="AN8" i="51"/>
  <c r="CZ105" i="49"/>
  <c r="AF31" i="51"/>
  <c r="AO19" i="51"/>
  <c r="DB72" i="49"/>
  <c r="AI25" i="51"/>
  <c r="R46" i="7"/>
  <c r="DS71" i="49"/>
  <c r="CZ35" i="51"/>
  <c r="DX141" i="49"/>
  <c r="AH33" i="51"/>
  <c r="CS71" i="51"/>
  <c r="DB70" i="49"/>
  <c r="CY44" i="49"/>
  <c r="CV133" i="49"/>
  <c r="DA10" i="51"/>
  <c r="DQ71" i="49"/>
  <c r="DA7" i="51"/>
  <c r="DL136" i="49"/>
  <c r="DJ69" i="49"/>
  <c r="DS132" i="49"/>
  <c r="DX72" i="49"/>
  <c r="DY42" i="49"/>
  <c r="CX66" i="51"/>
  <c r="CU137" i="49"/>
  <c r="CY67" i="49"/>
  <c r="CT20" i="49"/>
  <c r="CV29" i="51"/>
  <c r="CV21" i="51"/>
  <c r="AN30" i="51"/>
  <c r="DS139" i="49"/>
  <c r="CV70" i="51"/>
  <c r="AJ21" i="51"/>
  <c r="CW40" i="49"/>
  <c r="AF70" i="51"/>
  <c r="DO134" i="49"/>
  <c r="DF142" i="49"/>
  <c r="CP41" i="49"/>
  <c r="AP67" i="51"/>
  <c r="DT67" i="49"/>
  <c r="AM9" i="51"/>
  <c r="DD132" i="49"/>
  <c r="DN91" i="49"/>
  <c r="DR42" i="49"/>
  <c r="T174" i="7"/>
  <c r="CZ135" i="49"/>
  <c r="DR131" i="49"/>
  <c r="CV33" i="51"/>
  <c r="DD45" i="49"/>
  <c r="CP133" i="49"/>
  <c r="CO140" i="49"/>
  <c r="DC69" i="49"/>
  <c r="CW67" i="51"/>
  <c r="AF34" i="51"/>
  <c r="DT141" i="49"/>
  <c r="DF107" i="49"/>
  <c r="CS106" i="49"/>
  <c r="S249" i="7"/>
  <c r="T341" i="7"/>
  <c r="DQ132" i="49"/>
  <c r="CP140" i="49"/>
  <c r="DW105" i="49"/>
  <c r="CU21" i="51"/>
  <c r="CX90" i="49"/>
  <c r="DO45" i="49"/>
  <c r="DJ141" i="49"/>
  <c r="CO142" i="49"/>
  <c r="DO139" i="49"/>
  <c r="CU31" i="51"/>
  <c r="DR68" i="49"/>
  <c r="AI71" i="51"/>
  <c r="DF91" i="49"/>
  <c r="CM66" i="49"/>
  <c r="DT139" i="49"/>
  <c r="CY35" i="51"/>
  <c r="DY106" i="49"/>
  <c r="DB137" i="49"/>
  <c r="DB39" i="49"/>
  <c r="DF141" i="49"/>
  <c r="AE35" i="51"/>
  <c r="CO45" i="49"/>
  <c r="DS105" i="49"/>
  <c r="DU141" i="49"/>
  <c r="AH39" i="51"/>
  <c r="DY130" i="49"/>
  <c r="CM139" i="49"/>
  <c r="CX72" i="49"/>
  <c r="T152" i="7"/>
  <c r="DE141" i="49"/>
  <c r="DQ68" i="49"/>
  <c r="DO105" i="49"/>
  <c r="CW42" i="49"/>
  <c r="CN40" i="49"/>
  <c r="CO134" i="49"/>
  <c r="DT72" i="49"/>
  <c r="CZ70" i="51"/>
  <c r="AG19" i="51"/>
  <c r="DP136" i="49"/>
  <c r="CX44" i="49"/>
  <c r="CN71" i="49"/>
  <c r="CP20" i="49"/>
  <c r="DV72" i="49"/>
  <c r="AO34" i="51"/>
  <c r="DC66" i="49"/>
  <c r="DD42" i="49"/>
  <c r="CV70" i="49"/>
  <c r="AH7" i="51"/>
  <c r="T371" i="7"/>
  <c r="AL71" i="51"/>
  <c r="T204" i="7"/>
  <c r="CU67" i="49"/>
  <c r="S373" i="7"/>
  <c r="AP72" i="51"/>
  <c r="DP39" i="49"/>
  <c r="DZ132" i="49"/>
  <c r="CY69" i="51"/>
  <c r="CW107" i="49"/>
  <c r="R37" i="7"/>
  <c r="CO141" i="49"/>
  <c r="DU142" i="49"/>
  <c r="AF25" i="51"/>
  <c r="DK20" i="49"/>
  <c r="AJ19" i="51"/>
  <c r="DA107" i="49"/>
  <c r="CW6" i="51"/>
  <c r="DI91" i="49"/>
  <c r="DI72" i="49"/>
  <c r="CW141" i="49"/>
  <c r="AI19" i="51"/>
  <c r="CY6" i="51"/>
  <c r="CZ7" i="51"/>
  <c r="DN142" i="49"/>
  <c r="DB105" i="49"/>
  <c r="T227" i="7"/>
  <c r="AO67" i="51"/>
  <c r="DG105" i="49"/>
  <c r="CV41" i="49"/>
  <c r="AI9" i="51"/>
  <c r="CV8" i="51"/>
  <c r="AJ70" i="51"/>
  <c r="CZ40" i="49"/>
  <c r="DA37" i="51"/>
  <c r="T355" i="7"/>
  <c r="AI26" i="51"/>
  <c r="CU68" i="49"/>
  <c r="AE26" i="51"/>
  <c r="AP68" i="51"/>
  <c r="CX70" i="51"/>
  <c r="DE66" i="49"/>
  <c r="DE71" i="49"/>
  <c r="AI10" i="51"/>
  <c r="DO89" i="49"/>
  <c r="DY89" i="49"/>
  <c r="DW137" i="49"/>
  <c r="DT134" i="49"/>
  <c r="DV40" i="49"/>
  <c r="CZ106" i="49"/>
  <c r="AL8" i="51"/>
  <c r="CP68" i="49"/>
  <c r="DX20" i="49"/>
  <c r="AH8" i="51"/>
  <c r="DE68" i="49"/>
  <c r="AH35" i="51"/>
  <c r="DW71" i="49"/>
  <c r="CS20" i="49"/>
  <c r="CU10" i="51"/>
  <c r="DE44" i="49"/>
  <c r="T286" i="7"/>
  <c r="AF22" i="51"/>
  <c r="DZ136" i="49"/>
  <c r="CM40" i="49"/>
  <c r="CR136" i="49"/>
  <c r="AI66" i="51"/>
  <c r="CY37" i="51"/>
  <c r="T147" i="7"/>
  <c r="DA136" i="49"/>
  <c r="AG71" i="51"/>
  <c r="CM90" i="49"/>
  <c r="AI21" i="51"/>
  <c r="DX130" i="49"/>
  <c r="CP66" i="49"/>
  <c r="AL35" i="51"/>
  <c r="DH67" i="49"/>
  <c r="CR45" i="49"/>
  <c r="CV67" i="51"/>
  <c r="DQ70" i="49"/>
  <c r="T225" i="7"/>
  <c r="DQ90" i="49"/>
  <c r="AG11" i="51"/>
  <c r="DU130" i="49"/>
  <c r="DI136" i="49"/>
  <c r="T151" i="7"/>
  <c r="AP11" i="51"/>
  <c r="DC39" i="49"/>
  <c r="DE135" i="49"/>
  <c r="AH68" i="51"/>
  <c r="AG38" i="51"/>
  <c r="DN45" i="49"/>
  <c r="DO68" i="49"/>
  <c r="AL7" i="51"/>
  <c r="CX11" i="51"/>
  <c r="DC43" i="49"/>
  <c r="CR44" i="49"/>
  <c r="AO11" i="51"/>
  <c r="AI7" i="51"/>
  <c r="DQ44" i="49"/>
  <c r="DD130" i="49"/>
  <c r="DW135" i="49"/>
  <c r="DW131" i="49"/>
  <c r="CX29" i="51"/>
  <c r="DD40" i="49"/>
  <c r="DE42" i="49"/>
  <c r="CR90" i="49"/>
  <c r="DV139" i="49"/>
  <c r="CQ41" i="49"/>
  <c r="DJ133" i="49"/>
  <c r="CR68" i="49"/>
  <c r="AI30" i="51"/>
  <c r="CM39" i="49"/>
  <c r="AL69" i="51"/>
  <c r="AF26" i="51"/>
  <c r="DU90" i="49"/>
  <c r="CM132" i="49"/>
  <c r="CT72" i="49"/>
  <c r="DF135" i="49"/>
  <c r="DI141" i="49"/>
  <c r="DA9" i="51"/>
  <c r="CW71" i="49"/>
  <c r="S348" i="7"/>
  <c r="DW66" i="49"/>
  <c r="AK22" i="51"/>
  <c r="CX71" i="51"/>
  <c r="CQ71" i="49"/>
  <c r="DF90" i="49"/>
  <c r="DA26" i="51"/>
  <c r="DZ39" i="49"/>
  <c r="AF18" i="51"/>
  <c r="DQ20" i="49"/>
  <c r="AN26" i="51"/>
  <c r="CS133" i="49"/>
  <c r="DQ135" i="49"/>
  <c r="DG107" i="49"/>
  <c r="DK72" i="49"/>
  <c r="CQ39" i="49"/>
  <c r="AL39" i="51"/>
  <c r="CS11" i="51"/>
  <c r="AP18" i="51"/>
  <c r="DR137" i="49"/>
  <c r="DE132" i="49"/>
  <c r="T268" i="7"/>
  <c r="CW45" i="49"/>
  <c r="DA137" i="49"/>
  <c r="DZ107" i="49"/>
  <c r="DT106" i="49"/>
  <c r="CX91" i="49"/>
  <c r="CR139" i="49"/>
  <c r="DC130" i="49"/>
  <c r="AI29" i="51"/>
  <c r="AK70" i="51"/>
  <c r="DZ91" i="49"/>
  <c r="AI11" i="51"/>
  <c r="CX37" i="51"/>
  <c r="CM45" i="49"/>
  <c r="DY69" i="49"/>
  <c r="DQ105" i="49"/>
  <c r="DH142" i="49"/>
  <c r="CZ22" i="51"/>
  <c r="DE133" i="49"/>
  <c r="DN106" i="49"/>
  <c r="DA133" i="49"/>
  <c r="DS40" i="49"/>
  <c r="AM72" i="51"/>
  <c r="DQ72" i="49"/>
  <c r="CS35" i="51"/>
  <c r="DX137" i="49"/>
  <c r="CY39" i="49"/>
  <c r="AG70" i="51"/>
  <c r="CY34" i="51"/>
  <c r="CQ20" i="49"/>
  <c r="DS141" i="49"/>
  <c r="DA6" i="51"/>
  <c r="DU138" i="49"/>
  <c r="DS69" i="49"/>
  <c r="AL30" i="51"/>
  <c r="CT139" i="49"/>
  <c r="DV20" i="49"/>
  <c r="AH31" i="51"/>
  <c r="DA69" i="49"/>
  <c r="DS39" i="49"/>
  <c r="AO31" i="51"/>
  <c r="AH11" i="51"/>
  <c r="DA140" i="49"/>
  <c r="T357" i="7"/>
  <c r="DX67" i="49"/>
  <c r="AN68" i="51"/>
  <c r="DN66" i="49"/>
  <c r="DR142" i="49"/>
  <c r="DE70" i="49"/>
  <c r="T352" i="7"/>
  <c r="DA71" i="49"/>
  <c r="CV25" i="51"/>
  <c r="DE20" i="49"/>
  <c r="DN135" i="49"/>
  <c r="DG141" i="49"/>
  <c r="CP91" i="49"/>
  <c r="DG139" i="49"/>
  <c r="CV26" i="51"/>
  <c r="CR137" i="49"/>
  <c r="CU9" i="51"/>
  <c r="DR44" i="49"/>
  <c r="CT35" i="51"/>
  <c r="AE31" i="51"/>
  <c r="CW90" i="49"/>
  <c r="DF133" i="49"/>
  <c r="AH29" i="51"/>
  <c r="CY130" i="49"/>
  <c r="DZ42" i="49"/>
  <c r="DL44" i="49"/>
  <c r="CX71" i="49"/>
  <c r="CO67" i="49"/>
  <c r="CT132" i="49"/>
  <c r="S341" i="7"/>
  <c r="CU91" i="49"/>
  <c r="DD142" i="49"/>
  <c r="CO105" i="49"/>
  <c r="AP25" i="51"/>
  <c r="DO140" i="49"/>
  <c r="CU66" i="51"/>
  <c r="AF71" i="51"/>
  <c r="DN136" i="49"/>
  <c r="DJ40" i="49"/>
  <c r="AG66" i="51"/>
  <c r="DY40" i="49"/>
  <c r="CM71" i="49"/>
  <c r="CY140" i="49"/>
  <c r="CS72" i="51"/>
  <c r="CT133" i="49"/>
  <c r="DB69" i="49"/>
  <c r="AM39" i="51"/>
  <c r="DF20" i="49"/>
  <c r="AJ17" i="51"/>
  <c r="CM105" i="49"/>
  <c r="DE137" i="49"/>
  <c r="DP89" i="49"/>
  <c r="DG20" i="49"/>
  <c r="CT43" i="49"/>
  <c r="DY139" i="49"/>
  <c r="DT130" i="49"/>
  <c r="CU22" i="51"/>
  <c r="CY42" i="49"/>
  <c r="CP90" i="49"/>
  <c r="DG89" i="49"/>
  <c r="DN90" i="49"/>
  <c r="DR107" i="49"/>
  <c r="DU70" i="49"/>
  <c r="CS21" i="51"/>
  <c r="CY105" i="49"/>
  <c r="DA70" i="49"/>
  <c r="AI6" i="51"/>
  <c r="DD72" i="49"/>
  <c r="DE67" i="49"/>
  <c r="CT140" i="49"/>
  <c r="DQ91" i="49"/>
  <c r="CT135" i="49"/>
  <c r="DQ133" i="49"/>
  <c r="S275" i="7"/>
  <c r="CV43" i="49"/>
  <c r="AO26" i="51"/>
  <c r="DN69" i="49"/>
  <c r="CO72" i="49"/>
  <c r="CM131" i="49"/>
  <c r="CM91" i="49"/>
  <c r="DR43" i="49"/>
  <c r="AG39" i="51"/>
  <c r="T368" i="7"/>
  <c r="DN140" i="49"/>
  <c r="DP71" i="49"/>
  <c r="DD69" i="49"/>
  <c r="T205" i="7"/>
  <c r="CX67" i="49"/>
  <c r="CW35" i="51"/>
  <c r="S144" i="7"/>
  <c r="CV42" i="49"/>
  <c r="CT7" i="51"/>
  <c r="DA135" i="49"/>
  <c r="CS17" i="51"/>
  <c r="T365" i="7"/>
  <c r="AL22" i="51"/>
  <c r="DU107" i="49"/>
  <c r="T292" i="7"/>
  <c r="DL45" i="49"/>
  <c r="CO90" i="49"/>
  <c r="DE43" i="49"/>
  <c r="AJ33" i="51"/>
  <c r="DE91" i="49"/>
  <c r="CZ72" i="49"/>
  <c r="AI18" i="51"/>
  <c r="S344" i="7"/>
  <c r="CZ91" i="49"/>
  <c r="DJ89" i="49"/>
  <c r="CR135" i="49"/>
  <c r="CW8" i="51"/>
  <c r="DT40" i="49"/>
  <c r="DI45" i="49"/>
  <c r="CX105" i="49"/>
  <c r="DG135" i="49"/>
  <c r="DD70" i="49"/>
  <c r="R42" i="7"/>
  <c r="CZ69" i="49"/>
  <c r="CY72" i="49"/>
  <c r="DO138" i="49"/>
  <c r="CY31" i="51"/>
  <c r="DR20" i="49"/>
  <c r="AL9" i="51"/>
  <c r="AE67" i="51"/>
  <c r="DP72" i="49"/>
  <c r="AK39" i="51"/>
  <c r="S276" i="7"/>
  <c r="DO20" i="49"/>
  <c r="DH91" i="49"/>
  <c r="AE68" i="51"/>
  <c r="DI140" i="49"/>
  <c r="CW41" i="49"/>
  <c r="AI22" i="51"/>
  <c r="CX45" i="49"/>
  <c r="DZ44" i="49"/>
  <c r="CN69" i="49"/>
  <c r="DQ130" i="49"/>
  <c r="AI31" i="51"/>
  <c r="AI68" i="51"/>
  <c r="DE39" i="49"/>
  <c r="DG137" i="49"/>
  <c r="DU91" i="49"/>
  <c r="DQ137" i="49"/>
  <c r="DB140" i="49"/>
  <c r="CY68" i="51"/>
  <c r="CX9" i="51"/>
  <c r="T270" i="7"/>
  <c r="CV30" i="51"/>
  <c r="AJ35" i="51"/>
  <c r="CZ38" i="51"/>
  <c r="DL91" i="49"/>
  <c r="DK140" i="49"/>
  <c r="CZ30" i="51"/>
  <c r="CQ45" i="49"/>
  <c r="CW10" i="51"/>
  <c r="S288" i="7"/>
  <c r="DO136" i="49"/>
  <c r="DA105" i="49"/>
  <c r="CY21" i="51"/>
  <c r="DV42" i="49"/>
  <c r="DW45" i="49"/>
  <c r="AO18" i="51"/>
  <c r="DH42" i="49"/>
  <c r="CT142" i="49"/>
  <c r="AJ18" i="51"/>
  <c r="DF69" i="49"/>
  <c r="CS70" i="49"/>
  <c r="DU68" i="49"/>
  <c r="DF40" i="49"/>
  <c r="CT17" i="51"/>
  <c r="T342" i="7"/>
  <c r="AO6" i="51"/>
  <c r="DX91" i="49"/>
  <c r="DO141" i="49"/>
  <c r="DF68" i="49"/>
  <c r="DC70" i="49"/>
  <c r="DV89" i="49"/>
  <c r="AL33" i="51"/>
  <c r="CZ132" i="49"/>
  <c r="DP133" i="49"/>
  <c r="CQ130" i="49"/>
  <c r="CW66" i="51"/>
  <c r="DC71" i="49"/>
  <c r="CV10" i="51"/>
  <c r="AJ31" i="51"/>
  <c r="CV72" i="49"/>
  <c r="DP106" i="49"/>
  <c r="DG133" i="49"/>
  <c r="S272" i="7"/>
  <c r="AH22" i="51"/>
  <c r="CR132" i="49"/>
  <c r="CQ136" i="49"/>
  <c r="CZ130" i="49"/>
  <c r="AK66" i="51"/>
  <c r="DT140" i="49"/>
  <c r="DT138" i="49"/>
  <c r="CY70" i="51"/>
  <c r="AM6" i="51"/>
  <c r="CR91" i="49"/>
  <c r="DA30" i="51"/>
  <c r="DB141" i="49"/>
  <c r="DN133" i="49"/>
  <c r="CN72" i="49"/>
  <c r="CZ139" i="49"/>
  <c r="AG10" i="51"/>
  <c r="T214" i="7"/>
  <c r="CU140" i="49"/>
  <c r="CO41" i="49"/>
  <c r="CW37" i="51"/>
  <c r="CU18" i="51"/>
  <c r="AF69" i="51"/>
  <c r="CM67" i="49"/>
  <c r="CP142" i="49"/>
  <c r="DW40" i="49"/>
  <c r="CS44" i="49"/>
  <c r="DB90" i="49"/>
  <c r="CQ69" i="49"/>
  <c r="AK18" i="51"/>
  <c r="DQ69" i="49"/>
  <c r="S337" i="7"/>
  <c r="AJ66" i="51"/>
  <c r="CU19" i="51"/>
  <c r="AK38" i="51"/>
  <c r="AO9" i="51"/>
  <c r="CV39" i="51"/>
  <c r="CZ6" i="51"/>
  <c r="AG7" i="51"/>
  <c r="DG40" i="49"/>
  <c r="AL10" i="51"/>
  <c r="DO130" i="49"/>
  <c r="DR134" i="49"/>
  <c r="DX90" i="49"/>
  <c r="DA91" i="49"/>
  <c r="AH38" i="51"/>
  <c r="DD131" i="49"/>
  <c r="AL29" i="51"/>
  <c r="CR141" i="49"/>
  <c r="CX25" i="51"/>
  <c r="DA67" i="51"/>
  <c r="CT37" i="51"/>
  <c r="DY45" i="49"/>
  <c r="S352" i="7"/>
  <c r="AG17" i="51"/>
  <c r="DN39" i="49"/>
  <c r="DD71" i="49"/>
  <c r="DT90" i="49"/>
  <c r="R39" i="7"/>
  <c r="DI44" i="49"/>
  <c r="DS45" i="49"/>
  <c r="T347" i="7"/>
  <c r="CS8" i="51"/>
  <c r="CP70" i="49"/>
  <c r="CM41" i="49"/>
  <c r="CQ131" i="49"/>
  <c r="CQ67" i="49"/>
  <c r="CR107" i="49"/>
  <c r="T348" i="7"/>
  <c r="DS72" i="49"/>
  <c r="CO107" i="49"/>
  <c r="AK72" i="51"/>
  <c r="CN130" i="49"/>
  <c r="DE89" i="49"/>
  <c r="DZ70" i="49"/>
  <c r="DZ72" i="49"/>
  <c r="CN41" i="49"/>
  <c r="DJ39" i="49"/>
  <c r="DS134" i="49"/>
  <c r="DJ106" i="49"/>
  <c r="DU139" i="49"/>
  <c r="AL6" i="51"/>
  <c r="DX107" i="49"/>
  <c r="CX38" i="51"/>
  <c r="DZ133" i="49"/>
  <c r="DO72" i="49"/>
  <c r="DL107" i="49"/>
  <c r="DA8" i="51"/>
  <c r="DW44" i="49"/>
  <c r="DN20" i="49"/>
  <c r="CQ40" i="49"/>
  <c r="DH41" i="49"/>
  <c r="DW68" i="49"/>
  <c r="CW72" i="51"/>
  <c r="CR66" i="49"/>
  <c r="DS89" i="49"/>
  <c r="CZ39" i="49"/>
  <c r="DH141" i="49"/>
  <c r="DU133" i="49"/>
  <c r="CZ133" i="49"/>
  <c r="DI107" i="49"/>
  <c r="CU139" i="49"/>
  <c r="DJ131" i="49"/>
  <c r="DE138" i="49"/>
  <c r="AH6" i="51"/>
  <c r="CN131" i="49"/>
  <c r="CT67" i="51"/>
  <c r="AM66" i="51"/>
  <c r="CS67" i="49"/>
  <c r="DL106" i="49"/>
  <c r="CU72" i="51"/>
  <c r="DD137" i="49"/>
  <c r="AM69" i="51"/>
  <c r="AM68" i="51"/>
  <c r="AP31" i="51"/>
  <c r="S211" i="7"/>
  <c r="CR69" i="49"/>
  <c r="AP66" i="51"/>
  <c r="DL20" i="49"/>
  <c r="DY141" i="49"/>
  <c r="DY67" i="49"/>
  <c r="AH34" i="51"/>
  <c r="CW30" i="51"/>
  <c r="CU136" i="49"/>
  <c r="DF136" i="49"/>
  <c r="CZ66" i="49"/>
  <c r="CS141" i="49"/>
  <c r="DB91" i="49"/>
  <c r="DZ131" i="49"/>
  <c r="AO69" i="51"/>
  <c r="DI40" i="49"/>
  <c r="CZ107" i="49"/>
  <c r="DA90" i="49"/>
  <c r="AE22" i="51"/>
  <c r="T372" i="7"/>
  <c r="DD133" i="49"/>
  <c r="CX18" i="51"/>
  <c r="AJ9" i="51"/>
  <c r="CR130" i="49"/>
  <c r="AN38" i="51"/>
  <c r="DG90" i="49"/>
  <c r="T185" i="7"/>
  <c r="DF71" i="49"/>
  <c r="DV69" i="49"/>
  <c r="S221" i="7"/>
  <c r="DK68" i="49"/>
  <c r="DY131" i="49"/>
  <c r="AK68" i="51"/>
  <c r="CZ25" i="51"/>
  <c r="DZ20" i="49"/>
  <c r="CT45" i="49"/>
  <c r="DA35" i="51"/>
  <c r="DE45" i="49"/>
  <c r="DR39" i="49"/>
  <c r="DD106" i="49"/>
  <c r="CS107" i="49"/>
  <c r="CO139" i="49"/>
  <c r="DN40" i="49"/>
  <c r="DU43" i="49"/>
  <c r="CV132" i="49"/>
  <c r="CZ9" i="51"/>
  <c r="DB106" i="49"/>
  <c r="AK71" i="51"/>
  <c r="DL138" i="49"/>
  <c r="CZ138" i="49"/>
  <c r="DB132" i="49"/>
  <c r="CW7" i="51"/>
  <c r="CZ8" i="51"/>
  <c r="DY70" i="49"/>
  <c r="DS130" i="49"/>
  <c r="CY136" i="49"/>
  <c r="CT66" i="51"/>
  <c r="CN39" i="49"/>
  <c r="CZ142" i="49"/>
  <c r="CV19" i="51"/>
  <c r="DZ140" i="49"/>
  <c r="CU132" i="49"/>
  <c r="AN67" i="51"/>
  <c r="T370" i="7"/>
  <c r="DI41" i="49"/>
  <c r="CO66" i="49"/>
  <c r="DO137" i="49"/>
  <c r="S246" i="7"/>
  <c r="AO71" i="51"/>
  <c r="T367" i="7"/>
  <c r="AJ10" i="51"/>
  <c r="AM34" i="51"/>
  <c r="AN11" i="51"/>
  <c r="CN142" i="49"/>
  <c r="DK133" i="49"/>
  <c r="DG69" i="49"/>
  <c r="DO67" i="49"/>
  <c r="DV142" i="49"/>
  <c r="AN19" i="51"/>
  <c r="DL140" i="49"/>
  <c r="DF131" i="49"/>
  <c r="AP39" i="51"/>
  <c r="AI39" i="51"/>
  <c r="CW89" i="49"/>
  <c r="DK132" i="49"/>
  <c r="DQ136" i="49"/>
  <c r="S204" i="7"/>
  <c r="CQ89" i="49"/>
  <c r="T257" i="7"/>
  <c r="CN134" i="49"/>
  <c r="DC90" i="49"/>
  <c r="DE139" i="49"/>
  <c r="CT130" i="49"/>
  <c r="AE29" i="51"/>
  <c r="AN29" i="51"/>
  <c r="AH9" i="51"/>
  <c r="DB45" i="49"/>
  <c r="CV18" i="51"/>
  <c r="CP131" i="49"/>
  <c r="DG106" i="49"/>
  <c r="DY66" i="49"/>
  <c r="DO107" i="49"/>
  <c r="AE38" i="51"/>
  <c r="CU107" i="49"/>
  <c r="CZ66" i="51"/>
  <c r="DR67" i="49"/>
  <c r="CW39" i="49"/>
  <c r="CS40" i="49"/>
  <c r="DW134" i="49"/>
  <c r="DU105" i="49"/>
  <c r="AJ39" i="51"/>
  <c r="CO106" i="49"/>
  <c r="CX68" i="49"/>
  <c r="DL66" i="49"/>
  <c r="CT34" i="51"/>
  <c r="DE107" i="49"/>
  <c r="DF41" i="49"/>
  <c r="S147" i="7"/>
  <c r="DB133" i="49"/>
  <c r="DJ142" i="49"/>
  <c r="AL72" i="51"/>
  <c r="AP26" i="51"/>
  <c r="DC44" i="49"/>
  <c r="DF66" i="49"/>
  <c r="DV90" i="49"/>
  <c r="T171" i="7"/>
  <c r="DE130" i="49"/>
  <c r="AF6" i="51"/>
  <c r="CM68" i="49"/>
  <c r="AI17" i="51"/>
  <c r="AJ71" i="51"/>
  <c r="AM7" i="51"/>
  <c r="CU26" i="51"/>
  <c r="AK35" i="51"/>
  <c r="CS66" i="51"/>
  <c r="DE90" i="49"/>
  <c r="CW66" i="49"/>
  <c r="CO136" i="49"/>
  <c r="CN68" i="49"/>
  <c r="DI139" i="49"/>
  <c r="CQ141" i="49"/>
  <c r="CY141" i="49"/>
  <c r="CM70" i="49"/>
  <c r="DJ20" i="49"/>
  <c r="CQ107" i="49"/>
  <c r="AF19" i="51"/>
  <c r="AH70" i="51"/>
  <c r="DU66" i="49"/>
  <c r="DP135" i="49"/>
  <c r="AF7" i="51"/>
  <c r="CU69" i="51"/>
  <c r="CV72" i="51"/>
  <c r="CN91" i="49"/>
  <c r="T191" i="7"/>
  <c r="T255" i="7"/>
  <c r="DV133" i="49"/>
  <c r="CS132" i="49"/>
  <c r="CP69" i="49"/>
  <c r="DL43" i="49"/>
  <c r="CO138" i="49"/>
  <c r="S289" i="7"/>
  <c r="DQ140" i="49"/>
  <c r="DS42" i="49"/>
  <c r="DH45" i="49"/>
  <c r="DN43" i="49"/>
  <c r="DW72" i="49"/>
  <c r="DC132" i="49"/>
  <c r="CX72" i="51"/>
  <c r="DV71" i="49"/>
  <c r="CY138" i="49"/>
  <c r="CQ139" i="49"/>
  <c r="AO22" i="51"/>
  <c r="DA42" i="49"/>
  <c r="CT71" i="49"/>
  <c r="CZ26" i="51"/>
  <c r="DA39" i="49"/>
  <c r="CU130" i="49"/>
  <c r="DS131" i="49"/>
  <c r="DC134" i="49"/>
  <c r="CT21" i="51"/>
  <c r="CP130" i="49"/>
  <c r="DB135" i="49"/>
  <c r="CV17" i="51"/>
  <c r="CU17" i="51"/>
  <c r="DY71" i="49"/>
  <c r="DP138" i="49"/>
  <c r="DV68" i="49"/>
  <c r="CW44" i="49"/>
  <c r="DA141" i="49"/>
  <c r="CV69" i="49"/>
  <c r="CV39" i="49"/>
  <c r="CN66" i="49"/>
  <c r="CS41" i="49"/>
  <c r="CT72" i="51"/>
  <c r="AO29" i="51"/>
  <c r="CW38" i="51"/>
  <c r="CY39" i="51"/>
  <c r="DS20" i="49"/>
  <c r="CW39" i="51"/>
  <c r="AH21" i="51"/>
  <c r="AI69" i="51"/>
  <c r="T356" i="7"/>
  <c r="AM37" i="51"/>
  <c r="DP20" i="49"/>
  <c r="CX39" i="49"/>
  <c r="CZ89" i="49"/>
  <c r="DN138" i="49"/>
  <c r="S358" i="7"/>
  <c r="CY38" i="51"/>
  <c r="S245" i="7"/>
  <c r="DT136" i="49"/>
  <c r="DW90" i="49"/>
  <c r="AE66" i="51"/>
  <c r="CT26" i="51"/>
  <c r="DV107" i="49"/>
  <c r="CX34" i="51"/>
  <c r="CX142" i="49"/>
  <c r="AO68" i="51"/>
  <c r="DI70" i="49"/>
  <c r="AP33" i="51"/>
  <c r="DG131" i="49"/>
  <c r="DD136" i="49"/>
  <c r="CS68" i="51"/>
  <c r="S371" i="7"/>
  <c r="DF106" i="49"/>
  <c r="DD44" i="49"/>
  <c r="DJ66" i="49"/>
  <c r="AG35" i="51"/>
  <c r="DI142" i="49"/>
  <c r="DR90" i="49"/>
  <c r="DA21" i="51"/>
  <c r="DW91" i="49"/>
  <c r="CW136" i="49"/>
  <c r="CT18" i="51"/>
  <c r="DC142" i="49"/>
  <c r="T359" i="7"/>
  <c r="DA66" i="51"/>
  <c r="CZ20" i="49"/>
  <c r="DX39" i="49"/>
  <c r="AN70" i="51"/>
  <c r="AM35" i="51"/>
  <c r="CU71" i="51"/>
  <c r="CU33" i="51"/>
  <c r="DG42" i="49"/>
  <c r="DJ136" i="49"/>
  <c r="CU89" i="49"/>
  <c r="CP43" i="49"/>
  <c r="DY41" i="49"/>
  <c r="DF89" i="49"/>
  <c r="CS25" i="51"/>
  <c r="DN72" i="49"/>
  <c r="CS6" i="51"/>
  <c r="S269" i="7"/>
  <c r="AH72" i="51"/>
  <c r="DI133" i="49"/>
  <c r="CM106" i="49"/>
  <c r="CN136" i="49"/>
  <c r="DH134" i="49"/>
  <c r="CV142" i="49"/>
  <c r="S342" i="7"/>
  <c r="DH105" i="49"/>
  <c r="CV45" i="49"/>
  <c r="DQ67" i="49"/>
  <c r="CW70" i="49"/>
  <c r="DX71" i="49"/>
  <c r="DQ42" i="49"/>
  <c r="DK136" i="49"/>
  <c r="AI70" i="51"/>
  <c r="DV67" i="49"/>
  <c r="CT70" i="49"/>
  <c r="CS39" i="49"/>
  <c r="AG29" i="51"/>
  <c r="AJ34" i="51"/>
  <c r="AK31" i="51"/>
  <c r="CO40" i="49"/>
  <c r="CO69" i="49"/>
  <c r="DZ137" i="49"/>
  <c r="DA69" i="51"/>
  <c r="DG72" i="49"/>
  <c r="DJ107" i="49"/>
  <c r="DR140" i="49"/>
  <c r="DN89" i="49"/>
  <c r="DI69" i="49"/>
  <c r="CS31" i="51"/>
  <c r="CU131" i="49"/>
  <c r="DU42" i="49"/>
  <c r="DY142" i="49"/>
  <c r="CR105" i="49"/>
  <c r="AI67" i="51"/>
  <c r="S243" i="7"/>
  <c r="DA43" i="49"/>
  <c r="S291" i="7"/>
  <c r="AN35" i="51"/>
  <c r="DD134" i="49"/>
  <c r="DE131" i="49"/>
  <c r="T210" i="7"/>
  <c r="AE9" i="51"/>
  <c r="CY106" i="49"/>
  <c r="DW107" i="49"/>
  <c r="CQ70" i="49"/>
  <c r="CN133" i="49"/>
  <c r="CS139" i="49"/>
  <c r="AO17" i="51"/>
  <c r="CW135" i="49"/>
  <c r="DW41" i="49"/>
  <c r="CS18" i="51"/>
  <c r="AK7" i="51"/>
  <c r="AM26" i="51"/>
  <c r="DU45" i="49"/>
  <c r="DB107" i="49"/>
  <c r="CU20" i="49"/>
  <c r="CW70" i="51"/>
  <c r="DD105" i="49"/>
  <c r="T175" i="7"/>
  <c r="DY107" i="49"/>
  <c r="S205" i="7"/>
  <c r="CZ34" i="51"/>
  <c r="DP66" i="49"/>
  <c r="CV107" i="49"/>
  <c r="DO131" i="49"/>
  <c r="AP21" i="51"/>
  <c r="DA39" i="51"/>
  <c r="CS22" i="51"/>
  <c r="CV136" i="49"/>
  <c r="CX42" i="49"/>
  <c r="CV91" i="49"/>
  <c r="CX106" i="49"/>
  <c r="DQ39" i="49"/>
  <c r="CZ37" i="51"/>
  <c r="DH90" i="49"/>
  <c r="AM18" i="51"/>
  <c r="AG34" i="51"/>
  <c r="AL21" i="51"/>
  <c r="CU34" i="51"/>
  <c r="CS138" i="49"/>
  <c r="CM142" i="49"/>
  <c r="CP136" i="49"/>
  <c r="T141" i="7"/>
  <c r="CW131" i="49"/>
  <c r="DI137" i="49"/>
  <c r="CO132" i="49"/>
  <c r="DS142" i="49"/>
  <c r="DE69" i="49"/>
  <c r="AE70" i="51"/>
  <c r="DX42" i="49"/>
  <c r="DE105" i="49"/>
  <c r="S369" i="7"/>
  <c r="DP140" i="49"/>
  <c r="DV141" i="49"/>
  <c r="DV134" i="49"/>
  <c r="DS68" i="49"/>
  <c r="AP38" i="51"/>
  <c r="CR134" i="49"/>
  <c r="AE17" i="51"/>
  <c r="DW42" i="49"/>
  <c r="CW140" i="49"/>
  <c r="AP9" i="51"/>
  <c r="CS69" i="51"/>
  <c r="DC136" i="49"/>
  <c r="S185" i="7"/>
  <c r="CM72" i="49"/>
  <c r="CV137" i="49"/>
  <c r="CY29" i="51"/>
  <c r="CT69" i="49"/>
  <c r="DQ131" i="49"/>
  <c r="CN45" i="49"/>
  <c r="DQ139" i="49"/>
  <c r="DR139" i="49"/>
  <c r="AK30" i="51"/>
  <c r="DT45" i="49"/>
  <c r="DT71" i="49"/>
  <c r="T330" i="7"/>
  <c r="AM25" i="51"/>
  <c r="AN39" i="51"/>
  <c r="AG22" i="51"/>
  <c r="AN72" i="51"/>
  <c r="AF11" i="51"/>
  <c r="AL67" i="51"/>
  <c r="DS91" i="49"/>
  <c r="AJ22" i="51"/>
  <c r="DF130" i="49"/>
  <c r="CZ69" i="51"/>
  <c r="CY67" i="51"/>
  <c r="T289" i="7"/>
  <c r="CO135" i="49"/>
  <c r="CW133" i="49"/>
  <c r="DT137" i="49"/>
  <c r="DH139" i="49"/>
  <c r="AK34" i="51"/>
  <c r="DA22" i="51"/>
  <c r="AJ67" i="51"/>
  <c r="CX26" i="51"/>
  <c r="CV71" i="51"/>
  <c r="DJ135" i="49"/>
  <c r="DE140" i="49"/>
  <c r="DF132" i="49"/>
  <c r="DK67" i="49"/>
  <c r="DR69" i="49"/>
  <c r="CS135" i="49"/>
  <c r="CZ67" i="49"/>
  <c r="CU42" i="49"/>
  <c r="AP70" i="51"/>
  <c r="DP137" i="49"/>
  <c r="AK67" i="51"/>
  <c r="CP141" i="49"/>
  <c r="DK40" i="49"/>
  <c r="DO39" i="49"/>
  <c r="DS106" i="49"/>
  <c r="DR72" i="49"/>
  <c r="CW25" i="51"/>
  <c r="CX33" i="51"/>
  <c r="AF9" i="51"/>
  <c r="DJ42" i="49"/>
  <c r="AH71" i="51"/>
  <c r="R36" i="7"/>
  <c r="CV22" i="51"/>
  <c r="DR141" i="49"/>
  <c r="AF8" i="51"/>
  <c r="CQ133" i="49"/>
  <c r="DW69" i="49"/>
  <c r="S302" i="7"/>
  <c r="DT89" i="49"/>
  <c r="CZ134" i="49"/>
  <c r="DD141" i="49"/>
  <c r="AL68" i="51"/>
  <c r="AH19" i="51"/>
  <c r="CT31" i="51"/>
  <c r="DZ89" i="49"/>
  <c r="R38" i="7"/>
  <c r="CV139" i="49"/>
  <c r="AK37" i="51"/>
  <c r="DR70" i="49"/>
  <c r="CS68" i="49"/>
  <c r="CV141" i="49"/>
  <c r="DK43" i="49"/>
  <c r="DZ90" i="49"/>
  <c r="DG142" i="49"/>
  <c r="DA19" i="51"/>
  <c r="DP90" i="49"/>
  <c r="CT137" i="49"/>
  <c r="DQ89" i="49"/>
  <c r="DT44" i="49"/>
  <c r="DP41" i="49"/>
  <c r="DD140" i="49"/>
  <c r="DC131" i="49"/>
  <c r="R41" i="7"/>
  <c r="DB44" i="49"/>
  <c r="CV38" i="51"/>
  <c r="DJ71" i="49"/>
  <c r="CX7" i="51"/>
  <c r="DH70" i="49"/>
  <c r="CM20" i="49"/>
  <c r="CU142" i="49"/>
  <c r="DK71" i="49"/>
  <c r="CX134" i="49"/>
  <c r="DR91" i="49"/>
  <c r="DZ105" i="49"/>
  <c r="DN134" i="49"/>
  <c r="S372" i="7"/>
  <c r="DZ41" i="49"/>
  <c r="CQ105" i="49"/>
  <c r="AO8" i="51"/>
  <c r="CT10" i="51"/>
  <c r="DY44" i="49"/>
  <c r="AM8" i="51"/>
  <c r="CT106" i="49"/>
  <c r="CV105" i="49"/>
  <c r="T206" i="7"/>
  <c r="AO38" i="51"/>
  <c r="DU40" i="49"/>
  <c r="CZ137" i="49"/>
  <c r="CU105" i="49"/>
  <c r="CW26" i="51"/>
  <c r="DY140" i="49"/>
  <c r="DA31" i="51"/>
  <c r="DA67" i="49"/>
  <c r="AO70" i="51"/>
  <c r="DU134" i="49"/>
  <c r="DQ107" i="49"/>
  <c r="AI33" i="51"/>
  <c r="DX66" i="49"/>
  <c r="DL90" i="49"/>
  <c r="DE40" i="49"/>
  <c r="DQ45" i="49"/>
  <c r="AM10" i="51"/>
  <c r="CZ42" i="49"/>
  <c r="CV9" i="51"/>
  <c r="CN89" i="49"/>
  <c r="DY135" i="49"/>
  <c r="CW67" i="49"/>
  <c r="DT105" i="49"/>
  <c r="DC135" i="49"/>
  <c r="AE19" i="51"/>
  <c r="CZ71" i="51"/>
  <c r="AJ6" i="51"/>
  <c r="CT70" i="51"/>
  <c r="CM137" i="49"/>
  <c r="DS107" i="49"/>
  <c r="CY70" i="49"/>
  <c r="CX135" i="49"/>
  <c r="DF72" i="49"/>
  <c r="AN69" i="51"/>
  <c r="AJ30" i="51"/>
  <c r="CV89" i="49"/>
  <c r="AO37" i="51"/>
  <c r="DI132" i="49"/>
  <c r="DJ105" i="49"/>
  <c r="AM30" i="51"/>
  <c r="DV132" i="49"/>
  <c r="DT42" i="49"/>
  <c r="CX35" i="51"/>
  <c r="CZ67" i="51"/>
  <c r="AF67" i="51"/>
  <c r="DC68" i="49"/>
  <c r="DX105" i="49"/>
  <c r="CY30" i="51"/>
  <c r="DZ141" i="49"/>
  <c r="DG132" i="49"/>
  <c r="DV44" i="49"/>
  <c r="CR41" i="49"/>
  <c r="AE72" i="51"/>
  <c r="CY132" i="49"/>
  <c r="AM29" i="51"/>
  <c r="DB139" i="49"/>
  <c r="DB43" i="49"/>
  <c r="CV69" i="51"/>
  <c r="AK17" i="51"/>
  <c r="S146" i="7"/>
  <c r="AO72" i="51"/>
  <c r="AE21" i="51"/>
  <c r="CZ70" i="49"/>
  <c r="CN138" i="49"/>
  <c r="CV34" i="51"/>
  <c r="S268" i="7"/>
  <c r="CQ137" i="49"/>
  <c r="T354" i="7"/>
  <c r="DS137" i="49"/>
  <c r="CU29" i="51"/>
  <c r="AF68" i="51"/>
  <c r="DV131" i="49"/>
  <c r="AO39" i="51"/>
  <c r="AM31" i="51"/>
  <c r="DF105" i="49"/>
  <c r="AH67" i="51"/>
  <c r="DV140" i="49"/>
  <c r="DP44" i="49"/>
  <c r="CX67" i="51"/>
  <c r="CX68" i="51"/>
  <c r="AH25" i="51"/>
  <c r="DU69" i="49"/>
  <c r="CR89" i="49"/>
  <c r="DV91" i="49"/>
  <c r="T155" i="7"/>
  <c r="S330" i="7"/>
  <c r="S141" i="7"/>
  <c r="DV66" i="49"/>
  <c r="CQ44" i="49"/>
  <c r="CT69" i="51"/>
  <c r="CW68" i="51"/>
  <c r="DA38" i="51"/>
  <c r="AJ72" i="51"/>
  <c r="DH132" i="49"/>
  <c r="DA132" i="49"/>
  <c r="DP107" i="49"/>
  <c r="CQ135" i="49"/>
  <c r="CX141" i="49"/>
  <c r="CX69" i="51"/>
  <c r="DP45" i="49"/>
  <c r="DE136" i="49"/>
  <c r="CN42" i="49"/>
  <c r="CW130" i="49"/>
  <c r="DO90" i="49"/>
  <c r="DZ45" i="49"/>
  <c r="DC42" i="49"/>
  <c r="CU40" i="49"/>
  <c r="AE6" i="51"/>
  <c r="CN106" i="49"/>
  <c r="CU30" i="51"/>
  <c r="AN10" i="51"/>
  <c r="AP71" i="51"/>
  <c r="CP138" i="49"/>
  <c r="DJ72" i="49"/>
  <c r="CY89" i="49"/>
  <c r="CQ132" i="49"/>
  <c r="CT33" i="51"/>
  <c r="DQ40" i="49"/>
  <c r="T344" i="7"/>
  <c r="DP67" i="49"/>
  <c r="AG72" i="51"/>
  <c r="DD135" i="49"/>
  <c r="CU141" i="49"/>
  <c r="S164" i="7"/>
  <c r="DA72" i="51"/>
  <c r="T184" i="7"/>
  <c r="DU41" i="49"/>
  <c r="DL141" i="49"/>
  <c r="R43" i="7"/>
  <c r="CS38" i="51"/>
  <c r="CN107" i="49"/>
  <c r="CS134" i="49"/>
  <c r="DP70" i="49"/>
  <c r="DO132" i="49"/>
  <c r="AM19" i="51"/>
  <c r="DA89" i="49"/>
  <c r="DG68" i="49"/>
  <c r="CS39" i="51"/>
  <c r="DA29" i="51"/>
  <c r="CU7" i="51"/>
  <c r="DB142" i="49"/>
  <c r="CW139" i="49"/>
  <c r="DU20" i="49"/>
  <c r="DU140" i="49"/>
  <c r="CY43" i="49"/>
  <c r="CR138" i="49"/>
  <c r="AF29" i="51"/>
  <c r="CR72" i="49"/>
  <c r="DT107" i="49"/>
  <c r="CQ68" i="49"/>
  <c r="T304" i="7"/>
  <c r="CX39" i="51"/>
  <c r="CW71" i="51"/>
  <c r="S356" i="7"/>
  <c r="CM135" i="49"/>
  <c r="CX89" i="49"/>
  <c r="DC41" i="49"/>
  <c r="T337" i="7"/>
  <c r="CZ19" i="51"/>
  <c r="CT9" i="51"/>
  <c r="DK66" i="49"/>
  <c r="AK19" i="51"/>
  <c r="AE71" i="51"/>
  <c r="DW132" i="49"/>
  <c r="CX138" i="49"/>
  <c r="CY17" i="51"/>
  <c r="CY7" i="51"/>
  <c r="T168" i="7"/>
  <c r="DA44" i="49"/>
  <c r="T364" i="7"/>
  <c r="DU137" i="49"/>
  <c r="CU138" i="49"/>
  <c r="CR67" i="49"/>
  <c r="DJ90" i="49"/>
  <c r="DQ106" i="49"/>
  <c r="CM107" i="49"/>
  <c r="DU135" i="49"/>
  <c r="AP35" i="51"/>
  <c r="DL40" i="49"/>
  <c r="DW139" i="49"/>
  <c r="CX139" i="49"/>
  <c r="DC45" i="49"/>
  <c r="DW67" i="49"/>
  <c r="T260" i="7"/>
  <c r="DB134" i="49"/>
  <c r="DX134" i="49"/>
  <c r="CO137" i="49"/>
  <c r="AN21" i="51"/>
  <c r="DI105" i="49"/>
  <c r="DB40" i="49"/>
  <c r="DP139" i="49"/>
  <c r="DR71" i="49"/>
  <c r="AI8" i="51"/>
  <c r="DD39" i="49"/>
  <c r="DT70" i="49"/>
  <c r="DV135" i="49"/>
  <c r="DC20" i="49"/>
  <c r="DB20" i="49"/>
  <c r="CY142" i="49"/>
  <c r="S346" i="7"/>
  <c r="DF44" i="49"/>
  <c r="CW22" i="51"/>
  <c r="AF66" i="51"/>
  <c r="CZ11" i="51"/>
  <c r="DL142" i="49"/>
  <c r="DA33" i="51"/>
  <c r="DL135" i="49"/>
  <c r="AF38" i="51"/>
  <c r="AL17" i="51"/>
  <c r="DX131" i="49"/>
  <c r="AN17" i="51"/>
  <c r="DT133" i="49"/>
  <c r="DO106" i="49"/>
  <c r="CN43" i="49"/>
  <c r="DH138" i="49"/>
  <c r="DS140" i="49"/>
  <c r="DL89" i="49"/>
  <c r="CP39" i="49"/>
  <c r="AK8" i="51"/>
  <c r="CV90" i="49"/>
  <c r="CV68" i="51"/>
  <c r="DZ69" i="49"/>
  <c r="DQ43" i="49"/>
  <c r="CN90" i="49"/>
  <c r="CO20" i="49"/>
  <c r="CP107" i="49"/>
  <c r="DG138" i="49"/>
  <c r="DZ66" i="49"/>
  <c r="DB41" i="49"/>
  <c r="DE41" i="49"/>
  <c r="AM22" i="51"/>
  <c r="CY40" i="49"/>
  <c r="CY10" i="51"/>
  <c r="DN139" i="49"/>
  <c r="S299" i="7"/>
  <c r="DB42" i="49"/>
  <c r="CW134" i="49"/>
  <c r="DW142" i="49"/>
  <c r="DH133" i="49"/>
  <c r="AK6" i="51"/>
  <c r="DT131" i="49"/>
  <c r="S137" i="7"/>
  <c r="DK137" i="49"/>
  <c r="AG8" i="51"/>
  <c r="AP6" i="51"/>
  <c r="CV106" i="49"/>
  <c r="T343" i="7"/>
  <c r="CX70" i="49"/>
  <c r="DY90" i="49"/>
  <c r="S227" i="7"/>
  <c r="DN131" i="49"/>
  <c r="DA20" i="49"/>
  <c r="DV39" i="49"/>
  <c r="S301" i="7"/>
  <c r="S280" i="7"/>
  <c r="AE33" i="51"/>
  <c r="DL69" i="49"/>
  <c r="DO42" i="49"/>
  <c r="CQ43" i="49"/>
  <c r="DE72" i="49"/>
  <c r="CS131" i="49"/>
  <c r="CT40" i="49"/>
  <c r="DT132" i="49"/>
  <c r="DH137" i="49"/>
  <c r="S160" i="7"/>
  <c r="AK21" i="51"/>
  <c r="DJ67" i="49"/>
  <c r="CM141" i="49"/>
  <c r="DJ130" i="49"/>
  <c r="CV6" i="51"/>
  <c r="DL67" i="49"/>
  <c r="DO133" i="49"/>
  <c r="CY25" i="51"/>
  <c r="S175" i="7"/>
  <c r="DV43" i="49"/>
  <c r="CP89" i="49"/>
  <c r="DZ68" i="49"/>
  <c r="CW9" i="51"/>
  <c r="DR105" i="49"/>
  <c r="T345" i="7"/>
  <c r="CW20" i="49"/>
  <c r="T145" i="7"/>
  <c r="S290" i="7"/>
  <c r="AJ25" i="51"/>
  <c r="CX20" i="49"/>
  <c r="DQ138" i="49"/>
  <c r="CV7" i="51"/>
  <c r="AF35" i="51"/>
  <c r="DZ142" i="49"/>
  <c r="CN141" i="49"/>
  <c r="DA130" i="49"/>
  <c r="CX43" i="49"/>
  <c r="AN66" i="51"/>
  <c r="CZ141" i="49"/>
  <c r="DI68" i="49"/>
  <c r="CY20" i="49"/>
  <c r="DP131" i="49"/>
  <c r="CU68" i="51"/>
  <c r="DY20" i="49"/>
  <c r="DQ134" i="49"/>
  <c r="AJ7" i="51"/>
  <c r="AF39" i="51"/>
  <c r="AL18" i="51"/>
  <c r="AG68" i="51"/>
  <c r="CO131" i="49"/>
  <c r="DU132" i="49"/>
  <c r="CR133" i="49"/>
  <c r="DK130" i="49"/>
  <c r="CS43" i="49"/>
  <c r="DI135" i="49"/>
  <c r="CX133" i="49"/>
  <c r="DU131" i="49"/>
  <c r="CW69" i="51"/>
  <c r="DI89" i="49"/>
  <c r="DJ43" i="49"/>
  <c r="CT91" i="49"/>
  <c r="CY139" i="49"/>
  <c r="CW31" i="51"/>
  <c r="AL31" i="51"/>
  <c r="DJ139" i="49"/>
  <c r="DT39" i="49"/>
  <c r="DX142" i="49"/>
  <c r="CW43" i="49"/>
  <c r="DA106" i="49"/>
  <c r="CS66" i="49"/>
  <c r="AI38" i="51"/>
  <c r="CT141" i="49"/>
  <c r="DD107" i="49"/>
  <c r="DZ138" i="49"/>
  <c r="DX135" i="49"/>
  <c r="CS10" i="51"/>
  <c r="AK25" i="51"/>
  <c r="DC67" i="49"/>
  <c r="AK10" i="51"/>
  <c r="DK69" i="49"/>
  <c r="CT42" i="49"/>
  <c r="AG18" i="51"/>
  <c r="CM43" i="49"/>
  <c r="AO10" i="51"/>
  <c r="DF42" i="49"/>
  <c r="DI67" i="49"/>
  <c r="DJ91" i="49"/>
  <c r="DB66" i="49"/>
  <c r="S292" i="7"/>
  <c r="DH72" i="49"/>
  <c r="AF17" i="51"/>
  <c r="DF140" i="49"/>
  <c r="S244" i="7"/>
  <c r="CV131" i="49"/>
  <c r="DI43" i="49"/>
  <c r="CY41" i="49"/>
  <c r="DC138" i="49"/>
  <c r="CY131" i="49"/>
  <c r="DO135" i="49"/>
  <c r="CM133" i="49"/>
  <c r="S355" i="7"/>
  <c r="CS91" i="49"/>
  <c r="DW106" i="49"/>
  <c r="CW72" i="49"/>
  <c r="AP37" i="51"/>
  <c r="CU133" i="49"/>
  <c r="AL25" i="51"/>
  <c r="CP132" i="49"/>
  <c r="CT138" i="49"/>
  <c r="DK90" i="49"/>
  <c r="DH136" i="49"/>
  <c r="CS70" i="51"/>
  <c r="AE11" i="51"/>
  <c r="S174" i="7"/>
  <c r="CX140" i="49"/>
  <c r="CZ10" i="51"/>
  <c r="CS142" i="49"/>
  <c r="CP139" i="49"/>
  <c r="DQ142" i="49"/>
  <c r="CS30" i="51"/>
  <c r="DJ70" i="49"/>
  <c r="DL68" i="49"/>
  <c r="CO42" i="49"/>
  <c r="AO25" i="51"/>
  <c r="DA45" i="49"/>
  <c r="CY71" i="49"/>
  <c r="CO70" i="49"/>
  <c r="AJ37" i="51"/>
  <c r="AM11" i="51"/>
  <c r="T243" i="7"/>
  <c r="DZ135" i="49"/>
  <c r="DB136" i="49"/>
  <c r="DP43" i="49"/>
  <c r="DG91" i="49"/>
  <c r="DO40" i="49"/>
  <c r="DI90" i="49"/>
  <c r="S354" i="7"/>
  <c r="DT91" i="49"/>
  <c r="CO43" i="49"/>
  <c r="DH39" i="49"/>
  <c r="DC91" i="49"/>
  <c r="T366" i="7"/>
  <c r="DW140" i="49"/>
  <c r="AJ68" i="51"/>
  <c r="DY138" i="49"/>
  <c r="DT142" i="49"/>
  <c r="T160" i="7"/>
  <c r="AG26" i="51"/>
  <c r="DR133" i="49"/>
  <c r="AE69" i="51"/>
  <c r="DZ43" i="49"/>
  <c r="CM134" i="49"/>
  <c r="AG25" i="51"/>
  <c r="AP7" i="51"/>
  <c r="DL105" i="49"/>
  <c r="CZ136" i="49"/>
  <c r="CU6" i="51"/>
  <c r="S214" i="7"/>
  <c r="CO44" i="49"/>
  <c r="DC139" i="49"/>
  <c r="DE134" i="49"/>
  <c r="DC72" i="49"/>
  <c r="S206" i="7"/>
  <c r="CT19" i="51"/>
  <c r="DD20" i="49"/>
  <c r="CW18" i="51"/>
  <c r="CX6" i="51"/>
  <c r="CZ17" i="51"/>
  <c r="CO71" i="49"/>
  <c r="DI106" i="49"/>
  <c r="CT68" i="51"/>
  <c r="AN25" i="51"/>
  <c r="DH44" i="49"/>
  <c r="DP141" i="49"/>
  <c r="DF45" i="49"/>
  <c r="DA17" i="51"/>
  <c r="AN71" i="51"/>
  <c r="CT22" i="51"/>
  <c r="DN71" i="49"/>
  <c r="CS7" i="51"/>
  <c r="CV135" i="49"/>
  <c r="DF137" i="49"/>
  <c r="DG71" i="49"/>
  <c r="DG41" i="49"/>
  <c r="T305" i="7"/>
  <c r="DL72" i="49"/>
  <c r="DO66" i="49"/>
  <c r="DK41" i="49"/>
  <c r="CT11" i="51"/>
  <c r="DV41" i="49"/>
  <c r="CS140" i="49"/>
  <c r="DZ67" i="49"/>
  <c r="AF37" i="51"/>
  <c r="CX17" i="51"/>
  <c r="AJ26" i="51"/>
  <c r="DO44" i="49"/>
  <c r="AL38" i="51"/>
  <c r="S225" i="7"/>
  <c r="CQ134" i="49"/>
  <c r="CX107" i="49"/>
  <c r="DY134" i="49"/>
  <c r="S368" i="7"/>
  <c r="DK138" i="49"/>
  <c r="CY26" i="51"/>
  <c r="DN107" i="49"/>
  <c r="CX8" i="51"/>
  <c r="DF67" i="49"/>
  <c r="DZ130" i="49"/>
  <c r="DO69" i="49"/>
  <c r="CZ68" i="49"/>
  <c r="CW33" i="51"/>
  <c r="AN6" i="51"/>
  <c r="AO21" i="51"/>
  <c r="AF72" i="51"/>
  <c r="DU106" i="49"/>
  <c r="DV137" i="49"/>
  <c r="CR142" i="49"/>
  <c r="AP30" i="51"/>
  <c r="CX30" i="51"/>
  <c r="AJ29" i="51"/>
  <c r="CX137" i="49"/>
  <c r="CP134" i="49"/>
  <c r="AO66" i="51"/>
  <c r="DD67" i="49"/>
  <c r="CP42" i="49"/>
  <c r="CQ138" i="49"/>
  <c r="CQ42" i="49"/>
  <c r="DK107" i="49"/>
  <c r="DZ134" i="49"/>
  <c r="DF70" i="49"/>
  <c r="DR136" i="49"/>
  <c r="DR135" i="49"/>
  <c r="CV44" i="49"/>
  <c r="DN105" i="49"/>
  <c r="AM38" i="51"/>
  <c r="CV66" i="49"/>
  <c r="CY137" i="49"/>
  <c r="DC107" i="49"/>
  <c r="DD90" i="49"/>
  <c r="CT39" i="49"/>
  <c r="DI66" i="49"/>
  <c r="CR71" i="49"/>
  <c r="CS89" i="49"/>
  <c r="CW105" i="49"/>
  <c r="DG134" i="49"/>
  <c r="CN137" i="49"/>
  <c r="CT44" i="49"/>
  <c r="AE10" i="51"/>
  <c r="AE8" i="51"/>
  <c r="DB130" i="49"/>
  <c r="DX40" i="49"/>
  <c r="DL42" i="49"/>
  <c r="S152" i="7"/>
  <c r="DT69" i="49"/>
  <c r="CW142" i="49"/>
  <c r="AF21" i="51"/>
  <c r="DA66" i="49"/>
  <c r="CZ33" i="51"/>
  <c r="DC106" i="49"/>
  <c r="DL130" i="49"/>
  <c r="DZ106" i="49"/>
  <c r="CM42" i="49"/>
  <c r="CY69" i="49"/>
  <c r="DP40" i="49"/>
  <c r="S353" i="7"/>
  <c r="T254" i="7"/>
  <c r="DX43" i="49"/>
  <c r="DG66" i="49"/>
  <c r="DS136" i="49"/>
  <c r="CV134" i="49"/>
  <c r="S271" i="7"/>
  <c r="DP68" i="49"/>
  <c r="DP142" i="49"/>
  <c r="DH89" i="49"/>
  <c r="S343" i="7"/>
  <c r="DD89" i="49"/>
  <c r="DO41" i="49"/>
  <c r="DR41" i="49"/>
  <c r="S155" i="7"/>
  <c r="CU70" i="51"/>
  <c r="CU135" i="49"/>
  <c r="S357" i="7"/>
  <c r="DH107" i="49"/>
  <c r="AJ11" i="51"/>
  <c r="CP71" i="49"/>
  <c r="CT8" i="51"/>
  <c r="CT25" i="51"/>
  <c r="CU90" i="49"/>
  <c r="DI42" i="49"/>
  <c r="DF138" i="49"/>
  <c r="DD91" i="49"/>
  <c r="DO91" i="49"/>
  <c r="CT66" i="49"/>
  <c r="DX70" i="49"/>
  <c r="CZ44" i="49"/>
  <c r="CX66" i="49"/>
  <c r="AH18" i="51"/>
  <c r="DK105" i="49"/>
  <c r="T146" i="7"/>
  <c r="S364" i="7"/>
  <c r="CU67" i="51"/>
  <c r="DY72" i="49"/>
  <c r="AP17" i="51"/>
  <c r="CX131" i="49"/>
  <c r="DX139" i="49"/>
  <c r="CQ140" i="49"/>
  <c r="DT68" i="49"/>
  <c r="AO7" i="51"/>
  <c r="AG6" i="51"/>
  <c r="AG33" i="51"/>
  <c r="CU11" i="51"/>
  <c r="DK70" i="49"/>
  <c r="S248" i="7"/>
  <c r="DV106" i="49"/>
  <c r="AE25" i="51"/>
  <c r="CW21" i="51"/>
  <c r="DK42" i="49"/>
  <c r="CZ68" i="51"/>
  <c r="CT41" i="49"/>
  <c r="DG67" i="49"/>
  <c r="CZ39" i="51"/>
  <c r="CY134" i="49"/>
  <c r="DJ45" i="49"/>
  <c r="S171" i="7"/>
  <c r="AH10" i="51"/>
  <c r="T369" i="7"/>
  <c r="DX132" i="49"/>
  <c r="CX41" i="49"/>
  <c r="CN139" i="49"/>
  <c r="DN137" i="49"/>
  <c r="E3" i="30"/>
  <c r="DN141" i="49"/>
  <c r="DI134" i="49"/>
  <c r="DC137" i="49"/>
  <c r="DT135" i="49"/>
  <c r="CT89" i="49"/>
  <c r="CV130" i="49"/>
  <c r="AE39" i="51"/>
  <c r="DI138" i="49"/>
  <c r="T164" i="7"/>
  <c r="CS29" i="51"/>
  <c r="DF139" i="49"/>
  <c r="DH68" i="49"/>
  <c r="DF134" i="49"/>
  <c r="CW19" i="51"/>
  <c r="AI34" i="51"/>
  <c r="DS133" i="49"/>
  <c r="CZ31" i="51"/>
  <c r="DE142" i="49"/>
  <c r="DH66" i="49"/>
  <c r="CM89" i="49"/>
  <c r="DI20" i="49"/>
  <c r="DC133" i="49"/>
  <c r="CX19" i="51"/>
  <c r="CW137" i="49"/>
  <c r="DD66" i="49"/>
  <c r="DB68" i="49"/>
  <c r="CM69" i="49"/>
  <c r="DS135" i="49"/>
  <c r="DO71" i="49"/>
  <c r="DG43" i="49"/>
  <c r="CS90" i="49"/>
  <c r="DL41" i="49"/>
  <c r="CU39" i="51"/>
  <c r="DW141" i="49"/>
  <c r="DX44" i="49"/>
  <c r="CP72" i="49"/>
  <c r="CY71" i="51"/>
  <c r="AM33" i="51"/>
  <c r="DH20" i="49"/>
  <c r="CY9" i="51"/>
  <c r="CP45" i="49"/>
  <c r="AN18" i="51"/>
  <c r="CN105" i="49"/>
  <c r="DY68" i="49"/>
  <c r="CW17" i="51"/>
  <c r="S367" i="7"/>
  <c r="DC105" i="49"/>
  <c r="CR106" i="49"/>
  <c r="DU71" i="49"/>
  <c r="AP22" i="51"/>
  <c r="CW106" i="49"/>
  <c r="AN37" i="51"/>
  <c r="AI37" i="51"/>
  <c r="DG130" i="49"/>
  <c r="AP8" i="51"/>
  <c r="AN31" i="51"/>
  <c r="CZ21" i="51"/>
  <c r="DA68" i="51"/>
  <c r="DJ132" i="49"/>
  <c r="CN132" i="49"/>
  <c r="AG31" i="51"/>
  <c r="DK89" i="49"/>
  <c r="DA134" i="49"/>
  <c r="AL19" i="51"/>
  <c r="CV35" i="51"/>
  <c r="CY22" i="51"/>
  <c r="CM140" i="49"/>
  <c r="CW138" i="49"/>
  <c r="DI130" i="49"/>
  <c r="CO133" i="49"/>
  <c r="CX22" i="51"/>
  <c r="AE18" i="51"/>
  <c r="AH37" i="51"/>
  <c r="AH17" i="51"/>
  <c r="DR132" i="49"/>
  <c r="DA139" i="49"/>
  <c r="T353" i="7"/>
  <c r="DL133" i="49"/>
  <c r="DU44" i="49"/>
  <c r="DH71" i="49"/>
  <c r="DG39" i="49"/>
  <c r="CU44" i="49"/>
  <c r="DJ41" i="49"/>
  <c r="CU134" i="49"/>
  <c r="DC141" i="49"/>
  <c r="AL11" i="51"/>
  <c r="DH69" i="49"/>
  <c r="DX69" i="49"/>
  <c r="DY105" i="49"/>
  <c r="DI39" i="49"/>
  <c r="DX136" i="49"/>
  <c r="DA70" i="51"/>
  <c r="DU89" i="49"/>
  <c r="DS41" i="49"/>
  <c r="DP134" i="49"/>
  <c r="CP135" i="49"/>
  <c r="CU72" i="49"/>
  <c r="DH130" i="49"/>
  <c r="DA40" i="49"/>
  <c r="DP69" i="49"/>
  <c r="DQ41" i="49"/>
  <c r="CN20" i="49"/>
  <c r="AL26" i="51"/>
  <c r="AP19" i="51"/>
  <c r="CV66" i="51"/>
  <c r="DJ140" i="49"/>
  <c r="AL66" i="51"/>
  <c r="CT136" i="49"/>
  <c r="AH30" i="51"/>
  <c r="AF33" i="51"/>
  <c r="DJ68" i="49"/>
  <c r="CN135" i="49"/>
  <c r="S145" i="7"/>
  <c r="DL71" i="49"/>
  <c r="CP105" i="49"/>
  <c r="CR20" i="49"/>
  <c r="CW68" i="49"/>
  <c r="AH66" i="51"/>
  <c r="CS19" i="51"/>
  <c r="CX130" i="49"/>
  <c r="AF10" i="51"/>
  <c r="CY66" i="51"/>
  <c r="CU35" i="51"/>
  <c r="AI72" i="51"/>
  <c r="CZ72" i="51"/>
  <c r="DJ44" i="49"/>
  <c r="DW70" i="49"/>
  <c r="CU41" i="49"/>
  <c r="AK9" i="51"/>
  <c r="DI71" i="49"/>
  <c r="S191" i="7"/>
  <c r="CN70" i="49"/>
  <c r="CQ91" i="49"/>
  <c r="AG21" i="51"/>
  <c r="AN33" i="51"/>
  <c r="CV71" i="49"/>
  <c r="CV31" i="51"/>
  <c r="T144" i="7"/>
  <c r="CN67" i="49"/>
  <c r="DK131" i="49"/>
  <c r="AK69" i="51"/>
  <c r="DK141" i="49"/>
  <c r="DN70" i="49"/>
  <c r="DV130" i="49"/>
  <c r="CV138" i="49"/>
  <c r="CV40" i="49"/>
  <c r="CO39" i="49"/>
  <c r="DL132" i="49"/>
  <c r="CY91" i="49"/>
  <c r="CP106" i="49"/>
  <c r="CZ71" i="49"/>
  <c r="DH131" i="49"/>
  <c r="CT67" i="49"/>
  <c r="DJ138" i="49"/>
  <c r="DL39" i="49"/>
  <c r="DP130" i="49"/>
  <c r="AP34" i="51"/>
  <c r="DC89" i="49"/>
  <c r="DD138" i="49"/>
  <c r="S266" i="7"/>
  <c r="DC140" i="49"/>
  <c r="S345" i="7"/>
  <c r="DA142" i="49"/>
  <c r="DZ139" i="49"/>
  <c r="DB71" i="49"/>
  <c r="CX69" i="49"/>
  <c r="AN22" i="51"/>
  <c r="DW136" i="49"/>
  <c r="CU38" i="51"/>
  <c r="DK139" i="49"/>
  <c r="DR40" i="49"/>
  <c r="CW132" i="49"/>
  <c r="AL37" i="51"/>
  <c r="DK91" i="49"/>
  <c r="DF43" i="49"/>
  <c r="S151" i="7"/>
  <c r="T291" i="7"/>
  <c r="CS45" i="49"/>
  <c r="CS71" i="49"/>
  <c r="DD68" i="49"/>
  <c r="CV140" i="49"/>
  <c r="DA72" i="49"/>
  <c r="DE106" i="49"/>
  <c r="DJ137" i="49"/>
  <c r="DI131" i="49"/>
  <c r="S304" i="7"/>
  <c r="CR140" i="49"/>
  <c r="CR39" i="49"/>
  <c r="CY18" i="51"/>
  <c r="S242" i="7"/>
  <c r="AN44" i="48" l="1"/>
  <c r="AN23" i="48"/>
  <c r="Q26" i="48"/>
  <c r="AN26" i="48" s="1"/>
  <c r="AM18" i="48"/>
  <c r="P21" i="48"/>
  <c r="AM21" i="48" s="1"/>
  <c r="X114" i="1"/>
  <c r="F2" i="4"/>
  <c r="N96" i="1"/>
  <c r="T326" i="1"/>
  <c r="W164" i="1"/>
  <c r="U474" i="1"/>
  <c r="N120" i="49"/>
  <c r="N150" i="49" s="1"/>
  <c r="R283" i="1"/>
  <c r="R3" i="1"/>
  <c r="T4" i="1" s="1"/>
  <c r="V4" i="1"/>
  <c r="V710" i="1"/>
  <c r="V178" i="1"/>
  <c r="V183" i="1" s="1"/>
  <c r="T6" i="1"/>
  <c r="AI126" i="49"/>
  <c r="AI156" i="49" s="1"/>
  <c r="AG61" i="49"/>
  <c r="AG79" i="49" s="1"/>
  <c r="J324" i="42" a="1"/>
  <c r="J324" i="42" s="1"/>
  <c r="J326" i="42" s="1"/>
  <c r="V6" i="1"/>
  <c r="AI125" i="49"/>
  <c r="AI155" i="49" s="1"/>
  <c r="J296" i="42" a="1"/>
  <c r="J296" i="42" s="1"/>
  <c r="J298" i="42" s="1"/>
  <c r="W248" i="1"/>
  <c r="X248" i="1" s="1"/>
  <c r="Y248" i="1" s="1"/>
  <c r="Z248" i="1" s="1"/>
  <c r="AA248" i="1" s="1"/>
  <c r="AB248" i="1" s="1"/>
  <c r="AC248" i="1" s="1"/>
  <c r="AD248" i="1" s="1"/>
  <c r="AE248" i="1" s="1"/>
  <c r="AF248" i="1" s="1"/>
  <c r="AG248" i="1" s="1"/>
  <c r="AH248" i="1" s="1"/>
  <c r="AI248" i="1" s="1"/>
  <c r="AJ248" i="1" s="1"/>
  <c r="AK248" i="1" s="1"/>
  <c r="AL248" i="1" s="1"/>
  <c r="AM248" i="1" s="1"/>
  <c r="AN248" i="1" s="1"/>
  <c r="L356" i="42" a="1"/>
  <c r="L356" i="42" s="1"/>
  <c r="L358" i="42" s="1"/>
  <c r="J24" i="42"/>
  <c r="J228" i="42" s="1" a="1"/>
  <c r="J228" i="42" s="1"/>
  <c r="J230" i="42" s="1"/>
  <c r="I31" i="49"/>
  <c r="I49" i="49" s="1"/>
  <c r="CY5" i="51"/>
  <c r="CX5" i="51"/>
  <c r="CW4" i="51"/>
  <c r="CW5" i="51" s="1"/>
  <c r="CZ5" i="51"/>
  <c r="J236" i="42" a="1"/>
  <c r="J236" i="42" s="1"/>
  <c r="J238" i="42" s="1"/>
  <c r="CW15" i="51"/>
  <c r="CW16" i="51" s="1"/>
  <c r="CX16" i="51"/>
  <c r="CY16" i="51"/>
  <c r="CZ16" i="51"/>
  <c r="N248" i="42" a="1"/>
  <c r="N248" i="42" s="1"/>
  <c r="N250" i="42" s="1"/>
  <c r="L400" i="42" a="1"/>
  <c r="L400" i="42" s="1"/>
  <c r="N401" i="42" s="1"/>
  <c r="V457" i="1"/>
  <c r="V458" i="1"/>
  <c r="N292" i="42" a="1"/>
  <c r="N292" i="42" s="1"/>
  <c r="N294" i="42" s="1"/>
  <c r="V399" i="1"/>
  <c r="W399" i="1" s="1"/>
  <c r="X399" i="1" s="1"/>
  <c r="Y399" i="1" s="1"/>
  <c r="Z399" i="1" s="1"/>
  <c r="AA399" i="1" s="1"/>
  <c r="AB399" i="1" s="1"/>
  <c r="AC399" i="1" s="1"/>
  <c r="AD399" i="1" s="1"/>
  <c r="AE399" i="1" s="1"/>
  <c r="AF399" i="1" s="1"/>
  <c r="AG399" i="1" s="1"/>
  <c r="AH399" i="1" s="1"/>
  <c r="AI399" i="1" s="1"/>
  <c r="AJ399" i="1" s="1"/>
  <c r="AK399" i="1" s="1"/>
  <c r="AL399" i="1" s="1"/>
  <c r="AM399" i="1" s="1"/>
  <c r="AN399" i="1" s="1"/>
  <c r="V474" i="1"/>
  <c r="V598" i="1"/>
  <c r="AI30" i="49"/>
  <c r="AI48" i="49" s="1"/>
  <c r="L296" i="42" a="1"/>
  <c r="L296" i="42" s="1"/>
  <c r="AI34" i="49"/>
  <c r="AI52" i="49" s="1"/>
  <c r="N88" i="1"/>
  <c r="S702" i="1"/>
  <c r="E41" i="50"/>
  <c r="N682" i="1"/>
  <c r="AH102" i="49"/>
  <c r="AH112" i="49" s="1"/>
  <c r="CJ23" i="51"/>
  <c r="CK23" i="51" s="1"/>
  <c r="L78" i="42"/>
  <c r="L420" i="42" s="1" a="1"/>
  <c r="L420" i="42" s="1"/>
  <c r="L422" i="42" s="1"/>
  <c r="L308" i="42" a="1"/>
  <c r="L308" i="42" s="1"/>
  <c r="N309" i="42" s="1"/>
  <c r="L416" i="42" a="1"/>
  <c r="L416" i="42" s="1"/>
  <c r="N417" i="42" s="1"/>
  <c r="J240" i="42" a="1"/>
  <c r="J240" i="42" s="1"/>
  <c r="J242" i="42" s="1"/>
  <c r="L69" i="42"/>
  <c r="L388" i="42" s="1" a="1"/>
  <c r="L388" i="42" s="1"/>
  <c r="N389" i="42" s="1"/>
  <c r="K122" i="49"/>
  <c r="K152" i="49" s="1"/>
  <c r="AO40" i="42"/>
  <c r="AO284" i="42" s="1" a="1"/>
  <c r="AO284" i="42" s="1"/>
  <c r="AO285" i="42" s="1"/>
  <c r="J356" i="42" a="1"/>
  <c r="J356" i="42" s="1"/>
  <c r="AO73" i="42"/>
  <c r="AO404" i="42" s="1" a="1"/>
  <c r="AO404" i="42" s="1"/>
  <c r="AO405" i="42" s="1"/>
  <c r="AN28" i="42"/>
  <c r="AN244" i="42" s="1" a="1"/>
  <c r="AN244" i="42" s="1"/>
  <c r="AN246" i="42" s="1"/>
  <c r="AJ86" i="49"/>
  <c r="AJ96" i="49" s="1"/>
  <c r="G31" i="49"/>
  <c r="G49" i="49" s="1"/>
  <c r="AM78" i="42"/>
  <c r="AM420" i="42" s="1" a="1"/>
  <c r="AM420" i="42" s="1"/>
  <c r="AM422" i="42" s="1"/>
  <c r="AG27" i="51"/>
  <c r="AP23" i="51"/>
  <c r="AH27" i="51"/>
  <c r="AJ23" i="51"/>
  <c r="AL23" i="51"/>
  <c r="AK23" i="51"/>
  <c r="AO27" i="51"/>
  <c r="AI27" i="51"/>
  <c r="AN23" i="51"/>
  <c r="AI23" i="51"/>
  <c r="AM27" i="51"/>
  <c r="AF23" i="51"/>
  <c r="AE27" i="51"/>
  <c r="AJ27" i="51"/>
  <c r="AL27" i="51"/>
  <c r="AF27" i="51"/>
  <c r="AH23" i="51"/>
  <c r="AN27" i="51"/>
  <c r="AM23" i="51"/>
  <c r="AG23" i="51"/>
  <c r="AP27" i="51"/>
  <c r="AK27" i="51"/>
  <c r="AO23" i="51"/>
  <c r="AE23" i="51"/>
  <c r="AL51" i="48"/>
  <c r="AG63" i="49"/>
  <c r="AG81" i="49" s="1"/>
  <c r="J300" i="42" a="1"/>
  <c r="J300" i="42" s="1"/>
  <c r="J302" i="42" s="1"/>
  <c r="H296" i="42" a="1"/>
  <c r="H296" i="42" s="1"/>
  <c r="W179" i="1"/>
  <c r="N70" i="51" s="1"/>
  <c r="BO70" i="51" s="1"/>
  <c r="H190" i="42"/>
  <c r="J400" i="42" a="1"/>
  <c r="J400" i="42" s="1"/>
  <c r="L284" i="42" a="1"/>
  <c r="L284" i="42" s="1"/>
  <c r="N285" i="42" s="1"/>
  <c r="L360" i="42" a="1"/>
  <c r="L360" i="42" s="1"/>
  <c r="L362" i="42" s="1"/>
  <c r="H292" i="42" a="1"/>
  <c r="H292" i="42" s="1"/>
  <c r="H294" i="42" s="1"/>
  <c r="AI60" i="49"/>
  <c r="AI78" i="49" s="1"/>
  <c r="L236" i="42" a="1"/>
  <c r="L236" i="42" s="1"/>
  <c r="L238" i="42" s="1"/>
  <c r="H308" i="42" a="1"/>
  <c r="H308" i="42" s="1"/>
  <c r="J309" i="42" s="1"/>
  <c r="L340" i="42" a="1"/>
  <c r="L340" i="42" s="1"/>
  <c r="L342" i="42" s="1"/>
  <c r="M67" i="42"/>
  <c r="M380" i="42" s="1" a="1"/>
  <c r="M380" i="42" s="1"/>
  <c r="M382" i="42" s="1"/>
  <c r="N396" i="42" a="1"/>
  <c r="N396" i="42" s="1"/>
  <c r="N398" i="42" s="1"/>
  <c r="AH127" i="49"/>
  <c r="AH157" i="49" s="1"/>
  <c r="AG60" i="49"/>
  <c r="AG78" i="49" s="1"/>
  <c r="H24" i="42"/>
  <c r="H228" i="42" s="1" a="1"/>
  <c r="H228" i="42" s="1"/>
  <c r="H230" i="42" s="1"/>
  <c r="J340" i="42" a="1"/>
  <c r="J340" i="42" s="1"/>
  <c r="J342" i="42" s="1"/>
  <c r="AO77" i="42"/>
  <c r="AO416" i="42" s="1" a="1"/>
  <c r="AO416" i="42" s="1"/>
  <c r="AO417" i="42" s="1"/>
  <c r="H340" i="42" a="1"/>
  <c r="H340" i="42" s="1"/>
  <c r="H342" i="42" s="1"/>
  <c r="N340" i="42" a="1"/>
  <c r="N340" i="42" s="1"/>
  <c r="N342" i="42" s="1"/>
  <c r="M277" i="1"/>
  <c r="M507" i="1" s="1"/>
  <c r="M513" i="1" s="1"/>
  <c r="T573" i="1"/>
  <c r="X479" i="1"/>
  <c r="X665" i="1" s="1"/>
  <c r="P220" i="1"/>
  <c r="O702" i="1"/>
  <c r="U702" i="1"/>
  <c r="H262" i="1"/>
  <c r="AL17" i="42"/>
  <c r="AL208" i="42" s="1" a="1"/>
  <c r="AL208" i="42" s="1"/>
  <c r="AL210" i="42" s="1"/>
  <c r="H208" i="42" a="1"/>
  <c r="H208" i="42" s="1"/>
  <c r="H210" i="42" s="1"/>
  <c r="U307" i="1"/>
  <c r="G194" i="42"/>
  <c r="O81" i="42"/>
  <c r="O432" i="42" s="1" a="1"/>
  <c r="O432" i="42" s="1"/>
  <c r="O434" i="42" s="1"/>
  <c r="AH36" i="49"/>
  <c r="AH54" i="49" s="1"/>
  <c r="H268" i="42" a="1"/>
  <c r="H268" i="42" s="1"/>
  <c r="H270" i="42" s="1"/>
  <c r="L240" i="42" a="1"/>
  <c r="L240" i="42" s="1"/>
  <c r="L242" i="42" s="1"/>
  <c r="L404" i="42" a="1"/>
  <c r="L404" i="42" s="1"/>
  <c r="L406" i="42" s="1"/>
  <c r="AJ125" i="49"/>
  <c r="AJ155" i="49" s="1"/>
  <c r="N300" i="42" a="1"/>
  <c r="N300" i="42" s="1"/>
  <c r="N302" i="42" s="1"/>
  <c r="H324" i="42" a="1"/>
  <c r="H324" i="42" s="1"/>
  <c r="H326" i="42" s="1"/>
  <c r="E77" i="51"/>
  <c r="F9" i="1"/>
  <c r="P186" i="1"/>
  <c r="N494" i="1"/>
  <c r="S474" i="1"/>
  <c r="R736" i="1"/>
  <c r="H284" i="42" a="1"/>
  <c r="H284" i="42" s="1"/>
  <c r="H286" i="42" s="1"/>
  <c r="M59" i="51"/>
  <c r="P12" i="42"/>
  <c r="O59" i="51"/>
  <c r="AG30" i="49"/>
  <c r="AG48" i="49" s="1"/>
  <c r="O10" i="49"/>
  <c r="AK10" i="49" s="1"/>
  <c r="R12" i="42"/>
  <c r="R188" i="42" s="1" a="1"/>
  <c r="R188" i="42" s="1"/>
  <c r="R190" i="42" s="1"/>
  <c r="Q10" i="49"/>
  <c r="AL10" i="49" s="1"/>
  <c r="AM66" i="42"/>
  <c r="AM376" i="42" s="1" a="1"/>
  <c r="AM376" i="42" s="1"/>
  <c r="AM378" i="42" s="1"/>
  <c r="AO54" i="42"/>
  <c r="AO332" i="42" s="1" a="1"/>
  <c r="AO332" i="42" s="1"/>
  <c r="AO334" i="42" s="1"/>
  <c r="AJ126" i="49"/>
  <c r="AJ156" i="49" s="1"/>
  <c r="J244" i="42" a="1"/>
  <c r="J244" i="42" s="1"/>
  <c r="L245" i="42" s="1"/>
  <c r="Z79" i="1"/>
  <c r="S10" i="49" s="1"/>
  <c r="S494" i="1"/>
  <c r="S682" i="1"/>
  <c r="W480" i="1"/>
  <c r="N274" i="1"/>
  <c r="N220" i="1"/>
  <c r="P702" i="1"/>
  <c r="S64" i="1"/>
  <c r="M702" i="1"/>
  <c r="O682" i="1"/>
  <c r="P655" i="1"/>
  <c r="P659" i="1" s="1"/>
  <c r="R702" i="1"/>
  <c r="N244" i="42" a="1"/>
  <c r="N244" i="42" s="1"/>
  <c r="N245" i="42" s="1"/>
  <c r="N224" i="42" a="1"/>
  <c r="N224" i="42" s="1"/>
  <c r="N226" i="42" s="1"/>
  <c r="P494" i="1"/>
  <c r="J224" i="42" a="1"/>
  <c r="J224" i="42" s="1"/>
  <c r="J226" i="42" s="1"/>
  <c r="H300" i="42" a="1"/>
  <c r="H300" i="42" s="1"/>
  <c r="N184" i="42" a="1"/>
  <c r="N184" i="42" s="1"/>
  <c r="N186" i="42" s="1"/>
  <c r="L424" i="42" a="1"/>
  <c r="L424" i="42" s="1"/>
  <c r="L426" i="42" s="1"/>
  <c r="AH30" i="49"/>
  <c r="AH48" i="49" s="1"/>
  <c r="Q307" i="1"/>
  <c r="H232" i="42" a="1"/>
  <c r="H232" i="42" s="1"/>
  <c r="H234" i="42" s="1"/>
  <c r="H196" i="42" a="1"/>
  <c r="H196" i="42" s="1"/>
  <c r="H198" i="42" s="1"/>
  <c r="P313" i="1"/>
  <c r="H236" i="42" a="1"/>
  <c r="H236" i="42" s="1"/>
  <c r="H238" i="42" s="1"/>
  <c r="J208" i="42" a="1"/>
  <c r="J208" i="42" s="1"/>
  <c r="AM17" i="42"/>
  <c r="AM208" i="42" s="1" a="1"/>
  <c r="AM208" i="42" s="1"/>
  <c r="L304" i="42" a="1"/>
  <c r="L304" i="42" s="1"/>
  <c r="L306" i="42" s="1"/>
  <c r="T655" i="1"/>
  <c r="N80" i="42" s="1"/>
  <c r="N428" i="42" s="1" a="1"/>
  <c r="N428" i="42" s="1"/>
  <c r="N430" i="42" s="1"/>
  <c r="S96" i="1"/>
  <c r="G228" i="42" a="1"/>
  <c r="G228" i="42" s="1"/>
  <c r="I229" i="42" s="1"/>
  <c r="N236" i="42" a="1"/>
  <c r="N236" i="42" s="1"/>
  <c r="I67" i="42"/>
  <c r="I380" i="42" s="1" a="1"/>
  <c r="I380" i="42" s="1"/>
  <c r="I382" i="42" s="1"/>
  <c r="N324" i="42" a="1"/>
  <c r="N324" i="42" s="1"/>
  <c r="N326" i="42" s="1"/>
  <c r="AO46" i="42"/>
  <c r="AO308" i="42" s="1" a="1"/>
  <c r="AO308" i="42" s="1"/>
  <c r="AO309" i="42" s="1"/>
  <c r="G77" i="51"/>
  <c r="AH126" i="49"/>
  <c r="AH156" i="49" s="1"/>
  <c r="T736" i="1"/>
  <c r="S307" i="1"/>
  <c r="T93" i="1"/>
  <c r="T64" i="1" s="1"/>
  <c r="M81" i="42"/>
  <c r="M432" i="42" s="1" a="1"/>
  <c r="M432" i="42" s="1"/>
  <c r="M434" i="42" s="1"/>
  <c r="N408" i="42" a="1"/>
  <c r="N408" i="42" s="1"/>
  <c r="N410" i="42" s="1"/>
  <c r="G274" i="42"/>
  <c r="N78" i="42"/>
  <c r="N420" i="42" s="1" a="1"/>
  <c r="N420" i="42" s="1"/>
  <c r="L292" i="42" a="1"/>
  <c r="L292" i="42" s="1"/>
  <c r="L294" i="42" s="1"/>
  <c r="N304" i="42" a="1"/>
  <c r="N304" i="42" s="1"/>
  <c r="P305" i="42" s="1"/>
  <c r="W672" i="1"/>
  <c r="N313" i="1"/>
  <c r="AL378" i="42"/>
  <c r="N360" i="42" a="1"/>
  <c r="N360" i="42" s="1"/>
  <c r="N188" i="42" a="1"/>
  <c r="N188" i="42" s="1"/>
  <c r="N190" i="42" s="1"/>
  <c r="O474" i="1"/>
  <c r="L248" i="42" a="1"/>
  <c r="L248" i="42" s="1"/>
  <c r="L250" i="42" s="1"/>
  <c r="L262" i="1"/>
  <c r="AH59" i="49"/>
  <c r="AH77" i="49" s="1"/>
  <c r="J416" i="42" a="1"/>
  <c r="J416" i="42" s="1"/>
  <c r="J418" i="42" s="1"/>
  <c r="T682" i="1"/>
  <c r="Q96" i="1"/>
  <c r="J268" i="42" a="1"/>
  <c r="J268" i="42" s="1"/>
  <c r="AJ60" i="49"/>
  <c r="AJ78" i="49" s="1"/>
  <c r="H240" i="42" a="1"/>
  <c r="H240" i="42" s="1"/>
  <c r="H242" i="42" s="1"/>
  <c r="K77" i="51"/>
  <c r="N240" i="42" a="1"/>
  <c r="N240" i="42" s="1"/>
  <c r="N242" i="42" s="1"/>
  <c r="Q48" i="51"/>
  <c r="S48" i="51" s="1"/>
  <c r="T323" i="1"/>
  <c r="N68" i="42"/>
  <c r="N384" i="42" s="1" a="1"/>
  <c r="N384" i="42" s="1"/>
  <c r="N386" i="42" s="1"/>
  <c r="Z467" i="1"/>
  <c r="Q64" i="1"/>
  <c r="Q494" i="1"/>
  <c r="J232" i="42" a="1"/>
  <c r="J232" i="42" s="1"/>
  <c r="AL186" i="42"/>
  <c r="I410" i="42"/>
  <c r="J284" i="42" a="1"/>
  <c r="J284" i="42" s="1"/>
  <c r="L224" i="42" a="1"/>
  <c r="L224" i="42" s="1"/>
  <c r="J360" i="42" a="1"/>
  <c r="J360" i="42" s="1"/>
  <c r="H248" i="42" a="1"/>
  <c r="H248" i="42" s="1"/>
  <c r="H250" i="42" s="1"/>
  <c r="AM50" i="42"/>
  <c r="AM320" i="42" s="1" a="1"/>
  <c r="AM320" i="42" s="1"/>
  <c r="AM322" i="42" s="1"/>
  <c r="AJ32" i="49"/>
  <c r="AJ50" i="49" s="1"/>
  <c r="P682" i="1"/>
  <c r="T494" i="1"/>
  <c r="J408" i="42" a="1"/>
  <c r="J408" i="42" s="1"/>
  <c r="J410" i="42" s="1"/>
  <c r="W453" i="1"/>
  <c r="W694" i="1" s="1"/>
  <c r="AA163" i="1"/>
  <c r="AA180" i="1" s="1"/>
  <c r="AJ102" i="49"/>
  <c r="AJ112" i="49" s="1"/>
  <c r="Y163" i="1"/>
  <c r="Y164" i="1" s="1"/>
  <c r="N296" i="42" a="1"/>
  <c r="N296" i="42" s="1"/>
  <c r="L268" i="42" a="1"/>
  <c r="L268" i="42" s="1"/>
  <c r="N269" i="42" s="1"/>
  <c r="U682" i="1"/>
  <c r="T702" i="1"/>
  <c r="I320" i="42" a="1"/>
  <c r="I320" i="42" s="1"/>
  <c r="K321" i="42" s="1"/>
  <c r="H304" i="42" a="1"/>
  <c r="H304" i="42" s="1"/>
  <c r="H306" i="42" s="1"/>
  <c r="J192" i="42" a="1"/>
  <c r="J192" i="42" s="1"/>
  <c r="J194" i="42" s="1"/>
  <c r="Q567" i="1"/>
  <c r="Q573" i="1" s="1"/>
  <c r="Z177" i="1"/>
  <c r="AB177" i="1"/>
  <c r="P94" i="1"/>
  <c r="P65" i="1" s="1"/>
  <c r="H186" i="42"/>
  <c r="R494" i="1"/>
  <c r="AL366" i="42"/>
  <c r="N702" i="1"/>
  <c r="L300" i="42" a="1"/>
  <c r="L300" i="42" s="1"/>
  <c r="L396" i="42" a="1"/>
  <c r="L396" i="42" s="1"/>
  <c r="L398" i="42" s="1"/>
  <c r="L408" i="42" a="1"/>
  <c r="L408" i="42" s="1"/>
  <c r="J262" i="1"/>
  <c r="AL194" i="42"/>
  <c r="O494" i="1"/>
  <c r="AG57" i="49"/>
  <c r="AG75" i="49" s="1"/>
  <c r="L192" i="42" a="1"/>
  <c r="L192" i="42" s="1"/>
  <c r="L194" i="42" s="1"/>
  <c r="N208" i="42" a="1"/>
  <c r="N208" i="42" s="1"/>
  <c r="N210" i="42" s="1"/>
  <c r="AH33" i="49"/>
  <c r="AH51" i="49" s="1"/>
  <c r="N232" i="42" a="1"/>
  <c r="N232" i="42" s="1"/>
  <c r="N234" i="42" s="1"/>
  <c r="AM81" i="42"/>
  <c r="AM432" i="42" s="1" a="1"/>
  <c r="AM432" i="42" s="1"/>
  <c r="AM434" i="42" s="1"/>
  <c r="N51" i="48"/>
  <c r="AK51" i="48" s="1"/>
  <c r="I64" i="42"/>
  <c r="I368" i="42" s="1" a="1"/>
  <c r="I368" i="42" s="1"/>
  <c r="I370" i="42" s="1"/>
  <c r="N192" i="42" a="1"/>
  <c r="N192" i="42" s="1"/>
  <c r="H16" i="42"/>
  <c r="U494" i="1"/>
  <c r="J304" i="42" a="1"/>
  <c r="J304" i="42" s="1"/>
  <c r="J306" i="42" s="1"/>
  <c r="AO72" i="42"/>
  <c r="AO400" i="42" s="1" a="1"/>
  <c r="AO400" i="42" s="1"/>
  <c r="AO402" i="42" s="1"/>
  <c r="AL50" i="48"/>
  <c r="S571" i="1"/>
  <c r="AM46" i="42"/>
  <c r="AM308" i="42" s="1" a="1"/>
  <c r="AM308" i="42" s="1"/>
  <c r="AN309" i="42" s="1"/>
  <c r="AG36" i="49"/>
  <c r="AG54" i="49" s="1"/>
  <c r="L324" i="42" a="1"/>
  <c r="L324" i="42" s="1"/>
  <c r="AH34" i="49"/>
  <c r="AH52" i="49" s="1"/>
  <c r="N196" i="42" a="1"/>
  <c r="N196" i="42" s="1"/>
  <c r="N198" i="42" s="1"/>
  <c r="P283" i="1"/>
  <c r="H192" i="42" a="1"/>
  <c r="H192" i="42" s="1"/>
  <c r="H194" i="42" s="1"/>
  <c r="AI61" i="49"/>
  <c r="AI79" i="49" s="1"/>
  <c r="H224" i="42" a="1"/>
  <c r="H224" i="42" s="1"/>
  <c r="H226" i="42" s="1"/>
  <c r="T303" i="1"/>
  <c r="W406" i="1"/>
  <c r="W699" i="1" s="1"/>
  <c r="N26" i="48"/>
  <c r="AK26" i="48" s="1"/>
  <c r="R307" i="1"/>
  <c r="AL278" i="42"/>
  <c r="L188" i="42" a="1"/>
  <c r="L188" i="42" s="1"/>
  <c r="L189" i="42" s="1"/>
  <c r="J196" i="42" a="1"/>
  <c r="J196" i="42" s="1"/>
  <c r="L197" i="42" s="1"/>
  <c r="L232" i="42" a="1"/>
  <c r="L232" i="42" s="1"/>
  <c r="L234" i="42" s="1"/>
  <c r="AI102" i="49"/>
  <c r="AI112" i="49" s="1"/>
  <c r="J404" i="42" a="1"/>
  <c r="J404" i="42" s="1"/>
  <c r="I438" i="42"/>
  <c r="AT66" i="42"/>
  <c r="AT376" i="42" s="1" a="1"/>
  <c r="AT376" i="42" s="1"/>
  <c r="AT378" i="42" s="1"/>
  <c r="G258" i="42"/>
  <c r="O307" i="1"/>
  <c r="J292" i="42" a="1"/>
  <c r="J292" i="42" s="1"/>
  <c r="J294" i="42" s="1"/>
  <c r="AN54" i="42"/>
  <c r="AN332" i="42" s="1" a="1"/>
  <c r="AN332" i="42" s="1"/>
  <c r="AN334" i="42" s="1"/>
  <c r="Q702" i="1"/>
  <c r="AG34" i="49"/>
  <c r="AG52" i="49" s="1"/>
  <c r="G322" i="42"/>
  <c r="T474" i="1"/>
  <c r="I442" i="42"/>
  <c r="I406" i="42"/>
  <c r="G318" i="42"/>
  <c r="R303" i="1"/>
  <c r="X161" i="1"/>
  <c r="O94" i="1"/>
  <c r="O96" i="1" s="1"/>
  <c r="G43" i="51"/>
  <c r="BH43" i="51" s="1"/>
  <c r="AN81" i="42"/>
  <c r="AN432" i="42" s="1" a="1"/>
  <c r="AN432" i="42" s="1"/>
  <c r="AN434" i="42" s="1"/>
  <c r="AL298" i="42"/>
  <c r="J426" i="42"/>
  <c r="G210" i="42"/>
  <c r="P323" i="1"/>
  <c r="T313" i="1"/>
  <c r="I402" i="42"/>
  <c r="AL294" i="42"/>
  <c r="N283" i="1"/>
  <c r="R272" i="1"/>
  <c r="I362" i="42"/>
  <c r="L682" i="1"/>
  <c r="G262" i="42"/>
  <c r="T430" i="1"/>
  <c r="T427" i="1"/>
  <c r="U427" i="1" s="1"/>
  <c r="U428" i="1" s="1"/>
  <c r="V428" i="1" s="1"/>
  <c r="G226" i="42"/>
  <c r="G298" i="42"/>
  <c r="W695" i="1"/>
  <c r="W487" i="1"/>
  <c r="J390" i="42"/>
  <c r="J422" i="42"/>
  <c r="AL326" i="42"/>
  <c r="J446" i="42"/>
  <c r="H274" i="42"/>
  <c r="P297" i="1"/>
  <c r="AL258" i="42"/>
  <c r="J450" i="42"/>
  <c r="AL250" i="42"/>
  <c r="H262" i="42"/>
  <c r="T580" i="1"/>
  <c r="AM418" i="42"/>
  <c r="AO69" i="42"/>
  <c r="AO388" i="42" s="1" a="1"/>
  <c r="AO388" i="42" s="1"/>
  <c r="AO390" i="42" s="1"/>
  <c r="N21" i="48"/>
  <c r="AK21" i="48" s="1"/>
  <c r="AM362" i="42"/>
  <c r="F262" i="1"/>
  <c r="I390" i="42"/>
  <c r="I430" i="42"/>
  <c r="L701" i="1"/>
  <c r="L702" i="1" s="1"/>
  <c r="P303" i="1"/>
  <c r="AL358" i="42"/>
  <c r="AM410" i="42"/>
  <c r="W421" i="1"/>
  <c r="W674" i="1" s="1"/>
  <c r="S580" i="1"/>
  <c r="G278" i="42"/>
  <c r="G326" i="42"/>
  <c r="AL310" i="42"/>
  <c r="AL374" i="42"/>
  <c r="N31" i="48"/>
  <c r="AK31" i="48" s="1"/>
  <c r="P474" i="1"/>
  <c r="AL354" i="42"/>
  <c r="I422" i="42"/>
  <c r="U659" i="1"/>
  <c r="AM358" i="42"/>
  <c r="AL350" i="42"/>
  <c r="G234" i="42"/>
  <c r="G270" i="42"/>
  <c r="G338" i="42"/>
  <c r="W309" i="42"/>
  <c r="W310" i="42"/>
  <c r="AM265" i="42"/>
  <c r="AM266" i="42"/>
  <c r="L150" i="49"/>
  <c r="Q674" i="1"/>
  <c r="Q681" i="1" s="1"/>
  <c r="Q682" i="1" s="1"/>
  <c r="Q419" i="1"/>
  <c r="Q415" i="1"/>
  <c r="R419" i="1"/>
  <c r="N573" i="1"/>
  <c r="N571" i="1"/>
  <c r="G66" i="51"/>
  <c r="BH66" i="51" s="1"/>
  <c r="P178" i="1"/>
  <c r="AC202" i="42"/>
  <c r="AC201" i="42"/>
  <c r="AO341" i="42"/>
  <c r="AO342" i="42"/>
  <c r="T273" i="42"/>
  <c r="T274" i="42"/>
  <c r="AM406" i="42"/>
  <c r="AF265" i="42"/>
  <c r="AF266" i="42"/>
  <c r="M298" i="42"/>
  <c r="M297" i="42"/>
  <c r="M305" i="42"/>
  <c r="M306" i="42"/>
  <c r="J277" i="42"/>
  <c r="J278" i="42"/>
  <c r="AQ202" i="42"/>
  <c r="AQ201" i="42"/>
  <c r="AP218" i="42"/>
  <c r="AP217" i="42"/>
  <c r="L151" i="49"/>
  <c r="AJ121" i="49"/>
  <c r="AJ151" i="49" s="1"/>
  <c r="AL28" i="42"/>
  <c r="AL244" i="42" s="1" a="1"/>
  <c r="AL244" i="42" s="1"/>
  <c r="AL246" i="42" s="1"/>
  <c r="H244" i="42" a="1"/>
  <c r="H244" i="42" s="1"/>
  <c r="H246" i="42" s="1"/>
  <c r="Y274" i="42"/>
  <c r="Y273" i="42"/>
  <c r="AF245" i="42"/>
  <c r="AF246" i="42"/>
  <c r="O401" i="42"/>
  <c r="O402" i="42"/>
  <c r="AB277" i="42"/>
  <c r="AB278" i="42"/>
  <c r="Z266" i="42"/>
  <c r="Z265" i="42"/>
  <c r="K446" i="42"/>
  <c r="K445" i="42"/>
  <c r="G306" i="42"/>
  <c r="AN417" i="42"/>
  <c r="AN418" i="42"/>
  <c r="R265" i="42"/>
  <c r="R266" i="42"/>
  <c r="Q201" i="42"/>
  <c r="Q202" i="42"/>
  <c r="AV305" i="42"/>
  <c r="AV306" i="42"/>
  <c r="R201" i="42"/>
  <c r="R202" i="42"/>
  <c r="J185" i="42"/>
  <c r="J186" i="42"/>
  <c r="R249" i="42"/>
  <c r="R250" i="42"/>
  <c r="AF306" i="42"/>
  <c r="AF305" i="42"/>
  <c r="O293" i="42"/>
  <c r="O294" i="42"/>
  <c r="R210" i="42"/>
  <c r="N390" i="42"/>
  <c r="N426" i="42"/>
  <c r="AC249" i="42"/>
  <c r="AC250" i="42"/>
  <c r="AV269" i="42"/>
  <c r="AV270" i="42"/>
  <c r="I209" i="42"/>
  <c r="I210" i="42"/>
  <c r="I305" i="42"/>
  <c r="I306" i="42"/>
  <c r="AR245" i="42"/>
  <c r="AR246" i="42"/>
  <c r="O364" i="42" a="1"/>
  <c r="O364" i="42" s="1"/>
  <c r="AN358" i="42"/>
  <c r="AN357" i="42"/>
  <c r="X672" i="1"/>
  <c r="Y422" i="1"/>
  <c r="T278" i="42"/>
  <c r="T277" i="42"/>
  <c r="O421" i="42"/>
  <c r="O422" i="42"/>
  <c r="L277" i="42"/>
  <c r="L278" i="42"/>
  <c r="P201" i="42"/>
  <c r="P202" i="42"/>
  <c r="I205" i="42"/>
  <c r="I206" i="42"/>
  <c r="I456" i="42"/>
  <c r="I350" i="42"/>
  <c r="I458" i="42" s="1"/>
  <c r="AQ266" i="42"/>
  <c r="AQ265" i="42"/>
  <c r="W209" i="42"/>
  <c r="W210" i="42"/>
  <c r="AE202" i="42"/>
  <c r="AE201" i="42"/>
  <c r="AU277" i="42"/>
  <c r="AU278" i="42"/>
  <c r="AM246" i="42"/>
  <c r="AN294" i="42"/>
  <c r="AN293" i="42"/>
  <c r="O571" i="1"/>
  <c r="O573" i="1"/>
  <c r="N201" i="42"/>
  <c r="N202" i="42"/>
  <c r="AO362" i="42"/>
  <c r="AO361" i="42"/>
  <c r="AE250" i="42"/>
  <c r="AE249" i="42"/>
  <c r="AG32" i="49"/>
  <c r="AG50" i="49" s="1"/>
  <c r="J190" i="42"/>
  <c r="J189" i="42"/>
  <c r="X209" i="42"/>
  <c r="X210" i="42"/>
  <c r="AN206" i="42"/>
  <c r="AN205" i="42"/>
  <c r="O205" i="42"/>
  <c r="O206" i="42"/>
  <c r="P306" i="42"/>
  <c r="O468" i="42"/>
  <c r="O394" i="42"/>
  <c r="O470" i="42" s="1"/>
  <c r="O393" i="42"/>
  <c r="O469" i="42" s="1"/>
  <c r="AT261" i="42"/>
  <c r="AT262" i="42"/>
  <c r="Y209" i="42"/>
  <c r="Y210" i="42"/>
  <c r="V202" i="42"/>
  <c r="V201" i="42"/>
  <c r="K269" i="42"/>
  <c r="K270" i="42"/>
  <c r="AM237" i="42"/>
  <c r="AM238" i="42"/>
  <c r="AL386" i="42"/>
  <c r="O317" i="42"/>
  <c r="O318" i="42"/>
  <c r="AS266" i="42"/>
  <c r="AS265" i="42"/>
  <c r="X266" i="42"/>
  <c r="X265" i="42"/>
  <c r="W266" i="42"/>
  <c r="W265" i="42"/>
  <c r="AN189" i="42"/>
  <c r="AN190" i="42"/>
  <c r="T22" i="51"/>
  <c r="L43" i="51"/>
  <c r="BM43" i="51" s="1"/>
  <c r="BM22" i="51"/>
  <c r="L95" i="49"/>
  <c r="W454" i="1"/>
  <c r="X454" i="1" s="1"/>
  <c r="AO250" i="42"/>
  <c r="AO249" i="42"/>
  <c r="O270" i="42"/>
  <c r="O269" i="42"/>
  <c r="O306" i="42"/>
  <c r="O305" i="42"/>
  <c r="O456" i="42"/>
  <c r="O350" i="42"/>
  <c r="O458" i="42" s="1"/>
  <c r="O349" i="42"/>
  <c r="O457" i="42" s="1"/>
  <c r="AD305" i="42"/>
  <c r="AD306" i="42"/>
  <c r="N402" i="42"/>
  <c r="N450" i="42"/>
  <c r="N449" i="42"/>
  <c r="M468" i="42"/>
  <c r="M394" i="42"/>
  <c r="M470" i="42" s="1"/>
  <c r="M393" i="42"/>
  <c r="M469" i="42" s="1"/>
  <c r="AV245" i="42"/>
  <c r="AV246" i="42"/>
  <c r="Z277" i="42"/>
  <c r="Z278" i="42"/>
  <c r="E209" i="4"/>
  <c r="E239" i="4"/>
  <c r="E178" i="4"/>
  <c r="E38" i="4"/>
  <c r="E7" i="4"/>
  <c r="E59" i="4"/>
  <c r="E87" i="4"/>
  <c r="E128" i="4"/>
  <c r="N358" i="42"/>
  <c r="AM341" i="42"/>
  <c r="AM342" i="42"/>
  <c r="AN270" i="42"/>
  <c r="AN269" i="42"/>
  <c r="Q218" i="42"/>
  <c r="Q217" i="42"/>
  <c r="O234" i="42"/>
  <c r="O233" i="42"/>
  <c r="N437" i="42"/>
  <c r="N438" i="42"/>
  <c r="M342" i="42"/>
  <c r="M341" i="42"/>
  <c r="AQ246" i="42"/>
  <c r="AQ245" i="42"/>
  <c r="AP261" i="42"/>
  <c r="AP262" i="42"/>
  <c r="AM71" i="42"/>
  <c r="AM396" i="42" s="1" a="1"/>
  <c r="AM396" i="42" s="1"/>
  <c r="AM398" i="42" s="1"/>
  <c r="J396" i="42" a="1"/>
  <c r="J396" i="42" s="1"/>
  <c r="J398" i="42" s="1"/>
  <c r="AM29" i="42"/>
  <c r="AM248" i="42" s="1" a="1"/>
  <c r="AM248" i="42" s="1"/>
  <c r="AN249" i="42" s="1"/>
  <c r="J248" i="42" a="1"/>
  <c r="J248" i="42" s="1"/>
  <c r="AP16" i="42"/>
  <c r="AP204" i="42" s="1" a="1"/>
  <c r="AP204" i="42" s="1"/>
  <c r="P204" i="42" a="1"/>
  <c r="P204" i="42" s="1"/>
  <c r="I115" i="49"/>
  <c r="I145" i="49" s="1"/>
  <c r="J59" i="42"/>
  <c r="J348" i="42" s="1" a="1"/>
  <c r="J348" i="42" s="1"/>
  <c r="AM285" i="42"/>
  <c r="AM286" i="42"/>
  <c r="AE245" i="42"/>
  <c r="AE246" i="42"/>
  <c r="O226" i="42"/>
  <c r="O225" i="42"/>
  <c r="M361" i="42"/>
  <c r="M362" i="42"/>
  <c r="O237" i="42"/>
  <c r="O238" i="42"/>
  <c r="AR266" i="42"/>
  <c r="AR265" i="42"/>
  <c r="X305" i="42"/>
  <c r="X306" i="42"/>
  <c r="K123" i="49"/>
  <c r="K153" i="49" s="1"/>
  <c r="L70" i="42"/>
  <c r="L392" i="42" s="1" a="1"/>
  <c r="L392" i="42" s="1"/>
  <c r="R608" i="1"/>
  <c r="R620" i="1" s="1"/>
  <c r="H46" i="51"/>
  <c r="BI46" i="51" s="1"/>
  <c r="BI29" i="51"/>
  <c r="O288" i="42" a="1"/>
  <c r="O288" i="42" s="1"/>
  <c r="AO65" i="42"/>
  <c r="AO372" i="42" s="1" a="1"/>
  <c r="AO372" i="42" s="1"/>
  <c r="M372" i="42" a="1"/>
  <c r="M372" i="42" s="1"/>
  <c r="O373" i="42" s="1"/>
  <c r="O465" i="42" s="1"/>
  <c r="AN426" i="42"/>
  <c r="AN425" i="42"/>
  <c r="Q262" i="42"/>
  <c r="Q261" i="42"/>
  <c r="AO273" i="42"/>
  <c r="AO274" i="42"/>
  <c r="S273" i="42"/>
  <c r="S274" i="42"/>
  <c r="P270" i="42"/>
  <c r="P269" i="42"/>
  <c r="N333" i="42"/>
  <c r="N334" i="42"/>
  <c r="M234" i="42"/>
  <c r="M233" i="42"/>
  <c r="M262" i="42"/>
  <c r="M261" i="42"/>
  <c r="Z310" i="42"/>
  <c r="Z309" i="42"/>
  <c r="W261" i="42"/>
  <c r="W262" i="42"/>
  <c r="V47" i="51"/>
  <c r="W47" i="51" s="1"/>
  <c r="W30" i="51"/>
  <c r="AN301" i="42"/>
  <c r="AN302" i="42"/>
  <c r="AN237" i="42"/>
  <c r="AN238" i="42"/>
  <c r="AM306" i="42"/>
  <c r="AM305" i="42"/>
  <c r="U209" i="42"/>
  <c r="U210" i="42"/>
  <c r="AO246" i="42"/>
  <c r="AN362" i="42"/>
  <c r="AN361" i="42"/>
  <c r="T250" i="42"/>
  <c r="T249" i="42"/>
  <c r="AF262" i="42"/>
  <c r="AF261" i="42"/>
  <c r="N406" i="42"/>
  <c r="AC265" i="42"/>
  <c r="AC266" i="42"/>
  <c r="AL234" i="42"/>
  <c r="AO189" i="42"/>
  <c r="AO190" i="42"/>
  <c r="AN310" i="42"/>
  <c r="BE18" i="51"/>
  <c r="D43" i="51"/>
  <c r="BE43" i="51" s="1"/>
  <c r="AO238" i="42"/>
  <c r="AO237" i="42"/>
  <c r="T309" i="42"/>
  <c r="T310" i="42"/>
  <c r="S377" i="42"/>
  <c r="S378" i="42"/>
  <c r="Q270" i="42"/>
  <c r="Q269" i="42"/>
  <c r="AB210" i="42"/>
  <c r="AB209" i="42"/>
  <c r="AT305" i="42"/>
  <c r="AT306" i="42"/>
  <c r="Y310" i="42"/>
  <c r="Y309" i="42"/>
  <c r="AA305" i="42"/>
  <c r="AA306" i="42"/>
  <c r="M334" i="42"/>
  <c r="M333" i="42"/>
  <c r="AM273" i="42"/>
  <c r="AM274" i="42"/>
  <c r="Z202" i="42"/>
  <c r="Z201" i="42"/>
  <c r="AC277" i="42"/>
  <c r="AC278" i="42"/>
  <c r="M358" i="42"/>
  <c r="M357" i="42"/>
  <c r="M390" i="42"/>
  <c r="AT310" i="42"/>
  <c r="AT309" i="42"/>
  <c r="N217" i="42"/>
  <c r="N218" i="42"/>
  <c r="I230" i="42"/>
  <c r="I290" i="42"/>
  <c r="I289" i="42"/>
  <c r="I294" i="42"/>
  <c r="I293" i="42"/>
  <c r="M229" i="42"/>
  <c r="M230" i="42"/>
  <c r="AF600" i="1"/>
  <c r="AH315" i="1"/>
  <c r="D6" i="50"/>
  <c r="H72" i="51"/>
  <c r="BI72" i="51" s="1"/>
  <c r="AO233" i="42"/>
  <c r="AO234" i="42"/>
  <c r="U261" i="42"/>
  <c r="U262" i="42"/>
  <c r="AL362" i="42"/>
  <c r="R377" i="42"/>
  <c r="R378" i="42"/>
  <c r="Q306" i="42"/>
  <c r="Q305" i="42"/>
  <c r="AF270" i="42"/>
  <c r="AF269" i="42"/>
  <c r="U218" i="42"/>
  <c r="U217" i="42"/>
  <c r="AE306" i="42"/>
  <c r="AE305" i="42"/>
  <c r="O242" i="42"/>
  <c r="O241" i="42"/>
  <c r="AD265" i="42"/>
  <c r="AD266" i="42"/>
  <c r="AD270" i="42"/>
  <c r="AD269" i="42"/>
  <c r="N286" i="42"/>
  <c r="AW277" i="42"/>
  <c r="AW278" i="42"/>
  <c r="AC310" i="42"/>
  <c r="AC309" i="42"/>
  <c r="M226" i="42"/>
  <c r="M225" i="42"/>
  <c r="M460" i="42"/>
  <c r="M366" i="42"/>
  <c r="M462" i="42" s="1"/>
  <c r="AB274" i="42"/>
  <c r="AB273" i="42"/>
  <c r="AB310" i="42"/>
  <c r="AB309" i="42"/>
  <c r="L438" i="42"/>
  <c r="L437" i="42"/>
  <c r="AS269" i="42"/>
  <c r="AS270" i="42"/>
  <c r="Y277" i="42"/>
  <c r="Y278" i="42"/>
  <c r="Y305" i="42"/>
  <c r="Y306" i="42"/>
  <c r="I194" i="42"/>
  <c r="I193" i="42"/>
  <c r="AM186" i="42"/>
  <c r="AM185" i="42"/>
  <c r="AR261" i="42"/>
  <c r="AR262" i="42"/>
  <c r="X249" i="42"/>
  <c r="X250" i="42"/>
  <c r="X269" i="42"/>
  <c r="X270" i="42"/>
  <c r="AQ309" i="42"/>
  <c r="AQ310" i="42"/>
  <c r="G198" i="42"/>
  <c r="G310" i="42"/>
  <c r="AP278" i="42"/>
  <c r="AP277" i="42"/>
  <c r="AP310" i="42"/>
  <c r="V266" i="42"/>
  <c r="V265" i="42"/>
  <c r="V309" i="42"/>
  <c r="V310" i="42"/>
  <c r="AD202" i="42"/>
  <c r="AD201" i="42"/>
  <c r="AU245" i="42"/>
  <c r="AU246" i="42"/>
  <c r="AU305" i="42"/>
  <c r="AU306" i="42"/>
  <c r="K274" i="42"/>
  <c r="K273" i="42"/>
  <c r="K388" i="42" a="1"/>
  <c r="K388" i="42" s="1"/>
  <c r="T48" i="51"/>
  <c r="U48" i="51" s="1"/>
  <c r="U31" i="51"/>
  <c r="I454" i="42"/>
  <c r="I414" i="42"/>
  <c r="I346" i="42"/>
  <c r="I314" i="42"/>
  <c r="I330" i="42"/>
  <c r="I254" i="42"/>
  <c r="I282" i="42"/>
  <c r="I214" i="42"/>
  <c r="I182" i="42"/>
  <c r="I222" i="42"/>
  <c r="J6" i="42"/>
  <c r="H145" i="49"/>
  <c r="I154" i="49"/>
  <c r="AH124" i="49"/>
  <c r="AH154" i="49" s="1"/>
  <c r="N145" i="49"/>
  <c r="N76" i="49"/>
  <c r="L567" i="1"/>
  <c r="N146" i="49"/>
  <c r="Z270" i="1"/>
  <c r="T26" i="51"/>
  <c r="U26" i="51" s="1"/>
  <c r="BM26" i="51"/>
  <c r="K118" i="49"/>
  <c r="K148" i="49" s="1"/>
  <c r="L65" i="42"/>
  <c r="L372" i="42" s="1" a="1"/>
  <c r="L372" i="42" s="1"/>
  <c r="R593" i="1"/>
  <c r="L148" i="49"/>
  <c r="AJ118" i="49"/>
  <c r="AJ148" i="49" s="1"/>
  <c r="J117" i="49"/>
  <c r="K64" i="42"/>
  <c r="R602" i="1"/>
  <c r="R323" i="1"/>
  <c r="BH21" i="51"/>
  <c r="M120" i="49"/>
  <c r="M150" i="49" s="1"/>
  <c r="N67" i="42"/>
  <c r="N380" i="42" s="1" a="1"/>
  <c r="N380" i="42" s="1"/>
  <c r="Q29" i="51"/>
  <c r="J46" i="51"/>
  <c r="BK46" i="51" s="1"/>
  <c r="BK29" i="51"/>
  <c r="G53" i="49"/>
  <c r="AG35" i="49"/>
  <c r="AG53" i="49" s="1"/>
  <c r="X164" i="1"/>
  <c r="X180" i="1"/>
  <c r="O71" i="51" s="1"/>
  <c r="BP71" i="51" s="1"/>
  <c r="M51" i="49"/>
  <c r="AJ33" i="49"/>
  <c r="AJ51" i="49" s="1"/>
  <c r="K44" i="51"/>
  <c r="BL44" i="51" s="1"/>
  <c r="BL23" i="51"/>
  <c r="K58" i="49"/>
  <c r="K76" i="49" s="1"/>
  <c r="L41" i="42"/>
  <c r="L288" i="42" s="1" a="1"/>
  <c r="L288" i="42" s="1"/>
  <c r="R248" i="1"/>
  <c r="R275" i="1"/>
  <c r="X117" i="1"/>
  <c r="AC205" i="42"/>
  <c r="AC206" i="42"/>
  <c r="AO225" i="42"/>
  <c r="AO226" i="42"/>
  <c r="AO297" i="42"/>
  <c r="AO298" i="42"/>
  <c r="AO398" i="42"/>
  <c r="AO397" i="42"/>
  <c r="U306" i="42"/>
  <c r="U305" i="42"/>
  <c r="AX201" i="42"/>
  <c r="AX202" i="42"/>
  <c r="AN278" i="42"/>
  <c r="AN277" i="42"/>
  <c r="AN265" i="42"/>
  <c r="AN266" i="42"/>
  <c r="T209" i="42"/>
  <c r="T210" i="42"/>
  <c r="AL218" i="42"/>
  <c r="AL266" i="42"/>
  <c r="AL302" i="42"/>
  <c r="AL410" i="42"/>
  <c r="R306" i="42"/>
  <c r="R305" i="42"/>
  <c r="Q205" i="42"/>
  <c r="Q206" i="42"/>
  <c r="P217" i="42"/>
  <c r="P218" i="42"/>
  <c r="O325" i="42"/>
  <c r="O326" i="42"/>
  <c r="O362" i="42"/>
  <c r="O361" i="42"/>
  <c r="O406" i="42"/>
  <c r="O405" i="42"/>
  <c r="AN218" i="42"/>
  <c r="AN217" i="42"/>
  <c r="N257" i="42"/>
  <c r="N258" i="42"/>
  <c r="AC245" i="42"/>
  <c r="AC246" i="42"/>
  <c r="AC274" i="42"/>
  <c r="AC273" i="42"/>
  <c r="M386" i="42"/>
  <c r="M385" i="42"/>
  <c r="M398" i="42"/>
  <c r="M397" i="42"/>
  <c r="M409" i="42"/>
  <c r="M410" i="42"/>
  <c r="AM218" i="42"/>
  <c r="AM217" i="42"/>
  <c r="AV277" i="42"/>
  <c r="AV278" i="42"/>
  <c r="AV265" i="42"/>
  <c r="AV266" i="42"/>
  <c r="AS274" i="42"/>
  <c r="AS273" i="42"/>
  <c r="I225" i="42"/>
  <c r="I226" i="42"/>
  <c r="I218" i="42"/>
  <c r="I217" i="42"/>
  <c r="I326" i="42"/>
  <c r="I325" i="42"/>
  <c r="I464" i="42"/>
  <c r="I374" i="42"/>
  <c r="I466" i="42" s="1"/>
  <c r="AR274" i="42"/>
  <c r="AR273" i="42"/>
  <c r="X274" i="42"/>
  <c r="X273" i="42"/>
  <c r="X310" i="42"/>
  <c r="X309" i="42"/>
  <c r="AQ210" i="42"/>
  <c r="AP273" i="42"/>
  <c r="AP274" i="42"/>
  <c r="AP269" i="42"/>
  <c r="AP270" i="42"/>
  <c r="T206" i="42"/>
  <c r="T205" i="42"/>
  <c r="AP202" i="42"/>
  <c r="AP201" i="42"/>
  <c r="AA217" i="42"/>
  <c r="AA218" i="42"/>
  <c r="K202" i="42"/>
  <c r="K201" i="42"/>
  <c r="K238" i="42"/>
  <c r="K237" i="42"/>
  <c r="K310" i="42"/>
  <c r="K309" i="42"/>
  <c r="K464" i="42"/>
  <c r="K374" i="42"/>
  <c r="K466" i="42" s="1"/>
  <c r="K373" i="42"/>
  <c r="K465" i="42" s="1"/>
  <c r="K434" i="42"/>
  <c r="K433" i="42"/>
  <c r="X704" i="1"/>
  <c r="AI100" i="49"/>
  <c r="AI110" i="49" s="1"/>
  <c r="J110" i="49"/>
  <c r="M77" i="49"/>
  <c r="AJ59" i="49"/>
  <c r="AJ77" i="49" s="1"/>
  <c r="J47" i="51"/>
  <c r="BK47" i="51" s="1"/>
  <c r="BK30" i="51"/>
  <c r="Q30" i="51"/>
  <c r="J94" i="49"/>
  <c r="W686" i="1"/>
  <c r="X482" i="1"/>
  <c r="W484" i="1"/>
  <c r="W486" i="1"/>
  <c r="N148" i="49"/>
  <c r="L17" i="42"/>
  <c r="I77" i="51"/>
  <c r="F95" i="49"/>
  <c r="M157" i="49"/>
  <c r="AJ127" i="49"/>
  <c r="AJ157" i="49" s="1"/>
  <c r="D5" i="50"/>
  <c r="H69" i="51"/>
  <c r="BI69" i="51" s="1"/>
  <c r="Q183" i="1"/>
  <c r="O33" i="49"/>
  <c r="P26" i="42"/>
  <c r="X201" i="1"/>
  <c r="Y364" i="1"/>
  <c r="Y376" i="1" s="1"/>
  <c r="Y276" i="1" s="1"/>
  <c r="AA348" i="1"/>
  <c r="M31" i="49"/>
  <c r="M49" i="49" s="1"/>
  <c r="N24" i="42"/>
  <c r="N228" i="42" s="1" a="1"/>
  <c r="N228" i="42" s="1"/>
  <c r="T274" i="1"/>
  <c r="T186" i="1"/>
  <c r="K75" i="49"/>
  <c r="AI57" i="49"/>
  <c r="AI75" i="49" s="1"/>
  <c r="S206" i="42"/>
  <c r="S205" i="42"/>
  <c r="AO266" i="42"/>
  <c r="AO265" i="42"/>
  <c r="AO241" i="42"/>
  <c r="AO242" i="42"/>
  <c r="AN201" i="42"/>
  <c r="AN202" i="42"/>
  <c r="S278" i="42"/>
  <c r="S277" i="42"/>
  <c r="AL242" i="42"/>
  <c r="R273" i="42"/>
  <c r="R274" i="42"/>
  <c r="Q186" i="42"/>
  <c r="Q185" i="42"/>
  <c r="Q278" i="42"/>
  <c r="Q277" i="42"/>
  <c r="AT202" i="42"/>
  <c r="AT201" i="42"/>
  <c r="P278" i="42"/>
  <c r="P277" i="42"/>
  <c r="N205" i="42"/>
  <c r="N206" i="42"/>
  <c r="AE262" i="42"/>
  <c r="AE261" i="42"/>
  <c r="O245" i="42"/>
  <c r="O246" i="42"/>
  <c r="O277" i="42"/>
  <c r="O278" i="42"/>
  <c r="O390" i="42"/>
  <c r="O389" i="42"/>
  <c r="O397" i="42"/>
  <c r="O398" i="42"/>
  <c r="AX273" i="42"/>
  <c r="AX274" i="42"/>
  <c r="N310" i="42"/>
  <c r="AN197" i="42"/>
  <c r="AN198" i="42"/>
  <c r="AW305" i="42"/>
  <c r="AW306" i="42"/>
  <c r="M210" i="42"/>
  <c r="M209" i="42"/>
  <c r="M286" i="42"/>
  <c r="M285" i="42"/>
  <c r="M425" i="42"/>
  <c r="M426" i="42"/>
  <c r="AE210" i="42"/>
  <c r="AE209" i="42"/>
  <c r="L246" i="42"/>
  <c r="L442" i="42"/>
  <c r="L441" i="42"/>
  <c r="L450" i="42"/>
  <c r="L449" i="42"/>
  <c r="AT217" i="42"/>
  <c r="AT218" i="42"/>
  <c r="Z261" i="42"/>
  <c r="Z262" i="42"/>
  <c r="J217" i="42"/>
  <c r="J218" i="42"/>
  <c r="AE205" i="42"/>
  <c r="AE206" i="42"/>
  <c r="AV217" i="42"/>
  <c r="AV218" i="42"/>
  <c r="AS210" i="42"/>
  <c r="AS209" i="42"/>
  <c r="AS305" i="42"/>
  <c r="AS306" i="42"/>
  <c r="Y249" i="42"/>
  <c r="Y250" i="42"/>
  <c r="Y269" i="42"/>
  <c r="Y270" i="42"/>
  <c r="I185" i="42"/>
  <c r="I186" i="42"/>
  <c r="I249" i="42"/>
  <c r="I250" i="42"/>
  <c r="I277" i="42"/>
  <c r="I278" i="42"/>
  <c r="AR209" i="42"/>
  <c r="AR210" i="42"/>
  <c r="AR249" i="42"/>
  <c r="AR250" i="42"/>
  <c r="AR310" i="42"/>
  <c r="AR309" i="42"/>
  <c r="X261" i="42"/>
  <c r="X262" i="42"/>
  <c r="W249" i="42"/>
  <c r="W250" i="42"/>
  <c r="G190" i="42"/>
  <c r="AP305" i="42"/>
  <c r="AP306" i="42"/>
  <c r="V246" i="42"/>
  <c r="V245" i="42"/>
  <c r="V278" i="42"/>
  <c r="V277" i="42"/>
  <c r="V377" i="42"/>
  <c r="V378" i="42"/>
  <c r="AL198" i="42"/>
  <c r="AU261" i="42"/>
  <c r="AU262" i="42"/>
  <c r="AA269" i="42"/>
  <c r="AA270" i="42"/>
  <c r="K226" i="42"/>
  <c r="K225" i="42"/>
  <c r="K261" i="42"/>
  <c r="K262" i="42"/>
  <c r="K305" i="42"/>
  <c r="K306" i="42"/>
  <c r="K377" i="42"/>
  <c r="K378" i="42"/>
  <c r="V43" i="51"/>
  <c r="W43" i="51" s="1"/>
  <c r="W22" i="51"/>
  <c r="U23" i="51"/>
  <c r="T44" i="51"/>
  <c r="U44" i="51" s="1"/>
  <c r="K157" i="49"/>
  <c r="AI127" i="49"/>
  <c r="AI157" i="49" s="1"/>
  <c r="N152" i="49"/>
  <c r="J152" i="49"/>
  <c r="K77" i="49"/>
  <c r="AI59" i="49"/>
  <c r="AI77" i="49" s="1"/>
  <c r="H42" i="51"/>
  <c r="BI42" i="51" s="1"/>
  <c r="BI21" i="51"/>
  <c r="W545" i="1"/>
  <c r="W546" i="1" s="1"/>
  <c r="W556" i="1" s="1"/>
  <c r="W550" i="1"/>
  <c r="W551" i="1" s="1"/>
  <c r="W557" i="1" s="1"/>
  <c r="W540" i="1"/>
  <c r="W555" i="1" s="1"/>
  <c r="X539" i="1"/>
  <c r="T457" i="1"/>
  <c r="T458" i="1"/>
  <c r="R576" i="1"/>
  <c r="R580" i="1" s="1"/>
  <c r="R573" i="1"/>
  <c r="R571" i="1"/>
  <c r="J95" i="49"/>
  <c r="U576" i="1"/>
  <c r="U573" i="1"/>
  <c r="N457" i="1"/>
  <c r="N458" i="1"/>
  <c r="BJ23" i="51"/>
  <c r="I44" i="51"/>
  <c r="BJ44" i="51" s="1"/>
  <c r="BH23" i="51"/>
  <c r="G44" i="51"/>
  <c r="BH44" i="51" s="1"/>
  <c r="AH32" i="49"/>
  <c r="AH50" i="49" s="1"/>
  <c r="I50" i="49"/>
  <c r="L110" i="49"/>
  <c r="AJ100" i="49"/>
  <c r="AJ110" i="49" s="1"/>
  <c r="AA270" i="1"/>
  <c r="AR66" i="42"/>
  <c r="AR376" i="42" s="1" a="1"/>
  <c r="AR376" i="42" s="1"/>
  <c r="U507" i="1"/>
  <c r="U587" i="1"/>
  <c r="U329" i="1"/>
  <c r="N474" i="1"/>
  <c r="G25" i="51"/>
  <c r="BH25" i="51" s="1"/>
  <c r="P290" i="1"/>
  <c r="R57" i="49"/>
  <c r="S40" i="42"/>
  <c r="Y269" i="1"/>
  <c r="AA244" i="1"/>
  <c r="Y253" i="1"/>
  <c r="H49" i="49"/>
  <c r="AF138" i="1"/>
  <c r="AD177" i="1"/>
  <c r="O337" i="42"/>
  <c r="O338" i="42"/>
  <c r="AF209" i="42"/>
  <c r="AF210" i="42"/>
  <c r="AX210" i="42"/>
  <c r="AX209" i="42"/>
  <c r="AD262" i="42"/>
  <c r="AD261" i="42"/>
  <c r="N274" i="42"/>
  <c r="N273" i="42"/>
  <c r="N445" i="42"/>
  <c r="N446" i="42"/>
  <c r="AW269" i="42"/>
  <c r="AW270" i="42"/>
  <c r="M322" i="42"/>
  <c r="M321" i="42"/>
  <c r="M445" i="42"/>
  <c r="M446" i="42"/>
  <c r="Q210" i="42"/>
  <c r="Q209" i="42"/>
  <c r="AB245" i="42"/>
  <c r="AB246" i="42"/>
  <c r="AB266" i="42"/>
  <c r="AB265" i="42"/>
  <c r="AM197" i="42"/>
  <c r="AM198" i="42"/>
  <c r="Z274" i="42"/>
  <c r="Z273" i="42"/>
  <c r="Z305" i="42"/>
  <c r="Z306" i="42"/>
  <c r="AS249" i="42"/>
  <c r="AS250" i="42"/>
  <c r="Y261" i="42"/>
  <c r="Y262" i="42"/>
  <c r="I317" i="42"/>
  <c r="I318" i="42"/>
  <c r="V206" i="42"/>
  <c r="V205" i="42"/>
  <c r="V269" i="42"/>
  <c r="V270" i="42"/>
  <c r="O201" i="42"/>
  <c r="O202" i="42"/>
  <c r="AU205" i="42"/>
  <c r="AU206" i="42"/>
  <c r="AA245" i="42"/>
  <c r="AA246" i="42"/>
  <c r="K242" i="42"/>
  <c r="K241" i="42"/>
  <c r="K266" i="42"/>
  <c r="K265" i="42"/>
  <c r="K341" i="42"/>
  <c r="K342" i="42"/>
  <c r="K337" i="42"/>
  <c r="K338" i="42"/>
  <c r="K406" i="42"/>
  <c r="K405" i="42"/>
  <c r="M154" i="49"/>
  <c r="AJ124" i="49"/>
  <c r="AJ154" i="49" s="1"/>
  <c r="I121" i="49"/>
  <c r="I151" i="49" s="1"/>
  <c r="J68" i="42"/>
  <c r="J384" i="42" s="1" a="1"/>
  <c r="J384" i="42" s="1"/>
  <c r="J386" i="42" s="1"/>
  <c r="O29" i="48"/>
  <c r="G23" i="50"/>
  <c r="M101" i="49"/>
  <c r="M111" i="49" s="1"/>
  <c r="N55" i="42"/>
  <c r="N336" i="42" s="1" a="1"/>
  <c r="N336" i="42" s="1"/>
  <c r="K30" i="51"/>
  <c r="L111" i="49"/>
  <c r="F47" i="51"/>
  <c r="BG47" i="51" s="1"/>
  <c r="BG30" i="51"/>
  <c r="I79" i="49"/>
  <c r="AH61" i="49"/>
  <c r="AH79" i="49" s="1"/>
  <c r="P571" i="1"/>
  <c r="P576" i="1"/>
  <c r="P580" i="1" s="1"/>
  <c r="P573" i="1"/>
  <c r="L80" i="42"/>
  <c r="R659" i="1"/>
  <c r="V149" i="49"/>
  <c r="AO119" i="49"/>
  <c r="AO149" i="49" s="1"/>
  <c r="G85" i="49"/>
  <c r="G95" i="49" s="1"/>
  <c r="H50" i="42"/>
  <c r="H320" i="42" s="1" a="1"/>
  <c r="H320" i="42" s="1"/>
  <c r="H322" i="42" s="1"/>
  <c r="E18" i="51"/>
  <c r="H5" i="50"/>
  <c r="L69" i="51"/>
  <c r="U183" i="1"/>
  <c r="U172" i="1"/>
  <c r="U173" i="1" s="1"/>
  <c r="AE347" i="1"/>
  <c r="AC363" i="1"/>
  <c r="AC375" i="1" s="1"/>
  <c r="Y366" i="1"/>
  <c r="Y378" i="1" s="1"/>
  <c r="Y287" i="1" s="1"/>
  <c r="AA350" i="1"/>
  <c r="Z366" i="1"/>
  <c r="Z378" i="1" s="1"/>
  <c r="Z287" i="1" s="1"/>
  <c r="AB350" i="1"/>
  <c r="R149" i="49"/>
  <c r="AM119" i="49"/>
  <c r="AM149" i="49" s="1"/>
  <c r="E25" i="51"/>
  <c r="BF25" i="51" s="1"/>
  <c r="N290" i="1"/>
  <c r="P85" i="49"/>
  <c r="Q50" i="42"/>
  <c r="N18" i="51"/>
  <c r="BO18" i="51" s="1"/>
  <c r="I96" i="49"/>
  <c r="AH86" i="49"/>
  <c r="AH96" i="49" s="1"/>
  <c r="O13" i="48"/>
  <c r="AL13" i="48" s="1"/>
  <c r="G7" i="50"/>
  <c r="M84" i="49"/>
  <c r="M94" i="49" s="1"/>
  <c r="N49" i="42"/>
  <c r="N316" i="42" s="1" a="1"/>
  <c r="N316" i="42" s="1"/>
  <c r="K17" i="51"/>
  <c r="BL17" i="51" s="1"/>
  <c r="F3" i="7"/>
  <c r="F338" i="7"/>
  <c r="K31" i="49"/>
  <c r="K49" i="49" s="1"/>
  <c r="L24" i="42"/>
  <c r="L228" i="42" s="1" a="1"/>
  <c r="L228" i="42" s="1"/>
  <c r="R274" i="1"/>
  <c r="R186" i="1"/>
  <c r="K193" i="42"/>
  <c r="K194" i="42"/>
  <c r="K229" i="42"/>
  <c r="K230" i="42"/>
  <c r="K302" i="42"/>
  <c r="K301" i="42"/>
  <c r="K430" i="42"/>
  <c r="K429" i="42"/>
  <c r="J146" i="49"/>
  <c r="BI30" i="51"/>
  <c r="H47" i="51"/>
  <c r="BI47" i="51" s="1"/>
  <c r="H94" i="49"/>
  <c r="I123" i="49"/>
  <c r="I153" i="49" s="1"/>
  <c r="J70" i="42"/>
  <c r="J392" i="42" s="1" a="1"/>
  <c r="J392" i="42" s="1"/>
  <c r="P608" i="1"/>
  <c r="P620" i="1" s="1"/>
  <c r="K119" i="49"/>
  <c r="K149" i="49" s="1"/>
  <c r="L66" i="42"/>
  <c r="L376" i="42" s="1" a="1"/>
  <c r="L376" i="42" s="1"/>
  <c r="M52" i="49"/>
  <c r="AJ34" i="49"/>
  <c r="AJ52" i="49" s="1"/>
  <c r="G84" i="49"/>
  <c r="G94" i="49" s="1"/>
  <c r="H49" i="42"/>
  <c r="H316" i="42" s="1" a="1"/>
  <c r="H316" i="42" s="1"/>
  <c r="H318" i="42" s="1"/>
  <c r="E17" i="51"/>
  <c r="BF17" i="51" s="1"/>
  <c r="N272" i="1"/>
  <c r="I116" i="49"/>
  <c r="I146" i="49" s="1"/>
  <c r="J63" i="42"/>
  <c r="J364" i="42" s="1" a="1"/>
  <c r="J364" i="42" s="1"/>
  <c r="P624" i="1"/>
  <c r="BJ29" i="51"/>
  <c r="I53" i="49"/>
  <c r="AH35" i="49"/>
  <c r="AH53" i="49" s="1"/>
  <c r="N49" i="49"/>
  <c r="H150" i="49"/>
  <c r="E75" i="51"/>
  <c r="H15" i="42"/>
  <c r="P60" i="49"/>
  <c r="Q43" i="42"/>
  <c r="W286" i="1"/>
  <c r="AD150" i="1"/>
  <c r="Y160" i="1"/>
  <c r="AA150" i="1"/>
  <c r="G12" i="50"/>
  <c r="O18" i="48"/>
  <c r="K21" i="51"/>
  <c r="O70" i="51"/>
  <c r="BP70" i="51" s="1"/>
  <c r="G206" i="42"/>
  <c r="G294" i="42"/>
  <c r="AN194" i="42"/>
  <c r="AN193" i="42"/>
  <c r="U206" i="42"/>
  <c r="U205" i="42"/>
  <c r="Q190" i="42"/>
  <c r="Q189" i="42"/>
  <c r="AA210" i="42"/>
  <c r="AA209" i="42"/>
  <c r="AA250" i="42"/>
  <c r="AA249" i="42"/>
  <c r="K257" i="42"/>
  <c r="K258" i="42"/>
  <c r="K364" i="42" a="1"/>
  <c r="K364" i="42" s="1"/>
  <c r="K418" i="42"/>
  <c r="K417" i="42"/>
  <c r="H146" i="49"/>
  <c r="AO61" i="42"/>
  <c r="AO356" i="42" s="1" a="1"/>
  <c r="AO356" i="42" s="1"/>
  <c r="Q613" i="1"/>
  <c r="Q614" i="1" s="1"/>
  <c r="L76" i="49"/>
  <c r="H111" i="49"/>
  <c r="S430" i="1"/>
  <c r="M123" i="49"/>
  <c r="M153" i="49" s="1"/>
  <c r="N70" i="42"/>
  <c r="N392" i="42" s="1" a="1"/>
  <c r="N392" i="42" s="1"/>
  <c r="T608" i="1"/>
  <c r="T620" i="1" s="1"/>
  <c r="S416" i="1"/>
  <c r="E12" i="50"/>
  <c r="I21" i="51"/>
  <c r="G58" i="49"/>
  <c r="G76" i="49" s="1"/>
  <c r="H41" i="42"/>
  <c r="H288" i="42" s="1" a="1"/>
  <c r="H288" i="42" s="1"/>
  <c r="H290" i="42" s="1"/>
  <c r="N275" i="1"/>
  <c r="N248" i="1"/>
  <c r="G100" i="49"/>
  <c r="G110" i="49" s="1"/>
  <c r="H54" i="42"/>
  <c r="H332" i="42" s="1" a="1"/>
  <c r="H332" i="42" s="1"/>
  <c r="H334" i="42" s="1"/>
  <c r="E29" i="51"/>
  <c r="M457" i="1"/>
  <c r="M458" i="1"/>
  <c r="H6" i="50"/>
  <c r="L72" i="51"/>
  <c r="S613" i="1"/>
  <c r="S614" i="1" s="1"/>
  <c r="E6" i="50"/>
  <c r="I72" i="51"/>
  <c r="BJ72" i="51" s="1"/>
  <c r="R10" i="49"/>
  <c r="S12" i="42"/>
  <c r="Y106" i="1"/>
  <c r="Y111" i="1" s="1"/>
  <c r="Y114" i="1" s="1"/>
  <c r="AA79" i="1"/>
  <c r="K115" i="49"/>
  <c r="K145" i="49" s="1"/>
  <c r="L59" i="42"/>
  <c r="L348" i="42" s="1" a="1"/>
  <c r="L348" i="42" s="1"/>
  <c r="U395" i="1"/>
  <c r="AJ30" i="49"/>
  <c r="AJ48" i="49" s="1"/>
  <c r="M48" i="49"/>
  <c r="AC138" i="1"/>
  <c r="AA177" i="1"/>
  <c r="U250" i="42"/>
  <c r="U249" i="42"/>
  <c r="AN402" i="42"/>
  <c r="AN401" i="42"/>
  <c r="AN410" i="42"/>
  <c r="AN409" i="42"/>
  <c r="T377" i="42"/>
  <c r="T378" i="42"/>
  <c r="AM301" i="42"/>
  <c r="AM302" i="42"/>
  <c r="S249" i="42"/>
  <c r="S250" i="42"/>
  <c r="S265" i="42"/>
  <c r="S266" i="42"/>
  <c r="S309" i="42"/>
  <c r="S310" i="42"/>
  <c r="AO206" i="42"/>
  <c r="AO205" i="42"/>
  <c r="AL270" i="42"/>
  <c r="R270" i="42"/>
  <c r="R269" i="42"/>
  <c r="R309" i="42"/>
  <c r="R310" i="42"/>
  <c r="J202" i="42"/>
  <c r="O262" i="42"/>
  <c r="O261" i="42"/>
  <c r="O378" i="42"/>
  <c r="O377" i="42"/>
  <c r="AW205" i="42"/>
  <c r="AW206" i="42"/>
  <c r="AD250" i="42"/>
  <c r="AD249" i="42"/>
  <c r="N441" i="42"/>
  <c r="N442" i="42"/>
  <c r="AW245" i="42"/>
  <c r="AW246" i="42"/>
  <c r="AW262" i="42"/>
  <c r="AW261" i="42"/>
  <c r="AC269" i="42"/>
  <c r="AC270" i="42"/>
  <c r="M274" i="42"/>
  <c r="M273" i="42"/>
  <c r="M310" i="42"/>
  <c r="M309" i="42"/>
  <c r="AV205" i="42"/>
  <c r="AV206" i="42"/>
  <c r="L334" i="42"/>
  <c r="O193" i="42"/>
  <c r="O194" i="42"/>
  <c r="AT245" i="42"/>
  <c r="AT246" i="42"/>
  <c r="J206" i="42"/>
  <c r="AS202" i="42"/>
  <c r="AS201" i="42"/>
  <c r="I233" i="42"/>
  <c r="I234" i="42"/>
  <c r="I269" i="42"/>
  <c r="I270" i="42"/>
  <c r="I338" i="42"/>
  <c r="I337" i="42"/>
  <c r="I468" i="42"/>
  <c r="I394" i="42"/>
  <c r="I470" i="42" s="1"/>
  <c r="H266" i="42"/>
  <c r="AQ277" i="42"/>
  <c r="AQ278" i="42"/>
  <c r="W202" i="42"/>
  <c r="W201" i="42"/>
  <c r="W378" i="42"/>
  <c r="W377" i="42"/>
  <c r="G246" i="42"/>
  <c r="G250" i="42"/>
  <c r="AP266" i="42"/>
  <c r="AP265" i="42"/>
  <c r="V261" i="42"/>
  <c r="V262" i="42"/>
  <c r="AO186" i="42"/>
  <c r="M185" i="42"/>
  <c r="M186" i="42"/>
  <c r="AU250" i="42"/>
  <c r="AU249" i="42"/>
  <c r="AU274" i="42"/>
  <c r="AU273" i="42"/>
  <c r="K185" i="42"/>
  <c r="K186" i="42"/>
  <c r="K297" i="42"/>
  <c r="K298" i="42"/>
  <c r="K361" i="42"/>
  <c r="K362" i="42"/>
  <c r="L146" i="49"/>
  <c r="AM69" i="42"/>
  <c r="AM388" i="42" s="1" a="1"/>
  <c r="AM388" i="42" s="1"/>
  <c r="AM390" i="42" s="1"/>
  <c r="F46" i="51"/>
  <c r="BG46" i="51" s="1"/>
  <c r="BG29" i="51"/>
  <c r="J111" i="49"/>
  <c r="M79" i="49"/>
  <c r="AJ61" i="49"/>
  <c r="AJ79" i="49" s="1"/>
  <c r="L149" i="49"/>
  <c r="I120" i="49"/>
  <c r="I150" i="49" s="1"/>
  <c r="J67" i="42"/>
  <c r="J380" i="42" s="1" a="1"/>
  <c r="J380" i="42" s="1"/>
  <c r="J382" i="42" s="1"/>
  <c r="Q25" i="51"/>
  <c r="S25" i="51" s="1"/>
  <c r="BK25" i="51"/>
  <c r="H76" i="49"/>
  <c r="H43" i="51"/>
  <c r="BI43" i="51" s="1"/>
  <c r="BI22" i="51"/>
  <c r="J145" i="49"/>
  <c r="F94" i="49"/>
  <c r="Q458" i="1"/>
  <c r="Q457" i="1"/>
  <c r="H95" i="49"/>
  <c r="AH85" i="49"/>
  <c r="AH95" i="49" s="1"/>
  <c r="T29" i="51"/>
  <c r="BM29" i="51"/>
  <c r="L46" i="51"/>
  <c r="BM46" i="51" s="1"/>
  <c r="R33" i="49"/>
  <c r="S26" i="42"/>
  <c r="Y285" i="1"/>
  <c r="AA201" i="1"/>
  <c r="N262" i="1"/>
  <c r="AQ16" i="42"/>
  <c r="AQ204" i="42" s="1" a="1"/>
  <c r="AQ204" i="42" s="1"/>
  <c r="AR205" i="42" s="1"/>
  <c r="F69" i="51"/>
  <c r="BG69" i="51" s="1"/>
  <c r="O183" i="1"/>
  <c r="E17" i="50"/>
  <c r="I25" i="51"/>
  <c r="BJ25" i="51" s="1"/>
  <c r="R290" i="1"/>
  <c r="K70" i="51"/>
  <c r="BL70" i="51" s="1"/>
  <c r="T181" i="1"/>
  <c r="P75" i="49"/>
  <c r="BL29" i="51"/>
  <c r="U273" i="42"/>
  <c r="U274" i="42"/>
  <c r="U309" i="42"/>
  <c r="U310" i="42"/>
  <c r="AN233" i="42"/>
  <c r="AN234" i="42"/>
  <c r="AN250" i="42"/>
  <c r="AN306" i="42"/>
  <c r="AN305" i="42"/>
  <c r="AN326" i="42"/>
  <c r="AN325" i="42"/>
  <c r="T265" i="42"/>
  <c r="T266" i="42"/>
  <c r="AB205" i="42"/>
  <c r="AB206" i="42"/>
  <c r="AL226" i="42"/>
  <c r="AL406" i="42"/>
  <c r="Q246" i="42"/>
  <c r="Q245" i="42"/>
  <c r="Q309" i="42"/>
  <c r="Q310" i="42"/>
  <c r="AF273" i="42"/>
  <c r="AF274" i="42"/>
  <c r="P246" i="42"/>
  <c r="P262" i="42"/>
  <c r="P261" i="42"/>
  <c r="O273" i="42"/>
  <c r="O274" i="42"/>
  <c r="O342" i="42"/>
  <c r="O341" i="42"/>
  <c r="AM206" i="42"/>
  <c r="AX310" i="42"/>
  <c r="AX309" i="42"/>
  <c r="N277" i="42"/>
  <c r="N278" i="42"/>
  <c r="N464" i="42"/>
  <c r="N374" i="42"/>
  <c r="N466" i="42" s="1"/>
  <c r="AC305" i="42"/>
  <c r="AC306" i="42"/>
  <c r="M237" i="42"/>
  <c r="M238" i="42"/>
  <c r="M378" i="42"/>
  <c r="M377" i="42"/>
  <c r="M406" i="42"/>
  <c r="M405" i="42"/>
  <c r="AV262" i="42"/>
  <c r="AV261" i="42"/>
  <c r="J442" i="42"/>
  <c r="Y266" i="42"/>
  <c r="Y265" i="42"/>
  <c r="I197" i="42"/>
  <c r="I198" i="42"/>
  <c r="I242" i="42"/>
  <c r="I241" i="42"/>
  <c r="I297" i="42"/>
  <c r="I298" i="42"/>
  <c r="I450" i="42"/>
  <c r="AR202" i="42"/>
  <c r="AR201" i="42"/>
  <c r="X202" i="42"/>
  <c r="X201" i="42"/>
  <c r="X218" i="42"/>
  <c r="X217" i="42"/>
  <c r="X378" i="42"/>
  <c r="X377" i="42"/>
  <c r="G302" i="42"/>
  <c r="AP249" i="42"/>
  <c r="AP250" i="42"/>
  <c r="AU269" i="42"/>
  <c r="AU270" i="42"/>
  <c r="AU310" i="42"/>
  <c r="AU309" i="42"/>
  <c r="K217" i="42"/>
  <c r="K218" i="42"/>
  <c r="K326" i="42"/>
  <c r="K325" i="42"/>
  <c r="K386" i="42"/>
  <c r="Q44" i="51"/>
  <c r="S44" i="51" s="1"/>
  <c r="S23" i="51"/>
  <c r="V42" i="51"/>
  <c r="W42" i="51" s="1"/>
  <c r="W21" i="51"/>
  <c r="H152" i="49"/>
  <c r="AH122" i="49"/>
  <c r="AH152" i="49" s="1"/>
  <c r="T21" i="51"/>
  <c r="BM21" i="51"/>
  <c r="L42" i="51"/>
  <c r="BM42" i="51" s="1"/>
  <c r="J153" i="49"/>
  <c r="U457" i="1"/>
  <c r="U458" i="1"/>
  <c r="I80" i="49"/>
  <c r="AH62" i="49"/>
  <c r="AH80" i="49" s="1"/>
  <c r="K48" i="51"/>
  <c r="BL48" i="51" s="1"/>
  <c r="BL31" i="51"/>
  <c r="AE600" i="1"/>
  <c r="AG315" i="1"/>
  <c r="K50" i="49"/>
  <c r="AI32" i="49"/>
  <c r="AI50" i="49" s="1"/>
  <c r="BH31" i="51"/>
  <c r="G48" i="51"/>
  <c r="BH48" i="51" s="1"/>
  <c r="AB270" i="1"/>
  <c r="F5" i="50"/>
  <c r="J69" i="51"/>
  <c r="S172" i="1"/>
  <c r="S173" i="1" s="1"/>
  <c r="S183" i="1"/>
  <c r="L153" i="49"/>
  <c r="W115" i="1"/>
  <c r="G8" i="50"/>
  <c r="O14" i="48"/>
  <c r="AL14" i="48" s="1"/>
  <c r="M85" i="49"/>
  <c r="M95" i="49" s="1"/>
  <c r="N50" i="42"/>
  <c r="N320" i="42" s="1" a="1"/>
  <c r="N320" i="42" s="1"/>
  <c r="K18" i="51"/>
  <c r="BL18" i="51" s="1"/>
  <c r="Z179" i="1"/>
  <c r="Z161" i="1"/>
  <c r="I6" i="50"/>
  <c r="M72" i="51"/>
  <c r="BN72" i="51" s="1"/>
  <c r="AM241" i="42"/>
  <c r="AM242" i="42"/>
  <c r="Q285" i="42"/>
  <c r="Q286" i="42"/>
  <c r="AF217" i="42"/>
  <c r="AF218" i="42"/>
  <c r="AF309" i="42"/>
  <c r="AF310" i="42"/>
  <c r="P309" i="42"/>
  <c r="P310" i="42"/>
  <c r="P378" i="42"/>
  <c r="AE273" i="42"/>
  <c r="AE274" i="42"/>
  <c r="AE310" i="42"/>
  <c r="AE309" i="42"/>
  <c r="O310" i="42"/>
  <c r="O309" i="42"/>
  <c r="O298" i="42"/>
  <c r="O297" i="42"/>
  <c r="O410" i="42"/>
  <c r="O409" i="42"/>
  <c r="AX277" i="42"/>
  <c r="AX278" i="42"/>
  <c r="AD210" i="42"/>
  <c r="AD209" i="42"/>
  <c r="AD310" i="42"/>
  <c r="AD309" i="42"/>
  <c r="T218" i="42"/>
  <c r="T217" i="42"/>
  <c r="AM189" i="42"/>
  <c r="AM190" i="42"/>
  <c r="M257" i="42"/>
  <c r="M258" i="42"/>
  <c r="M289" i="42"/>
  <c r="M290" i="42"/>
  <c r="M418" i="42"/>
  <c r="M417" i="42"/>
  <c r="AB269" i="42"/>
  <c r="AB270" i="42"/>
  <c r="L274" i="42"/>
  <c r="L273" i="42"/>
  <c r="AX265" i="42"/>
  <c r="AX266" i="42"/>
  <c r="AT277" i="42"/>
  <c r="AT278" i="42"/>
  <c r="J438" i="42"/>
  <c r="I245" i="42"/>
  <c r="I246" i="42"/>
  <c r="I286" i="42"/>
  <c r="I285" i="42"/>
  <c r="H258" i="42"/>
  <c r="AQ269" i="42"/>
  <c r="AQ270" i="42"/>
  <c r="G202" i="42"/>
  <c r="G342" i="42"/>
  <c r="V218" i="42"/>
  <c r="V217" i="42"/>
  <c r="T201" i="42"/>
  <c r="T202" i="42"/>
  <c r="AO201" i="42"/>
  <c r="AO202" i="42"/>
  <c r="AU210" i="42"/>
  <c r="AU209" i="42"/>
  <c r="K233" i="42"/>
  <c r="K234" i="42"/>
  <c r="K250" i="42"/>
  <c r="K249" i="42"/>
  <c r="K289" i="42"/>
  <c r="K290" i="42"/>
  <c r="K468" i="42"/>
  <c r="K393" i="42"/>
  <c r="K469" i="42" s="1"/>
  <c r="K394" i="42"/>
  <c r="K470" i="42" s="1"/>
  <c r="K422" i="42"/>
  <c r="K421" i="42"/>
  <c r="O628" i="1"/>
  <c r="O630" i="1" s="1"/>
  <c r="H149" i="49"/>
  <c r="AH119" i="49"/>
  <c r="AH149" i="49" s="1"/>
  <c r="S395" i="1"/>
  <c r="H110" i="49"/>
  <c r="E23" i="50"/>
  <c r="K101" i="49"/>
  <c r="K111" i="49" s="1"/>
  <c r="L55" i="42"/>
  <c r="L336" i="42" s="1" a="1"/>
  <c r="L336" i="42" s="1"/>
  <c r="I30" i="51"/>
  <c r="D46" i="51"/>
  <c r="BE46" i="51" s="1"/>
  <c r="BE29" i="51"/>
  <c r="I78" i="49"/>
  <c r="AH60" i="49"/>
  <c r="AH78" i="49" s="1"/>
  <c r="I101" i="49"/>
  <c r="I111" i="49" s="1"/>
  <c r="J55" i="42"/>
  <c r="J336" i="42" s="1" a="1"/>
  <c r="J336" i="42" s="1"/>
  <c r="G30" i="51"/>
  <c r="R682" i="1"/>
  <c r="I118" i="49"/>
  <c r="I148" i="49" s="1"/>
  <c r="J65" i="42"/>
  <c r="J372" i="42" s="1" a="1"/>
  <c r="J372" i="42" s="1"/>
  <c r="P593" i="1"/>
  <c r="I155" i="49"/>
  <c r="AH125" i="49"/>
  <c r="AH155" i="49" s="1"/>
  <c r="AS66" i="42"/>
  <c r="AS376" i="42" s="1" a="1"/>
  <c r="AS376" i="42" s="1"/>
  <c r="R63" i="1"/>
  <c r="R93" i="1"/>
  <c r="N110" i="49"/>
  <c r="K66" i="51"/>
  <c r="BL66" i="51" s="1"/>
  <c r="T178" i="1"/>
  <c r="AF347" i="1"/>
  <c r="AD363" i="1"/>
  <c r="AD375" i="1" s="1"/>
  <c r="I66" i="51"/>
  <c r="BJ66" i="51" s="1"/>
  <c r="R178" i="1"/>
  <c r="M602" i="1"/>
  <c r="K51" i="49"/>
  <c r="AI33" i="49"/>
  <c r="AI51" i="49" s="1"/>
  <c r="M58" i="49"/>
  <c r="M76" i="49" s="1"/>
  <c r="N41" i="42"/>
  <c r="N288" i="42" s="1" a="1"/>
  <c r="N288" i="42" s="1"/>
  <c r="T248" i="1"/>
  <c r="T275" i="1"/>
  <c r="Z98" i="1"/>
  <c r="E7" i="50"/>
  <c r="K84" i="49"/>
  <c r="K94" i="49" s="1"/>
  <c r="L49" i="42"/>
  <c r="L316" i="42" s="1" a="1"/>
  <c r="L316" i="42" s="1"/>
  <c r="I17" i="51"/>
  <c r="BJ17" i="51" s="1"/>
  <c r="AM194" i="42"/>
  <c r="AM193" i="42"/>
  <c r="AN285" i="42"/>
  <c r="AN286" i="42"/>
  <c r="AM293" i="42"/>
  <c r="AM294" i="42"/>
  <c r="S270" i="42"/>
  <c r="S269" i="42"/>
  <c r="AL394" i="42"/>
  <c r="AL402" i="42"/>
  <c r="R218" i="42"/>
  <c r="R217" i="42"/>
  <c r="Q273" i="42"/>
  <c r="Q274" i="42"/>
  <c r="P273" i="42"/>
  <c r="P274" i="42"/>
  <c r="AE217" i="42"/>
  <c r="AE218" i="42"/>
  <c r="O229" i="42"/>
  <c r="O230" i="42"/>
  <c r="O265" i="42"/>
  <c r="O266" i="42"/>
  <c r="O250" i="42"/>
  <c r="O249" i="42"/>
  <c r="AX270" i="42"/>
  <c r="AX269" i="42"/>
  <c r="M250" i="42"/>
  <c r="M249" i="42"/>
  <c r="M293" i="42"/>
  <c r="M294" i="42"/>
  <c r="M265" i="42"/>
  <c r="M266" i="42"/>
  <c r="M302" i="42"/>
  <c r="M301" i="42"/>
  <c r="L445" i="42"/>
  <c r="L446" i="42"/>
  <c r="Z217" i="42"/>
  <c r="Z218" i="42"/>
  <c r="J322" i="42"/>
  <c r="S262" i="42"/>
  <c r="S261" i="42"/>
  <c r="AC217" i="42"/>
  <c r="AC218" i="42"/>
  <c r="Y202" i="42"/>
  <c r="Y201" i="42"/>
  <c r="I274" i="42"/>
  <c r="I273" i="42"/>
  <c r="I333" i="42"/>
  <c r="I334" i="42"/>
  <c r="I358" i="42"/>
  <c r="I426" i="42"/>
  <c r="I434" i="42"/>
  <c r="AR217" i="42"/>
  <c r="AR218" i="42"/>
  <c r="X246" i="42"/>
  <c r="X245" i="42"/>
  <c r="AW217" i="42"/>
  <c r="AW218" i="42"/>
  <c r="W218" i="42"/>
  <c r="W217" i="42"/>
  <c r="G238" i="42"/>
  <c r="G218" i="42"/>
  <c r="G286" i="42"/>
  <c r="G334" i="42"/>
  <c r="AP246" i="42"/>
  <c r="AP245" i="42"/>
  <c r="V249" i="42"/>
  <c r="V250" i="42"/>
  <c r="I189" i="42"/>
  <c r="I190" i="42"/>
  <c r="AA261" i="42"/>
  <c r="AA262" i="42"/>
  <c r="K210" i="42"/>
  <c r="K209" i="42"/>
  <c r="K277" i="42"/>
  <c r="K278" i="42"/>
  <c r="K294" i="42"/>
  <c r="K293" i="42"/>
  <c r="K245" i="42"/>
  <c r="K246" i="42"/>
  <c r="K449" i="42"/>
  <c r="K450" i="42"/>
  <c r="T17" i="51"/>
  <c r="U17" i="51" s="1"/>
  <c r="BM17" i="51"/>
  <c r="AP66" i="42"/>
  <c r="AP376" i="42" s="1" a="1"/>
  <c r="AP376" i="42" s="1"/>
  <c r="Y270" i="1"/>
  <c r="D42" i="51"/>
  <c r="BE42" i="51" s="1"/>
  <c r="K116" i="49"/>
  <c r="K146" i="49" s="1"/>
  <c r="L63" i="42"/>
  <c r="L364" i="42" s="1" a="1"/>
  <c r="L364" i="42" s="1"/>
  <c r="R624" i="1"/>
  <c r="N151" i="49"/>
  <c r="T149" i="49"/>
  <c r="AN119" i="49"/>
  <c r="AN149" i="49" s="1"/>
  <c r="M682" i="1"/>
  <c r="S573" i="1"/>
  <c r="I58" i="49"/>
  <c r="I76" i="49" s="1"/>
  <c r="J41" i="42"/>
  <c r="J288" i="42" s="1" a="1"/>
  <c r="J288" i="42" s="1"/>
  <c r="P248" i="1"/>
  <c r="P275" i="1"/>
  <c r="P277" i="1" s="1"/>
  <c r="I100" i="49"/>
  <c r="I110" i="49" s="1"/>
  <c r="J54" i="42"/>
  <c r="J332" i="42" s="1" a="1"/>
  <c r="J332" i="42" s="1"/>
  <c r="G29" i="51"/>
  <c r="N297" i="1"/>
  <c r="BL22" i="51"/>
  <c r="O587" i="1"/>
  <c r="O329" i="1"/>
  <c r="O507" i="1"/>
  <c r="N599" i="1"/>
  <c r="N602" i="1" s="1"/>
  <c r="S587" i="1"/>
  <c r="S329" i="1"/>
  <c r="S507" i="1"/>
  <c r="T272" i="1"/>
  <c r="X229" i="1"/>
  <c r="X232" i="1" s="1"/>
  <c r="Y228" i="1"/>
  <c r="AE157" i="1"/>
  <c r="AC163" i="1"/>
  <c r="AN241" i="42"/>
  <c r="AN242" i="42"/>
  <c r="AN225" i="42"/>
  <c r="AN226" i="42"/>
  <c r="AO278" i="42"/>
  <c r="AO277" i="42"/>
  <c r="AO269" i="42"/>
  <c r="AO270" i="42"/>
  <c r="U246" i="42"/>
  <c r="U245" i="42"/>
  <c r="AN298" i="42"/>
  <c r="AN297" i="42"/>
  <c r="AN398" i="42"/>
  <c r="T246" i="42"/>
  <c r="T245" i="42"/>
  <c r="T270" i="42"/>
  <c r="T269" i="42"/>
  <c r="AM278" i="42"/>
  <c r="AM277" i="42"/>
  <c r="AM326" i="42"/>
  <c r="AM325" i="42"/>
  <c r="AL286" i="42"/>
  <c r="Q237" i="42"/>
  <c r="Q238" i="42"/>
  <c r="Q378" i="42"/>
  <c r="Q377" i="42"/>
  <c r="AF250" i="42"/>
  <c r="AF249" i="42"/>
  <c r="O257" i="42"/>
  <c r="O258" i="42"/>
  <c r="O334" i="42"/>
  <c r="O333" i="42"/>
  <c r="O426" i="42"/>
  <c r="O425" i="42"/>
  <c r="AX305" i="42"/>
  <c r="AX306" i="42"/>
  <c r="AD245" i="42"/>
  <c r="AD246" i="42"/>
  <c r="N270" i="42"/>
  <c r="AT210" i="42"/>
  <c r="AT209" i="42"/>
  <c r="AW250" i="42"/>
  <c r="AW249" i="42"/>
  <c r="AC262" i="42"/>
  <c r="AC261" i="42"/>
  <c r="M277" i="42"/>
  <c r="M278" i="42"/>
  <c r="M450" i="42"/>
  <c r="M449" i="42"/>
  <c r="AV210" i="42"/>
  <c r="AV209" i="42"/>
  <c r="AV249" i="42"/>
  <c r="AV250" i="42"/>
  <c r="AB262" i="42"/>
  <c r="AB261" i="42"/>
  <c r="AB305" i="42"/>
  <c r="AB306" i="42"/>
  <c r="AT250" i="42"/>
  <c r="AT249" i="42"/>
  <c r="J274" i="42"/>
  <c r="J273" i="42"/>
  <c r="M217" i="42"/>
  <c r="M218" i="42"/>
  <c r="AS245" i="42"/>
  <c r="AS246" i="42"/>
  <c r="Y218" i="42"/>
  <c r="Y217" i="42"/>
  <c r="I460" i="42"/>
  <c r="I366" i="42"/>
  <c r="I462" i="42" s="1"/>
  <c r="O210" i="42"/>
  <c r="O209" i="42"/>
  <c r="W206" i="42"/>
  <c r="W205" i="42"/>
  <c r="AN454" i="42"/>
  <c r="AN414" i="42"/>
  <c r="AN330" i="42"/>
  <c r="AN346" i="42"/>
  <c r="AN282" i="42"/>
  <c r="AN314" i="42"/>
  <c r="AN222" i="42"/>
  <c r="AN254" i="42"/>
  <c r="AN214" i="42"/>
  <c r="AN182" i="42"/>
  <c r="AO6" i="42"/>
  <c r="M193" i="42"/>
  <c r="M194" i="42"/>
  <c r="AU266" i="42"/>
  <c r="AU265" i="42"/>
  <c r="AA310" i="42"/>
  <c r="AA309" i="42"/>
  <c r="K205" i="42"/>
  <c r="K206" i="42"/>
  <c r="K409" i="42"/>
  <c r="K410" i="42"/>
  <c r="K437" i="42"/>
  <c r="K438" i="42"/>
  <c r="H153" i="49"/>
  <c r="H148" i="49"/>
  <c r="L152" i="49"/>
  <c r="AJ122" i="49"/>
  <c r="AJ152" i="49" s="1"/>
  <c r="L47" i="51"/>
  <c r="BM47" i="51" s="1"/>
  <c r="BM30" i="51"/>
  <c r="T30" i="51"/>
  <c r="Q21" i="51"/>
  <c r="BK21" i="51"/>
  <c r="J42" i="51"/>
  <c r="BK42" i="51" s="1"/>
  <c r="N149" i="49"/>
  <c r="AK119" i="49"/>
  <c r="AK149" i="49" s="1"/>
  <c r="Q17" i="51"/>
  <c r="S17" i="51" s="1"/>
  <c r="BK17" i="51"/>
  <c r="F110" i="49"/>
  <c r="BM18" i="51"/>
  <c r="T18" i="51"/>
  <c r="U18" i="51" s="1"/>
  <c r="J43" i="51"/>
  <c r="BK43" i="51" s="1"/>
  <c r="Q22" i="51"/>
  <c r="BK22" i="51"/>
  <c r="H121" i="49"/>
  <c r="I68" i="42"/>
  <c r="Y349" i="1"/>
  <c r="S458" i="1"/>
  <c r="S457" i="1"/>
  <c r="BJ31" i="51"/>
  <c r="I48" i="51"/>
  <c r="BJ48" i="51" s="1"/>
  <c r="P458" i="1"/>
  <c r="P457" i="1"/>
  <c r="F49" i="49"/>
  <c r="O9" i="49"/>
  <c r="AK9" i="49" s="1"/>
  <c r="P11" i="42"/>
  <c r="M58" i="51"/>
  <c r="X78" i="1"/>
  <c r="V84" i="1"/>
  <c r="AB157" i="1"/>
  <c r="AB160" i="1" s="1"/>
  <c r="Z163" i="1"/>
  <c r="AN11" i="42"/>
  <c r="AN184" i="42" s="1" a="1"/>
  <c r="AN184" i="42" s="1"/>
  <c r="L184" i="42" a="1"/>
  <c r="L184" i="42" s="1"/>
  <c r="N25" i="51"/>
  <c r="BO25" i="51" s="1"/>
  <c r="O457" i="1"/>
  <c r="M115" i="49"/>
  <c r="M145" i="49" s="1"/>
  <c r="N59" i="42"/>
  <c r="N348" i="42" s="1" a="1"/>
  <c r="N348" i="42" s="1"/>
  <c r="J151" i="49"/>
  <c r="M75" i="49"/>
  <c r="AJ57" i="49"/>
  <c r="AJ75" i="49" s="1"/>
  <c r="Q32" i="42"/>
  <c r="Q256" i="42" s="1" a="1"/>
  <c r="Q256" i="42" s="1"/>
  <c r="X227" i="1"/>
  <c r="G114" i="7"/>
  <c r="H115" i="7"/>
  <c r="M96" i="1"/>
  <c r="M88" i="1"/>
  <c r="M65" i="1"/>
  <c r="AO326" i="42"/>
  <c r="AO325" i="42"/>
  <c r="AO410" i="42"/>
  <c r="AO409" i="42"/>
  <c r="U266" i="42"/>
  <c r="U265" i="42"/>
  <c r="AN341" i="42"/>
  <c r="AN342" i="42"/>
  <c r="AB202" i="42"/>
  <c r="AB201" i="42"/>
  <c r="O198" i="42"/>
  <c r="O197" i="42"/>
  <c r="AL238" i="42"/>
  <c r="AL342" i="42"/>
  <c r="AL382" i="42"/>
  <c r="R262" i="42"/>
  <c r="R261" i="42"/>
  <c r="R246" i="42"/>
  <c r="R245" i="42"/>
  <c r="Q250" i="42"/>
  <c r="Q249" i="42"/>
  <c r="AO218" i="42"/>
  <c r="AO217" i="42"/>
  <c r="P265" i="42"/>
  <c r="P266" i="42"/>
  <c r="AO197" i="42"/>
  <c r="AO198" i="42"/>
  <c r="O286" i="42"/>
  <c r="O285" i="42"/>
  <c r="O322" i="42"/>
  <c r="O321" i="42"/>
  <c r="O438" i="42"/>
  <c r="O437" i="42"/>
  <c r="AX262" i="42"/>
  <c r="AX261" i="42"/>
  <c r="AD274" i="42"/>
  <c r="AD273" i="42"/>
  <c r="N418" i="42"/>
  <c r="O185" i="42"/>
  <c r="O186" i="42"/>
  <c r="AW210" i="42"/>
  <c r="AW209" i="42"/>
  <c r="M326" i="42"/>
  <c r="M325" i="42"/>
  <c r="M437" i="42"/>
  <c r="M438" i="42"/>
  <c r="L266" i="42"/>
  <c r="L265" i="42"/>
  <c r="L433" i="42"/>
  <c r="L434" i="42"/>
  <c r="AF205" i="42"/>
  <c r="AF206" i="42"/>
  <c r="AT269" i="42"/>
  <c r="AT270" i="42"/>
  <c r="AT274" i="42"/>
  <c r="AT273" i="42"/>
  <c r="AS218" i="42"/>
  <c r="AS217" i="42"/>
  <c r="AS310" i="42"/>
  <c r="AS309" i="42"/>
  <c r="I266" i="42"/>
  <c r="I265" i="42"/>
  <c r="I310" i="42"/>
  <c r="I309" i="42"/>
  <c r="I446" i="42"/>
  <c r="AR206" i="42"/>
  <c r="AR277" i="42"/>
  <c r="AR278" i="42"/>
  <c r="X206" i="42"/>
  <c r="X205" i="42"/>
  <c r="AT205" i="42"/>
  <c r="AT206" i="42"/>
  <c r="AQ218" i="42"/>
  <c r="AQ217" i="42"/>
  <c r="AQ274" i="42"/>
  <c r="AQ273" i="42"/>
  <c r="AQ261" i="42"/>
  <c r="AQ262" i="42"/>
  <c r="W246" i="42"/>
  <c r="W245" i="42"/>
  <c r="G290" i="42"/>
  <c r="L205" i="42"/>
  <c r="L206" i="42"/>
  <c r="AU202" i="42"/>
  <c r="AU201" i="42"/>
  <c r="AA274" i="42"/>
  <c r="AA273" i="42"/>
  <c r="K197" i="42"/>
  <c r="K198" i="42"/>
  <c r="K456" i="42"/>
  <c r="K349" i="42"/>
  <c r="K457" i="42" s="1"/>
  <c r="K350" i="42"/>
  <c r="K458" i="42" s="1"/>
  <c r="K317" i="42"/>
  <c r="K318" i="42"/>
  <c r="CJ48" i="51"/>
  <c r="CK48" i="51" s="1"/>
  <c r="CK31" i="51"/>
  <c r="F5" i="4"/>
  <c r="N153" i="49"/>
  <c r="N94" i="49"/>
  <c r="M119" i="49"/>
  <c r="M149" i="49" s="1"/>
  <c r="N66" i="42"/>
  <c r="N376" i="42" s="1" a="1"/>
  <c r="N376" i="42" s="1"/>
  <c r="P377" i="42" s="1"/>
  <c r="T25" i="51"/>
  <c r="U25" i="51" s="1"/>
  <c r="BM25" i="51"/>
  <c r="G77" i="49"/>
  <c r="AG59" i="49"/>
  <c r="AG77" i="49" s="1"/>
  <c r="M116" i="49"/>
  <c r="M146" i="49" s="1"/>
  <c r="N63" i="42"/>
  <c r="N364" i="42" s="1" a="1"/>
  <c r="N364" i="42" s="1"/>
  <c r="T624" i="1"/>
  <c r="G101" i="49"/>
  <c r="G111" i="49" s="1"/>
  <c r="H55" i="42"/>
  <c r="H336" i="42" s="1" a="1"/>
  <c r="H336" i="42" s="1"/>
  <c r="H338" i="42" s="1"/>
  <c r="E30" i="51"/>
  <c r="AH57" i="49"/>
  <c r="AH75" i="49" s="1"/>
  <c r="I75" i="49"/>
  <c r="I84" i="49"/>
  <c r="I94" i="49" s="1"/>
  <c r="J49" i="42"/>
  <c r="J316" i="42" s="1" a="1"/>
  <c r="J316" i="42" s="1"/>
  <c r="G17" i="51"/>
  <c r="BH17" i="51" s="1"/>
  <c r="L49" i="49"/>
  <c r="X364" i="1"/>
  <c r="X376" i="1" s="1"/>
  <c r="X349" i="1"/>
  <c r="Z348" i="1"/>
  <c r="G51" i="49"/>
  <c r="AG33" i="49"/>
  <c r="AG51" i="49" s="1"/>
  <c r="U201" i="42"/>
  <c r="U202" i="42"/>
  <c r="M202" i="42"/>
  <c r="M201" i="42"/>
  <c r="AO262" i="42"/>
  <c r="AO426" i="42"/>
  <c r="AO425" i="42"/>
  <c r="O190" i="42"/>
  <c r="O189" i="42"/>
  <c r="T261" i="42"/>
  <c r="T262" i="42"/>
  <c r="T306" i="42"/>
  <c r="T305" i="42"/>
  <c r="L202" i="42"/>
  <c r="L201" i="42"/>
  <c r="AM233" i="42"/>
  <c r="AM234" i="42"/>
  <c r="S218" i="42"/>
  <c r="S217" i="42"/>
  <c r="S246" i="42"/>
  <c r="S245" i="42"/>
  <c r="AL370" i="42"/>
  <c r="AL390" i="42"/>
  <c r="R206" i="42"/>
  <c r="Q265" i="42"/>
  <c r="Q266" i="42"/>
  <c r="S209" i="42"/>
  <c r="S210" i="42"/>
  <c r="M190" i="42"/>
  <c r="M189" i="42"/>
  <c r="AE265" i="42"/>
  <c r="AE266" i="42"/>
  <c r="O301" i="42"/>
  <c r="O302" i="42"/>
  <c r="O358" i="42"/>
  <c r="O357" i="42"/>
  <c r="O430" i="42"/>
  <c r="O442" i="42"/>
  <c r="O441" i="42"/>
  <c r="M198" i="42"/>
  <c r="M197" i="42"/>
  <c r="AX245" i="42"/>
  <c r="AX246" i="42"/>
  <c r="N262" i="42"/>
  <c r="AW310" i="42"/>
  <c r="AW309" i="42"/>
  <c r="AC210" i="42"/>
  <c r="AC209" i="42"/>
  <c r="M402" i="42"/>
  <c r="M401" i="42"/>
  <c r="M442" i="42"/>
  <c r="M441" i="42"/>
  <c r="AB249" i="42"/>
  <c r="AB250" i="42"/>
  <c r="AX217" i="42"/>
  <c r="AX218" i="42"/>
  <c r="Z205" i="42"/>
  <c r="Z206" i="42"/>
  <c r="J266" i="42"/>
  <c r="J265" i="42"/>
  <c r="J310" i="42"/>
  <c r="Y245" i="42"/>
  <c r="Y246" i="42"/>
  <c r="I238" i="42"/>
  <c r="I237" i="42"/>
  <c r="I398" i="42"/>
  <c r="AR305" i="42"/>
  <c r="AR306" i="42"/>
  <c r="H218" i="42"/>
  <c r="AQ305" i="42"/>
  <c r="AQ306" i="42"/>
  <c r="W278" i="42"/>
  <c r="W277" i="42"/>
  <c r="G242" i="42"/>
  <c r="V209" i="42"/>
  <c r="V210" i="42"/>
  <c r="AA202" i="42"/>
  <c r="AA201" i="42"/>
  <c r="K190" i="42"/>
  <c r="K189" i="42"/>
  <c r="K402" i="42"/>
  <c r="K401" i="42"/>
  <c r="K442" i="42"/>
  <c r="K441" i="42"/>
  <c r="J149" i="49"/>
  <c r="AQ66" i="42"/>
  <c r="AQ376" i="42" s="1" a="1"/>
  <c r="AQ376" i="42" s="1"/>
  <c r="N111" i="49"/>
  <c r="O67" i="42"/>
  <c r="R529" i="1"/>
  <c r="R395" i="1" s="1"/>
  <c r="X695" i="1"/>
  <c r="Y483" i="1"/>
  <c r="X487" i="1"/>
  <c r="L94" i="49"/>
  <c r="N95" i="49"/>
  <c r="BE30" i="51"/>
  <c r="D47" i="51"/>
  <c r="BE47" i="51" s="1"/>
  <c r="G80" i="49"/>
  <c r="AG62" i="49"/>
  <c r="AG80" i="49" s="1"/>
  <c r="R9" i="49"/>
  <c r="S11" i="42"/>
  <c r="Y80" i="1"/>
  <c r="Y76" i="1" s="1"/>
  <c r="Y84" i="1"/>
  <c r="AA78" i="1"/>
  <c r="BF23" i="51"/>
  <c r="E44" i="51"/>
  <c r="BF44" i="51" s="1"/>
  <c r="R262" i="1"/>
  <c r="L33" i="42"/>
  <c r="L260" i="42" s="1" a="1"/>
  <c r="L260" i="42" s="1"/>
  <c r="N261" i="42" s="1"/>
  <c r="I81" i="49"/>
  <c r="AH63" i="49"/>
  <c r="AH81" i="49" s="1"/>
  <c r="G15" i="1" a="1"/>
  <c r="G15" i="1" s="1"/>
  <c r="G12" i="1" a="1"/>
  <c r="G12" i="1" s="1"/>
  <c r="H10" i="1"/>
  <c r="G17" i="1"/>
  <c r="G13" i="1"/>
  <c r="P51" i="49"/>
  <c r="F6" i="50"/>
  <c r="J72" i="51"/>
  <c r="Q26" i="51"/>
  <c r="S26" i="51" s="1"/>
  <c r="BK26" i="51"/>
  <c r="Q587" i="1"/>
  <c r="Q329" i="1"/>
  <c r="Q507" i="1"/>
  <c r="AI86" i="49"/>
  <c r="AI96" i="49" s="1"/>
  <c r="K96" i="49"/>
  <c r="W594" i="1"/>
  <c r="X388" i="1"/>
  <c r="AO210" i="42"/>
  <c r="U377" i="42"/>
  <c r="U378" i="42"/>
  <c r="AB217" i="42"/>
  <c r="AB218" i="42"/>
  <c r="L217" i="42"/>
  <c r="L218" i="42"/>
  <c r="U278" i="42"/>
  <c r="U277" i="42"/>
  <c r="AN273" i="42"/>
  <c r="AN274" i="42"/>
  <c r="AM270" i="42"/>
  <c r="AM269" i="42"/>
  <c r="AM298" i="42"/>
  <c r="AM297" i="42"/>
  <c r="AM402" i="42"/>
  <c r="AM426" i="42"/>
  <c r="S306" i="42"/>
  <c r="S305" i="42"/>
  <c r="AL274" i="42"/>
  <c r="AL398" i="42"/>
  <c r="R278" i="42"/>
  <c r="R277" i="42"/>
  <c r="AE277" i="42"/>
  <c r="AE278" i="42"/>
  <c r="O217" i="42"/>
  <c r="O218" i="42"/>
  <c r="O464" i="42"/>
  <c r="O374" i="42"/>
  <c r="O466" i="42" s="1"/>
  <c r="O450" i="42"/>
  <c r="O449" i="42"/>
  <c r="O445" i="42"/>
  <c r="O446" i="42"/>
  <c r="AD277" i="42"/>
  <c r="AD278" i="42"/>
  <c r="M205" i="42"/>
  <c r="M206" i="42"/>
  <c r="AW265" i="42"/>
  <c r="AW266" i="42"/>
  <c r="AW274" i="42"/>
  <c r="AW273" i="42"/>
  <c r="M242" i="42"/>
  <c r="M241" i="42"/>
  <c r="M269" i="42"/>
  <c r="M270" i="42"/>
  <c r="M338" i="42"/>
  <c r="M337" i="42"/>
  <c r="M422" i="42"/>
  <c r="M421" i="42"/>
  <c r="L198" i="42"/>
  <c r="AV202" i="42"/>
  <c r="AV201" i="42"/>
  <c r="L257" i="42"/>
  <c r="L258" i="42"/>
  <c r="Z269" i="42"/>
  <c r="Z270" i="42"/>
  <c r="Z245" i="42"/>
  <c r="Z246" i="42"/>
  <c r="J434" i="42"/>
  <c r="AD205" i="42"/>
  <c r="AD206" i="42"/>
  <c r="AS261" i="42"/>
  <c r="AS262" i="42"/>
  <c r="AS206" i="42"/>
  <c r="AS205" i="42"/>
  <c r="AS277" i="42"/>
  <c r="AS278" i="42"/>
  <c r="I258" i="42"/>
  <c r="I257" i="42"/>
  <c r="I341" i="42"/>
  <c r="I342" i="42"/>
  <c r="I378" i="42"/>
  <c r="I418" i="42"/>
  <c r="Z210" i="42"/>
  <c r="Z209" i="42"/>
  <c r="AR269" i="42"/>
  <c r="AR270" i="42"/>
  <c r="H278" i="42"/>
  <c r="W274" i="42"/>
  <c r="W273" i="42"/>
  <c r="W269" i="42"/>
  <c r="W270" i="42"/>
  <c r="AM202" i="42"/>
  <c r="AO194" i="42"/>
  <c r="AO193" i="42"/>
  <c r="AU217" i="42"/>
  <c r="AU218" i="42"/>
  <c r="AA205" i="42"/>
  <c r="AA206" i="42"/>
  <c r="AA277" i="42"/>
  <c r="AA278" i="42"/>
  <c r="AA266" i="42"/>
  <c r="AA265" i="42"/>
  <c r="K322" i="42"/>
  <c r="K397" i="42"/>
  <c r="K398" i="42"/>
  <c r="D239" i="4"/>
  <c r="D128" i="4"/>
  <c r="D178" i="4"/>
  <c r="D38" i="4"/>
  <c r="D7" i="4"/>
  <c r="D59" i="4"/>
  <c r="D87" i="4"/>
  <c r="D209" i="4"/>
  <c r="P149" i="49"/>
  <c r="AL119" i="49"/>
  <c r="AL149" i="49" s="1"/>
  <c r="M474" i="1"/>
  <c r="P529" i="1"/>
  <c r="P395" i="1" s="1"/>
  <c r="H147" i="49"/>
  <c r="BK18" i="51"/>
  <c r="Q18" i="51"/>
  <c r="S18" i="51" s="1"/>
  <c r="Q598" i="1"/>
  <c r="Q474" i="1"/>
  <c r="M80" i="42"/>
  <c r="S659" i="1"/>
  <c r="F43" i="51"/>
  <c r="BG43" i="51" s="1"/>
  <c r="BF21" i="51"/>
  <c r="T529" i="1"/>
  <c r="T544" i="1"/>
  <c r="T530" i="1"/>
  <c r="BF31" i="51"/>
  <c r="E48" i="51"/>
  <c r="BF48" i="51" s="1"/>
  <c r="BJ22" i="51"/>
  <c r="U64" i="1"/>
  <c r="U94" i="1"/>
  <c r="P272" i="1"/>
  <c r="J33" i="42"/>
  <c r="J260" i="42" s="1" a="1"/>
  <c r="J260" i="42" s="1"/>
  <c r="AL33" i="42"/>
  <c r="AL260" i="42" s="1" a="1"/>
  <c r="AL260" i="42" s="1"/>
  <c r="AL262" i="42" s="1"/>
  <c r="AO301" i="42"/>
  <c r="AO302" i="42"/>
  <c r="AO293" i="42"/>
  <c r="AO294" i="42"/>
  <c r="AO306" i="42"/>
  <c r="AO305" i="42"/>
  <c r="U270" i="42"/>
  <c r="U269" i="42"/>
  <c r="AN405" i="42"/>
  <c r="AN406" i="42"/>
  <c r="AM225" i="42"/>
  <c r="AM226" i="42"/>
  <c r="AL306" i="42"/>
  <c r="AX205" i="42"/>
  <c r="AX206" i="42"/>
  <c r="AF278" i="42"/>
  <c r="AF277" i="42"/>
  <c r="P250" i="42"/>
  <c r="AE270" i="42"/>
  <c r="AE269" i="42"/>
  <c r="O385" i="42"/>
  <c r="O386" i="42"/>
  <c r="O418" i="42"/>
  <c r="O417" i="42"/>
  <c r="AX250" i="42"/>
  <c r="AX249" i="42"/>
  <c r="N265" i="42"/>
  <c r="N266" i="42"/>
  <c r="AW201" i="42"/>
  <c r="AW202" i="42"/>
  <c r="M245" i="42"/>
  <c r="M246" i="42"/>
  <c r="M317" i="42"/>
  <c r="M318" i="42"/>
  <c r="M456" i="42"/>
  <c r="M349" i="42"/>
  <c r="M457" i="42" s="1"/>
  <c r="M350" i="42"/>
  <c r="M458" i="42" s="1"/>
  <c r="AV274" i="42"/>
  <c r="AV273" i="42"/>
  <c r="AV310" i="42"/>
  <c r="AV309" i="42"/>
  <c r="AF201" i="42"/>
  <c r="AF202" i="42"/>
  <c r="AT266" i="42"/>
  <c r="AT265" i="42"/>
  <c r="Z250" i="42"/>
  <c r="Z249" i="42"/>
  <c r="J258" i="42"/>
  <c r="J257" i="42"/>
  <c r="J378" i="42"/>
  <c r="AD217" i="42"/>
  <c r="AD218" i="42"/>
  <c r="Y205" i="42"/>
  <c r="Y206" i="42"/>
  <c r="I202" i="42"/>
  <c r="I201" i="42"/>
  <c r="I261" i="42"/>
  <c r="I262" i="42"/>
  <c r="I302" i="42"/>
  <c r="I301" i="42"/>
  <c r="X277" i="42"/>
  <c r="X278" i="42"/>
  <c r="AQ249" i="42"/>
  <c r="AQ250" i="42"/>
  <c r="W305" i="42"/>
  <c r="W306" i="42"/>
  <c r="G266" i="42"/>
  <c r="V306" i="42"/>
  <c r="V305" i="42"/>
  <c r="V273" i="42"/>
  <c r="V274" i="42"/>
  <c r="S201" i="42"/>
  <c r="S202" i="42"/>
  <c r="K286" i="42"/>
  <c r="K285" i="42"/>
  <c r="K334" i="42"/>
  <c r="K333" i="42"/>
  <c r="K358" i="42"/>
  <c r="K357" i="42"/>
  <c r="K425" i="42"/>
  <c r="K426" i="42"/>
  <c r="J148" i="49"/>
  <c r="K154" i="49"/>
  <c r="AI124" i="49"/>
  <c r="AI154" i="49" s="1"/>
  <c r="N16" i="48"/>
  <c r="AK16" i="48" s="1"/>
  <c r="R597" i="1"/>
  <c r="R474" i="1"/>
  <c r="J76" i="49"/>
  <c r="U628" i="1"/>
  <c r="U630" i="1" s="1"/>
  <c r="F42" i="51"/>
  <c r="BG42" i="51" s="1"/>
  <c r="L145" i="49"/>
  <c r="F111" i="49"/>
  <c r="F76" i="49"/>
  <c r="R458" i="1"/>
  <c r="R457" i="1"/>
  <c r="P32" i="42"/>
  <c r="P256" i="42" s="1" a="1"/>
  <c r="P256" i="42" s="1"/>
  <c r="W227" i="1"/>
  <c r="W233" i="1" s="1"/>
  <c r="O11" i="48"/>
  <c r="AL11" i="48" s="1"/>
  <c r="N81" i="42"/>
  <c r="N432" i="42" s="1" a="1"/>
  <c r="N432" i="42" s="1"/>
  <c r="T307" i="1"/>
  <c r="G17" i="50"/>
  <c r="O23" i="48"/>
  <c r="K25" i="51"/>
  <c r="BL25" i="51" s="1"/>
  <c r="T290" i="1"/>
  <c r="AA467" i="1"/>
  <c r="J49" i="49"/>
  <c r="O57" i="49"/>
  <c r="P40" i="42"/>
  <c r="X244" i="1"/>
  <c r="W95" i="1"/>
  <c r="W96" i="1" s="1"/>
  <c r="T283" i="1"/>
  <c r="E8" i="50"/>
  <c r="K85" i="49"/>
  <c r="K95" i="49" s="1"/>
  <c r="L50" i="42"/>
  <c r="L320" i="42" s="1" a="1"/>
  <c r="L320" i="42" s="1"/>
  <c r="I18" i="51"/>
  <c r="BJ18" i="51" s="1"/>
  <c r="U204" i="7"/>
  <c r="U145" i="7"/>
  <c r="U214" i="7"/>
  <c r="U347" i="7"/>
  <c r="U290" i="7"/>
  <c r="U260" i="7"/>
  <c r="U353" i="7"/>
  <c r="U355" i="7"/>
  <c r="U346" i="7"/>
  <c r="U160" i="7"/>
  <c r="U289" i="7"/>
  <c r="U292" i="7"/>
  <c r="U343" i="7"/>
  <c r="U373" i="7"/>
  <c r="U184" i="7"/>
  <c r="U364" i="7"/>
  <c r="U151" i="7"/>
  <c r="U354" i="7"/>
  <c r="U352" i="7"/>
  <c r="U305" i="7"/>
  <c r="U243" i="7"/>
  <c r="U356" i="7"/>
  <c r="U225" i="7"/>
  <c r="U185" i="7"/>
  <c r="U175" i="7"/>
  <c r="U255" i="7"/>
  <c r="U288" i="7"/>
  <c r="U344" i="7"/>
  <c r="U155" i="7"/>
  <c r="U147" i="7"/>
  <c r="U152" i="7"/>
  <c r="U371" i="7"/>
  <c r="U368" i="7"/>
  <c r="U254" i="7"/>
  <c r="U330" i="7"/>
  <c r="U357" i="7"/>
  <c r="U342" i="7"/>
  <c r="U341" i="7"/>
  <c r="U174" i="7"/>
  <c r="U268" i="7"/>
  <c r="U286" i="7"/>
  <c r="U366" i="7"/>
  <c r="U358" i="7"/>
  <c r="U227" i="7"/>
  <c r="U370" i="7"/>
  <c r="U168" i="7"/>
  <c r="U171" i="7"/>
  <c r="U337" i="7"/>
  <c r="U191" i="7"/>
  <c r="U329" i="7"/>
  <c r="U291" i="7"/>
  <c r="U141" i="7"/>
  <c r="U359" i="7"/>
  <c r="U365" i="7"/>
  <c r="U144" i="7"/>
  <c r="U304" i="7"/>
  <c r="U369" i="7"/>
  <c r="U257" i="7"/>
  <c r="U205" i="7"/>
  <c r="U270" i="7"/>
  <c r="U206" i="7"/>
  <c r="U211" i="7"/>
  <c r="U372" i="7"/>
  <c r="U348" i="7"/>
  <c r="U367" i="7"/>
  <c r="U146" i="7"/>
  <c r="U221" i="7"/>
  <c r="U210" i="7"/>
  <c r="U164" i="7"/>
  <c r="U345" i="7"/>
  <c r="O21" i="48" l="1"/>
  <c r="AL21" i="48" s="1"/>
  <c r="AL18" i="48"/>
  <c r="N26" i="51"/>
  <c r="BO26" i="51" s="1"/>
  <c r="O26" i="48"/>
  <c r="AL26" i="48" s="1"/>
  <c r="AL23" i="48"/>
  <c r="O31" i="48"/>
  <c r="AL31" i="48" s="1"/>
  <c r="AL29" i="48"/>
  <c r="AK48" i="48"/>
  <c r="AK46" i="48"/>
  <c r="AL44" i="48"/>
  <c r="AN48" i="48"/>
  <c r="AN46" i="48"/>
  <c r="G2" i="4"/>
  <c r="F4" i="4"/>
  <c r="CJ44" i="51"/>
  <c r="CK44" i="51" s="1"/>
  <c r="W247" i="1"/>
  <c r="W250" i="1" s="1"/>
  <c r="W256" i="1" s="1"/>
  <c r="AM24" i="42"/>
  <c r="AM228" i="42" s="1" a="1"/>
  <c r="AM228" i="42" s="1"/>
  <c r="AM230" i="42" s="1"/>
  <c r="Y247" i="1"/>
  <c r="Y250" i="1" s="1"/>
  <c r="J297" i="42"/>
  <c r="L297" i="42"/>
  <c r="L357" i="42"/>
  <c r="N357" i="42"/>
  <c r="AG31" i="49"/>
  <c r="AG49" i="49" s="1"/>
  <c r="N297" i="42"/>
  <c r="J229" i="42"/>
  <c r="N710" i="1"/>
  <c r="N8" i="1" s="1"/>
  <c r="AN78" i="42"/>
  <c r="AN420" i="42" s="1" a="1"/>
  <c r="AN420" i="42" s="1"/>
  <c r="AN422" i="42" s="1"/>
  <c r="P249" i="42"/>
  <c r="L402" i="42"/>
  <c r="AH31" i="49"/>
  <c r="AH49" i="49" s="1"/>
  <c r="J358" i="42"/>
  <c r="L298" i="42"/>
  <c r="L401" i="42"/>
  <c r="AO24" i="42"/>
  <c r="AO228" i="42" s="1" a="1"/>
  <c r="AO228" i="42" s="1"/>
  <c r="AO230" i="42" s="1"/>
  <c r="S710" i="1"/>
  <c r="S8" i="1" s="1"/>
  <c r="U416" i="1"/>
  <c r="V416" i="1" s="1"/>
  <c r="L309" i="42"/>
  <c r="L310" i="42"/>
  <c r="J246" i="42"/>
  <c r="H310" i="42"/>
  <c r="L418" i="42"/>
  <c r="J241" i="42"/>
  <c r="L421" i="42"/>
  <c r="V93" i="1"/>
  <c r="V94" i="1" s="1"/>
  <c r="V96" i="1" s="1"/>
  <c r="V63" i="1"/>
  <c r="AN69" i="42"/>
  <c r="AN388" i="42" s="1" a="1"/>
  <c r="AN388" i="42" s="1"/>
  <c r="AN390" i="42" s="1"/>
  <c r="L389" i="42"/>
  <c r="L390" i="42"/>
  <c r="AO286" i="42"/>
  <c r="AO68" i="42"/>
  <c r="AO384" i="42" s="1" a="1"/>
  <c r="AO384" i="42" s="1"/>
  <c r="AO386" i="42" s="1"/>
  <c r="N421" i="42"/>
  <c r="AI122" i="49"/>
  <c r="AI152" i="49" s="1"/>
  <c r="AO245" i="42"/>
  <c r="W181" i="1"/>
  <c r="N72" i="51" s="1"/>
  <c r="BO72" i="51" s="1"/>
  <c r="AN245" i="42"/>
  <c r="J209" i="42"/>
  <c r="N361" i="42"/>
  <c r="L425" i="42"/>
  <c r="N362" i="42"/>
  <c r="AO406" i="42"/>
  <c r="AP309" i="42"/>
  <c r="J301" i="42"/>
  <c r="AL24" i="42"/>
  <c r="AL228" i="42" s="1" a="1"/>
  <c r="AL228" i="42" s="1"/>
  <c r="AL230" i="42" s="1"/>
  <c r="AO310" i="42"/>
  <c r="N425" i="42"/>
  <c r="H298" i="42"/>
  <c r="N249" i="42"/>
  <c r="L237" i="42"/>
  <c r="L361" i="42"/>
  <c r="N237" i="42"/>
  <c r="AO401" i="42"/>
  <c r="X486" i="1"/>
  <c r="N301" i="42"/>
  <c r="X480" i="1"/>
  <c r="Y479" i="1"/>
  <c r="Y480" i="1" s="1"/>
  <c r="J80" i="42"/>
  <c r="J428" i="42" s="1" a="1"/>
  <c r="J428" i="42" s="1"/>
  <c r="J430" i="42" s="1"/>
  <c r="AJ31" i="49"/>
  <c r="AJ49" i="49" s="1"/>
  <c r="N241" i="42"/>
  <c r="L286" i="42"/>
  <c r="N405" i="42"/>
  <c r="J402" i="42"/>
  <c r="L405" i="42"/>
  <c r="L241" i="42"/>
  <c r="J197" i="42"/>
  <c r="L285" i="42"/>
  <c r="J305" i="42"/>
  <c r="N341" i="42"/>
  <c r="AJ84" i="49"/>
  <c r="AJ94" i="49" s="1"/>
  <c r="AB79" i="1"/>
  <c r="V12" i="42" s="1"/>
  <c r="V188" i="42" s="1" a="1"/>
  <c r="V188" i="42" s="1"/>
  <c r="Z106" i="1"/>
  <c r="Z111" i="1" s="1"/>
  <c r="Z114" i="1" s="1"/>
  <c r="T12" i="42"/>
  <c r="T188" i="42" s="1" a="1"/>
  <c r="T188" i="42" s="1"/>
  <c r="T189" i="42" s="1"/>
  <c r="H302" i="42"/>
  <c r="L193" i="42"/>
  <c r="L341" i="42"/>
  <c r="AO418" i="42"/>
  <c r="J341" i="42"/>
  <c r="L249" i="42"/>
  <c r="R277" i="1"/>
  <c r="R507" i="1" s="1"/>
  <c r="J269" i="42"/>
  <c r="N197" i="42"/>
  <c r="J233" i="42"/>
  <c r="N325" i="42"/>
  <c r="X181" i="1"/>
  <c r="O72" i="51" s="1"/>
  <c r="BP72" i="51" s="1"/>
  <c r="W488" i="1"/>
  <c r="W492" i="1" s="1"/>
  <c r="AM209" i="42"/>
  <c r="N185" i="42"/>
  <c r="P245" i="42"/>
  <c r="AO70" i="42"/>
  <c r="AO392" i="42" s="1" a="1"/>
  <c r="AO392" i="42" s="1"/>
  <c r="AO468" i="42" s="1"/>
  <c r="L190" i="42"/>
  <c r="AM210" i="42"/>
  <c r="AM310" i="42"/>
  <c r="N246" i="42"/>
  <c r="N189" i="42"/>
  <c r="AM309" i="42"/>
  <c r="I322" i="42"/>
  <c r="AI123" i="49"/>
  <c r="AI153" i="49" s="1"/>
  <c r="J362" i="42"/>
  <c r="AJ115" i="49"/>
  <c r="AJ145" i="49" s="1"/>
  <c r="N277" i="1"/>
  <c r="N507" i="1" s="1"/>
  <c r="N513" i="1" s="1"/>
  <c r="O65" i="1"/>
  <c r="T277" i="1"/>
  <c r="U710" i="1"/>
  <c r="U8" i="1" s="1"/>
  <c r="O710" i="1"/>
  <c r="O8" i="1" s="1"/>
  <c r="J325" i="42"/>
  <c r="N298" i="42"/>
  <c r="J210" i="42"/>
  <c r="R710" i="1"/>
  <c r="R8" i="1" s="1"/>
  <c r="J193" i="42"/>
  <c r="M710" i="1"/>
  <c r="M8" i="1" s="1"/>
  <c r="J237" i="42"/>
  <c r="AO78" i="42"/>
  <c r="AO420" i="42" s="1" a="1"/>
  <c r="AO420" i="42" s="1"/>
  <c r="L409" i="42"/>
  <c r="AQ12" i="42"/>
  <c r="AQ188" i="42" s="1" a="1"/>
  <c r="AQ188" i="42" s="1"/>
  <c r="AQ190" i="42" s="1"/>
  <c r="AN66" i="42"/>
  <c r="AN376" i="42" s="1" a="1"/>
  <c r="AN376" i="42" s="1"/>
  <c r="AN377" i="42" s="1"/>
  <c r="P710" i="1"/>
  <c r="P8" i="1" s="1"/>
  <c r="J245" i="42"/>
  <c r="AP12" i="42"/>
  <c r="AP188" i="42" s="1" a="1"/>
  <c r="AP188" i="42" s="1"/>
  <c r="P188" i="42" a="1"/>
  <c r="P188" i="42" s="1"/>
  <c r="N225" i="42"/>
  <c r="Y180" i="1"/>
  <c r="T659" i="1"/>
  <c r="W566" i="1"/>
  <c r="X453" i="1"/>
  <c r="X694" i="1" s="1"/>
  <c r="T94" i="1"/>
  <c r="T96" i="1" s="1"/>
  <c r="W456" i="1"/>
  <c r="W458" i="1" s="1"/>
  <c r="L417" i="42"/>
  <c r="J234" i="42"/>
  <c r="N422" i="42"/>
  <c r="AN70" i="42"/>
  <c r="AN392" i="42" s="1" a="1"/>
  <c r="AN392" i="42" s="1"/>
  <c r="AN468" i="42" s="1"/>
  <c r="L305" i="42"/>
  <c r="L225" i="42"/>
  <c r="AN397" i="42"/>
  <c r="J286" i="42"/>
  <c r="AO333" i="42"/>
  <c r="L226" i="42"/>
  <c r="N293" i="42"/>
  <c r="G230" i="42"/>
  <c r="N306" i="42"/>
  <c r="J285" i="42"/>
  <c r="N397" i="42"/>
  <c r="N238" i="42"/>
  <c r="N305" i="42"/>
  <c r="Q710" i="1"/>
  <c r="Q8" i="1" s="1"/>
  <c r="AN41" i="42"/>
  <c r="AN288" i="42" s="1" a="1"/>
  <c r="AN288" i="42" s="1"/>
  <c r="AN290" i="42" s="1"/>
  <c r="L410" i="42"/>
  <c r="N409" i="42"/>
  <c r="W288" i="1"/>
  <c r="W590" i="1" s="1"/>
  <c r="Q62" i="42" s="1"/>
  <c r="AG100" i="49"/>
  <c r="AG110" i="49" s="1"/>
  <c r="X421" i="1"/>
  <c r="X674" i="1" s="1"/>
  <c r="L270" i="42"/>
  <c r="AI58" i="49"/>
  <c r="AI76" i="49" s="1"/>
  <c r="E42" i="51"/>
  <c r="BF42" i="51" s="1"/>
  <c r="O433" i="42"/>
  <c r="M433" i="42"/>
  <c r="N193" i="42"/>
  <c r="T710" i="1"/>
  <c r="T8" i="1" s="1"/>
  <c r="AG101" i="49"/>
  <c r="AG111" i="49" s="1"/>
  <c r="L269" i="42"/>
  <c r="Y377" i="1"/>
  <c r="Y281" i="1" s="1"/>
  <c r="J270" i="42"/>
  <c r="N194" i="42"/>
  <c r="AH123" i="49"/>
  <c r="AH153" i="49" s="1"/>
  <c r="L301" i="42"/>
  <c r="AI31" i="49"/>
  <c r="AI49" i="49" s="1"/>
  <c r="L293" i="42"/>
  <c r="L302" i="42"/>
  <c r="J225" i="42"/>
  <c r="J293" i="42"/>
  <c r="P96" i="1"/>
  <c r="AA164" i="1"/>
  <c r="AL41" i="42"/>
  <c r="AL288" i="42" s="1" a="1"/>
  <c r="AL288" i="42" s="1"/>
  <c r="AL290" i="42" s="1"/>
  <c r="AN433" i="42"/>
  <c r="X403" i="1"/>
  <c r="X640" i="1" s="1"/>
  <c r="X677" i="1" s="1"/>
  <c r="AO50" i="42"/>
  <c r="AO320" i="42" s="1" a="1"/>
  <c r="AO320" i="42" s="1"/>
  <c r="AO322" i="42" s="1"/>
  <c r="AO49" i="42"/>
  <c r="AO316" i="42" s="1" a="1"/>
  <c r="AO316" i="42" s="1"/>
  <c r="AO318" i="42" s="1"/>
  <c r="W423" i="1"/>
  <c r="I321" i="42"/>
  <c r="U580" i="1"/>
  <c r="AL55" i="42"/>
  <c r="AL336" i="42" s="1" a="1"/>
  <c r="AL336" i="42" s="1"/>
  <c r="AL338" i="42" s="1"/>
  <c r="AJ123" i="49"/>
  <c r="AJ153" i="49" s="1"/>
  <c r="Q571" i="1"/>
  <c r="U430" i="1"/>
  <c r="AI118" i="49"/>
  <c r="AI148" i="49" s="1"/>
  <c r="N233" i="42"/>
  <c r="L233" i="42"/>
  <c r="J198" i="42"/>
  <c r="L325" i="42"/>
  <c r="AN24" i="42"/>
  <c r="AN228" i="42" s="1" a="1"/>
  <c r="AN228" i="42" s="1"/>
  <c r="L326" i="42"/>
  <c r="AG58" i="49"/>
  <c r="AG76" i="49" s="1"/>
  <c r="AL16" i="42"/>
  <c r="AL204" i="42" s="1" a="1"/>
  <c r="AL204" i="42" s="1"/>
  <c r="H204" i="42" a="1"/>
  <c r="H204" i="42" s="1"/>
  <c r="K46" i="51"/>
  <c r="BL46" i="51" s="1"/>
  <c r="L710" i="1"/>
  <c r="L8" i="1" s="1"/>
  <c r="AH115" i="49"/>
  <c r="AH145" i="49" s="1"/>
  <c r="J406" i="42"/>
  <c r="AM59" i="42"/>
  <c r="AM348" i="42" s="1" a="1"/>
  <c r="AM348" i="42" s="1"/>
  <c r="AM456" i="42" s="1"/>
  <c r="AM70" i="42"/>
  <c r="AM392" i="42" s="1" a="1"/>
  <c r="AM392" i="42" s="1"/>
  <c r="AH116" i="49"/>
  <c r="AH146" i="49" s="1"/>
  <c r="AO67" i="42"/>
  <c r="AO380" i="42" s="1" a="1"/>
  <c r="AO380" i="42" s="1"/>
  <c r="AO382" i="42" s="1"/>
  <c r="W234" i="1"/>
  <c r="X233" i="1"/>
  <c r="J321" i="42"/>
  <c r="AH101" i="49"/>
  <c r="AH111" i="49" s="1"/>
  <c r="AM41" i="42"/>
  <c r="AM288" i="42" s="1" a="1"/>
  <c r="AM288" i="42" s="1"/>
  <c r="AM290" i="42" s="1"/>
  <c r="AO59" i="42"/>
  <c r="AO348" i="42" s="1" a="1"/>
  <c r="AO348" i="42" s="1"/>
  <c r="AO456" i="42" s="1"/>
  <c r="AH100" i="49"/>
  <c r="AH110" i="49" s="1"/>
  <c r="AM54" i="42"/>
  <c r="AM332" i="42" s="1" a="1"/>
  <c r="AM332" i="42" s="1"/>
  <c r="AM334" i="42" s="1"/>
  <c r="AG84" i="49"/>
  <c r="AG94" i="49" s="1"/>
  <c r="AI84" i="49"/>
  <c r="AI94" i="49" s="1"/>
  <c r="W117" i="1"/>
  <c r="P12" i="49" s="1"/>
  <c r="L397" i="42"/>
  <c r="AB179" i="1"/>
  <c r="AB161" i="1"/>
  <c r="Q69" i="51"/>
  <c r="S69" i="51" s="1"/>
  <c r="BK69" i="51"/>
  <c r="L464" i="42"/>
  <c r="L374" i="42"/>
  <c r="L466" i="42" s="1"/>
  <c r="L373" i="42"/>
  <c r="L465" i="42" s="1"/>
  <c r="AC460" i="1"/>
  <c r="AB467" i="1"/>
  <c r="I43" i="51"/>
  <c r="BJ43" i="51" s="1"/>
  <c r="O380" i="42" a="1"/>
  <c r="O380" i="42" s="1"/>
  <c r="N456" i="42"/>
  <c r="N349" i="42"/>
  <c r="N457" i="42" s="1"/>
  <c r="N350" i="42"/>
  <c r="N458" i="42" s="1"/>
  <c r="O513" i="1"/>
  <c r="AN59" i="42"/>
  <c r="AN348" i="42" s="1" a="1"/>
  <c r="AN348" i="42" s="1"/>
  <c r="K460" i="42"/>
  <c r="K365" i="42"/>
  <c r="K461" i="42" s="1"/>
  <c r="K366" i="42"/>
  <c r="K462" i="42" s="1"/>
  <c r="AC150" i="1"/>
  <c r="AA160" i="1"/>
  <c r="P613" i="1"/>
  <c r="P614" i="1" s="1"/>
  <c r="P95" i="49"/>
  <c r="S30" i="51"/>
  <c r="Q47" i="51"/>
  <c r="S47" i="51" s="1"/>
  <c r="AH600" i="1"/>
  <c r="AJ315" i="1"/>
  <c r="AP205" i="42"/>
  <c r="AP206" i="42"/>
  <c r="S184" i="42" a="1"/>
  <c r="S184" i="42" s="1"/>
  <c r="S22" i="51"/>
  <c r="Q43" i="51"/>
  <c r="S43" i="51" s="1"/>
  <c r="T613" i="1"/>
  <c r="T614" i="1" s="1"/>
  <c r="Y179" i="1"/>
  <c r="Y161" i="1"/>
  <c r="J468" i="42"/>
  <c r="J394" i="42"/>
  <c r="J470" i="42" s="1"/>
  <c r="T69" i="51"/>
  <c r="U69" i="51" s="1"/>
  <c r="BM69" i="51"/>
  <c r="X550" i="1"/>
  <c r="X551" i="1" s="1"/>
  <c r="X557" i="1" s="1"/>
  <c r="X540" i="1"/>
  <c r="X555" i="1" s="1"/>
  <c r="Y539" i="1"/>
  <c r="X545" i="1"/>
  <c r="X546" i="1" s="1"/>
  <c r="X556" i="1" s="1"/>
  <c r="Y119" i="49"/>
  <c r="Y149" i="49" s="1"/>
  <c r="Z66" i="42"/>
  <c r="Z376" i="42" s="1" a="1"/>
  <c r="Z376" i="42" s="1"/>
  <c r="J250" i="42"/>
  <c r="J249" i="42"/>
  <c r="G69" i="51"/>
  <c r="BH69" i="51" s="1"/>
  <c r="P183" i="1"/>
  <c r="I60" i="42"/>
  <c r="O615" i="1"/>
  <c r="T46" i="51"/>
  <c r="U46" i="51" s="1"/>
  <c r="U29" i="51"/>
  <c r="N468" i="42"/>
  <c r="N393" i="42"/>
  <c r="N469" i="42" s="1"/>
  <c r="N394" i="42"/>
  <c r="N470" i="42" s="1"/>
  <c r="AF177" i="1"/>
  <c r="AH138" i="1"/>
  <c r="O60" i="42"/>
  <c r="Q46" i="51"/>
  <c r="S46" i="51" s="1"/>
  <c r="S29" i="51"/>
  <c r="AM249" i="42"/>
  <c r="AM250" i="42"/>
  <c r="W565" i="1"/>
  <c r="W693" i="1"/>
  <c r="W701" i="1" s="1"/>
  <c r="H151" i="49"/>
  <c r="AH121" i="49"/>
  <c r="AH151" i="49" s="1"/>
  <c r="I117" i="49"/>
  <c r="J64" i="42"/>
  <c r="N373" i="42"/>
  <c r="N465" i="42" s="1"/>
  <c r="AJ119" i="49"/>
  <c r="AJ149" i="49" s="1"/>
  <c r="AJ116" i="49"/>
  <c r="AJ146" i="49" s="1"/>
  <c r="AE138" i="1"/>
  <c r="AC177" i="1"/>
  <c r="L456" i="42"/>
  <c r="L349" i="42"/>
  <c r="L457" i="42" s="1"/>
  <c r="L350" i="42"/>
  <c r="L458" i="42" s="1"/>
  <c r="BF18" i="51"/>
  <c r="E43" i="51"/>
  <c r="BF43" i="51" s="1"/>
  <c r="P85" i="42"/>
  <c r="P448" i="42" s="1" a="1"/>
  <c r="P448" i="42" s="1"/>
  <c r="W554" i="1"/>
  <c r="W558" i="1" s="1"/>
  <c r="W528" i="1" s="1"/>
  <c r="U513" i="1"/>
  <c r="AG85" i="49"/>
  <c r="AG95" i="49" s="1"/>
  <c r="AL50" i="42"/>
  <c r="AL320" i="42" s="1" a="1"/>
  <c r="AL320" i="42" s="1"/>
  <c r="G5" i="4"/>
  <c r="Q513" i="1"/>
  <c r="G14" i="1"/>
  <c r="G9" i="1" s="1"/>
  <c r="E5" i="50"/>
  <c r="I69" i="51"/>
  <c r="BJ69" i="51" s="1"/>
  <c r="R183" i="1"/>
  <c r="J464" i="42"/>
  <c r="J374" i="42"/>
  <c r="J466" i="42" s="1"/>
  <c r="N322" i="42"/>
  <c r="N321" i="42"/>
  <c r="P587" i="1"/>
  <c r="P507" i="1"/>
  <c r="P329" i="1"/>
  <c r="I46" i="51"/>
  <c r="BJ46" i="51" s="1"/>
  <c r="AH84" i="49"/>
  <c r="AH94" i="49" s="1"/>
  <c r="AM67" i="42"/>
  <c r="AM380" i="42" s="1" a="1"/>
  <c r="AM380" i="42" s="1"/>
  <c r="AM382" i="42" s="1"/>
  <c r="AR378" i="42"/>
  <c r="AR377" i="42"/>
  <c r="N382" i="42"/>
  <c r="M464" i="42"/>
  <c r="M373" i="42"/>
  <c r="M465" i="42" s="1"/>
  <c r="M374" i="42"/>
  <c r="M466" i="42" s="1"/>
  <c r="AJ85" i="49"/>
  <c r="AJ95" i="49" s="1"/>
  <c r="Y672" i="1"/>
  <c r="Z422" i="1"/>
  <c r="L338" i="42"/>
  <c r="L337" i="42"/>
  <c r="I10" i="1"/>
  <c r="H17" i="1"/>
  <c r="H15" i="1" a="1"/>
  <c r="H15" i="1" s="1"/>
  <c r="H12" i="1" a="1"/>
  <c r="H12" i="1" s="1"/>
  <c r="H13" i="1"/>
  <c r="T395" i="1"/>
  <c r="T10" i="49"/>
  <c r="U12" i="42"/>
  <c r="AA106" i="1"/>
  <c r="AA111" i="1" s="1"/>
  <c r="AC79" i="1"/>
  <c r="E46" i="51"/>
  <c r="BF46" i="51" s="1"/>
  <c r="BF29" i="51"/>
  <c r="AF150" i="1"/>
  <c r="P628" i="1"/>
  <c r="P630" i="1" s="1"/>
  <c r="AM55" i="42"/>
  <c r="AM336" i="42" s="1" a="1"/>
  <c r="AM336" i="42" s="1"/>
  <c r="AN63" i="42"/>
  <c r="AN364" i="42" s="1" a="1"/>
  <c r="AN364" i="42" s="1"/>
  <c r="N229" i="42"/>
  <c r="N230" i="42"/>
  <c r="K390" i="42"/>
  <c r="K389" i="42"/>
  <c r="M389" i="42"/>
  <c r="AO464" i="42"/>
  <c r="AO374" i="42"/>
  <c r="AO466" i="42" s="1"/>
  <c r="AS378" i="42"/>
  <c r="AS377" i="42"/>
  <c r="W102" i="1"/>
  <c r="W99" i="1"/>
  <c r="K60" i="42"/>
  <c r="Q615" i="1"/>
  <c r="Z364" i="1"/>
  <c r="Z376" i="1" s="1"/>
  <c r="AB348" i="1"/>
  <c r="Z349" i="1"/>
  <c r="T628" i="1"/>
  <c r="T630" i="1" s="1"/>
  <c r="L185" i="42"/>
  <c r="L186" i="42"/>
  <c r="Z228" i="1"/>
  <c r="R628" i="1"/>
  <c r="R630" i="1" s="1"/>
  <c r="J460" i="42"/>
  <c r="J366" i="42"/>
  <c r="J462" i="42" s="1"/>
  <c r="L229" i="42"/>
  <c r="L230" i="42"/>
  <c r="AN17" i="42"/>
  <c r="AN208" i="42" s="1" a="1"/>
  <c r="AN208" i="42" s="1"/>
  <c r="L208" i="42" a="1"/>
  <c r="L208" i="42" s="1"/>
  <c r="M365" i="42"/>
  <c r="M461" i="42" s="1"/>
  <c r="O289" i="42"/>
  <c r="O290" i="42"/>
  <c r="P205" i="42"/>
  <c r="P206" i="42"/>
  <c r="O58" i="49"/>
  <c r="P41" i="42"/>
  <c r="Q57" i="49"/>
  <c r="R40" i="42"/>
  <c r="X269" i="1"/>
  <c r="Z244" i="1"/>
  <c r="X247" i="1"/>
  <c r="X250" i="1" s="1"/>
  <c r="X253" i="1"/>
  <c r="J261" i="42"/>
  <c r="J262" i="42"/>
  <c r="X365" i="1"/>
  <c r="X351" i="1"/>
  <c r="X367" i="1" s="1"/>
  <c r="N460" i="42"/>
  <c r="N366" i="42"/>
  <c r="N462" i="42" s="1"/>
  <c r="N365" i="42"/>
  <c r="N461" i="42" s="1"/>
  <c r="AN186" i="42"/>
  <c r="AN185" i="42"/>
  <c r="R32" i="42"/>
  <c r="R256" i="42" s="1" a="1"/>
  <c r="R256" i="42" s="1"/>
  <c r="Y227" i="1"/>
  <c r="X234" i="1"/>
  <c r="K43" i="51"/>
  <c r="BL43" i="51" s="1"/>
  <c r="L460" i="42"/>
  <c r="L366" i="42"/>
  <c r="L462" i="42" s="1"/>
  <c r="L365" i="42"/>
  <c r="L461" i="42" s="1"/>
  <c r="AM65" i="42"/>
  <c r="AM372" i="42" s="1" a="1"/>
  <c r="AM372" i="42" s="1"/>
  <c r="AD270" i="1"/>
  <c r="G47" i="51"/>
  <c r="BH47" i="51" s="1"/>
  <c r="BH30" i="51"/>
  <c r="T42" i="51"/>
  <c r="U42" i="51" s="1"/>
  <c r="U21" i="51"/>
  <c r="AI101" i="49"/>
  <c r="AI111" i="49" s="1"/>
  <c r="S188" i="42" a="1"/>
  <c r="S188" i="42" s="1"/>
  <c r="AO63" i="42"/>
  <c r="AO364" i="42" s="1" a="1"/>
  <c r="AO364" i="42" s="1"/>
  <c r="Q296" i="42" a="1"/>
  <c r="Q296" i="42" s="1"/>
  <c r="R60" i="49"/>
  <c r="S43" i="42"/>
  <c r="Y286" i="1"/>
  <c r="Y288" i="1" s="1"/>
  <c r="AA364" i="1"/>
  <c r="AA376" i="1" s="1"/>
  <c r="AC348" i="1"/>
  <c r="AA349" i="1"/>
  <c r="AN50" i="42"/>
  <c r="AN320" i="42" s="1" a="1"/>
  <c r="AN320" i="42" s="1"/>
  <c r="Y704" i="1"/>
  <c r="Q12" i="49"/>
  <c r="R14" i="42"/>
  <c r="R196" i="42" s="1" a="1"/>
  <c r="R196" i="42" s="1"/>
  <c r="X176" i="1"/>
  <c r="O67" i="51" s="1"/>
  <c r="BP67" i="51" s="1"/>
  <c r="X118" i="1"/>
  <c r="AN33" i="42"/>
  <c r="AN260" i="42" s="1" a="1"/>
  <c r="AN260" i="42" s="1"/>
  <c r="G42" i="51"/>
  <c r="BH42" i="51" s="1"/>
  <c r="W394" i="1"/>
  <c r="Z479" i="1"/>
  <c r="AF363" i="1"/>
  <c r="AF375" i="1" s="1"/>
  <c r="AH347" i="1"/>
  <c r="J338" i="42"/>
  <c r="J337" i="42"/>
  <c r="AO185" i="42"/>
  <c r="AM10" i="49"/>
  <c r="AO66" i="42"/>
  <c r="AO376" i="42" s="1" a="1"/>
  <c r="AO376" i="42" s="1"/>
  <c r="AP377" i="42" s="1"/>
  <c r="P78" i="49"/>
  <c r="AO41" i="42"/>
  <c r="AO288" i="42" s="1" a="1"/>
  <c r="AO288" i="42" s="1"/>
  <c r="AM33" i="42"/>
  <c r="AM260" i="42" s="1" a="1"/>
  <c r="AM260" i="42" s="1"/>
  <c r="N317" i="42"/>
  <c r="N318" i="42"/>
  <c r="AB366" i="1"/>
  <c r="AB378" i="1" s="1"/>
  <c r="AB287" i="1" s="1"/>
  <c r="AD350" i="1"/>
  <c r="R59" i="49"/>
  <c r="S42" i="42"/>
  <c r="Y280" i="1"/>
  <c r="Y256" i="1"/>
  <c r="Y251" i="1"/>
  <c r="AN49" i="42"/>
  <c r="AN316" i="42" s="1" a="1"/>
  <c r="AN316" i="42" s="1"/>
  <c r="J454" i="42"/>
  <c r="J414" i="42"/>
  <c r="J346" i="42"/>
  <c r="J314" i="42"/>
  <c r="J330" i="42"/>
  <c r="J282" i="42"/>
  <c r="J214" i="42"/>
  <c r="J254" i="42"/>
  <c r="J182" i="42"/>
  <c r="J222" i="42"/>
  <c r="K6" i="42"/>
  <c r="AM82" i="42"/>
  <c r="AM436" i="42" s="1" a="1"/>
  <c r="AM436" i="42" s="1"/>
  <c r="AM438" i="42" s="1"/>
  <c r="AM85" i="42"/>
  <c r="AM448" i="42" s="1" a="1"/>
  <c r="AM448" i="42" s="1"/>
  <c r="AM450" i="42" s="1"/>
  <c r="AM84" i="42"/>
  <c r="AM444" i="42" s="1" a="1"/>
  <c r="AM444" i="42" s="1"/>
  <c r="AM446" i="42" s="1"/>
  <c r="AM32" i="42"/>
  <c r="AM256" i="42" s="1" a="1"/>
  <c r="AM256" i="42" s="1"/>
  <c r="AM83" i="42"/>
  <c r="AM440" i="42" s="1" a="1"/>
  <c r="AM440" i="42" s="1"/>
  <c r="AM442" i="42" s="1"/>
  <c r="T43" i="51"/>
  <c r="U43" i="51" s="1"/>
  <c r="U22" i="51"/>
  <c r="O460" i="42"/>
  <c r="O366" i="42"/>
  <c r="O462" i="42" s="1"/>
  <c r="O365" i="42"/>
  <c r="O461" i="42" s="1"/>
  <c r="J317" i="42"/>
  <c r="J318" i="42"/>
  <c r="AQ377" i="42"/>
  <c r="AQ378" i="42"/>
  <c r="AD157" i="1"/>
  <c r="AD160" i="1" s="1"/>
  <c r="AB163" i="1"/>
  <c r="AO454" i="42"/>
  <c r="AO414" i="42"/>
  <c r="AO330" i="42"/>
  <c r="AO314" i="42"/>
  <c r="AO346" i="42"/>
  <c r="AO282" i="42"/>
  <c r="AO222" i="42"/>
  <c r="AO254" i="42"/>
  <c r="AO214" i="42"/>
  <c r="AO182" i="42"/>
  <c r="AP6" i="42"/>
  <c r="Y229" i="1"/>
  <c r="Y232" i="1" s="1"/>
  <c r="G46" i="51"/>
  <c r="BH46" i="51" s="1"/>
  <c r="BH29" i="51"/>
  <c r="L317" i="42"/>
  <c r="L318" i="42"/>
  <c r="G5" i="50"/>
  <c r="K69" i="51"/>
  <c r="BL69" i="51" s="1"/>
  <c r="T172" i="1"/>
  <c r="T173" i="1" s="1"/>
  <c r="T183" i="1"/>
  <c r="AQ206" i="42"/>
  <c r="AQ205" i="42"/>
  <c r="AI115" i="49"/>
  <c r="AI145" i="49" s="1"/>
  <c r="AN55" i="42"/>
  <c r="AN336" i="42" s="1" a="1"/>
  <c r="AN336" i="42" s="1"/>
  <c r="AL15" i="42"/>
  <c r="AL200" i="42" s="1" a="1"/>
  <c r="AL200" i="42" s="1"/>
  <c r="H200" i="42" a="1"/>
  <c r="H200" i="42" s="1"/>
  <c r="AM63" i="42"/>
  <c r="AM364" i="42" s="1" a="1"/>
  <c r="AM364" i="42" s="1"/>
  <c r="L428" i="42" a="1"/>
  <c r="L428" i="42" s="1"/>
  <c r="AN80" i="42"/>
  <c r="AN428" i="42" s="1" a="1"/>
  <c r="AN428" i="42" s="1"/>
  <c r="AJ101" i="49"/>
  <c r="AJ111" i="49" s="1"/>
  <c r="R58" i="49"/>
  <c r="S41" i="42"/>
  <c r="Y275" i="1"/>
  <c r="AI85" i="49"/>
  <c r="AI95" i="49" s="1"/>
  <c r="AO55" i="42"/>
  <c r="AO336" i="42" s="1" a="1"/>
  <c r="AO336" i="42" s="1"/>
  <c r="K121" i="49"/>
  <c r="L68" i="42"/>
  <c r="P61" i="49"/>
  <c r="Q44" i="42"/>
  <c r="W293" i="1"/>
  <c r="W257" i="1"/>
  <c r="AJ120" i="49"/>
  <c r="AJ150" i="49" s="1"/>
  <c r="U30" i="51"/>
  <c r="T47" i="51"/>
  <c r="U47" i="51" s="1"/>
  <c r="R51" i="49"/>
  <c r="J39" i="51"/>
  <c r="S594" i="1"/>
  <c r="S593" i="1" s="1"/>
  <c r="S615" i="1" s="1"/>
  <c r="S433" i="1"/>
  <c r="T416" i="1"/>
  <c r="S304" i="1"/>
  <c r="S419" i="1"/>
  <c r="S415" i="1"/>
  <c r="Q320" i="42" a="1"/>
  <c r="Q320" i="42" s="1"/>
  <c r="L262" i="42"/>
  <c r="L261" i="42"/>
  <c r="H114" i="7"/>
  <c r="I115" i="7"/>
  <c r="Q257" i="42"/>
  <c r="Q258" i="42"/>
  <c r="AC180" i="1"/>
  <c r="AC164" i="1"/>
  <c r="J334" i="42"/>
  <c r="J333" i="42"/>
  <c r="N615" i="1"/>
  <c r="AG600" i="1"/>
  <c r="AI315" i="1"/>
  <c r="AI116" i="49"/>
  <c r="AI146" i="49" s="1"/>
  <c r="AA366" i="1"/>
  <c r="AA378" i="1" s="1"/>
  <c r="AA287" i="1" s="1"/>
  <c r="AC350" i="1"/>
  <c r="K47" i="51"/>
  <c r="BL47" i="51" s="1"/>
  <c r="BL30" i="51"/>
  <c r="T57" i="49"/>
  <c r="U40" i="42"/>
  <c r="AC244" i="1"/>
  <c r="AA253" i="1"/>
  <c r="AA269" i="1"/>
  <c r="AA247" i="1"/>
  <c r="AA250" i="1" s="1"/>
  <c r="Q33" i="49"/>
  <c r="R26" i="42"/>
  <c r="X285" i="1"/>
  <c r="Z201" i="1"/>
  <c r="L289" i="42"/>
  <c r="L290" i="42"/>
  <c r="K368" i="42" a="1"/>
  <c r="K368" i="42" s="1"/>
  <c r="R613" i="1"/>
  <c r="R614" i="1" s="1"/>
  <c r="AT377" i="42"/>
  <c r="BF30" i="51"/>
  <c r="E47" i="51"/>
  <c r="BF47" i="51" s="1"/>
  <c r="AN65" i="42"/>
  <c r="AN372" i="42" s="1" a="1"/>
  <c r="AN372" i="42" s="1"/>
  <c r="Q72" i="51"/>
  <c r="S72" i="51" s="1"/>
  <c r="BK72" i="51"/>
  <c r="U65" i="1"/>
  <c r="U96" i="1"/>
  <c r="AO80" i="42"/>
  <c r="AO428" i="42" s="1" a="1"/>
  <c r="AO428" i="42" s="1"/>
  <c r="M428" i="42" a="1"/>
  <c r="M428" i="42" s="1"/>
  <c r="AP40" i="42"/>
  <c r="AP284" i="42" s="1" a="1"/>
  <c r="AP284" i="42" s="1"/>
  <c r="P284" i="42" a="1"/>
  <c r="P284" i="42" s="1"/>
  <c r="AO81" i="42"/>
  <c r="AO432" i="42" s="1" a="1"/>
  <c r="AO432" i="42" s="1"/>
  <c r="AI119" i="49"/>
  <c r="AI149" i="49" s="1"/>
  <c r="AH118" i="49"/>
  <c r="AH148" i="49" s="1"/>
  <c r="AE163" i="1"/>
  <c r="AG157" i="1"/>
  <c r="X119" i="49"/>
  <c r="Y66" i="42"/>
  <c r="L333" i="42"/>
  <c r="AJ58" i="49"/>
  <c r="AJ76" i="49" s="1"/>
  <c r="AH120" i="49"/>
  <c r="AH150" i="49" s="1"/>
  <c r="O16" i="48"/>
  <c r="AL16" i="48" s="1"/>
  <c r="N337" i="42"/>
  <c r="N338" i="42"/>
  <c r="R85" i="49"/>
  <c r="S50" i="42"/>
  <c r="I17" i="50"/>
  <c r="M25" i="51"/>
  <c r="BN25" i="51" s="1"/>
  <c r="J147" i="49"/>
  <c r="L468" i="42"/>
  <c r="L393" i="42"/>
  <c r="L469" i="42" s="1"/>
  <c r="L394" i="42"/>
  <c r="L470" i="42" s="1"/>
  <c r="U594" i="1"/>
  <c r="U593" i="1" s="1"/>
  <c r="U433" i="1"/>
  <c r="I8" i="50"/>
  <c r="O85" i="49"/>
  <c r="P50" i="42"/>
  <c r="M18" i="51"/>
  <c r="BN18" i="51" s="1"/>
  <c r="X276" i="1"/>
  <c r="X377" i="1"/>
  <c r="N434" i="42"/>
  <c r="N433" i="42"/>
  <c r="O75" i="49"/>
  <c r="AK57" i="49"/>
  <c r="AK75" i="49" s="1"/>
  <c r="R205" i="42"/>
  <c r="O12" i="49"/>
  <c r="AK12" i="49" s="1"/>
  <c r="G3" i="7"/>
  <c r="G338" i="7"/>
  <c r="Q9" i="49"/>
  <c r="AL9" i="49" s="1"/>
  <c r="O58" i="51"/>
  <c r="R11" i="42"/>
  <c r="Z78" i="1"/>
  <c r="X80" i="1"/>
  <c r="X76" i="1" s="1"/>
  <c r="X84" i="1"/>
  <c r="S513" i="1"/>
  <c r="T33" i="49"/>
  <c r="U26" i="42"/>
  <c r="AC201" i="1"/>
  <c r="AA285" i="1"/>
  <c r="BJ21" i="51"/>
  <c r="I42" i="51"/>
  <c r="BJ42" i="51" s="1"/>
  <c r="S284" i="42" a="1"/>
  <c r="S284" i="42" s="1"/>
  <c r="AP26" i="42"/>
  <c r="AP236" i="42" s="1" a="1"/>
  <c r="AP236" i="42" s="1"/>
  <c r="P236" i="42" a="1"/>
  <c r="P236" i="42" s="1"/>
  <c r="Y482" i="1"/>
  <c r="X484" i="1"/>
  <c r="X686" i="1"/>
  <c r="AM245" i="42"/>
  <c r="AP378" i="42"/>
  <c r="K120" i="49"/>
  <c r="K150" i="49" s="1"/>
  <c r="L67" i="42"/>
  <c r="L380" i="42" s="1" a="1"/>
  <c r="L380" i="42" s="1"/>
  <c r="N381" i="42" s="1"/>
  <c r="L322" i="42"/>
  <c r="L321" i="42"/>
  <c r="O60" i="49"/>
  <c r="P43" i="42"/>
  <c r="J120" i="49"/>
  <c r="K67" i="42"/>
  <c r="Y695" i="1"/>
  <c r="Z483" i="1"/>
  <c r="Y487" i="1"/>
  <c r="Y365" i="1"/>
  <c r="Y356" i="1"/>
  <c r="Y351" i="1"/>
  <c r="S21" i="51"/>
  <c r="Q42" i="51"/>
  <c r="S42" i="51" s="1"/>
  <c r="R94" i="1"/>
  <c r="R64" i="1"/>
  <c r="BL21" i="51"/>
  <c r="K42" i="51"/>
  <c r="BL42" i="51" s="1"/>
  <c r="AC270" i="1"/>
  <c r="R75" i="49"/>
  <c r="O51" i="49"/>
  <c r="AK33" i="49"/>
  <c r="AK51" i="49" s="1"/>
  <c r="J456" i="42"/>
  <c r="J350" i="42"/>
  <c r="J458" i="42" s="1"/>
  <c r="Y93" i="1"/>
  <c r="Y94" i="1"/>
  <c r="Z180" i="1"/>
  <c r="Z181" i="1" s="1"/>
  <c r="Z164" i="1"/>
  <c r="P257" i="42"/>
  <c r="P258" i="42"/>
  <c r="X594" i="1"/>
  <c r="Y388" i="1"/>
  <c r="T9" i="49"/>
  <c r="U11" i="42"/>
  <c r="AA80" i="1"/>
  <c r="AA76" i="1" s="1"/>
  <c r="AA84" i="1"/>
  <c r="AC78" i="1"/>
  <c r="N378" i="42"/>
  <c r="N377" i="42"/>
  <c r="AP11" i="42"/>
  <c r="AP184" i="42" s="1" a="1"/>
  <c r="AP184" i="42" s="1"/>
  <c r="P184" i="42" a="1"/>
  <c r="P184" i="42" s="1"/>
  <c r="AM68" i="42"/>
  <c r="AM384" i="42" s="1" a="1"/>
  <c r="AM384" i="42" s="1"/>
  <c r="AM386" i="42" s="1"/>
  <c r="I384" i="42" a="1"/>
  <c r="I384" i="42" s="1"/>
  <c r="M60" i="42"/>
  <c r="J289" i="42"/>
  <c r="J290" i="42"/>
  <c r="AL54" i="42"/>
  <c r="AL332" i="42" s="1" a="1"/>
  <c r="AL332" i="42" s="1"/>
  <c r="AL334" i="42" s="1"/>
  <c r="AA98" i="1"/>
  <c r="N289" i="42"/>
  <c r="N290" i="42"/>
  <c r="I47" i="51"/>
  <c r="BJ47" i="51" s="1"/>
  <c r="BJ30" i="51"/>
  <c r="G6" i="50"/>
  <c r="K72" i="51"/>
  <c r="BL72" i="51" s="1"/>
  <c r="S236" i="42" a="1"/>
  <c r="S236" i="42" s="1"/>
  <c r="AH58" i="49"/>
  <c r="AH76" i="49" s="1"/>
  <c r="T72" i="51"/>
  <c r="U72" i="51" s="1"/>
  <c r="BM72" i="51"/>
  <c r="AL49" i="42"/>
  <c r="AL316" i="42" s="1" a="1"/>
  <c r="AL316" i="42" s="1"/>
  <c r="AL318" i="42" s="1"/>
  <c r="AO358" i="42"/>
  <c r="AO357" i="42"/>
  <c r="L378" i="42"/>
  <c r="L377" i="42"/>
  <c r="AE363" i="1"/>
  <c r="AE375" i="1" s="1"/>
  <c r="AG347" i="1"/>
  <c r="AM49" i="42"/>
  <c r="AM316" i="42" s="1" a="1"/>
  <c r="AM316" i="42" s="1"/>
  <c r="K117" i="49"/>
  <c r="K147" i="49" s="1"/>
  <c r="L64" i="42"/>
  <c r="L368" i="42" s="1" a="1"/>
  <c r="L368" i="42" s="1"/>
  <c r="V175" i="7"/>
  <c r="V160" i="7"/>
  <c r="V352" i="7"/>
  <c r="V341" i="7"/>
  <c r="V174" i="7"/>
  <c r="V329" i="7"/>
  <c r="V221" i="7"/>
  <c r="V344" i="7"/>
  <c r="V211" i="7"/>
  <c r="V366" i="7"/>
  <c r="V145" i="7"/>
  <c r="V210" i="7"/>
  <c r="V151" i="7"/>
  <c r="V171" i="7"/>
  <c r="V368" i="7"/>
  <c r="V346" i="7"/>
  <c r="V205" i="7"/>
  <c r="V168" i="7"/>
  <c r="V290" i="7"/>
  <c r="V260" i="7"/>
  <c r="V369" i="7"/>
  <c r="V184" i="7"/>
  <c r="V227" i="7"/>
  <c r="V291" i="7"/>
  <c r="V353" i="7"/>
  <c r="V243" i="7"/>
  <c r="V304" i="7"/>
  <c r="V255" i="7"/>
  <c r="V330" i="7"/>
  <c r="V337" i="7"/>
  <c r="V359" i="7"/>
  <c r="V204" i="7"/>
  <c r="V370" i="7"/>
  <c r="V191" i="7"/>
  <c r="V152" i="7"/>
  <c r="V254" i="7"/>
  <c r="V345" i="7"/>
  <c r="V364" i="7"/>
  <c r="V365" i="7"/>
  <c r="V367" i="7"/>
  <c r="V144" i="7"/>
  <c r="V270" i="7"/>
  <c r="V354" i="7"/>
  <c r="V147" i="7"/>
  <c r="V257" i="7"/>
  <c r="V289" i="7"/>
  <c r="V356" i="7"/>
  <c r="V185" i="7"/>
  <c r="V343" i="7"/>
  <c r="V268" i="7"/>
  <c r="V292" i="7"/>
  <c r="V371" i="7"/>
  <c r="V288" i="7"/>
  <c r="V348" i="7"/>
  <c r="V358" i="7"/>
  <c r="V286" i="7"/>
  <c r="V342" i="7"/>
  <c r="V355" i="7"/>
  <c r="V305" i="7"/>
  <c r="V347" i="7"/>
  <c r="V214" i="7"/>
  <c r="V225" i="7"/>
  <c r="V141" i="7"/>
  <c r="V146" i="7"/>
  <c r="V155" i="7"/>
  <c r="V164" i="7"/>
  <c r="V357" i="7"/>
  <c r="V372" i="7"/>
  <c r="V373" i="7"/>
  <c r="V206" i="7"/>
  <c r="AL48" i="48" l="1"/>
  <c r="AL46" i="48"/>
  <c r="F239" i="4"/>
  <c r="F178" i="4"/>
  <c r="F38" i="4"/>
  <c r="F7" i="4"/>
  <c r="F59" i="4"/>
  <c r="F87" i="4"/>
  <c r="F209" i="4"/>
  <c r="F128" i="4"/>
  <c r="G4" i="4"/>
  <c r="H2" i="4"/>
  <c r="P59" i="49"/>
  <c r="P77" i="49" s="1"/>
  <c r="W251" i="1"/>
  <c r="W280" i="1"/>
  <c r="W275" i="1"/>
  <c r="L39" i="51"/>
  <c r="BM39" i="51" s="1"/>
  <c r="P58" i="49"/>
  <c r="P76" i="49" s="1"/>
  <c r="Q42" i="42"/>
  <c r="Q292" i="42" s="1" a="1"/>
  <c r="Q292" i="42" s="1"/>
  <c r="Q294" i="42" s="1"/>
  <c r="Q41" i="42"/>
  <c r="Q288" i="42" s="1" a="1"/>
  <c r="Q288" i="42" s="1"/>
  <c r="X488" i="1"/>
  <c r="X492" i="1" s="1"/>
  <c r="Y665" i="1"/>
  <c r="Y486" i="1"/>
  <c r="V65" i="1"/>
  <c r="X1" i="1"/>
  <c r="X2" i="1" s="1"/>
  <c r="V64" i="1"/>
  <c r="AN421" i="42"/>
  <c r="U419" i="1"/>
  <c r="U415" i="1"/>
  <c r="U304" i="1"/>
  <c r="AO229" i="42"/>
  <c r="AO421" i="42"/>
  <c r="U10" i="49"/>
  <c r="AN10" i="49" s="1"/>
  <c r="V304" i="1"/>
  <c r="V594" i="1"/>
  <c r="V593" i="1" s="1"/>
  <c r="V430" i="1"/>
  <c r="V427" i="1"/>
  <c r="V415" i="1"/>
  <c r="V419" i="1"/>
  <c r="M39" i="51"/>
  <c r="BN39" i="51" s="1"/>
  <c r="AN389" i="42"/>
  <c r="AO389" i="42"/>
  <c r="AM229" i="42"/>
  <c r="T65" i="1"/>
  <c r="AM80" i="42"/>
  <c r="AM428" i="42" s="1" a="1"/>
  <c r="AM428" i="42" s="1"/>
  <c r="AM430" i="42" s="1"/>
  <c r="AD79" i="1"/>
  <c r="W10" i="49" s="1"/>
  <c r="AB106" i="1"/>
  <c r="AB111" i="1" s="1"/>
  <c r="AO422" i="42"/>
  <c r="AR12" i="42"/>
  <c r="AR188" i="42" s="1" a="1"/>
  <c r="AR188" i="42" s="1"/>
  <c r="AR189" i="42" s="1"/>
  <c r="T190" i="42"/>
  <c r="AN378" i="42"/>
  <c r="AO317" i="42"/>
  <c r="AO393" i="42"/>
  <c r="AO469" i="42" s="1"/>
  <c r="AO394" i="42"/>
  <c r="AO470" i="42" s="1"/>
  <c r="AN394" i="42"/>
  <c r="AN470" i="42" s="1"/>
  <c r="AQ189" i="42"/>
  <c r="N27" i="51"/>
  <c r="BO27" i="51" s="1"/>
  <c r="X456" i="1"/>
  <c r="X458" i="1" s="1"/>
  <c r="W457" i="1"/>
  <c r="W648" i="1" s="1"/>
  <c r="Y181" i="1"/>
  <c r="X566" i="1"/>
  <c r="AN393" i="42"/>
  <c r="AN469" i="42" s="1"/>
  <c r="X406" i="1"/>
  <c r="X699" i="1" s="1"/>
  <c r="Y453" i="1"/>
  <c r="Z453" i="1" s="1"/>
  <c r="AN229" i="42"/>
  <c r="AN230" i="42"/>
  <c r="P190" i="42"/>
  <c r="P189" i="42"/>
  <c r="R189" i="42"/>
  <c r="AP190" i="42"/>
  <c r="AP189" i="42"/>
  <c r="X423" i="1"/>
  <c r="W290" i="1"/>
  <c r="W118" i="1"/>
  <c r="W176" i="1"/>
  <c r="N67" i="51" s="1"/>
  <c r="BO67" i="51" s="1"/>
  <c r="Q14" i="42"/>
  <c r="AQ14" i="42" s="1"/>
  <c r="AQ196" i="42" s="1" a="1"/>
  <c r="AQ196" i="42" s="1"/>
  <c r="Y379" i="1"/>
  <c r="Y294" i="1" s="1"/>
  <c r="AO349" i="42"/>
  <c r="AO457" i="42" s="1"/>
  <c r="AM394" i="42"/>
  <c r="AM470" i="42" s="1"/>
  <c r="AM468" i="42"/>
  <c r="AN289" i="42"/>
  <c r="AM289" i="42"/>
  <c r="AO350" i="42"/>
  <c r="AO458" i="42" s="1"/>
  <c r="AN333" i="42"/>
  <c r="R329" i="1"/>
  <c r="R587" i="1"/>
  <c r="L60" i="42" s="1"/>
  <c r="L352" i="42" s="1" a="1"/>
  <c r="L352" i="42" s="1"/>
  <c r="AM350" i="42"/>
  <c r="AM458" i="42" s="1"/>
  <c r="J205" i="42"/>
  <c r="H206" i="42"/>
  <c r="AM205" i="42"/>
  <c r="AL206" i="42"/>
  <c r="AL12" i="49"/>
  <c r="AN64" i="42"/>
  <c r="AN368" i="42" s="1" a="1"/>
  <c r="AN368" i="42" s="1"/>
  <c r="AN370" i="42" s="1"/>
  <c r="S32" i="42"/>
  <c r="S256" i="42" s="1" a="1"/>
  <c r="S256" i="42" s="1"/>
  <c r="Y234" i="1"/>
  <c r="Z227" i="1"/>
  <c r="I19" i="50"/>
  <c r="M27" i="51"/>
  <c r="BN27" i="51" s="1"/>
  <c r="P62" i="42"/>
  <c r="AD179" i="1"/>
  <c r="AD161" i="1"/>
  <c r="AF270" i="1"/>
  <c r="P11" i="49"/>
  <c r="Q13" i="42"/>
  <c r="W175" i="1"/>
  <c r="W103" i="1"/>
  <c r="W141" i="1"/>
  <c r="M352" i="42" a="1"/>
  <c r="M352" i="42" s="1"/>
  <c r="U284" i="42" a="1"/>
  <c r="U284" i="42" s="1"/>
  <c r="H3" i="7"/>
  <c r="H338" i="7"/>
  <c r="L430" i="42"/>
  <c r="L429" i="42"/>
  <c r="N429" i="42"/>
  <c r="AO377" i="42"/>
  <c r="AO378" i="42"/>
  <c r="Q60" i="49"/>
  <c r="R43" i="42"/>
  <c r="X286" i="1"/>
  <c r="V189" i="42"/>
  <c r="V190" i="42"/>
  <c r="Z276" i="1"/>
  <c r="Z377" i="1"/>
  <c r="J10" i="1"/>
  <c r="I17" i="1"/>
  <c r="I15" i="1" a="1"/>
  <c r="I15" i="1" s="1"/>
  <c r="I13" i="1"/>
  <c r="I12" i="1" a="1"/>
  <c r="I12" i="1" s="1"/>
  <c r="AL315" i="1"/>
  <c r="AJ600" i="1"/>
  <c r="AM258" i="42"/>
  <c r="AM257" i="42"/>
  <c r="AI117" i="49"/>
  <c r="AI147" i="49" s="1"/>
  <c r="T75" i="49"/>
  <c r="R61" i="49"/>
  <c r="S44" i="42"/>
  <c r="Y293" i="1"/>
  <c r="Y257" i="1"/>
  <c r="Q59" i="49"/>
  <c r="R42" i="42"/>
  <c r="X280" i="1"/>
  <c r="X256" i="1"/>
  <c r="X251" i="1"/>
  <c r="AN460" i="42"/>
  <c r="AN365" i="42"/>
  <c r="AN461" i="42" s="1"/>
  <c r="AN366" i="42"/>
  <c r="AN462" i="42" s="1"/>
  <c r="AA119" i="49"/>
  <c r="AA149" i="49" s="1"/>
  <c r="AB66" i="42"/>
  <c r="AB376" i="42" s="1" a="1"/>
  <c r="AB376" i="42" s="1"/>
  <c r="U184" i="42" a="1"/>
  <c r="U184" i="42" s="1"/>
  <c r="P101" i="49"/>
  <c r="N30" i="51"/>
  <c r="Q55" i="42"/>
  <c r="AM460" i="42"/>
  <c r="AM366" i="42"/>
  <c r="AM462" i="42" s="1"/>
  <c r="Z704" i="1"/>
  <c r="Q58" i="49"/>
  <c r="R41" i="42"/>
  <c r="X275" i="1"/>
  <c r="AA228" i="1"/>
  <c r="P450" i="42"/>
  <c r="P449" i="42"/>
  <c r="AA93" i="1"/>
  <c r="AA94" i="1"/>
  <c r="S189" i="42"/>
  <c r="S190" i="42"/>
  <c r="AB364" i="1"/>
  <c r="AB376" i="1" s="1"/>
  <c r="AD348" i="1"/>
  <c r="AB349" i="1"/>
  <c r="S237" i="42"/>
  <c r="S238" i="42"/>
  <c r="S9" i="49"/>
  <c r="AM9" i="49" s="1"/>
  <c r="T11" i="42"/>
  <c r="Z80" i="1"/>
  <c r="Z76" i="1" s="1"/>
  <c r="Z84" i="1"/>
  <c r="AB78" i="1"/>
  <c r="I386" i="42"/>
  <c r="K385" i="42"/>
  <c r="AN67" i="42"/>
  <c r="AN380" i="42" s="1" a="1"/>
  <c r="AN380" i="42" s="1"/>
  <c r="K380" i="42" a="1"/>
  <c r="K380" i="42" s="1"/>
  <c r="R184" i="42" a="1"/>
  <c r="R184" i="42" s="1"/>
  <c r="AQ11" i="42"/>
  <c r="AQ184" i="42" s="1" a="1"/>
  <c r="AQ184" i="42" s="1"/>
  <c r="AM318" i="42"/>
  <c r="AM317" i="42"/>
  <c r="Y95" i="1"/>
  <c r="Y96" i="1" s="1"/>
  <c r="J150" i="49"/>
  <c r="AI120" i="49"/>
  <c r="AI150" i="49" s="1"/>
  <c r="P286" i="42"/>
  <c r="P285" i="42"/>
  <c r="S33" i="49"/>
  <c r="T26" i="42"/>
  <c r="AB201" i="1"/>
  <c r="Z285" i="1"/>
  <c r="Q322" i="42"/>
  <c r="Q321" i="42"/>
  <c r="Q300" i="42" a="1"/>
  <c r="Q300" i="42" s="1"/>
  <c r="H202" i="42"/>
  <c r="J201" i="42"/>
  <c r="K454" i="42"/>
  <c r="K414" i="42"/>
  <c r="K346" i="42"/>
  <c r="K314" i="42"/>
  <c r="K330" i="42"/>
  <c r="K282" i="42"/>
  <c r="K214" i="42"/>
  <c r="K254" i="42"/>
  <c r="K182" i="42"/>
  <c r="K222" i="42"/>
  <c r="L6" i="42"/>
  <c r="AN85" i="42" s="1"/>
  <c r="AN448" i="42" s="1" a="1"/>
  <c r="AN448" i="42" s="1"/>
  <c r="S292" i="42" a="1"/>
  <c r="S292" i="42" s="1"/>
  <c r="AN321" i="42"/>
  <c r="AN322" i="42"/>
  <c r="S57" i="49"/>
  <c r="T40" i="42"/>
  <c r="Z269" i="1"/>
  <c r="AB244" i="1"/>
  <c r="Z253" i="1"/>
  <c r="Z247" i="1"/>
  <c r="K352" i="42" a="1"/>
  <c r="K352" i="42" s="1"/>
  <c r="V10" i="49"/>
  <c r="W12" i="42"/>
  <c r="AC106" i="1"/>
  <c r="AC111" i="1" s="1"/>
  <c r="AE79" i="1"/>
  <c r="Z672" i="1"/>
  <c r="AA422" i="1"/>
  <c r="R198" i="42"/>
  <c r="AE150" i="1"/>
  <c r="AC160" i="1"/>
  <c r="AN464" i="42"/>
  <c r="AN373" i="42"/>
  <c r="AN465" i="42" s="1"/>
  <c r="AN374" i="42"/>
  <c r="AN466" i="42" s="1"/>
  <c r="AI157" i="1"/>
  <c r="AG163" i="1"/>
  <c r="AE180" i="1"/>
  <c r="AE164" i="1"/>
  <c r="AI347" i="1"/>
  <c r="AG363" i="1"/>
  <c r="AG375" i="1" s="1"/>
  <c r="P185" i="42"/>
  <c r="P186" i="42"/>
  <c r="Y594" i="1"/>
  <c r="Z388" i="1"/>
  <c r="V33" i="49"/>
  <c r="W26" i="42"/>
  <c r="AC285" i="1"/>
  <c r="AE201" i="1"/>
  <c r="AP285" i="42"/>
  <c r="AP286" i="42"/>
  <c r="O25" i="51"/>
  <c r="BP25" i="51" s="1"/>
  <c r="P79" i="49"/>
  <c r="AL202" i="42"/>
  <c r="AM201" i="42"/>
  <c r="R77" i="49"/>
  <c r="Z665" i="1"/>
  <c r="AA479" i="1"/>
  <c r="Z480" i="1"/>
  <c r="AA365" i="1"/>
  <c r="AA356" i="1"/>
  <c r="AA351" i="1"/>
  <c r="Y233" i="1"/>
  <c r="Q85" i="49"/>
  <c r="R50" i="42"/>
  <c r="O18" i="51"/>
  <c r="BP18" i="51" s="1"/>
  <c r="J368" i="42" a="1"/>
  <c r="J368" i="42" s="1"/>
  <c r="J370" i="42" s="1"/>
  <c r="AM64" i="42"/>
  <c r="AM368" i="42" s="1" a="1"/>
  <c r="AM368" i="42" s="1"/>
  <c r="AM370" i="42" s="1"/>
  <c r="AN456" i="42"/>
  <c r="AN350" i="42"/>
  <c r="AN458" i="42" s="1"/>
  <c r="AN349" i="42"/>
  <c r="AN457" i="42" s="1"/>
  <c r="AC467" i="1"/>
  <c r="AD460" i="1"/>
  <c r="X93" i="1"/>
  <c r="X94" i="1"/>
  <c r="AP186" i="42"/>
  <c r="AP185" i="42"/>
  <c r="U236" i="42" a="1"/>
  <c r="U236" i="42" s="1"/>
  <c r="L384" i="42" a="1"/>
  <c r="L384" i="42" s="1"/>
  <c r="AN68" i="42"/>
  <c r="AN384" i="42" s="1" a="1"/>
  <c r="AN384" i="42" s="1"/>
  <c r="R257" i="42"/>
  <c r="R258" i="42"/>
  <c r="AS12" i="42"/>
  <c r="AS188" i="42" s="1" a="1"/>
  <c r="AS188" i="42" s="1"/>
  <c r="U188" i="42" a="1"/>
  <c r="U188" i="42" s="1"/>
  <c r="P513" i="1"/>
  <c r="H5" i="4"/>
  <c r="I147" i="49"/>
  <c r="AH117" i="49"/>
  <c r="AH147" i="49" s="1"/>
  <c r="P237" i="42"/>
  <c r="P238" i="42"/>
  <c r="AO429" i="42"/>
  <c r="AO430" i="42"/>
  <c r="Q51" i="49"/>
  <c r="AL33" i="49"/>
  <c r="AL51" i="49" s="1"/>
  <c r="K151" i="49"/>
  <c r="AI121" i="49"/>
  <c r="AI151" i="49" s="1"/>
  <c r="AF350" i="1"/>
  <c r="AD366" i="1"/>
  <c r="AD378" i="1" s="1"/>
  <c r="AD287" i="1" s="1"/>
  <c r="AA276" i="1"/>
  <c r="AA377" i="1"/>
  <c r="Q75" i="49"/>
  <c r="AL57" i="49"/>
  <c r="AL75" i="49" s="1"/>
  <c r="J60" i="42"/>
  <c r="J352" i="42" s="1" a="1"/>
  <c r="J352" i="42" s="1"/>
  <c r="J354" i="42" s="1"/>
  <c r="P615" i="1"/>
  <c r="Y550" i="1"/>
  <c r="Y551" i="1" s="1"/>
  <c r="Y557" i="1" s="1"/>
  <c r="Y540" i="1"/>
  <c r="Y555" i="1" s="1"/>
  <c r="Z539" i="1"/>
  <c r="Y545" i="1"/>
  <c r="Y546" i="1" s="1"/>
  <c r="Y556" i="1" s="1"/>
  <c r="V57" i="49"/>
  <c r="W40" i="42"/>
  <c r="AE244" i="1"/>
  <c r="AC247" i="1"/>
  <c r="AC250" i="1" s="1"/>
  <c r="AC253" i="1"/>
  <c r="AC269" i="1"/>
  <c r="M430" i="42"/>
  <c r="M429" i="42"/>
  <c r="O429" i="42"/>
  <c r="AC364" i="1"/>
  <c r="AC376" i="1" s="1"/>
  <c r="AE348" i="1"/>
  <c r="AC349" i="1"/>
  <c r="R284" i="42" a="1"/>
  <c r="R284" i="42" s="1"/>
  <c r="AQ40" i="42"/>
  <c r="AQ284" i="42" s="1" a="1"/>
  <c r="AQ284" i="42" s="1"/>
  <c r="AE270" i="1"/>
  <c r="I18" i="50"/>
  <c r="M26" i="51"/>
  <c r="BN26" i="51" s="1"/>
  <c r="T51" i="49"/>
  <c r="Y590" i="1"/>
  <c r="S62" i="42" s="1"/>
  <c r="Y290" i="1"/>
  <c r="AP43" i="42"/>
  <c r="AP296" i="42" s="1" a="1"/>
  <c r="AP296" i="42" s="1"/>
  <c r="P296" i="42" a="1"/>
  <c r="P296" i="42" s="1"/>
  <c r="AP238" i="42"/>
  <c r="AP237" i="42"/>
  <c r="AN337" i="42"/>
  <c r="AN338" i="42"/>
  <c r="W673" i="1"/>
  <c r="W387" i="1"/>
  <c r="X394" i="1"/>
  <c r="AO373" i="42"/>
  <c r="AO465" i="42" s="1"/>
  <c r="R513" i="1"/>
  <c r="O382" i="42"/>
  <c r="O381" i="42"/>
  <c r="K39" i="51"/>
  <c r="BL39" i="51" s="1"/>
  <c r="T594" i="1"/>
  <c r="T593" i="1" s="1"/>
  <c r="T419" i="1"/>
  <c r="T415" i="1"/>
  <c r="T304" i="1"/>
  <c r="T433" i="1"/>
  <c r="AO338" i="42"/>
  <c r="AO337" i="42"/>
  <c r="Q360" i="42" a="1"/>
  <c r="Q360" i="42" s="1"/>
  <c r="AC366" i="1"/>
  <c r="AC378" i="1" s="1"/>
  <c r="AC287" i="1" s="1"/>
  <c r="AE350" i="1"/>
  <c r="Q289" i="42"/>
  <c r="Q290" i="42"/>
  <c r="S296" i="42" a="1"/>
  <c r="S296" i="42" s="1"/>
  <c r="P288" i="42" a="1"/>
  <c r="P288" i="42" s="1"/>
  <c r="AP41" i="42"/>
  <c r="AP288" i="42" s="1" a="1"/>
  <c r="AP288" i="42" s="1"/>
  <c r="AM337" i="42"/>
  <c r="AM338" i="42"/>
  <c r="AL322" i="42"/>
  <c r="AM321" i="42"/>
  <c r="AM333" i="42"/>
  <c r="S186" i="42"/>
  <c r="S185" i="42"/>
  <c r="Y367" i="1"/>
  <c r="Y358" i="1"/>
  <c r="Z378" i="42"/>
  <c r="Z377" i="42"/>
  <c r="S285" i="42"/>
  <c r="S286" i="42"/>
  <c r="AB98" i="1"/>
  <c r="R65" i="1"/>
  <c r="R96" i="1"/>
  <c r="N117" i="49"/>
  <c r="O64" i="42"/>
  <c r="S320" i="42" a="1"/>
  <c r="S320" i="42" s="1"/>
  <c r="AO434" i="42"/>
  <c r="AO433" i="42"/>
  <c r="L117" i="49"/>
  <c r="M64" i="42"/>
  <c r="Z229" i="1"/>
  <c r="Z232" i="1" s="1"/>
  <c r="AM261" i="42"/>
  <c r="AM262" i="42"/>
  <c r="R78" i="49"/>
  <c r="O76" i="49"/>
  <c r="AK58" i="49"/>
  <c r="AK76" i="49" s="1"/>
  <c r="AN430" i="42"/>
  <c r="Z482" i="1"/>
  <c r="Z486" i="1" s="1"/>
  <c r="Y484" i="1"/>
  <c r="Y488" i="1" s="1"/>
  <c r="Y492" i="1" s="1"/>
  <c r="Y686" i="1"/>
  <c r="O78" i="49"/>
  <c r="AK60" i="49"/>
  <c r="AK78" i="49" s="1"/>
  <c r="L381" i="42"/>
  <c r="L382" i="42"/>
  <c r="R95" i="49"/>
  <c r="T59" i="49"/>
  <c r="U42" i="42"/>
  <c r="AA251" i="1"/>
  <c r="AA256" i="1"/>
  <c r="AA280" i="1"/>
  <c r="J115" i="7"/>
  <c r="I114" i="7"/>
  <c r="BK39" i="51"/>
  <c r="Q39" i="51"/>
  <c r="S39" i="51" s="1"/>
  <c r="S288" i="42" a="1"/>
  <c r="S288" i="42" s="1"/>
  <c r="AO290" i="42"/>
  <c r="AO289" i="42"/>
  <c r="Q298" i="42"/>
  <c r="Q297" i="42"/>
  <c r="L210" i="42"/>
  <c r="L209" i="42"/>
  <c r="N209" i="42"/>
  <c r="U615" i="1"/>
  <c r="Z695" i="1"/>
  <c r="AA483" i="1"/>
  <c r="Z487" i="1"/>
  <c r="X281" i="1"/>
  <c r="X379" i="1"/>
  <c r="X294" i="1" s="1"/>
  <c r="T58" i="49"/>
  <c r="U41" i="42"/>
  <c r="AA275" i="1"/>
  <c r="R76" i="49"/>
  <c r="AB180" i="1"/>
  <c r="AB181" i="1" s="1"/>
  <c r="AB164" i="1"/>
  <c r="AN261" i="42"/>
  <c r="AN262" i="42"/>
  <c r="AO261" i="42"/>
  <c r="AN209" i="42"/>
  <c r="AN210" i="42"/>
  <c r="AO209" i="42"/>
  <c r="T587" i="1"/>
  <c r="T507" i="1"/>
  <c r="T329" i="1"/>
  <c r="AG138" i="1"/>
  <c r="AE177" i="1"/>
  <c r="O352" i="42" a="1"/>
  <c r="O352" i="42" s="1"/>
  <c r="O59" i="49"/>
  <c r="P42" i="42"/>
  <c r="P320" i="42" a="1"/>
  <c r="P320" i="42" s="1"/>
  <c r="AP50" i="42"/>
  <c r="AP320" i="42" s="1" a="1"/>
  <c r="AP320" i="42" s="1"/>
  <c r="AU66" i="42"/>
  <c r="AU376" i="42" s="1" a="1"/>
  <c r="AU376" i="42" s="1"/>
  <c r="Y376" i="42" a="1"/>
  <c r="Y376" i="42" s="1"/>
  <c r="T85" i="49"/>
  <c r="U50" i="42"/>
  <c r="V66" i="1"/>
  <c r="AP454" i="42"/>
  <c r="AP414" i="42"/>
  <c r="AP330" i="42"/>
  <c r="AP346" i="42"/>
  <c r="AP282" i="42"/>
  <c r="AP314" i="42"/>
  <c r="AP222" i="42"/>
  <c r="AP254" i="42"/>
  <c r="AP214" i="42"/>
  <c r="AP182" i="42"/>
  <c r="AQ6" i="42"/>
  <c r="AD163" i="1"/>
  <c r="AF157" i="1"/>
  <c r="AH363" i="1"/>
  <c r="AH375" i="1" s="1"/>
  <c r="AJ347" i="1"/>
  <c r="AH150" i="1"/>
  <c r="H14" i="1"/>
  <c r="H9" i="1" s="1"/>
  <c r="AJ138" i="1"/>
  <c r="AH177" i="1"/>
  <c r="Z119" i="49"/>
  <c r="AA66" i="42"/>
  <c r="Q85" i="42"/>
  <c r="Q448" i="42" s="1" a="1"/>
  <c r="Q448" i="42" s="1"/>
  <c r="W559" i="1"/>
  <c r="X554" i="1"/>
  <c r="X558" i="1" s="1"/>
  <c r="X528" i="1" s="1"/>
  <c r="W560" i="1"/>
  <c r="R236" i="42" a="1"/>
  <c r="R236" i="42" s="1"/>
  <c r="AQ26" i="42"/>
  <c r="AQ236" i="42" s="1" a="1"/>
  <c r="AQ236" i="42" s="1"/>
  <c r="L370" i="42"/>
  <c r="V9" i="49"/>
  <c r="W11" i="42"/>
  <c r="AC80" i="1"/>
  <c r="AC76" i="1" s="1"/>
  <c r="AC84" i="1"/>
  <c r="AE78" i="1"/>
  <c r="O95" i="49"/>
  <c r="AK85" i="49"/>
  <c r="AK95" i="49" s="1"/>
  <c r="X149" i="49"/>
  <c r="AP119" i="49"/>
  <c r="AP149" i="49" s="1"/>
  <c r="K370" i="42"/>
  <c r="K369" i="42"/>
  <c r="T60" i="49"/>
  <c r="U43" i="42"/>
  <c r="AA286" i="1"/>
  <c r="AA288" i="1" s="1"/>
  <c r="AK315" i="1"/>
  <c r="AI600" i="1"/>
  <c r="AN318" i="42"/>
  <c r="AN317" i="42"/>
  <c r="AO460" i="42"/>
  <c r="AO365" i="42"/>
  <c r="AO461" i="42" s="1"/>
  <c r="AO366" i="42"/>
  <c r="AO462" i="42" s="1"/>
  <c r="AM464" i="42"/>
  <c r="AM374" i="42"/>
  <c r="AM466" i="42" s="1"/>
  <c r="AO321" i="42"/>
  <c r="Z365" i="1"/>
  <c r="Z356" i="1"/>
  <c r="Z351" i="1"/>
  <c r="X565" i="1"/>
  <c r="X693" i="1"/>
  <c r="Y454" i="1"/>
  <c r="I352" i="42" a="1"/>
  <c r="I352" i="42" s="1"/>
  <c r="I354" i="42" s="1"/>
  <c r="AA179" i="1"/>
  <c r="AA181" i="1" s="1"/>
  <c r="AA161" i="1"/>
  <c r="W343" i="7"/>
  <c r="W367" i="7"/>
  <c r="W371" i="7"/>
  <c r="W348" i="7"/>
  <c r="W270" i="7"/>
  <c r="W368" i="7"/>
  <c r="W370" i="7"/>
  <c r="W141" i="7"/>
  <c r="W155" i="7"/>
  <c r="W168" i="7"/>
  <c r="W357" i="7"/>
  <c r="W210" i="7"/>
  <c r="W152" i="7"/>
  <c r="W227" i="7"/>
  <c r="W329" i="7"/>
  <c r="W254" i="7"/>
  <c r="W185" i="7"/>
  <c r="W290" i="7"/>
  <c r="W214" i="7"/>
  <c r="W344" i="7"/>
  <c r="W330" i="7"/>
  <c r="W268" i="7"/>
  <c r="W292" i="7"/>
  <c r="W358" i="7"/>
  <c r="W346" i="7"/>
  <c r="W257" i="7"/>
  <c r="W204" i="7"/>
  <c r="W352" i="7"/>
  <c r="W354" i="7"/>
  <c r="W151" i="7"/>
  <c r="W174" i="7"/>
  <c r="W260" i="7"/>
  <c r="W171" i="7"/>
  <c r="W286" i="7"/>
  <c r="W206" i="7"/>
  <c r="W341" i="7"/>
  <c r="W369" i="7"/>
  <c r="W355" i="7"/>
  <c r="W164" i="7"/>
  <c r="W364" i="7"/>
  <c r="W305" i="7"/>
  <c r="W337" i="7"/>
  <c r="W353" i="7"/>
  <c r="W211" i="7"/>
  <c r="W205" i="7"/>
  <c r="W342" i="7"/>
  <c r="W366" i="7"/>
  <c r="W288" i="7"/>
  <c r="W243" i="7"/>
  <c r="W184" i="7"/>
  <c r="W289" i="7"/>
  <c r="W146" i="7"/>
  <c r="W291" i="7"/>
  <c r="W175" i="7"/>
  <c r="W225" i="7"/>
  <c r="W345" i="7"/>
  <c r="W160" i="7"/>
  <c r="W372" i="7"/>
  <c r="W255" i="7"/>
  <c r="W359" i="7"/>
  <c r="W365" i="7"/>
  <c r="W356" i="7"/>
  <c r="W304" i="7"/>
  <c r="W191" i="7"/>
  <c r="W347" i="7"/>
  <c r="W147" i="7"/>
  <c r="W373" i="7"/>
  <c r="W145" i="7"/>
  <c r="W221" i="7"/>
  <c r="W144" i="7"/>
  <c r="N22" i="51" l="1"/>
  <c r="N43" i="51" s="1"/>
  <c r="BO43" i="51" s="1"/>
  <c r="O22" i="51"/>
  <c r="T39" i="51"/>
  <c r="U39" i="51" s="1"/>
  <c r="H4" i="4"/>
  <c r="I2" i="4"/>
  <c r="G209" i="4"/>
  <c r="G178" i="4"/>
  <c r="G38" i="4"/>
  <c r="G7" i="4"/>
  <c r="G128" i="4"/>
  <c r="G87" i="4"/>
  <c r="G239" i="4"/>
  <c r="G59" i="4"/>
  <c r="BO22" i="51"/>
  <c r="X457" i="1"/>
  <c r="X648" i="1" s="1"/>
  <c r="Q293" i="42"/>
  <c r="O26" i="51"/>
  <c r="BP26" i="51" s="1"/>
  <c r="AF79" i="1"/>
  <c r="Y10" i="49" s="1"/>
  <c r="AD106" i="1"/>
  <c r="AD111" i="1" s="1"/>
  <c r="X12" i="42"/>
  <c r="X188" i="42" s="1" a="1"/>
  <c r="X188" i="42" s="1"/>
  <c r="X190" i="42" s="1"/>
  <c r="V433" i="1"/>
  <c r="M35" i="51"/>
  <c r="BN35" i="51" s="1"/>
  <c r="AN429" i="42"/>
  <c r="AR190" i="42"/>
  <c r="R615" i="1"/>
  <c r="Y403" i="1"/>
  <c r="Y640" i="1" s="1"/>
  <c r="Y677" i="1" s="1"/>
  <c r="Y694" i="1"/>
  <c r="Y456" i="1"/>
  <c r="Y457" i="1" s="1"/>
  <c r="Y648" i="1" s="1"/>
  <c r="Y566" i="1"/>
  <c r="Q196" i="42" a="1"/>
  <c r="Q196" i="42" s="1"/>
  <c r="Q197" i="42" s="1"/>
  <c r="AM60" i="42"/>
  <c r="AM352" i="42" s="1" a="1"/>
  <c r="AM352" i="42" s="1"/>
  <c r="AM354" i="42" s="1"/>
  <c r="L369" i="42"/>
  <c r="X701" i="1"/>
  <c r="I14" i="1"/>
  <c r="I9" i="1" s="1"/>
  <c r="AN369" i="42"/>
  <c r="X288" i="1"/>
  <c r="X590" i="1" s="1"/>
  <c r="R62" i="42" s="1"/>
  <c r="AN450" i="42"/>
  <c r="AN449" i="42"/>
  <c r="T32" i="42"/>
  <c r="T256" i="42" s="1" a="1"/>
  <c r="T256" i="42" s="1"/>
  <c r="Z234" i="1"/>
  <c r="AA227" i="1"/>
  <c r="AA590" i="1"/>
  <c r="U62" i="42" s="1"/>
  <c r="AA290" i="1"/>
  <c r="V59" i="49"/>
  <c r="W42" i="42"/>
  <c r="AC251" i="1"/>
  <c r="AC256" i="1"/>
  <c r="AC280" i="1"/>
  <c r="R85" i="42"/>
  <c r="R448" i="42" s="1" a="1"/>
  <c r="R448" i="42" s="1"/>
  <c r="Y554" i="1"/>
  <c r="Y558" i="1" s="1"/>
  <c r="X559" i="1"/>
  <c r="X560" i="1"/>
  <c r="O61" i="49"/>
  <c r="P44" i="42"/>
  <c r="T61" i="49"/>
  <c r="U44" i="42"/>
  <c r="AA257" i="1"/>
  <c r="AA293" i="1"/>
  <c r="N147" i="49"/>
  <c r="S360" i="42" a="1"/>
  <c r="S360" i="42" s="1"/>
  <c r="AG180" i="1"/>
  <c r="AG164" i="1"/>
  <c r="K354" i="42"/>
  <c r="K353" i="42"/>
  <c r="AN84" i="42"/>
  <c r="AN444" i="42" s="1" a="1"/>
  <c r="AN444" i="42" s="1"/>
  <c r="R186" i="42"/>
  <c r="R185" i="42"/>
  <c r="Q77" i="49"/>
  <c r="AL59" i="49"/>
  <c r="AL77" i="49" s="1"/>
  <c r="Q78" i="49"/>
  <c r="AL60" i="49"/>
  <c r="AL78" i="49" s="1"/>
  <c r="N66" i="51"/>
  <c r="BO66" i="51" s="1"/>
  <c r="W178" i="1"/>
  <c r="AL347" i="1"/>
  <c r="AJ363" i="1"/>
  <c r="AJ375" i="1" s="1"/>
  <c r="I13" i="50"/>
  <c r="M22" i="51"/>
  <c r="V85" i="49"/>
  <c r="W50" i="42"/>
  <c r="AA665" i="1"/>
  <c r="AB479" i="1"/>
  <c r="AA480" i="1"/>
  <c r="AK157" i="1"/>
  <c r="AI163" i="1"/>
  <c r="AN60" i="42"/>
  <c r="AN352" i="42" s="1" a="1"/>
  <c r="AN352" i="42" s="1"/>
  <c r="K381" i="42"/>
  <c r="K382" i="42"/>
  <c r="M381" i="42"/>
  <c r="AB378" i="42"/>
  <c r="AB377" i="42"/>
  <c r="Q192" i="42" a="1"/>
  <c r="Q192" i="42" s="1"/>
  <c r="Q450" i="42"/>
  <c r="Q449" i="42"/>
  <c r="P292" i="42" a="1"/>
  <c r="P292" i="42" s="1"/>
  <c r="AP42" i="42"/>
  <c r="AP292" i="42" s="1" a="1"/>
  <c r="AP292" i="42" s="1"/>
  <c r="U292" i="42" a="1"/>
  <c r="U292" i="42" s="1"/>
  <c r="AG350" i="1"/>
  <c r="AE366" i="1"/>
  <c r="AE378" i="1" s="1"/>
  <c r="AE287" i="1" s="1"/>
  <c r="M117" i="49"/>
  <c r="M147" i="49" s="1"/>
  <c r="N64" i="42"/>
  <c r="N368" i="42" s="1" a="1"/>
  <c r="N368" i="42" s="1"/>
  <c r="V60" i="49"/>
  <c r="W43" i="42"/>
  <c r="AC286" i="1"/>
  <c r="AC288" i="1" s="1"/>
  <c r="I5" i="4"/>
  <c r="W236" i="42" a="1"/>
  <c r="W236" i="42" s="1"/>
  <c r="AA672" i="1"/>
  <c r="AB422" i="1"/>
  <c r="S58" i="49"/>
  <c r="T41" i="42"/>
  <c r="Z275" i="1"/>
  <c r="L454" i="42"/>
  <c r="L414" i="42"/>
  <c r="L314" i="42"/>
  <c r="L346" i="42"/>
  <c r="L330" i="42"/>
  <c r="L254" i="42"/>
  <c r="L282" i="42"/>
  <c r="L214" i="42"/>
  <c r="L222" i="42"/>
  <c r="L182" i="42"/>
  <c r="M6" i="42"/>
  <c r="AN382" i="42"/>
  <c r="AN381" i="42"/>
  <c r="AO381" i="42"/>
  <c r="R288" i="42" a="1"/>
  <c r="R288" i="42" s="1"/>
  <c r="AQ41" i="42"/>
  <c r="AQ288" i="42" s="1" a="1"/>
  <c r="AQ288" i="42" s="1"/>
  <c r="R101" i="49"/>
  <c r="S55" i="42"/>
  <c r="AC98" i="1"/>
  <c r="Q362" i="42"/>
  <c r="Q361" i="42"/>
  <c r="V51" i="49"/>
  <c r="S60" i="49"/>
  <c r="T43" i="42"/>
  <c r="Z286" i="1"/>
  <c r="AA95" i="1"/>
  <c r="Q76" i="49"/>
  <c r="AL58" i="49"/>
  <c r="AL76" i="49" s="1"/>
  <c r="S300" i="42" a="1"/>
  <c r="S300" i="42" s="1"/>
  <c r="I3" i="7"/>
  <c r="I338" i="7"/>
  <c r="V58" i="49"/>
  <c r="W41" i="42"/>
  <c r="AC275" i="1"/>
  <c r="U238" i="42"/>
  <c r="U237" i="42"/>
  <c r="Z594" i="1"/>
  <c r="AA388" i="1"/>
  <c r="AB388" i="1" s="1"/>
  <c r="AC388" i="1" s="1"/>
  <c r="AD388" i="1" s="1"/>
  <c r="AE388" i="1" s="1"/>
  <c r="AF388" i="1" s="1"/>
  <c r="AG388" i="1" s="1"/>
  <c r="AH388" i="1" s="1"/>
  <c r="AI388" i="1" s="1"/>
  <c r="AJ388" i="1" s="1"/>
  <c r="AK388" i="1" s="1"/>
  <c r="AL388" i="1" s="1"/>
  <c r="AM388" i="1" s="1"/>
  <c r="Z250" i="1"/>
  <c r="AA704" i="1"/>
  <c r="R79" i="49"/>
  <c r="AV66" i="42"/>
  <c r="AV376" i="42" s="1" a="1"/>
  <c r="AV376" i="42" s="1"/>
  <c r="AA376" i="42" a="1"/>
  <c r="AA376" i="42" s="1"/>
  <c r="AH157" i="1"/>
  <c r="AH160" i="1" s="1"/>
  <c r="AF163" i="1"/>
  <c r="Z149" i="49"/>
  <c r="AQ119" i="49"/>
  <c r="AQ149" i="49" s="1"/>
  <c r="AD180" i="1"/>
  <c r="AD181" i="1" s="1"/>
  <c r="AD164" i="1"/>
  <c r="X673" i="1"/>
  <c r="Y394" i="1"/>
  <c r="X387" i="1"/>
  <c r="X57" i="49"/>
  <c r="Y40" i="42"/>
  <c r="AG244" i="1"/>
  <c r="AE247" i="1"/>
  <c r="AE250" i="1" s="1"/>
  <c r="AE253" i="1"/>
  <c r="AE269" i="1"/>
  <c r="AC179" i="1"/>
  <c r="AC181" i="1" s="1"/>
  <c r="AC161" i="1"/>
  <c r="U57" i="49"/>
  <c r="V40" i="42"/>
  <c r="AD244" i="1"/>
  <c r="AB247" i="1"/>
  <c r="AB250" i="1" s="1"/>
  <c r="AB253" i="1"/>
  <c r="AB269" i="1"/>
  <c r="U33" i="49"/>
  <c r="V26" i="42"/>
  <c r="AD201" i="1"/>
  <c r="AB285" i="1"/>
  <c r="AH270" i="1"/>
  <c r="X9" i="49"/>
  <c r="Y11" i="42"/>
  <c r="AE80" i="1"/>
  <c r="AE76" i="1" s="1"/>
  <c r="AE84" i="1"/>
  <c r="AG78" i="1"/>
  <c r="T513" i="1"/>
  <c r="U288" i="42" a="1"/>
  <c r="U288" i="42" s="1"/>
  <c r="W284" i="42" a="1"/>
  <c r="W284" i="42" s="1"/>
  <c r="AG150" i="1"/>
  <c r="AE160" i="1"/>
  <c r="S85" i="49"/>
  <c r="T50" i="42"/>
  <c r="T236" i="42" a="1"/>
  <c r="T236" i="42" s="1"/>
  <c r="AR26" i="42"/>
  <c r="AR236" i="42" s="1" a="1"/>
  <c r="AR236" i="42" s="1"/>
  <c r="U9" i="49"/>
  <c r="AN9" i="49" s="1"/>
  <c r="V11" i="42"/>
  <c r="AB80" i="1"/>
  <c r="AB76" i="1" s="1"/>
  <c r="AB84" i="1"/>
  <c r="AD78" i="1"/>
  <c r="O77" i="49"/>
  <c r="AK59" i="49"/>
  <c r="AK77" i="49" s="1"/>
  <c r="T77" i="49"/>
  <c r="AC93" i="1"/>
  <c r="AC94" i="1"/>
  <c r="O354" i="42"/>
  <c r="O353" i="42"/>
  <c r="N60" i="42"/>
  <c r="T615" i="1"/>
  <c r="T76" i="49"/>
  <c r="V75" i="49"/>
  <c r="U189" i="42"/>
  <c r="U190" i="42"/>
  <c r="T284" i="42" a="1"/>
  <c r="T284" i="42" s="1"/>
  <c r="AR40" i="42"/>
  <c r="AR284" i="42" s="1" a="1"/>
  <c r="AR284" i="42" s="1"/>
  <c r="S51" i="49"/>
  <c r="AM33" i="49"/>
  <c r="AM51" i="49" s="1"/>
  <c r="Z93" i="1"/>
  <c r="Z94" i="1"/>
  <c r="AA229" i="1"/>
  <c r="AA232" i="1" s="1"/>
  <c r="AQ285" i="42"/>
  <c r="AQ286" i="42"/>
  <c r="AS189" i="42"/>
  <c r="AS190" i="42"/>
  <c r="R320" i="42" a="1"/>
  <c r="R320" i="42" s="1"/>
  <c r="AQ50" i="42"/>
  <c r="AQ320" i="42" s="1" a="1"/>
  <c r="AQ320" i="42" s="1"/>
  <c r="AG270" i="1"/>
  <c r="X10" i="49"/>
  <c r="Y12" i="42"/>
  <c r="AE106" i="1"/>
  <c r="AE111" i="1" s="1"/>
  <c r="AG79" i="1"/>
  <c r="S75" i="49"/>
  <c r="AM57" i="49"/>
  <c r="AM75" i="49" s="1"/>
  <c r="W184" i="42" a="1"/>
  <c r="W184" i="42" s="1"/>
  <c r="AQ414" i="42"/>
  <c r="AQ454" i="42"/>
  <c r="AQ330" i="42"/>
  <c r="AQ314" i="42"/>
  <c r="AQ346" i="42"/>
  <c r="AQ222" i="42"/>
  <c r="AQ254" i="42"/>
  <c r="AQ282" i="42"/>
  <c r="AQ214" i="42"/>
  <c r="AQ182" i="42"/>
  <c r="AR6" i="42"/>
  <c r="T95" i="49"/>
  <c r="M368" i="42" a="1"/>
  <c r="M368" i="42" s="1"/>
  <c r="L354" i="42"/>
  <c r="L353" i="42"/>
  <c r="R285" i="42"/>
  <c r="R286" i="42"/>
  <c r="X95" i="1"/>
  <c r="X96" i="1" s="1"/>
  <c r="X90" i="1"/>
  <c r="Q95" i="49"/>
  <c r="AL85" i="49"/>
  <c r="AL95" i="49" s="1"/>
  <c r="T184" i="42" a="1"/>
  <c r="T184" i="42" s="1"/>
  <c r="AR11" i="42"/>
  <c r="AR184" i="42" s="1" a="1"/>
  <c r="AR184" i="42" s="1"/>
  <c r="Q336" i="42" a="1"/>
  <c r="Q336" i="42" s="1"/>
  <c r="K10" i="1"/>
  <c r="J17" i="1"/>
  <c r="J13" i="1"/>
  <c r="J15" i="1" a="1"/>
  <c r="J15" i="1" s="1"/>
  <c r="J12" i="1" a="1"/>
  <c r="J12" i="1" s="1"/>
  <c r="AP62" i="42"/>
  <c r="AP360" i="42" s="1" a="1"/>
  <c r="AP360" i="42" s="1"/>
  <c r="P360" i="42" a="1"/>
  <c r="P360" i="42" s="1"/>
  <c r="AL138" i="1"/>
  <c r="AJ177" i="1"/>
  <c r="Y378" i="42"/>
  <c r="Y377" i="42"/>
  <c r="AG177" i="1"/>
  <c r="AI138" i="1"/>
  <c r="L147" i="49"/>
  <c r="AC365" i="1"/>
  <c r="AC356" i="1"/>
  <c r="AC351" i="1"/>
  <c r="AD467" i="1"/>
  <c r="AI363" i="1"/>
  <c r="AI375" i="1" s="1"/>
  <c r="AK347" i="1"/>
  <c r="AT12" i="42"/>
  <c r="AT188" i="42" s="1" a="1"/>
  <c r="AT188" i="42" s="1"/>
  <c r="W188" i="42" a="1"/>
  <c r="W188" i="42" s="1"/>
  <c r="N47" i="51"/>
  <c r="BO47" i="51" s="1"/>
  <c r="BO30" i="51"/>
  <c r="Z379" i="1"/>
  <c r="Z294" i="1" s="1"/>
  <c r="Z281" i="1"/>
  <c r="U285" i="42"/>
  <c r="U286" i="42"/>
  <c r="AB119" i="49"/>
  <c r="AC66" i="42"/>
  <c r="AU378" i="42"/>
  <c r="AU377" i="42"/>
  <c r="AE364" i="1"/>
  <c r="AE376" i="1" s="1"/>
  <c r="AG348" i="1"/>
  <c r="AE349" i="1"/>
  <c r="AO10" i="49"/>
  <c r="S293" i="42"/>
  <c r="S294" i="42"/>
  <c r="P111" i="49"/>
  <c r="AP290" i="42"/>
  <c r="AP289" i="42"/>
  <c r="P298" i="42"/>
  <c r="P297" i="42"/>
  <c r="AC276" i="1"/>
  <c r="AC377" i="1"/>
  <c r="Z540" i="1"/>
  <c r="Z555" i="1" s="1"/>
  <c r="Z550" i="1"/>
  <c r="Z551" i="1" s="1"/>
  <c r="Z557" i="1" s="1"/>
  <c r="AA539" i="1"/>
  <c r="Z545" i="1"/>
  <c r="Z546" i="1" s="1"/>
  <c r="Z556" i="1" s="1"/>
  <c r="AA379" i="1"/>
  <c r="AA294" i="1" s="1"/>
  <c r="AA281" i="1"/>
  <c r="AA367" i="1"/>
  <c r="AA358" i="1"/>
  <c r="AQ198" i="42"/>
  <c r="Z566" i="1"/>
  <c r="Z694" i="1"/>
  <c r="AA453" i="1"/>
  <c r="Y102" i="1"/>
  <c r="Y99" i="1"/>
  <c r="AC119" i="49"/>
  <c r="AC149" i="49" s="1"/>
  <c r="AD66" i="42"/>
  <c r="AD376" i="42" s="1" a="1"/>
  <c r="AD376" i="42" s="1"/>
  <c r="M354" i="42"/>
  <c r="M353" i="42"/>
  <c r="U320" i="42" a="1"/>
  <c r="U320" i="42" s="1"/>
  <c r="AM315" i="1"/>
  <c r="AM600" i="1" s="1"/>
  <c r="AK600" i="1"/>
  <c r="AF160" i="1"/>
  <c r="S290" i="42"/>
  <c r="S289" i="42"/>
  <c r="S321" i="42"/>
  <c r="S322" i="42"/>
  <c r="P289" i="42"/>
  <c r="P290" i="42"/>
  <c r="AP297" i="42"/>
  <c r="AP298" i="42"/>
  <c r="AN82" i="42"/>
  <c r="AN436" i="42" s="1" a="1"/>
  <c r="AN436" i="42" s="1"/>
  <c r="AB365" i="1"/>
  <c r="AB356" i="1"/>
  <c r="AB351" i="1"/>
  <c r="U186" i="42"/>
  <c r="U185" i="42"/>
  <c r="Q61" i="49"/>
  <c r="R44" i="42"/>
  <c r="X293" i="1"/>
  <c r="X257" i="1"/>
  <c r="AL600" i="1"/>
  <c r="AN315" i="1"/>
  <c r="AN600" i="1" s="1"/>
  <c r="Z233" i="1"/>
  <c r="Y693" i="1"/>
  <c r="Y565" i="1"/>
  <c r="Z454" i="1"/>
  <c r="Z456" i="1" s="1"/>
  <c r="AQ238" i="42"/>
  <c r="AQ237" i="42"/>
  <c r="P322" i="42"/>
  <c r="P321" i="42"/>
  <c r="U296" i="42" a="1"/>
  <c r="U296" i="42" s="1"/>
  <c r="R237" i="42"/>
  <c r="R238" i="42"/>
  <c r="AJ150" i="1"/>
  <c r="AA695" i="1"/>
  <c r="AA487" i="1"/>
  <c r="AB483" i="1"/>
  <c r="Z686" i="1"/>
  <c r="AA482" i="1"/>
  <c r="AA486" i="1" s="1"/>
  <c r="Z484" i="1"/>
  <c r="Z488" i="1" s="1"/>
  <c r="Z492" i="1" s="1"/>
  <c r="S298" i="42"/>
  <c r="S297" i="42"/>
  <c r="AN386" i="42"/>
  <c r="AN385" i="42"/>
  <c r="AO385" i="42"/>
  <c r="AN32" i="42"/>
  <c r="AN256" i="42" s="1" a="1"/>
  <c r="AN256" i="42" s="1"/>
  <c r="AD364" i="1"/>
  <c r="AD376" i="1" s="1"/>
  <c r="AF348" i="1"/>
  <c r="AD349" i="1"/>
  <c r="O43" i="51"/>
  <c r="BP43" i="51" s="1"/>
  <c r="BP22" i="51"/>
  <c r="Z367" i="1"/>
  <c r="Z358" i="1"/>
  <c r="AP321" i="42"/>
  <c r="AP322" i="42"/>
  <c r="T78" i="49"/>
  <c r="K115" i="7"/>
  <c r="J114" i="7"/>
  <c r="O368" i="42" a="1"/>
  <c r="O368" i="42" s="1"/>
  <c r="AH350" i="1"/>
  <c r="AF366" i="1"/>
  <c r="AF378" i="1" s="1"/>
  <c r="AF287" i="1" s="1"/>
  <c r="L386" i="42"/>
  <c r="L385" i="42"/>
  <c r="N385" i="42"/>
  <c r="X33" i="49"/>
  <c r="Y26" i="42"/>
  <c r="AE285" i="1"/>
  <c r="AG201" i="1"/>
  <c r="AN83" i="42"/>
  <c r="AN440" i="42" s="1" a="1"/>
  <c r="AN440" i="42" s="1"/>
  <c r="Q301" i="42"/>
  <c r="Q302" i="42"/>
  <c r="AQ186" i="42"/>
  <c r="AQ185" i="42"/>
  <c r="AB276" i="1"/>
  <c r="AB377" i="1"/>
  <c r="AB228" i="1"/>
  <c r="R292" i="42" a="1"/>
  <c r="R292" i="42" s="1"/>
  <c r="AQ42" i="42"/>
  <c r="AQ292" i="42" s="1" a="1"/>
  <c r="AQ292" i="42" s="1"/>
  <c r="R296" i="42" a="1"/>
  <c r="R296" i="42" s="1"/>
  <c r="AQ43" i="42"/>
  <c r="AQ296" i="42" s="1" a="1"/>
  <c r="AQ296" i="42" s="1"/>
  <c r="S258" i="42"/>
  <c r="S257" i="42"/>
  <c r="X204" i="7"/>
  <c r="X352" i="7"/>
  <c r="X286" i="7"/>
  <c r="X270" i="7"/>
  <c r="X343" i="7"/>
  <c r="X205" i="7"/>
  <c r="X211" i="7"/>
  <c r="X373" i="7"/>
  <c r="X221" i="7"/>
  <c r="X288" i="7"/>
  <c r="X367" i="7"/>
  <c r="X371" i="7"/>
  <c r="X174" i="7"/>
  <c r="X342" i="7"/>
  <c r="X152" i="7"/>
  <c r="X372" i="7"/>
  <c r="X155" i="7"/>
  <c r="X225" i="7"/>
  <c r="X191" i="7"/>
  <c r="X175" i="7"/>
  <c r="X144" i="7"/>
  <c r="X345" i="7"/>
  <c r="X214" i="7"/>
  <c r="X254" i="7"/>
  <c r="X304" i="7"/>
  <c r="X370" i="7"/>
  <c r="X146" i="7"/>
  <c r="X151" i="7"/>
  <c r="X210" i="7"/>
  <c r="X171" i="7"/>
  <c r="X290" i="7"/>
  <c r="X141" i="7"/>
  <c r="X164" i="7"/>
  <c r="X184" i="7"/>
  <c r="X243" i="7"/>
  <c r="X358" i="7"/>
  <c r="X344" i="7"/>
  <c r="X369" i="7"/>
  <c r="X341" i="7"/>
  <c r="X255" i="7"/>
  <c r="X185" i="7"/>
  <c r="X354" i="7"/>
  <c r="X291" i="7"/>
  <c r="X227" i="7"/>
  <c r="X330" i="7"/>
  <c r="X356" i="7"/>
  <c r="X348" i="7"/>
  <c r="X366" i="7"/>
  <c r="X147" i="7"/>
  <c r="X337" i="7"/>
  <c r="X368" i="7"/>
  <c r="X206" i="7"/>
  <c r="X364" i="7"/>
  <c r="X365" i="7"/>
  <c r="X346" i="7"/>
  <c r="X355" i="7"/>
  <c r="X305" i="7"/>
  <c r="X359" i="7"/>
  <c r="X357" i="7"/>
  <c r="X145" i="7"/>
  <c r="X329" i="7"/>
  <c r="X260" i="7"/>
  <c r="X292" i="7"/>
  <c r="X268" i="7"/>
  <c r="X353" i="7"/>
  <c r="X257" i="7"/>
  <c r="X347" i="7"/>
  <c r="X160" i="7"/>
  <c r="X289" i="7"/>
  <c r="X168" i="7"/>
  <c r="AH79" i="1" l="1"/>
  <c r="AF106" i="1"/>
  <c r="AF111" i="1" s="1"/>
  <c r="Z12" i="42"/>
  <c r="Z188" i="42" s="1" a="1"/>
  <c r="Z188" i="42" s="1"/>
  <c r="Y406" i="1"/>
  <c r="Y699" i="1" s="1"/>
  <c r="J2" i="4"/>
  <c r="I4" i="4"/>
  <c r="H128" i="4"/>
  <c r="H239" i="4"/>
  <c r="H87" i="4"/>
  <c r="H209" i="4"/>
  <c r="H38" i="4"/>
  <c r="H7" i="4"/>
  <c r="H59" i="4"/>
  <c r="H178" i="4"/>
  <c r="Z288" i="1"/>
  <c r="Z590" i="1" s="1"/>
  <c r="T62" i="42" s="1"/>
  <c r="X189" i="42"/>
  <c r="Y458" i="1"/>
  <c r="Q198" i="42"/>
  <c r="O27" i="51"/>
  <c r="BP27" i="51" s="1"/>
  <c r="X290" i="1"/>
  <c r="AJ117" i="49"/>
  <c r="AJ147" i="49" s="1"/>
  <c r="J14" i="1"/>
  <c r="J9" i="1" s="1"/>
  <c r="AO64" i="42"/>
  <c r="AO368" i="42" s="1" a="1"/>
  <c r="AO368" i="42" s="1"/>
  <c r="AO369" i="42" s="1"/>
  <c r="Y701" i="1"/>
  <c r="AD276" i="1"/>
  <c r="AD377" i="1"/>
  <c r="AL150" i="1"/>
  <c r="R11" i="49"/>
  <c r="S13" i="42"/>
  <c r="Y103" i="1"/>
  <c r="Y175" i="1"/>
  <c r="AE356" i="1"/>
  <c r="AE351" i="1"/>
  <c r="AE365" i="1"/>
  <c r="W189" i="42"/>
  <c r="W190" i="42"/>
  <c r="AK138" i="1"/>
  <c r="AI177" i="1"/>
  <c r="L10" i="1"/>
  <c r="K17" i="1"/>
  <c r="K13" i="1"/>
  <c r="K15" i="1" a="1"/>
  <c r="K15" i="1" s="1"/>
  <c r="K12" i="1" a="1"/>
  <c r="K12" i="1" s="1"/>
  <c r="T320" i="42" a="1"/>
  <c r="T320" i="42" s="1"/>
  <c r="AR50" i="42"/>
  <c r="AR320" i="42" s="1" a="1"/>
  <c r="AR320" i="42" s="1"/>
  <c r="Y184" i="42" a="1"/>
  <c r="Y184" i="42" s="1"/>
  <c r="V76" i="49"/>
  <c r="S76" i="49"/>
  <c r="AM58" i="49"/>
  <c r="AM76" i="49" s="1"/>
  <c r="AI180" i="1"/>
  <c r="AI164" i="1"/>
  <c r="N69" i="51"/>
  <c r="BO69" i="51" s="1"/>
  <c r="W182" i="1"/>
  <c r="AT190" i="42"/>
  <c r="AT189" i="42"/>
  <c r="Q337" i="42"/>
  <c r="Q338" i="42"/>
  <c r="S95" i="49"/>
  <c r="AM85" i="49"/>
  <c r="AM95" i="49" s="1"/>
  <c r="AF180" i="1"/>
  <c r="AF164" i="1"/>
  <c r="AB672" i="1"/>
  <c r="AC422" i="1"/>
  <c r="AI350" i="1"/>
  <c r="AG366" i="1"/>
  <c r="AG378" i="1" s="1"/>
  <c r="AG287" i="1" s="1"/>
  <c r="AM157" i="1"/>
  <c r="AM163" i="1" s="1"/>
  <c r="AK163" i="1"/>
  <c r="AN258" i="42"/>
  <c r="AN257" i="42"/>
  <c r="AE119" i="49"/>
  <c r="AE149" i="49" s="1"/>
  <c r="AF66" i="42"/>
  <c r="AF376" i="42" s="1" a="1"/>
  <c r="AF376" i="42" s="1"/>
  <c r="AA10" i="49"/>
  <c r="AB12" i="42"/>
  <c r="AB188" i="42" s="1" a="1"/>
  <c r="AB188" i="42" s="1"/>
  <c r="AH106" i="1"/>
  <c r="AH111" i="1" s="1"/>
  <c r="AJ79" i="1"/>
  <c r="Z457" i="1"/>
  <c r="Z648" i="1" s="1"/>
  <c r="Z458" i="1"/>
  <c r="AE276" i="1"/>
  <c r="AE377" i="1"/>
  <c r="AM347" i="1"/>
  <c r="AK363" i="1"/>
  <c r="AK375" i="1" s="1"/>
  <c r="AQ321" i="42"/>
  <c r="AQ322" i="42"/>
  <c r="AE179" i="1"/>
  <c r="AE181" i="1" s="1"/>
  <c r="AE161" i="1"/>
  <c r="X85" i="49"/>
  <c r="Y50" i="42"/>
  <c r="AJ157" i="1"/>
  <c r="AH163" i="1"/>
  <c r="U294" i="42"/>
  <c r="U293" i="42"/>
  <c r="T101" i="49"/>
  <c r="U55" i="42"/>
  <c r="AA566" i="1"/>
  <c r="AA694" i="1"/>
  <c r="AB453" i="1"/>
  <c r="AI348" i="1"/>
  <c r="AG364" i="1"/>
  <c r="AG376" i="1" s="1"/>
  <c r="AG349" i="1"/>
  <c r="U297" i="42"/>
  <c r="U298" i="42"/>
  <c r="Q101" i="49"/>
  <c r="R55" i="42"/>
  <c r="O30" i="51"/>
  <c r="AR185" i="42"/>
  <c r="AR186" i="42"/>
  <c r="M370" i="42"/>
  <c r="M369" i="42"/>
  <c r="R321" i="42"/>
  <c r="R322" i="42"/>
  <c r="AI150" i="1"/>
  <c r="AG160" i="1"/>
  <c r="X60" i="49"/>
  <c r="Y43" i="42"/>
  <c r="AE286" i="1"/>
  <c r="AE288" i="1" s="1"/>
  <c r="AA378" i="42"/>
  <c r="AA377" i="42"/>
  <c r="M454" i="42"/>
  <c r="M414" i="42"/>
  <c r="M346" i="42"/>
  <c r="M314" i="42"/>
  <c r="M330" i="42"/>
  <c r="M254" i="42"/>
  <c r="M282" i="42"/>
  <c r="M214" i="42"/>
  <c r="M182" i="42"/>
  <c r="M222" i="42"/>
  <c r="N6" i="42"/>
  <c r="AO85" i="42" s="1"/>
  <c r="AO448" i="42" s="1" a="1"/>
  <c r="AO448" i="42" s="1"/>
  <c r="W238" i="42"/>
  <c r="W237" i="42"/>
  <c r="AN442" i="42"/>
  <c r="AN441" i="42"/>
  <c r="Z190" i="42"/>
  <c r="Z189" i="42"/>
  <c r="R300" i="42" a="1"/>
  <c r="R300" i="42" s="1"/>
  <c r="AQ44" i="42"/>
  <c r="AQ300" i="42" s="1" a="1"/>
  <c r="AQ300" i="42" s="1"/>
  <c r="AF161" i="1"/>
  <c r="AF179" i="1"/>
  <c r="AI270" i="1"/>
  <c r="T186" i="42"/>
  <c r="T185" i="42"/>
  <c r="W285" i="42"/>
  <c r="W286" i="42"/>
  <c r="X59" i="49"/>
  <c r="Y42" i="42"/>
  <c r="AE251" i="1"/>
  <c r="AE256" i="1"/>
  <c r="AE280" i="1"/>
  <c r="AV378" i="42"/>
  <c r="AV377" i="42"/>
  <c r="S301" i="42"/>
  <c r="S302" i="42"/>
  <c r="AD98" i="1"/>
  <c r="AP294" i="42"/>
  <c r="AP293" i="42"/>
  <c r="AB665" i="1"/>
  <c r="AC479" i="1"/>
  <c r="AB480" i="1"/>
  <c r="U300" i="42" a="1"/>
  <c r="U300" i="42" s="1"/>
  <c r="V61" i="49"/>
  <c r="W44" i="42"/>
  <c r="AC293" i="1"/>
  <c r="AC257" i="1"/>
  <c r="Q79" i="49"/>
  <c r="AL61" i="49"/>
  <c r="AL79" i="49" s="1"/>
  <c r="AD119" i="49"/>
  <c r="AE66" i="42"/>
  <c r="AE467" i="1"/>
  <c r="AF460" i="1"/>
  <c r="X58" i="49"/>
  <c r="Y41" i="42"/>
  <c r="AE275" i="1"/>
  <c r="P294" i="42"/>
  <c r="P293" i="42"/>
  <c r="T79" i="49"/>
  <c r="N352" i="42" a="1"/>
  <c r="N352" i="42" s="1"/>
  <c r="AO60" i="42"/>
  <c r="AO352" i="42" s="1" a="1"/>
  <c r="AO352" i="42" s="1"/>
  <c r="U290" i="42"/>
  <c r="U289" i="42"/>
  <c r="W33" i="49"/>
  <c r="X26" i="42"/>
  <c r="AD285" i="1"/>
  <c r="AF201" i="1"/>
  <c r="Z57" i="49"/>
  <c r="AA40" i="42"/>
  <c r="AG247" i="1"/>
  <c r="AG250" i="1" s="1"/>
  <c r="AG253" i="1"/>
  <c r="AG269" i="1"/>
  <c r="AI244" i="1"/>
  <c r="S336" i="42" a="1"/>
  <c r="S336" i="42" s="1"/>
  <c r="W320" i="42" a="1"/>
  <c r="W320" i="42" s="1"/>
  <c r="W292" i="42" a="1"/>
  <c r="W292" i="42" s="1"/>
  <c r="AQ297" i="42"/>
  <c r="AQ298" i="42"/>
  <c r="Z33" i="49"/>
  <c r="AA26" i="42"/>
  <c r="AG285" i="1"/>
  <c r="AI201" i="1"/>
  <c r="R298" i="42"/>
  <c r="R297" i="42"/>
  <c r="U321" i="42"/>
  <c r="U322" i="42"/>
  <c r="AC358" i="1"/>
  <c r="AC367" i="1"/>
  <c r="P362" i="42"/>
  <c r="P361" i="42"/>
  <c r="AR454" i="42"/>
  <c r="AR414" i="42"/>
  <c r="AR330" i="42"/>
  <c r="AR314" i="42"/>
  <c r="AR346" i="42"/>
  <c r="AR254" i="42"/>
  <c r="AR214" i="42"/>
  <c r="AR282" i="42"/>
  <c r="AR182" i="42"/>
  <c r="AR222" i="42"/>
  <c r="AS6" i="42"/>
  <c r="W186" i="42"/>
  <c r="W185" i="42"/>
  <c r="V236" i="42" a="1"/>
  <c r="V236" i="42" s="1"/>
  <c r="AS26" i="42"/>
  <c r="AS236" i="42" s="1" a="1"/>
  <c r="AS236" i="42" s="1"/>
  <c r="Y284" i="42" a="1"/>
  <c r="Y284" i="42" s="1"/>
  <c r="AB704" i="1"/>
  <c r="R111" i="49"/>
  <c r="V95" i="49"/>
  <c r="I23" i="50"/>
  <c r="O101" i="49"/>
  <c r="P55" i="42"/>
  <c r="M30" i="51"/>
  <c r="V77" i="49"/>
  <c r="AP362" i="42"/>
  <c r="AP361" i="42"/>
  <c r="U51" i="49"/>
  <c r="AN33" i="49"/>
  <c r="AN51" i="49" s="1"/>
  <c r="X75" i="49"/>
  <c r="AA102" i="1"/>
  <c r="AA99" i="1"/>
  <c r="AQ290" i="42"/>
  <c r="AQ289" i="42"/>
  <c r="Q193" i="42"/>
  <c r="Q194" i="42"/>
  <c r="M43" i="51"/>
  <c r="BN43" i="51" s="1"/>
  <c r="BN22" i="51"/>
  <c r="AN446" i="42"/>
  <c r="AN445" i="42"/>
  <c r="P300" i="42" a="1"/>
  <c r="P300" i="42" s="1"/>
  <c r="AP44" i="42"/>
  <c r="AP300" i="42" s="1" a="1"/>
  <c r="AP300" i="42" s="1"/>
  <c r="Y236" i="42" a="1"/>
  <c r="Y236" i="42" s="1"/>
  <c r="AB367" i="1"/>
  <c r="AB358" i="1"/>
  <c r="AW66" i="42"/>
  <c r="AW376" i="42" s="1" a="1"/>
  <c r="AW376" i="42" s="1"/>
  <c r="AC376" i="42" a="1"/>
  <c r="AC376" i="42" s="1"/>
  <c r="AQ294" i="42"/>
  <c r="AQ293" i="42"/>
  <c r="X51" i="49"/>
  <c r="AA686" i="1"/>
  <c r="AB482" i="1"/>
  <c r="AB486" i="1" s="1"/>
  <c r="AA484" i="1"/>
  <c r="AA488" i="1" s="1"/>
  <c r="AA492" i="1" s="1"/>
  <c r="AB149" i="49"/>
  <c r="AR119" i="49"/>
  <c r="AR149" i="49" s="1"/>
  <c r="R360" i="42" a="1"/>
  <c r="R360" i="42" s="1"/>
  <c r="AQ62" i="42"/>
  <c r="AQ360" i="42" s="1" a="1"/>
  <c r="AQ360" i="42" s="1"/>
  <c r="Z95" i="1"/>
  <c r="Z90" i="1"/>
  <c r="W9" i="49"/>
  <c r="AO9" i="49" s="1"/>
  <c r="X11" i="42"/>
  <c r="AD80" i="1"/>
  <c r="AD76" i="1" s="1"/>
  <c r="AD84" i="1"/>
  <c r="AF78" i="1"/>
  <c r="U59" i="49"/>
  <c r="V42" i="42"/>
  <c r="AB251" i="1"/>
  <c r="AB256" i="1"/>
  <c r="AB280" i="1"/>
  <c r="S59" i="49"/>
  <c r="T42" i="42"/>
  <c r="Z251" i="1"/>
  <c r="Z256" i="1"/>
  <c r="Z280" i="1"/>
  <c r="R290" i="42"/>
  <c r="R289" i="42"/>
  <c r="O79" i="49"/>
  <c r="AK61" i="49"/>
  <c r="AK79" i="49" s="1"/>
  <c r="AN138" i="1"/>
  <c r="AN177" i="1" s="1"/>
  <c r="AL177" i="1"/>
  <c r="AB229" i="1"/>
  <c r="AB232" i="1" s="1"/>
  <c r="AA237" i="1"/>
  <c r="AC95" i="1"/>
  <c r="AC102" i="1" s="1"/>
  <c r="AB93" i="1"/>
  <c r="AB94" i="1"/>
  <c r="U85" i="49"/>
  <c r="V50" i="42"/>
  <c r="Y673" i="1"/>
  <c r="Y387" i="1"/>
  <c r="Z394" i="1"/>
  <c r="AN388" i="1"/>
  <c r="AA96" i="1"/>
  <c r="U360" i="42" a="1"/>
  <c r="U360" i="42" s="1"/>
  <c r="AB695" i="1"/>
  <c r="AB487" i="1"/>
  <c r="AC483" i="1"/>
  <c r="AN438" i="42"/>
  <c r="AN437" i="42"/>
  <c r="U60" i="49"/>
  <c r="V43" i="42"/>
  <c r="AB286" i="1"/>
  <c r="T296" i="42" a="1"/>
  <c r="T296" i="42" s="1"/>
  <c r="AR43" i="42"/>
  <c r="AR296" i="42" s="1" a="1"/>
  <c r="AR296" i="42" s="1"/>
  <c r="W296" i="42" a="1"/>
  <c r="W296" i="42" s="1"/>
  <c r="AA233" i="1"/>
  <c r="Z693" i="1"/>
  <c r="Z565" i="1"/>
  <c r="AA454" i="1"/>
  <c r="AA456" i="1" s="1"/>
  <c r="AA540" i="1"/>
  <c r="AA555" i="1" s="1"/>
  <c r="AA545" i="1"/>
  <c r="AA546" i="1" s="1"/>
  <c r="AA556" i="1" s="1"/>
  <c r="AA550" i="1"/>
  <c r="AA551" i="1" s="1"/>
  <c r="AA557" i="1" s="1"/>
  <c r="AB539" i="1"/>
  <c r="Z10" i="49"/>
  <c r="AA12" i="42"/>
  <c r="AG106" i="1"/>
  <c r="AG111" i="1" s="1"/>
  <c r="AI79" i="1"/>
  <c r="AR285" i="42"/>
  <c r="AR286" i="42"/>
  <c r="V184" i="42" a="1"/>
  <c r="V184" i="42" s="1"/>
  <c r="AS11" i="42"/>
  <c r="AS184" i="42" s="1" a="1"/>
  <c r="AS184" i="42" s="1"/>
  <c r="O11" i="49"/>
  <c r="AK11" i="49" s="1"/>
  <c r="P13" i="42"/>
  <c r="U58" i="49"/>
  <c r="V41" i="42"/>
  <c r="AB275" i="1"/>
  <c r="S78" i="49"/>
  <c r="AM60" i="49"/>
  <c r="AM78" i="49" s="1"/>
  <c r="V78" i="49"/>
  <c r="AJ270" i="1"/>
  <c r="S85" i="42"/>
  <c r="S448" i="42" s="1" a="1"/>
  <c r="S448" i="42" s="1"/>
  <c r="Z554" i="1"/>
  <c r="Z558" i="1" s="1"/>
  <c r="Y559" i="1"/>
  <c r="Y560" i="1"/>
  <c r="AD378" i="42"/>
  <c r="AD377" i="42"/>
  <c r="T285" i="42"/>
  <c r="T286" i="42"/>
  <c r="Z9" i="49"/>
  <c r="AA11" i="42"/>
  <c r="AG84" i="1"/>
  <c r="AI78" i="1"/>
  <c r="AG80" i="1"/>
  <c r="AG76" i="1" s="1"/>
  <c r="W57" i="49"/>
  <c r="X40" i="42"/>
  <c r="AF244" i="1"/>
  <c r="AD247" i="1"/>
  <c r="AD250" i="1" s="1"/>
  <c r="AD253" i="1"/>
  <c r="AD269" i="1"/>
  <c r="AN347" i="1"/>
  <c r="AL363" i="1"/>
  <c r="AL375" i="1" s="1"/>
  <c r="AC590" i="1"/>
  <c r="W62" i="42" s="1"/>
  <c r="AC290" i="1"/>
  <c r="R450" i="42"/>
  <c r="R449" i="42"/>
  <c r="T258" i="42"/>
  <c r="T257" i="42"/>
  <c r="R293" i="42"/>
  <c r="R294" i="42"/>
  <c r="U32" i="42"/>
  <c r="U256" i="42" s="1" a="1"/>
  <c r="U256" i="42" s="1"/>
  <c r="AA234" i="1"/>
  <c r="AB227" i="1"/>
  <c r="J3" i="7"/>
  <c r="J338" i="7"/>
  <c r="AD365" i="1"/>
  <c r="AD356" i="1"/>
  <c r="AD351" i="1"/>
  <c r="X102" i="1"/>
  <c r="X91" i="1"/>
  <c r="X99" i="1"/>
  <c r="AU12" i="42"/>
  <c r="AU188" i="42" s="1" a="1"/>
  <c r="AU188" i="42" s="1"/>
  <c r="Y188" i="42" a="1"/>
  <c r="Y188" i="42" s="1"/>
  <c r="AR238" i="42"/>
  <c r="AR237" i="42"/>
  <c r="AE94" i="1"/>
  <c r="AE93" i="1"/>
  <c r="V284" i="42" a="1"/>
  <c r="V284" i="42" s="1"/>
  <c r="AS40" i="42"/>
  <c r="AS284" i="42" s="1" a="1"/>
  <c r="AS284" i="42" s="1"/>
  <c r="N370" i="42"/>
  <c r="N369" i="42"/>
  <c r="S361" i="42"/>
  <c r="S362" i="42"/>
  <c r="O370" i="42"/>
  <c r="O369" i="42"/>
  <c r="AC228" i="1"/>
  <c r="AB379" i="1"/>
  <c r="AB294" i="1" s="1"/>
  <c r="AB281" i="1"/>
  <c r="AJ350" i="1"/>
  <c r="AH366" i="1"/>
  <c r="AH378" i="1" s="1"/>
  <c r="AH287" i="1" s="1"/>
  <c r="L115" i="7"/>
  <c r="K114" i="7"/>
  <c r="AH348" i="1"/>
  <c r="AF364" i="1"/>
  <c r="AF376" i="1" s="1"/>
  <c r="AF349" i="1"/>
  <c r="AH161" i="1"/>
  <c r="AH179" i="1"/>
  <c r="AC379" i="1"/>
  <c r="AC294" i="1" s="1"/>
  <c r="AC281" i="1"/>
  <c r="AP10" i="49"/>
  <c r="T237" i="42"/>
  <c r="T238" i="42"/>
  <c r="U75" i="49"/>
  <c r="AN57" i="49"/>
  <c r="AN75" i="49" s="1"/>
  <c r="W288" i="42" a="1"/>
  <c r="W288" i="42" s="1"/>
  <c r="T288" i="42" a="1"/>
  <c r="T288" i="42" s="1"/>
  <c r="AR41" i="42"/>
  <c r="AR288" i="42" s="1" a="1"/>
  <c r="AR288" i="42" s="1"/>
  <c r="J5" i="4"/>
  <c r="AN353" i="42"/>
  <c r="AN354" i="42"/>
  <c r="Y206" i="7"/>
  <c r="Y227" i="7"/>
  <c r="Y164" i="7"/>
  <c r="Y268" i="7"/>
  <c r="Y341" i="7"/>
  <c r="Y373" i="7"/>
  <c r="Y356" i="7"/>
  <c r="Y344" i="7"/>
  <c r="Y145" i="7"/>
  <c r="Y345" i="7"/>
  <c r="Y371" i="7"/>
  <c r="Y191" i="7"/>
  <c r="Y255" i="7"/>
  <c r="Y205" i="7"/>
  <c r="Y348" i="7"/>
  <c r="Y204" i="7"/>
  <c r="Y359" i="7"/>
  <c r="Y346" i="7"/>
  <c r="Y337" i="7"/>
  <c r="Y243" i="7"/>
  <c r="Y168" i="7"/>
  <c r="Y160" i="7"/>
  <c r="Y368" i="7"/>
  <c r="Y352" i="7"/>
  <c r="Y304" i="7"/>
  <c r="Y367" i="7"/>
  <c r="Y151" i="7"/>
  <c r="Y353" i="7"/>
  <c r="Y305" i="7"/>
  <c r="Y370" i="7"/>
  <c r="Y290" i="7"/>
  <c r="Y288" i="7"/>
  <c r="Y141" i="7"/>
  <c r="Y175" i="7"/>
  <c r="Y171" i="7"/>
  <c r="Y365" i="7"/>
  <c r="Y221" i="7"/>
  <c r="Y330" i="7"/>
  <c r="Y210" i="7"/>
  <c r="Y347" i="7"/>
  <c r="Y211" i="7"/>
  <c r="Y357" i="7"/>
  <c r="Y144" i="7"/>
  <c r="Y358" i="7"/>
  <c r="Y366" i="7"/>
  <c r="Y184" i="7"/>
  <c r="Y254" i="7"/>
  <c r="Y270" i="7"/>
  <c r="Y355" i="7"/>
  <c r="Y174" i="7"/>
  <c r="Y372" i="7"/>
  <c r="Y292" i="7"/>
  <c r="Y364" i="7"/>
  <c r="Y155" i="7"/>
  <c r="Y289" i="7"/>
  <c r="Y225" i="7"/>
  <c r="Y146" i="7"/>
  <c r="Y257" i="7"/>
  <c r="Y260" i="7"/>
  <c r="Y286" i="7"/>
  <c r="Y343" i="7"/>
  <c r="Y354" i="7"/>
  <c r="Y291" i="7"/>
  <c r="Y152" i="7"/>
  <c r="Y147" i="7"/>
  <c r="Y342" i="7"/>
  <c r="Y214" i="7"/>
  <c r="Y329" i="7"/>
  <c r="Y369" i="7"/>
  <c r="Y185" i="7"/>
  <c r="Z290" i="1" l="1"/>
  <c r="Z403" i="1"/>
  <c r="Z640" i="1" s="1"/>
  <c r="Z677" i="1" s="1"/>
  <c r="Z406" i="1"/>
  <c r="Z699" i="1" s="1"/>
  <c r="Z701" i="1" s="1"/>
  <c r="I59" i="4"/>
  <c r="I7" i="4"/>
  <c r="I87" i="4"/>
  <c r="I128" i="4"/>
  <c r="I209" i="4"/>
  <c r="I38" i="4"/>
  <c r="I178" i="4"/>
  <c r="I239" i="4"/>
  <c r="K2" i="4"/>
  <c r="J4" i="4"/>
  <c r="AA403" i="1"/>
  <c r="AA640" i="1" s="1"/>
  <c r="AB288" i="1"/>
  <c r="AB290" i="1" s="1"/>
  <c r="AO370" i="42"/>
  <c r="AO82" i="42"/>
  <c r="AO436" i="42" s="1" a="1"/>
  <c r="AO436" i="42" s="1"/>
  <c r="AO437" i="42" s="1"/>
  <c r="AB233" i="1"/>
  <c r="AQ10" i="49"/>
  <c r="K14" i="1"/>
  <c r="K9" i="1" s="1"/>
  <c r="AC96" i="1"/>
  <c r="AF181" i="1"/>
  <c r="AA457" i="1"/>
  <c r="AA648" i="1" s="1"/>
  <c r="AA458" i="1"/>
  <c r="W59" i="49"/>
  <c r="X42" i="42"/>
  <c r="AD251" i="1"/>
  <c r="AD256" i="1"/>
  <c r="AD280" i="1"/>
  <c r="AJ348" i="1"/>
  <c r="AH364" i="1"/>
  <c r="AH376" i="1" s="1"/>
  <c r="AH349" i="1"/>
  <c r="AL350" i="1"/>
  <c r="AJ366" i="1"/>
  <c r="AJ378" i="1" s="1"/>
  <c r="AJ287" i="1" s="1"/>
  <c r="AB9" i="49"/>
  <c r="AC11" i="42"/>
  <c r="AI84" i="1"/>
  <c r="AK78" i="1"/>
  <c r="AI80" i="1"/>
  <c r="AI76" i="1" s="1"/>
  <c r="AS185" i="42"/>
  <c r="AS186" i="42"/>
  <c r="AW378" i="42"/>
  <c r="AW377" i="42"/>
  <c r="Z51" i="49"/>
  <c r="N354" i="42"/>
  <c r="N353" i="42"/>
  <c r="V101" i="49"/>
  <c r="W55" i="42"/>
  <c r="AB694" i="1"/>
  <c r="AB566" i="1"/>
  <c r="AC453" i="1"/>
  <c r="AB190" i="42"/>
  <c r="AB189" i="42"/>
  <c r="AE358" i="1"/>
  <c r="AE367" i="1"/>
  <c r="AO450" i="42"/>
  <c r="AO449" i="42"/>
  <c r="AG94" i="1"/>
  <c r="AG93" i="1"/>
  <c r="V186" i="42"/>
  <c r="V185" i="42"/>
  <c r="V292" i="42" a="1"/>
  <c r="V292" i="42" s="1"/>
  <c r="AS42" i="42"/>
  <c r="AS292" i="42" s="1" a="1"/>
  <c r="AS292" i="42" s="1"/>
  <c r="AQ362" i="42"/>
  <c r="AQ361" i="42"/>
  <c r="AB57" i="49"/>
  <c r="AC40" i="42"/>
  <c r="AI247" i="1"/>
  <c r="AI250" i="1" s="1"/>
  <c r="AI253" i="1"/>
  <c r="AI269" i="1"/>
  <c r="AK244" i="1"/>
  <c r="W300" i="42" a="1"/>
  <c r="W300" i="42" s="1"/>
  <c r="AC539" i="1"/>
  <c r="AB545" i="1"/>
  <c r="AB546" i="1" s="1"/>
  <c r="AB556" i="1" s="1"/>
  <c r="AB550" i="1"/>
  <c r="AB551" i="1" s="1"/>
  <c r="AB557" i="1" s="1"/>
  <c r="AB540" i="1"/>
  <c r="AB555" i="1" s="1"/>
  <c r="T360" i="42" a="1"/>
  <c r="T360" i="42" s="1"/>
  <c r="AR62" i="42"/>
  <c r="AR360" i="42" s="1" a="1"/>
  <c r="AR360" i="42" s="1"/>
  <c r="U77" i="49"/>
  <c r="AN59" i="49"/>
  <c r="AN77" i="49" s="1"/>
  <c r="R361" i="42"/>
  <c r="R362" i="42"/>
  <c r="AS454" i="42"/>
  <c r="AS414" i="42"/>
  <c r="AS330" i="42"/>
  <c r="AS314" i="42"/>
  <c r="AS346" i="42"/>
  <c r="AS254" i="42"/>
  <c r="AS214" i="42"/>
  <c r="AS282" i="42"/>
  <c r="AS182" i="42"/>
  <c r="AS222" i="42"/>
  <c r="AT6" i="42"/>
  <c r="Z85" i="49"/>
  <c r="AA50" i="42"/>
  <c r="V79" i="49"/>
  <c r="AH180" i="1"/>
  <c r="AH181" i="1" s="1"/>
  <c r="AH164" i="1"/>
  <c r="Y185" i="42"/>
  <c r="Y186" i="42"/>
  <c r="V32" i="42"/>
  <c r="V256" i="42" s="1" a="1"/>
  <c r="V256" i="42" s="1"/>
  <c r="AB234" i="1"/>
  <c r="AC227" i="1"/>
  <c r="U258" i="42"/>
  <c r="U257" i="42"/>
  <c r="AC229" i="1"/>
  <c r="AC232" i="1" s="1"/>
  <c r="AB237" i="1"/>
  <c r="Y238" i="42"/>
  <c r="Y237" i="42"/>
  <c r="T11" i="49"/>
  <c r="U13" i="42"/>
  <c r="AA103" i="1"/>
  <c r="AA175" i="1"/>
  <c r="W294" i="42"/>
  <c r="W293" i="42"/>
  <c r="Z60" i="49"/>
  <c r="AA43" i="42"/>
  <c r="AG286" i="1"/>
  <c r="AG288" i="1" s="1"/>
  <c r="U301" i="42"/>
  <c r="U302" i="42"/>
  <c r="AL157" i="1"/>
  <c r="AL160" i="1" s="1"/>
  <c r="AJ163" i="1"/>
  <c r="AF378" i="42"/>
  <c r="AF377" i="42"/>
  <c r="AD228" i="1"/>
  <c r="Y189" i="42"/>
  <c r="Y190" i="42"/>
  <c r="Y9" i="49"/>
  <c r="AP9" i="49" s="1"/>
  <c r="Z11" i="42"/>
  <c r="AF80" i="1"/>
  <c r="AF76" i="1" s="1"/>
  <c r="AF84" i="1"/>
  <c r="AH78" i="1"/>
  <c r="Z59" i="49"/>
  <c r="AA42" i="42"/>
  <c r="AG251" i="1"/>
  <c r="AG280" i="1"/>
  <c r="AG256" i="1"/>
  <c r="U336" i="42" a="1"/>
  <c r="U336" i="42" s="1"/>
  <c r="Y320" i="42" a="1"/>
  <c r="Y320" i="42" s="1"/>
  <c r="AR321" i="42"/>
  <c r="AR322" i="42"/>
  <c r="AU190" i="42"/>
  <c r="AU189" i="42"/>
  <c r="T85" i="42"/>
  <c r="T448" i="42" s="1" a="1"/>
  <c r="T448" i="42" s="1"/>
  <c r="Z560" i="1"/>
  <c r="Z559" i="1"/>
  <c r="AA554" i="1"/>
  <c r="AA558" i="1" s="1"/>
  <c r="AC695" i="1"/>
  <c r="AC487" i="1"/>
  <c r="AD483" i="1"/>
  <c r="Z673" i="1"/>
  <c r="Z387" i="1"/>
  <c r="AA394" i="1"/>
  <c r="AD94" i="1"/>
  <c r="AD93" i="1"/>
  <c r="AP302" i="42"/>
  <c r="AP301" i="42"/>
  <c r="W321" i="42"/>
  <c r="W322" i="42"/>
  <c r="Z58" i="49"/>
  <c r="AA41" i="42"/>
  <c r="AG275" i="1"/>
  <c r="Y296" i="42" a="1"/>
  <c r="Y296" i="42" s="1"/>
  <c r="T111" i="49"/>
  <c r="X95" i="49"/>
  <c r="T321" i="42"/>
  <c r="T322" i="42"/>
  <c r="S192" i="42" a="1"/>
  <c r="S192" i="42" s="1"/>
  <c r="S450" i="42"/>
  <c r="S449" i="42"/>
  <c r="AA565" i="1"/>
  <c r="AA693" i="1"/>
  <c r="AB454" i="1"/>
  <c r="P301" i="42"/>
  <c r="P302" i="42"/>
  <c r="AA284" i="42" a="1"/>
  <c r="AA284" i="42" s="1"/>
  <c r="X78" i="49"/>
  <c r="O47" i="51"/>
  <c r="BP47" i="51" s="1"/>
  <c r="BP30" i="51"/>
  <c r="T290" i="42"/>
  <c r="T289" i="42"/>
  <c r="K5" i="4"/>
  <c r="X184" i="42" a="1"/>
  <c r="X184" i="42" s="1"/>
  <c r="AT11" i="42"/>
  <c r="AT184" i="42" s="1" a="1"/>
  <c r="AT184" i="42" s="1"/>
  <c r="Z75" i="49"/>
  <c r="AC665" i="1"/>
  <c r="AC480" i="1"/>
  <c r="AD479" i="1"/>
  <c r="AG161" i="1"/>
  <c r="AG179" i="1"/>
  <c r="AG181" i="1" s="1"/>
  <c r="R336" i="42" a="1"/>
  <c r="R336" i="42" s="1"/>
  <c r="AQ55" i="42"/>
  <c r="AQ336" i="42" s="1" a="1"/>
  <c r="AQ336" i="42" s="1"/>
  <c r="AK270" i="1"/>
  <c r="AK180" i="1"/>
  <c r="AK164" i="1"/>
  <c r="AJ160" i="1"/>
  <c r="M47" i="51"/>
  <c r="BN47" i="51" s="1"/>
  <c r="BN30" i="51"/>
  <c r="AF467" i="1"/>
  <c r="AG460" i="1"/>
  <c r="N454" i="42"/>
  <c r="N414" i="42"/>
  <c r="N346" i="42"/>
  <c r="N330" i="42"/>
  <c r="N314" i="42"/>
  <c r="N254" i="42"/>
  <c r="N282" i="42"/>
  <c r="N222" i="42"/>
  <c r="N214" i="42"/>
  <c r="O6" i="42"/>
  <c r="N182" i="42"/>
  <c r="AO84" i="42"/>
  <c r="AO444" i="42" s="1" a="1"/>
  <c r="AO444" i="42" s="1"/>
  <c r="AO83" i="42"/>
  <c r="AO440" i="42" s="1" a="1"/>
  <c r="AO440" i="42" s="1"/>
  <c r="AO32" i="42"/>
  <c r="AO256" i="42" s="1" a="1"/>
  <c r="AO256" i="42" s="1"/>
  <c r="AK150" i="1"/>
  <c r="AI160" i="1"/>
  <c r="Q111" i="49"/>
  <c r="AL101" i="49"/>
  <c r="AL111" i="49" s="1"/>
  <c r="AM363" i="1"/>
  <c r="AM375" i="1" s="1"/>
  <c r="AM180" i="1"/>
  <c r="AM164" i="1"/>
  <c r="AN150" i="1"/>
  <c r="AR290" i="42"/>
  <c r="AR289" i="42"/>
  <c r="AA184" i="42" a="1"/>
  <c r="AA184" i="42" s="1"/>
  <c r="AS286" i="42"/>
  <c r="AS285" i="42"/>
  <c r="V296" i="42" a="1"/>
  <c r="V296" i="42" s="1"/>
  <c r="AS43" i="42"/>
  <c r="AS296" i="42" s="1" a="1"/>
  <c r="AS296" i="42" s="1"/>
  <c r="V285" i="42"/>
  <c r="V286" i="42"/>
  <c r="W60" i="49"/>
  <c r="X43" i="42"/>
  <c r="AD286" i="1"/>
  <c r="V288" i="42" a="1"/>
  <c r="V288" i="42" s="1"/>
  <c r="AS41" i="42"/>
  <c r="AS288" i="42" s="1" a="1"/>
  <c r="AS288" i="42" s="1"/>
  <c r="U78" i="49"/>
  <c r="AN60" i="49"/>
  <c r="AN78" i="49" s="1"/>
  <c r="U95" i="49"/>
  <c r="AN85" i="49"/>
  <c r="AN95" i="49" s="1"/>
  <c r="AB686" i="1"/>
  <c r="AC482" i="1"/>
  <c r="AB484" i="1"/>
  <c r="AB488" i="1" s="1"/>
  <c r="AB492" i="1" s="1"/>
  <c r="P336" i="42" a="1"/>
  <c r="P336" i="42" s="1"/>
  <c r="AP55" i="42"/>
  <c r="AP336" i="42" s="1" a="1"/>
  <c r="AP336" i="42" s="1"/>
  <c r="AC704" i="1"/>
  <c r="AE590" i="1"/>
  <c r="Y62" i="42" s="1"/>
  <c r="AE290" i="1"/>
  <c r="S338" i="42"/>
  <c r="S337" i="42"/>
  <c r="Y33" i="49"/>
  <c r="Z26" i="42"/>
  <c r="AF285" i="1"/>
  <c r="AH201" i="1"/>
  <c r="AQ302" i="42"/>
  <c r="AQ301" i="42"/>
  <c r="AE379" i="1"/>
  <c r="AE294" i="1" s="1"/>
  <c r="AE281" i="1"/>
  <c r="AD379" i="1"/>
  <c r="AD294" i="1" s="1"/>
  <c r="AD281" i="1"/>
  <c r="Q11" i="49"/>
  <c r="AL11" i="49" s="1"/>
  <c r="R13" i="42"/>
  <c r="X103" i="1"/>
  <c r="X141" i="1"/>
  <c r="X175" i="1"/>
  <c r="AE95" i="1"/>
  <c r="U76" i="49"/>
  <c r="AN58" i="49"/>
  <c r="AN76" i="49" s="1"/>
  <c r="AB10" i="49"/>
  <c r="AC12" i="42"/>
  <c r="AK79" i="1"/>
  <c r="AI106" i="1"/>
  <c r="AI111" i="1" s="1"/>
  <c r="W297" i="42"/>
  <c r="W298" i="42"/>
  <c r="S61" i="49"/>
  <c r="T44" i="42"/>
  <c r="Z293" i="1"/>
  <c r="Z257" i="1"/>
  <c r="O111" i="49"/>
  <c r="AK101" i="49"/>
  <c r="AK111" i="49" s="1"/>
  <c r="X61" i="49"/>
  <c r="Y44" i="42"/>
  <c r="AE293" i="1"/>
  <c r="AE257" i="1"/>
  <c r="R301" i="42"/>
  <c r="R302" i="42"/>
  <c r="AK350" i="1"/>
  <c r="AI366" i="1"/>
  <c r="AI378" i="1" s="1"/>
  <c r="AI287" i="1" s="1"/>
  <c r="M10" i="1"/>
  <c r="L17" i="1"/>
  <c r="L13" i="1"/>
  <c r="L15" i="1" a="1"/>
  <c r="L15" i="1" s="1"/>
  <c r="L12" i="1" a="1"/>
  <c r="L12" i="1" s="1"/>
  <c r="W85" i="49"/>
  <c r="X50" i="42"/>
  <c r="V320" i="42" a="1"/>
  <c r="V320" i="42" s="1"/>
  <c r="AS50" i="42"/>
  <c r="AS320" i="42" s="1" a="1"/>
  <c r="AS320" i="42" s="1"/>
  <c r="AB90" i="1"/>
  <c r="AB95" i="1"/>
  <c r="AB96" i="1" s="1"/>
  <c r="Z102" i="1"/>
  <c r="Z91" i="1"/>
  <c r="Z99" i="1"/>
  <c r="Y286" i="42"/>
  <c r="Y285" i="42"/>
  <c r="X236" i="42" a="1"/>
  <c r="X236" i="42" s="1"/>
  <c r="AT26" i="42"/>
  <c r="AT236" i="42" s="1" a="1"/>
  <c r="AT236" i="42" s="1"/>
  <c r="AX66" i="42"/>
  <c r="AX376" i="42" s="1" a="1"/>
  <c r="AX376" i="42" s="1"/>
  <c r="AE376" i="42" a="1"/>
  <c r="AE376" i="42" s="1"/>
  <c r="U361" i="42"/>
  <c r="U362" i="42"/>
  <c r="W290" i="42"/>
  <c r="W289" i="42"/>
  <c r="W58" i="49"/>
  <c r="X41" i="42"/>
  <c r="AD275" i="1"/>
  <c r="AD358" i="1"/>
  <c r="AD367" i="1"/>
  <c r="W360" i="42" a="1"/>
  <c r="W360" i="42" s="1"/>
  <c r="Y57" i="49"/>
  <c r="Z40" i="42"/>
  <c r="AF247" i="1"/>
  <c r="AF250" i="1" s="1"/>
  <c r="AF253" i="1"/>
  <c r="AF269" i="1"/>
  <c r="AH244" i="1"/>
  <c r="AV12" i="42"/>
  <c r="AV188" i="42" s="1" a="1"/>
  <c r="AV188" i="42" s="1"/>
  <c r="AA188" i="42" a="1"/>
  <c r="AA188" i="42" s="1"/>
  <c r="V11" i="49"/>
  <c r="W13" i="42"/>
  <c r="AC103" i="1"/>
  <c r="AC175" i="1"/>
  <c r="T292" i="42" a="1"/>
  <c r="T292" i="42" s="1"/>
  <c r="AR42" i="42"/>
  <c r="AR292" i="42" s="1" a="1"/>
  <c r="AR292" i="42" s="1"/>
  <c r="W51" i="49"/>
  <c r="AO33" i="49"/>
  <c r="AO51" i="49" s="1"/>
  <c r="AD149" i="49"/>
  <c r="AS119" i="49"/>
  <c r="AS149" i="49" s="1"/>
  <c r="Y292" i="42" a="1"/>
  <c r="Y292" i="42" s="1"/>
  <c r="AM138" i="1"/>
  <c r="AM177" i="1" s="1"/>
  <c r="AK177" i="1"/>
  <c r="X284" i="42" a="1"/>
  <c r="X284" i="42" s="1"/>
  <c r="AT40" i="42"/>
  <c r="AT284" i="42" s="1" a="1"/>
  <c r="AT284" i="42" s="1"/>
  <c r="M66" i="51"/>
  <c r="BN66" i="51" s="1"/>
  <c r="S77" i="49"/>
  <c r="AM59" i="49"/>
  <c r="AM77" i="49" s="1"/>
  <c r="AS238" i="42"/>
  <c r="AS237" i="42"/>
  <c r="AB33" i="49"/>
  <c r="AC26" i="42"/>
  <c r="AI285" i="1"/>
  <c r="AK201" i="1"/>
  <c r="AC99" i="1"/>
  <c r="X77" i="49"/>
  <c r="AG356" i="1"/>
  <c r="AG351" i="1"/>
  <c r="AG365" i="1"/>
  <c r="AC672" i="1"/>
  <c r="AD422" i="1"/>
  <c r="K3" i="7"/>
  <c r="K338" i="7"/>
  <c r="AF356" i="1"/>
  <c r="AF351" i="1"/>
  <c r="AF365" i="1"/>
  <c r="L114" i="7"/>
  <c r="M115" i="7"/>
  <c r="AL270" i="1"/>
  <c r="W75" i="49"/>
  <c r="AO57" i="49"/>
  <c r="AO75" i="49" s="1"/>
  <c r="AP13" i="42"/>
  <c r="AP192" i="42" s="1" a="1"/>
  <c r="AP192" i="42" s="1"/>
  <c r="P192" i="42" a="1"/>
  <c r="P192" i="42" s="1"/>
  <c r="AR297" i="42"/>
  <c r="AR298" i="42"/>
  <c r="Z96" i="1"/>
  <c r="V238" i="42"/>
  <c r="V237" i="42"/>
  <c r="Y288" i="42" a="1"/>
  <c r="Y288" i="42" s="1"/>
  <c r="AE98" i="1"/>
  <c r="AG276" i="1"/>
  <c r="AG377" i="1"/>
  <c r="AC10" i="49"/>
  <c r="AD12" i="42"/>
  <c r="AD188" i="42" s="1" a="1"/>
  <c r="AD188" i="42" s="1"/>
  <c r="AJ106" i="1"/>
  <c r="AJ111" i="1" s="1"/>
  <c r="AL79" i="1"/>
  <c r="P30" i="49"/>
  <c r="Q23" i="42"/>
  <c r="W183" i="1"/>
  <c r="W203" i="1"/>
  <c r="W268" i="1"/>
  <c r="W193" i="1"/>
  <c r="AF276" i="1"/>
  <c r="AF377" i="1"/>
  <c r="AN363" i="1"/>
  <c r="AN375" i="1" s="1"/>
  <c r="T298" i="42"/>
  <c r="T297" i="42"/>
  <c r="U61" i="49"/>
  <c r="V44" i="42"/>
  <c r="AB293" i="1"/>
  <c r="AB257" i="1"/>
  <c r="AC378" i="42"/>
  <c r="AC377" i="42"/>
  <c r="AA236" i="42" a="1"/>
  <c r="AA236" i="42" s="1"/>
  <c r="AO353" i="42"/>
  <c r="AO354" i="42"/>
  <c r="X76" i="49"/>
  <c r="AK348" i="1"/>
  <c r="AI364" i="1"/>
  <c r="AI376" i="1" s="1"/>
  <c r="AI349" i="1"/>
  <c r="Z255" i="7"/>
  <c r="Z243" i="7"/>
  <c r="Z342" i="7"/>
  <c r="Z204" i="7"/>
  <c r="Z368" i="7"/>
  <c r="Z184" i="7"/>
  <c r="Z353" i="7"/>
  <c r="Z168" i="7"/>
  <c r="Z344" i="7"/>
  <c r="Z304" i="7"/>
  <c r="Z175" i="7"/>
  <c r="Z141" i="7"/>
  <c r="Z373" i="7"/>
  <c r="Z356" i="7"/>
  <c r="Z330" i="7"/>
  <c r="Z371" i="7"/>
  <c r="Z257" i="7"/>
  <c r="Z144" i="7"/>
  <c r="Z205" i="7"/>
  <c r="Z221" i="7"/>
  <c r="Z359" i="7"/>
  <c r="Z372" i="7"/>
  <c r="Z292" i="7"/>
  <c r="Z370" i="7"/>
  <c r="Z227" i="7"/>
  <c r="Z358" i="7"/>
  <c r="Z337" i="7"/>
  <c r="Z225" i="7"/>
  <c r="Z288" i="7"/>
  <c r="Z171" i="7"/>
  <c r="Z346" i="7"/>
  <c r="Z354" i="7"/>
  <c r="Z146" i="7"/>
  <c r="Z291" i="7"/>
  <c r="Z214" i="7"/>
  <c r="Z160" i="7"/>
  <c r="Z347" i="7"/>
  <c r="Z367" i="7"/>
  <c r="Z151" i="7"/>
  <c r="Z210" i="7"/>
  <c r="Z286" i="7"/>
  <c r="Z260" i="7"/>
  <c r="Z357" i="7"/>
  <c r="Z329" i="7"/>
  <c r="Z345" i="7"/>
  <c r="Z145" i="7"/>
  <c r="Z152" i="7"/>
  <c r="Z254" i="7"/>
  <c r="Z290" i="7"/>
  <c r="Z185" i="7"/>
  <c r="Z369" i="7"/>
  <c r="Z211" i="7"/>
  <c r="Z305" i="7"/>
  <c r="Z341" i="7"/>
  <c r="Z366" i="7"/>
  <c r="Z352" i="7"/>
  <c r="Z174" i="7"/>
  <c r="Z343" i="7"/>
  <c r="Z348" i="7"/>
  <c r="Z364" i="7"/>
  <c r="Z147" i="7"/>
  <c r="Z191" i="7"/>
  <c r="Z164" i="7"/>
  <c r="Z355" i="7"/>
  <c r="Z365" i="7"/>
  <c r="Z206" i="7"/>
  <c r="Z268" i="7"/>
  <c r="Z289" i="7"/>
  <c r="Z155" i="7"/>
  <c r="Z270" i="7"/>
  <c r="AA677" i="1" l="1"/>
  <c r="AB590" i="1"/>
  <c r="V62" i="42" s="1"/>
  <c r="AA406" i="1"/>
  <c r="K4" i="4"/>
  <c r="L2" i="4"/>
  <c r="J178" i="4"/>
  <c r="J59" i="4"/>
  <c r="J38" i="4"/>
  <c r="J239" i="4"/>
  <c r="J87" i="4"/>
  <c r="J209" i="4"/>
  <c r="J128" i="4"/>
  <c r="J7" i="4"/>
  <c r="AD288" i="1"/>
  <c r="AD590" i="1" s="1"/>
  <c r="X62" i="42" s="1"/>
  <c r="AO438" i="42"/>
  <c r="Y59" i="49"/>
  <c r="Z42" i="42"/>
  <c r="AF251" i="1"/>
  <c r="AF280" i="1"/>
  <c r="AF256" i="1"/>
  <c r="AG590" i="1"/>
  <c r="AA62" i="42" s="1"/>
  <c r="AG290" i="1"/>
  <c r="V321" i="42"/>
  <c r="V322" i="42"/>
  <c r="S101" i="49"/>
  <c r="T55" i="42"/>
  <c r="R192" i="42" a="1"/>
  <c r="R192" i="42" s="1"/>
  <c r="AQ13" i="42"/>
  <c r="AQ192" i="42" s="1" a="1"/>
  <c r="AQ192" i="42" s="1"/>
  <c r="AF94" i="1"/>
  <c r="AF93" i="1"/>
  <c r="AA296" i="42" a="1"/>
  <c r="AA296" i="42" s="1"/>
  <c r="AB85" i="49"/>
  <c r="AC50" i="42"/>
  <c r="T294" i="42"/>
  <c r="T293" i="42"/>
  <c r="AG358" i="1"/>
  <c r="AG367" i="1"/>
  <c r="AT286" i="42"/>
  <c r="AT285" i="42"/>
  <c r="AE378" i="42"/>
  <c r="AE377" i="42"/>
  <c r="X320" i="42" a="1"/>
  <c r="X320" i="42" s="1"/>
  <c r="AT50" i="42"/>
  <c r="AT320" i="42" s="1" a="1"/>
  <c r="AT320" i="42" s="1"/>
  <c r="M17" i="1"/>
  <c r="M15" i="1" a="1"/>
  <c r="M15" i="1" s="1"/>
  <c r="M13" i="1"/>
  <c r="M12" i="1" a="1"/>
  <c r="M12" i="1" s="1"/>
  <c r="N10" i="1"/>
  <c r="C149" i="4" s="1"/>
  <c r="E207" i="7" s="1"/>
  <c r="T300" i="42" a="1"/>
  <c r="T300" i="42" s="1"/>
  <c r="AR44" i="42"/>
  <c r="AR300" i="42" s="1" a="1"/>
  <c r="AR300" i="42" s="1"/>
  <c r="X296" i="42" a="1"/>
  <c r="X296" i="42" s="1"/>
  <c r="AT43" i="42"/>
  <c r="AT296" i="42" s="1" a="1"/>
  <c r="AT296" i="42" s="1"/>
  <c r="Z78" i="49"/>
  <c r="AA320" i="42" a="1"/>
  <c r="AA320" i="42" s="1"/>
  <c r="AB60" i="49"/>
  <c r="AC43" i="42"/>
  <c r="AI286" i="1"/>
  <c r="AI288" i="1" s="1"/>
  <c r="AL179" i="1"/>
  <c r="AL161" i="1"/>
  <c r="Z76" i="49"/>
  <c r="P48" i="49"/>
  <c r="X285" i="42"/>
  <c r="X286" i="42"/>
  <c r="AX378" i="42"/>
  <c r="AX377" i="42"/>
  <c r="W95" i="49"/>
  <c r="AO85" i="49"/>
  <c r="AO95" i="49" s="1"/>
  <c r="S79" i="49"/>
  <c r="AM61" i="49"/>
  <c r="AM79" i="49" s="1"/>
  <c r="Y360" i="42" a="1"/>
  <c r="Y360" i="42" s="1"/>
  <c r="W78" i="49"/>
  <c r="AO60" i="49"/>
  <c r="AO78" i="49" s="1"/>
  <c r="AJ161" i="1"/>
  <c r="AJ179" i="1"/>
  <c r="Z184" i="42" a="1"/>
  <c r="Z184" i="42" s="1"/>
  <c r="AU11" i="42"/>
  <c r="AU184" i="42" s="1" a="1"/>
  <c r="AU184" i="42" s="1"/>
  <c r="AC233" i="1"/>
  <c r="Z95" i="49"/>
  <c r="AB59" i="49"/>
  <c r="AC42" i="42"/>
  <c r="AI280" i="1"/>
  <c r="AI256" i="1"/>
  <c r="AI251" i="1"/>
  <c r="V360" i="42" a="1"/>
  <c r="V360" i="42" s="1"/>
  <c r="AS62" i="42"/>
  <c r="AS360" i="42" s="1" a="1"/>
  <c r="AS360" i="42" s="1"/>
  <c r="T450" i="42"/>
  <c r="T449" i="42"/>
  <c r="AL348" i="1"/>
  <c r="AJ364" i="1"/>
  <c r="AJ376" i="1" s="1"/>
  <c r="AJ349" i="1"/>
  <c r="U79" i="49"/>
  <c r="AN61" i="49"/>
  <c r="AN79" i="49" s="1"/>
  <c r="W192" i="42" a="1"/>
  <c r="W192" i="42" s="1"/>
  <c r="AT238" i="42"/>
  <c r="AT237" i="42"/>
  <c r="AD704" i="1"/>
  <c r="AQ338" i="42"/>
  <c r="AQ337" i="42"/>
  <c r="AT454" i="42"/>
  <c r="AT346" i="42"/>
  <c r="AT414" i="42"/>
  <c r="AT330" i="42"/>
  <c r="AT314" i="42"/>
  <c r="AT254" i="42"/>
  <c r="AT282" i="42"/>
  <c r="AT214" i="42"/>
  <c r="AT182" i="42"/>
  <c r="AT222" i="42"/>
  <c r="AU6" i="42"/>
  <c r="AB58" i="49"/>
  <c r="AC41" i="42"/>
  <c r="AI275" i="1"/>
  <c r="Q224" i="42" a="1"/>
  <c r="Q224" i="42" s="1"/>
  <c r="P193" i="42"/>
  <c r="P194" i="42"/>
  <c r="AM348" i="1"/>
  <c r="AK364" i="1"/>
  <c r="AK376" i="1" s="1"/>
  <c r="AK349" i="1"/>
  <c r="AN270" i="1"/>
  <c r="AD190" i="42"/>
  <c r="AD189" i="42"/>
  <c r="X238" i="42"/>
  <c r="X237" i="42"/>
  <c r="O454" i="42"/>
  <c r="O414" i="42"/>
  <c r="O346" i="42"/>
  <c r="O330" i="42"/>
  <c r="O314" i="42"/>
  <c r="O254" i="42"/>
  <c r="O282" i="42"/>
  <c r="O222" i="42"/>
  <c r="O214" i="42"/>
  <c r="O182" i="42"/>
  <c r="P6" i="42"/>
  <c r="AP85" i="42" s="1"/>
  <c r="AP448" i="42" s="1" a="1"/>
  <c r="AP448" i="42" s="1"/>
  <c r="R337" i="42"/>
  <c r="R338" i="42"/>
  <c r="AD95" i="1"/>
  <c r="AD96" i="1" s="1"/>
  <c r="AD90" i="1"/>
  <c r="V258" i="42"/>
  <c r="V257" i="42"/>
  <c r="AC284" i="42" a="1"/>
  <c r="AC284" i="42" s="1"/>
  <c r="AA190" i="42"/>
  <c r="AA189" i="42"/>
  <c r="X288" i="42" a="1"/>
  <c r="X288" i="42" s="1"/>
  <c r="AT41" i="42"/>
  <c r="AT288" i="42" s="1" a="1"/>
  <c r="AT288" i="42" s="1"/>
  <c r="AM350" i="1"/>
  <c r="AM366" i="1" s="1"/>
  <c r="AM378" i="1" s="1"/>
  <c r="AM287" i="1" s="1"/>
  <c r="AK366" i="1"/>
  <c r="AK378" i="1" s="1"/>
  <c r="AK287" i="1" s="1"/>
  <c r="AP338" i="42"/>
  <c r="AP337" i="42"/>
  <c r="AB75" i="49"/>
  <c r="AA9" i="49"/>
  <c r="AQ9" i="49" s="1"/>
  <c r="AB11" i="42"/>
  <c r="AH84" i="1"/>
  <c r="AJ78" i="1"/>
  <c r="AH80" i="1"/>
  <c r="AH76" i="1" s="1"/>
  <c r="AG281" i="1"/>
  <c r="AG379" i="1"/>
  <c r="AG294" i="1" s="1"/>
  <c r="AV190" i="42"/>
  <c r="AV189" i="42"/>
  <c r="W76" i="49"/>
  <c r="AO58" i="49"/>
  <c r="AO76" i="49" s="1"/>
  <c r="P337" i="42"/>
  <c r="P338" i="42"/>
  <c r="AM270" i="1"/>
  <c r="Y297" i="42"/>
  <c r="Y298" i="42"/>
  <c r="AA673" i="1"/>
  <c r="AA387" i="1"/>
  <c r="AB394" i="1"/>
  <c r="Y321" i="42"/>
  <c r="Y322" i="42"/>
  <c r="AC694" i="1"/>
  <c r="AC566" i="1"/>
  <c r="AD453" i="1"/>
  <c r="V300" i="42" a="1"/>
  <c r="V300" i="42" s="1"/>
  <c r="AS44" i="42"/>
  <c r="AS300" i="42" s="1" a="1"/>
  <c r="AS300" i="42" s="1"/>
  <c r="V290" i="42"/>
  <c r="V289" i="42"/>
  <c r="AP194" i="42"/>
  <c r="AP193" i="42"/>
  <c r="AF358" i="1"/>
  <c r="AF367" i="1"/>
  <c r="AD33" i="49"/>
  <c r="AE26" i="42"/>
  <c r="AK285" i="1"/>
  <c r="AM201" i="1"/>
  <c r="AD10" i="49"/>
  <c r="AE12" i="42"/>
  <c r="AK106" i="1"/>
  <c r="AK111" i="1" s="1"/>
  <c r="AM79" i="1"/>
  <c r="AM106" i="1" s="1"/>
  <c r="AM111" i="1" s="1"/>
  <c r="AS297" i="42"/>
  <c r="AS298" i="42"/>
  <c r="AD665" i="1"/>
  <c r="AD480" i="1"/>
  <c r="AE479" i="1"/>
  <c r="AB693" i="1"/>
  <c r="AB565" i="1"/>
  <c r="AC454" i="1"/>
  <c r="AC456" i="1" s="1"/>
  <c r="W32" i="42"/>
  <c r="W256" i="42" s="1" a="1"/>
  <c r="W256" i="42" s="1"/>
  <c r="AC234" i="1"/>
  <c r="AD227" i="1"/>
  <c r="U192" i="42" a="1"/>
  <c r="U192" i="42" s="1"/>
  <c r="AR362" i="42"/>
  <c r="AR361" i="42"/>
  <c r="AB456" i="1"/>
  <c r="AD9" i="49"/>
  <c r="AE11" i="42"/>
  <c r="AM78" i="1"/>
  <c r="AK80" i="1"/>
  <c r="AK76" i="1" s="1"/>
  <c r="AK84" i="1"/>
  <c r="W61" i="49"/>
  <c r="X44" i="42"/>
  <c r="AD293" i="1"/>
  <c r="AD257" i="1"/>
  <c r="Y294" i="42"/>
  <c r="Y293" i="42"/>
  <c r="AA57" i="49"/>
  <c r="AB40" i="42"/>
  <c r="AH247" i="1"/>
  <c r="AH250" i="1" s="1"/>
  <c r="AH253" i="1"/>
  <c r="AH269" i="1"/>
  <c r="AJ244" i="1"/>
  <c r="AW12" i="42"/>
  <c r="AW188" i="42" s="1" a="1"/>
  <c r="AW188" i="42" s="1"/>
  <c r="AC188" i="42" a="1"/>
  <c r="AC188" i="42" s="1"/>
  <c r="AD482" i="1"/>
  <c r="AD486" i="1" s="1"/>
  <c r="AC484" i="1"/>
  <c r="AC488" i="1" s="1"/>
  <c r="AC492" i="1" s="1"/>
  <c r="AC686" i="1"/>
  <c r="V297" i="42"/>
  <c r="V298" i="42"/>
  <c r="U337" i="42"/>
  <c r="U338" i="42"/>
  <c r="AE228" i="1"/>
  <c r="T361" i="42"/>
  <c r="T362" i="42"/>
  <c r="AS294" i="42"/>
  <c r="AS293" i="42"/>
  <c r="AI93" i="1"/>
  <c r="AI94" i="1"/>
  <c r="AF281" i="1"/>
  <c r="AF379" i="1"/>
  <c r="AF294" i="1" s="1"/>
  <c r="AA238" i="42"/>
  <c r="AA237" i="42"/>
  <c r="AF98" i="1"/>
  <c r="AE99" i="1"/>
  <c r="L338" i="7"/>
  <c r="L3" i="7"/>
  <c r="AC236" i="42" a="1"/>
  <c r="AC236" i="42" s="1"/>
  <c r="Y85" i="49"/>
  <c r="Z50" i="42"/>
  <c r="S11" i="49"/>
  <c r="AM11" i="49" s="1"/>
  <c r="T13" i="42"/>
  <c r="Z103" i="1"/>
  <c r="Z175" i="1"/>
  <c r="X101" i="49"/>
  <c r="Y55" i="42"/>
  <c r="AR10" i="49"/>
  <c r="AI161" i="1"/>
  <c r="AI179" i="1"/>
  <c r="AI181" i="1" s="1"/>
  <c r="AC486" i="1"/>
  <c r="AD695" i="1"/>
  <c r="AD487" i="1"/>
  <c r="AE483" i="1"/>
  <c r="V294" i="42"/>
  <c r="V293" i="42"/>
  <c r="AC184" i="42" a="1"/>
  <c r="AC184" i="42" s="1"/>
  <c r="X292" i="42" a="1"/>
  <c r="X292" i="42" s="1"/>
  <c r="AT42" i="42"/>
  <c r="AT292" i="42" s="1" a="1"/>
  <c r="AT292" i="42" s="1"/>
  <c r="Y290" i="42"/>
  <c r="Y289" i="42"/>
  <c r="AB51" i="49"/>
  <c r="Y60" i="49"/>
  <c r="Z43" i="42"/>
  <c r="AF286" i="1"/>
  <c r="AB91" i="1"/>
  <c r="AB102" i="1"/>
  <c r="AB99" i="1"/>
  <c r="Y300" i="42" a="1"/>
  <c r="Y300" i="42" s="1"/>
  <c r="AA33" i="49"/>
  <c r="AB26" i="42"/>
  <c r="AH285" i="1"/>
  <c r="AJ201" i="1"/>
  <c r="AM150" i="1"/>
  <c r="AM160" i="1" s="1"/>
  <c r="AK160" i="1"/>
  <c r="AA286" i="42"/>
  <c r="AA285" i="42"/>
  <c r="Z61" i="49"/>
  <c r="AA44" i="42"/>
  <c r="AG293" i="1"/>
  <c r="AG257" i="1"/>
  <c r="W336" i="42" a="1"/>
  <c r="W336" i="42" s="1"/>
  <c r="W77" i="49"/>
  <c r="AO59" i="49"/>
  <c r="AO77" i="49" s="1"/>
  <c r="AD57" i="49"/>
  <c r="AE40" i="42"/>
  <c r="AK247" i="1"/>
  <c r="AK250" i="1" s="1"/>
  <c r="AK253" i="1"/>
  <c r="AK269" i="1"/>
  <c r="AM244" i="1"/>
  <c r="AI356" i="1"/>
  <c r="AI351" i="1"/>
  <c r="AI365" i="1"/>
  <c r="P32" i="49"/>
  <c r="Q25" i="42"/>
  <c r="W185" i="1"/>
  <c r="W279" i="1"/>
  <c r="W210" i="1"/>
  <c r="X79" i="49"/>
  <c r="AA185" i="42"/>
  <c r="AA186" i="42"/>
  <c r="AO258" i="42"/>
  <c r="AO257" i="42"/>
  <c r="AJ180" i="1"/>
  <c r="AJ164" i="1"/>
  <c r="V111" i="49"/>
  <c r="W362" i="42"/>
  <c r="W361" i="42"/>
  <c r="AE10" i="49"/>
  <c r="AF12" i="42"/>
  <c r="AF188" i="42" s="1" a="1"/>
  <c r="AF188" i="42" s="1"/>
  <c r="AL106" i="1"/>
  <c r="AL111" i="1" s="1"/>
  <c r="AN79" i="1"/>
  <c r="AN106" i="1" s="1"/>
  <c r="AN111" i="1" s="1"/>
  <c r="P84" i="49"/>
  <c r="N17" i="51"/>
  <c r="BO17" i="51" s="1"/>
  <c r="Q49" i="42"/>
  <c r="W271" i="1"/>
  <c r="N115" i="7"/>
  <c r="M114" i="7"/>
  <c r="Y58" i="49"/>
  <c r="Z41" i="42"/>
  <c r="AF275" i="1"/>
  <c r="AE102" i="1"/>
  <c r="Z236" i="42" a="1"/>
  <c r="Z236" i="42" s="1"/>
  <c r="AU26" i="42"/>
  <c r="AU236" i="42" s="1" a="1"/>
  <c r="AU236" i="42" s="1"/>
  <c r="AO441" i="42"/>
  <c r="AO442" i="42"/>
  <c r="U85" i="42"/>
  <c r="U448" i="42" s="1" a="1"/>
  <c r="U448" i="42" s="1"/>
  <c r="AA560" i="1"/>
  <c r="AB554" i="1"/>
  <c r="AB558" i="1" s="1"/>
  <c r="AA559" i="1"/>
  <c r="AN157" i="1"/>
  <c r="AN163" i="1" s="1"/>
  <c r="AL163" i="1"/>
  <c r="AD229" i="1"/>
  <c r="AD232" i="1" s="1"/>
  <c r="AC237" i="1"/>
  <c r="AD539" i="1"/>
  <c r="AC550" i="1"/>
  <c r="AC551" i="1" s="1"/>
  <c r="AC557" i="1" s="1"/>
  <c r="AC540" i="1"/>
  <c r="AC555" i="1" s="1"/>
  <c r="AC545" i="1"/>
  <c r="AC546" i="1" s="1"/>
  <c r="AC556" i="1" s="1"/>
  <c r="AN350" i="1"/>
  <c r="AN366" i="1" s="1"/>
  <c r="AN378" i="1" s="1"/>
  <c r="AN287" i="1" s="1"/>
  <c r="AL366" i="1"/>
  <c r="AL378" i="1" s="1"/>
  <c r="AL287" i="1" s="1"/>
  <c r="AS321" i="42"/>
  <c r="AS322" i="42"/>
  <c r="AI276" i="1"/>
  <c r="AI377" i="1"/>
  <c r="Z284" i="42" a="1"/>
  <c r="Z284" i="42" s="1"/>
  <c r="AU40" i="42"/>
  <c r="AU284" i="42" s="1" a="1"/>
  <c r="AU284" i="42" s="1"/>
  <c r="L14" i="1"/>
  <c r="L9" i="1" s="1"/>
  <c r="O66" i="51"/>
  <c r="BP66" i="51" s="1"/>
  <c r="X178" i="1"/>
  <c r="Y51" i="49"/>
  <c r="AP33" i="49"/>
  <c r="AP51" i="49" s="1"/>
  <c r="AO446" i="42"/>
  <c r="AO445" i="42"/>
  <c r="AT185" i="42"/>
  <c r="AT186" i="42"/>
  <c r="L5" i="4"/>
  <c r="AA292" i="42" a="1"/>
  <c r="AA292" i="42" s="1"/>
  <c r="W302" i="42"/>
  <c r="W301" i="42"/>
  <c r="AH365" i="1"/>
  <c r="AH356" i="1"/>
  <c r="AH351" i="1"/>
  <c r="U101" i="49"/>
  <c r="V55" i="42"/>
  <c r="AD672" i="1"/>
  <c r="AE422" i="1"/>
  <c r="AR294" i="42"/>
  <c r="AR293" i="42"/>
  <c r="Y75" i="49"/>
  <c r="AP57" i="49"/>
  <c r="AP75" i="49" s="1"/>
  <c r="AE96" i="1"/>
  <c r="AS289" i="42"/>
  <c r="AS290" i="42"/>
  <c r="AG467" i="1"/>
  <c r="AH460" i="1"/>
  <c r="X186" i="42"/>
  <c r="X185" i="42"/>
  <c r="S194" i="42"/>
  <c r="S193" i="42"/>
  <c r="AA288" i="42" a="1"/>
  <c r="AA288" i="42" s="1"/>
  <c r="Z77" i="49"/>
  <c r="AG95" i="1"/>
  <c r="AH276" i="1"/>
  <c r="AH377" i="1"/>
  <c r="AA214" i="7"/>
  <c r="AA373" i="7"/>
  <c r="AA341" i="7"/>
  <c r="AA145" i="7"/>
  <c r="AA227" i="7"/>
  <c r="AA243" i="7"/>
  <c r="AA356" i="7"/>
  <c r="AA330" i="7"/>
  <c r="AA305" i="7"/>
  <c r="AA290" i="7"/>
  <c r="AA365" i="7"/>
  <c r="AA288" i="7"/>
  <c r="AA225" i="7"/>
  <c r="AA289" i="7"/>
  <c r="AA205" i="7"/>
  <c r="AA345" i="7"/>
  <c r="AA366" i="7"/>
  <c r="AA268" i="7"/>
  <c r="AA257" i="7"/>
  <c r="AA151" i="7"/>
  <c r="AA343" i="7"/>
  <c r="AA174" i="7"/>
  <c r="AA141" i="7"/>
  <c r="AA164" i="7"/>
  <c r="AA146" i="7"/>
  <c r="AA367" i="7"/>
  <c r="AA354" i="7"/>
  <c r="AA368" i="7"/>
  <c r="AA291" i="7"/>
  <c r="AA353" i="7"/>
  <c r="AA355" i="7"/>
  <c r="AA369" i="7"/>
  <c r="AA344" i="7"/>
  <c r="AA342" i="7"/>
  <c r="AA371" i="7"/>
  <c r="AA286" i="7"/>
  <c r="AA270" i="7"/>
  <c r="AA359" i="7"/>
  <c r="AA352" i="7"/>
  <c r="AA204" i="7"/>
  <c r="AA206" i="7"/>
  <c r="AA171" i="7"/>
  <c r="S207" i="7"/>
  <c r="AA168" i="7"/>
  <c r="AA175" i="7"/>
  <c r="AA144" i="7"/>
  <c r="AA304" i="7"/>
  <c r="AA358" i="7"/>
  <c r="AA185" i="7"/>
  <c r="AA211" i="7"/>
  <c r="AA292" i="7"/>
  <c r="AA348" i="7"/>
  <c r="AA260" i="7"/>
  <c r="AA160" i="7"/>
  <c r="AA329" i="7"/>
  <c r="AA255" i="7"/>
  <c r="AA372" i="7"/>
  <c r="AA152" i="7"/>
  <c r="AA337" i="7"/>
  <c r="AA357" i="7"/>
  <c r="AA364" i="7"/>
  <c r="AA210" i="7"/>
  <c r="AA347" i="7"/>
  <c r="AA147" i="7"/>
  <c r="AA346" i="7"/>
  <c r="AA370" i="7"/>
  <c r="AA191" i="7"/>
  <c r="AA184" i="7"/>
  <c r="AA155" i="7"/>
  <c r="AA254" i="7"/>
  <c r="AA221" i="7"/>
  <c r="AA699" i="1" l="1"/>
  <c r="AA701" i="1" s="1"/>
  <c r="AB403" i="1"/>
  <c r="AB640" i="1" s="1"/>
  <c r="AB677" i="1" s="1"/>
  <c r="AD290" i="1"/>
  <c r="M2" i="4"/>
  <c r="L4" i="4"/>
  <c r="K7" i="4"/>
  <c r="K239" i="4"/>
  <c r="K59" i="4"/>
  <c r="K87" i="4"/>
  <c r="K38" i="4"/>
  <c r="K209" i="4"/>
  <c r="K128" i="4"/>
  <c r="K178" i="4"/>
  <c r="AF288" i="1"/>
  <c r="AF590" i="1" s="1"/>
  <c r="Z62" i="42" s="1"/>
  <c r="C235" i="4"/>
  <c r="C217" i="4"/>
  <c r="BU63" i="51" s="1"/>
  <c r="C147" i="4"/>
  <c r="E202" i="7" s="1"/>
  <c r="C161" i="4"/>
  <c r="E222" i="7" s="1"/>
  <c r="C140" i="4"/>
  <c r="E188" i="7" s="1"/>
  <c r="C155" i="4"/>
  <c r="E213" i="7" s="1"/>
  <c r="C180" i="4"/>
  <c r="E285" i="7" s="1"/>
  <c r="C142" i="4"/>
  <c r="E194" i="7" s="1"/>
  <c r="C232" i="4"/>
  <c r="BU77" i="51" s="1"/>
  <c r="C163" i="4"/>
  <c r="E224" i="7" s="1"/>
  <c r="C156" i="4"/>
  <c r="E215" i="7" s="1"/>
  <c r="C162" i="4"/>
  <c r="E223" i="7" s="1"/>
  <c r="C137" i="4"/>
  <c r="AI95" i="1"/>
  <c r="AI96" i="1" s="1"/>
  <c r="M14" i="1"/>
  <c r="M9" i="1" s="1"/>
  <c r="C154" i="4"/>
  <c r="E212" i="7" s="1"/>
  <c r="C153" i="4"/>
  <c r="E209" i="7" s="1"/>
  <c r="X32" i="42"/>
  <c r="X256" i="42" s="1" a="1"/>
  <c r="X256" i="42" s="1"/>
  <c r="AD234" i="1"/>
  <c r="AE227" i="1"/>
  <c r="AD59" i="49"/>
  <c r="AE42" i="42"/>
  <c r="AK280" i="1"/>
  <c r="AK256" i="1"/>
  <c r="AK251" i="1"/>
  <c r="AA59" i="49"/>
  <c r="AB42" i="42"/>
  <c r="AH251" i="1"/>
  <c r="AH280" i="1"/>
  <c r="AH256" i="1"/>
  <c r="M5" i="4"/>
  <c r="P86" i="49"/>
  <c r="N19" i="51"/>
  <c r="BO19" i="51" s="1"/>
  <c r="Q51" i="42"/>
  <c r="N6" i="51"/>
  <c r="BO6" i="51" s="1"/>
  <c r="W502" i="1"/>
  <c r="W386" i="1"/>
  <c r="W585" i="1"/>
  <c r="W414" i="1"/>
  <c r="W272" i="1"/>
  <c r="W289" i="1"/>
  <c r="AD60" i="49"/>
  <c r="AE43" i="42"/>
  <c r="AK286" i="1"/>
  <c r="AK288" i="1" s="1"/>
  <c r="AA60" i="49"/>
  <c r="AB43" i="42"/>
  <c r="AH286" i="1"/>
  <c r="AH288" i="1" s="1"/>
  <c r="AB457" i="1"/>
  <c r="AB648" i="1" s="1"/>
  <c r="AB458" i="1"/>
  <c r="W258" i="42"/>
  <c r="W257" i="42"/>
  <c r="AC9" i="49"/>
  <c r="AR9" i="49" s="1"/>
  <c r="AD11" i="42"/>
  <c r="AL78" i="1"/>
  <c r="AJ80" i="1"/>
  <c r="AJ76" i="1" s="1"/>
  <c r="AJ84" i="1"/>
  <c r="AC288" i="42" a="1"/>
  <c r="AC288" i="42" s="1"/>
  <c r="M466" i="1"/>
  <c r="M504" i="1"/>
  <c r="M509" i="1"/>
  <c r="M460" i="1"/>
  <c r="M515" i="1"/>
  <c r="AA294" i="42"/>
  <c r="AA293" i="42"/>
  <c r="Y76" i="49"/>
  <c r="AP58" i="49"/>
  <c r="AP76" i="49" s="1"/>
  <c r="M3" i="7"/>
  <c r="M338" i="7"/>
  <c r="Q316" i="42" a="1"/>
  <c r="Q316" i="42" s="1"/>
  <c r="AC33" i="49"/>
  <c r="AD26" i="42"/>
  <c r="AJ285" i="1"/>
  <c r="AL201" i="1"/>
  <c r="AE695" i="1"/>
  <c r="AE487" i="1"/>
  <c r="AF483" i="1"/>
  <c r="AC693" i="1"/>
  <c r="AC565" i="1"/>
  <c r="AD454" i="1"/>
  <c r="AD456" i="1" s="1"/>
  <c r="AH93" i="1"/>
  <c r="AH94" i="1"/>
  <c r="AB76" i="49"/>
  <c r="Z288" i="42" a="1"/>
  <c r="Z288" i="42" s="1"/>
  <c r="AU41" i="42"/>
  <c r="AU288" i="42" s="1" a="1"/>
  <c r="AU288" i="42" s="1"/>
  <c r="AU286" i="42"/>
  <c r="AU285" i="42"/>
  <c r="AD58" i="49"/>
  <c r="AE41" i="42"/>
  <c r="AK275" i="1"/>
  <c r="AT294" i="42"/>
  <c r="AT293" i="42"/>
  <c r="AG98" i="1"/>
  <c r="AG102" i="1" s="1"/>
  <c r="AA58" i="49"/>
  <c r="AB41" i="42"/>
  <c r="AH275" i="1"/>
  <c r="AB184" i="42" a="1"/>
  <c r="AB184" i="42" s="1"/>
  <c r="AV11" i="42"/>
  <c r="AV184" i="42" s="1" a="1"/>
  <c r="AV184" i="42" s="1"/>
  <c r="P454" i="42"/>
  <c r="P414" i="42"/>
  <c r="P346" i="42"/>
  <c r="P330" i="42"/>
  <c r="P282" i="42"/>
  <c r="P314" i="42"/>
  <c r="P254" i="42"/>
  <c r="P222" i="42"/>
  <c r="P214" i="42"/>
  <c r="Q6" i="42"/>
  <c r="P182" i="42"/>
  <c r="Y362" i="42"/>
  <c r="Y361" i="42"/>
  <c r="AT322" i="42"/>
  <c r="AT321" i="42"/>
  <c r="AN160" i="1"/>
  <c r="AE672" i="1"/>
  <c r="AF422" i="1"/>
  <c r="Z286" i="42"/>
  <c r="Z285" i="42"/>
  <c r="P94" i="49"/>
  <c r="AE284" i="42" a="1"/>
  <c r="AE284" i="42" s="1"/>
  <c r="Z101" i="49"/>
  <c r="AA55" i="42"/>
  <c r="AB236" i="42" a="1"/>
  <c r="AB236" i="42" s="1"/>
  <c r="AV26" i="42"/>
  <c r="AV236" i="42" s="1" a="1"/>
  <c r="AV236" i="42" s="1"/>
  <c r="X294" i="42"/>
  <c r="X293" i="42"/>
  <c r="AB284" i="42" a="1"/>
  <c r="AB284" i="42" s="1"/>
  <c r="AV40" i="42"/>
  <c r="AV284" i="42" s="1" a="1"/>
  <c r="AV284" i="42" s="1"/>
  <c r="AU454" i="42"/>
  <c r="AU346" i="42"/>
  <c r="AU414" i="42"/>
  <c r="AU314" i="42"/>
  <c r="AU330" i="42"/>
  <c r="AU282" i="42"/>
  <c r="AU254" i="42"/>
  <c r="AU214" i="42"/>
  <c r="AU182" i="42"/>
  <c r="AU222" i="42"/>
  <c r="AV6" i="42"/>
  <c r="AE704" i="1"/>
  <c r="AS361" i="42"/>
  <c r="AS362" i="42"/>
  <c r="AU185" i="42"/>
  <c r="AU186" i="42"/>
  <c r="X321" i="42"/>
  <c r="X322" i="42"/>
  <c r="AQ194" i="42"/>
  <c r="AQ193" i="42"/>
  <c r="AI281" i="1"/>
  <c r="AI379" i="1"/>
  <c r="AI294" i="1" s="1"/>
  <c r="AD75" i="49"/>
  <c r="AA300" i="42" a="1"/>
  <c r="AA300" i="42" s="1"/>
  <c r="AA51" i="49"/>
  <c r="AQ33" i="49"/>
  <c r="AQ51" i="49" s="1"/>
  <c r="AC185" i="42"/>
  <c r="AC186" i="42"/>
  <c r="Y336" i="42" a="1"/>
  <c r="Y336" i="42" s="1"/>
  <c r="AA75" i="49"/>
  <c r="AQ57" i="49"/>
  <c r="AQ75" i="49" s="1"/>
  <c r="AX12" i="42"/>
  <c r="AX188" i="42" s="1" a="1"/>
  <c r="AX188" i="42" s="1"/>
  <c r="AE188" i="42" a="1"/>
  <c r="AE188" i="42" s="1"/>
  <c r="V362" i="42"/>
  <c r="V361" i="42"/>
  <c r="Z185" i="42"/>
  <c r="Z186" i="42"/>
  <c r="R193" i="42"/>
  <c r="R194" i="42"/>
  <c r="X111" i="49"/>
  <c r="AS10" i="49"/>
  <c r="AS302" i="42"/>
  <c r="AS301" i="42"/>
  <c r="AK365" i="1"/>
  <c r="AK356" i="1"/>
  <c r="AK351" i="1"/>
  <c r="T336" i="42" a="1"/>
  <c r="T336" i="42" s="1"/>
  <c r="AR55" i="42"/>
  <c r="AR336" i="42" s="1" a="1"/>
  <c r="AR336" i="42" s="1"/>
  <c r="AA360" i="42" a="1"/>
  <c r="AA360" i="42" s="1"/>
  <c r="W194" i="42"/>
  <c r="W193" i="42"/>
  <c r="AB61" i="49"/>
  <c r="AC44" i="42"/>
  <c r="AI293" i="1"/>
  <c r="AI257" i="1"/>
  <c r="S111" i="49"/>
  <c r="AM101" i="49"/>
  <c r="AM111" i="49" s="1"/>
  <c r="N21" i="51"/>
  <c r="W282" i="1"/>
  <c r="AD566" i="1"/>
  <c r="AD694" i="1"/>
  <c r="AE453" i="1"/>
  <c r="AM364" i="1"/>
  <c r="AM376" i="1" s="1"/>
  <c r="AM349" i="1"/>
  <c r="AC296" i="42" a="1"/>
  <c r="AC296" i="42" s="1"/>
  <c r="Y61" i="49"/>
  <c r="Z44" i="42"/>
  <c r="AF293" i="1"/>
  <c r="AF257" i="1"/>
  <c r="AF190" i="42"/>
  <c r="AF189" i="42"/>
  <c r="AH358" i="1"/>
  <c r="AH367" i="1"/>
  <c r="AC292" i="42" a="1"/>
  <c r="AC292" i="42" s="1"/>
  <c r="AB78" i="49"/>
  <c r="V302" i="42"/>
  <c r="V301" i="42"/>
  <c r="X11" i="49"/>
  <c r="Y13" i="42"/>
  <c r="AE175" i="1"/>
  <c r="AE103" i="1"/>
  <c r="Q232" i="42" a="1"/>
  <c r="Q232" i="42" s="1"/>
  <c r="U11" i="49"/>
  <c r="AN11" i="49" s="1"/>
  <c r="V13" i="42"/>
  <c r="AB103" i="1"/>
  <c r="AB175" i="1"/>
  <c r="T192" i="42" a="1"/>
  <c r="T192" i="42" s="1"/>
  <c r="AR13" i="42"/>
  <c r="AR192" i="42" s="1" a="1"/>
  <c r="AR192" i="42" s="1"/>
  <c r="X300" i="42" a="1"/>
  <c r="X300" i="42" s="1"/>
  <c r="AT44" i="42"/>
  <c r="AT300" i="42" s="1" a="1"/>
  <c r="AT300" i="42" s="1"/>
  <c r="AB673" i="1"/>
  <c r="AB387" i="1"/>
  <c r="AC394" i="1"/>
  <c r="AT289" i="42"/>
  <c r="AT290" i="42"/>
  <c r="AB77" i="49"/>
  <c r="AA322" i="42"/>
  <c r="AA321" i="42"/>
  <c r="V336" i="42" a="1"/>
  <c r="V336" i="42" s="1"/>
  <c r="AS55" i="42"/>
  <c r="AS336" i="42" s="1" a="1"/>
  <c r="AS336" i="42" s="1"/>
  <c r="Y302" i="42"/>
  <c r="Y301" i="42"/>
  <c r="P31" i="49"/>
  <c r="Q24" i="42"/>
  <c r="W274" i="1"/>
  <c r="W277" i="1" s="1"/>
  <c r="W186" i="1"/>
  <c r="W101" i="49"/>
  <c r="X55" i="42"/>
  <c r="V85" i="42"/>
  <c r="V448" i="42" s="1" a="1"/>
  <c r="V448" i="42" s="1"/>
  <c r="AB559" i="1"/>
  <c r="AC554" i="1"/>
  <c r="AC558" i="1" s="1"/>
  <c r="AB560" i="1"/>
  <c r="N114" i="7"/>
  <c r="O115" i="7"/>
  <c r="P50" i="49"/>
  <c r="AF228" i="1"/>
  <c r="W79" i="49"/>
  <c r="AO61" i="49"/>
  <c r="AO79" i="49" s="1"/>
  <c r="X290" i="42"/>
  <c r="X289" i="42"/>
  <c r="Q226" i="42"/>
  <c r="Q225" i="42"/>
  <c r="AJ356" i="1"/>
  <c r="AJ351" i="1"/>
  <c r="AJ365" i="1"/>
  <c r="Z292" i="42" a="1"/>
  <c r="Z292" i="42" s="1"/>
  <c r="AU42" i="42"/>
  <c r="AU292" i="42" s="1" a="1"/>
  <c r="AU292" i="42" s="1"/>
  <c r="Z79" i="49"/>
  <c r="AI590" i="1"/>
  <c r="AC62" i="42" s="1"/>
  <c r="AI290" i="1"/>
  <c r="AE665" i="1"/>
  <c r="AE480" i="1"/>
  <c r="AF479" i="1"/>
  <c r="AU238" i="42"/>
  <c r="AU237" i="42"/>
  <c r="Z238" i="42"/>
  <c r="Z237" i="42"/>
  <c r="AC457" i="1"/>
  <c r="AC648" i="1" s="1"/>
  <c r="AC458" i="1"/>
  <c r="AH467" i="1"/>
  <c r="AI460" i="1"/>
  <c r="AA289" i="42"/>
  <c r="AA290" i="42"/>
  <c r="U450" i="42"/>
  <c r="U449" i="42"/>
  <c r="Z320" i="42" a="1"/>
  <c r="Z320" i="42" s="1"/>
  <c r="AU50" i="42"/>
  <c r="AU320" i="42" s="1" a="1"/>
  <c r="AU320" i="42" s="1"/>
  <c r="AD686" i="1"/>
  <c r="AD484" i="1"/>
  <c r="AD488" i="1" s="1"/>
  <c r="AD492" i="1" s="1"/>
  <c r="AE482" i="1"/>
  <c r="AK93" i="1"/>
  <c r="AK94" i="1"/>
  <c r="AM285" i="1"/>
  <c r="AJ276" i="1"/>
  <c r="AJ377" i="1"/>
  <c r="Y77" i="49"/>
  <c r="AP59" i="49"/>
  <c r="AP77" i="49" s="1"/>
  <c r="AE229" i="1"/>
  <c r="AE232" i="1" s="1"/>
  <c r="AD237" i="1"/>
  <c r="AI367" i="1"/>
  <c r="AI358" i="1"/>
  <c r="Z296" i="42" a="1"/>
  <c r="Z296" i="42" s="1"/>
  <c r="AU43" i="42"/>
  <c r="AU296" i="42" s="1" a="1"/>
  <c r="AU296" i="42" s="1"/>
  <c r="Y95" i="49"/>
  <c r="AP85" i="49"/>
  <c r="AP95" i="49" s="1"/>
  <c r="AC190" i="42"/>
  <c r="AC189" i="42"/>
  <c r="U194" i="42"/>
  <c r="U193" i="42"/>
  <c r="AN348" i="1"/>
  <c r="AL364" i="1"/>
  <c r="AL376" i="1" s="1"/>
  <c r="AL349" i="1"/>
  <c r="AJ181" i="1"/>
  <c r="AT297" i="42"/>
  <c r="AT298" i="42"/>
  <c r="N15" i="1" a="1"/>
  <c r="N15" i="1" s="1"/>
  <c r="N12" i="1" a="1"/>
  <c r="N12" i="1" s="1"/>
  <c r="N13" i="1"/>
  <c r="O10" i="1"/>
  <c r="N17" i="1"/>
  <c r="AC320" i="42" a="1"/>
  <c r="AC320" i="42" s="1"/>
  <c r="AA297" i="42"/>
  <c r="AA298" i="42"/>
  <c r="AL180" i="1"/>
  <c r="AL181" i="1" s="1"/>
  <c r="AL164" i="1"/>
  <c r="AE539" i="1"/>
  <c r="AD550" i="1"/>
  <c r="AD551" i="1" s="1"/>
  <c r="AD557" i="1" s="1"/>
  <c r="AD540" i="1"/>
  <c r="AD555" i="1" s="1"/>
  <c r="AD545" i="1"/>
  <c r="AD546" i="1" s="1"/>
  <c r="AD556" i="1" s="1"/>
  <c r="Y78" i="49"/>
  <c r="AP60" i="49"/>
  <c r="AP78" i="49" s="1"/>
  <c r="AC237" i="42"/>
  <c r="AC238" i="42"/>
  <c r="AW190" i="42"/>
  <c r="AW189" i="42"/>
  <c r="AM80" i="1"/>
  <c r="AM76" i="1" s="1"/>
  <c r="AM84" i="1"/>
  <c r="AE236" i="42" a="1"/>
  <c r="AE236" i="42" s="1"/>
  <c r="AC286" i="42"/>
  <c r="AC285" i="42"/>
  <c r="X297" i="42"/>
  <c r="X298" i="42"/>
  <c r="AB95" i="49"/>
  <c r="U111" i="49"/>
  <c r="AN101" i="49"/>
  <c r="AN111" i="49" s="1"/>
  <c r="P34" i="49"/>
  <c r="Q27" i="42"/>
  <c r="W292" i="1"/>
  <c r="W211" i="1"/>
  <c r="W212" i="1"/>
  <c r="AK276" i="1"/>
  <c r="AK377" i="1"/>
  <c r="AP450" i="42"/>
  <c r="AP449" i="42"/>
  <c r="AM253" i="1"/>
  <c r="AM286" i="1" s="1"/>
  <c r="AM269" i="1"/>
  <c r="AM247" i="1"/>
  <c r="AM275" i="1" s="1"/>
  <c r="AK179" i="1"/>
  <c r="AK181" i="1" s="1"/>
  <c r="AK161" i="1"/>
  <c r="AC57" i="49"/>
  <c r="AD40" i="42"/>
  <c r="AJ247" i="1"/>
  <c r="AJ250" i="1" s="1"/>
  <c r="AJ253" i="1"/>
  <c r="AJ269" i="1"/>
  <c r="AL244" i="1"/>
  <c r="AE184" i="42" a="1"/>
  <c r="AE184" i="42" s="1"/>
  <c r="AD233" i="1"/>
  <c r="AD51" i="49"/>
  <c r="AG96" i="1"/>
  <c r="AP32" i="42"/>
  <c r="AP256" i="42" s="1" a="1"/>
  <c r="AP256" i="42" s="1"/>
  <c r="AR302" i="42"/>
  <c r="AR301" i="42"/>
  <c r="AF95" i="1"/>
  <c r="AF99" i="1" s="1"/>
  <c r="AF90" i="1"/>
  <c r="AN164" i="1"/>
  <c r="AN180" i="1"/>
  <c r="W338" i="42"/>
  <c r="W337" i="42"/>
  <c r="AH281" i="1"/>
  <c r="AH379" i="1"/>
  <c r="AH294" i="1" s="1"/>
  <c r="O69" i="51"/>
  <c r="BP69" i="51" s="1"/>
  <c r="X182" i="1"/>
  <c r="AD85" i="49"/>
  <c r="AE50" i="42"/>
  <c r="AM179" i="1"/>
  <c r="AM181" i="1" s="1"/>
  <c r="AM161" i="1"/>
  <c r="AA85" i="49"/>
  <c r="AB50" i="42"/>
  <c r="AD91" i="1"/>
  <c r="AD102" i="1"/>
  <c r="AD99" i="1"/>
  <c r="T301" i="42"/>
  <c r="T302" i="42"/>
  <c r="X360" i="42" a="1"/>
  <c r="X360" i="42" s="1"/>
  <c r="AT62" i="42"/>
  <c r="AT360" i="42" s="1" a="1"/>
  <c r="AT360" i="42" s="1"/>
  <c r="AB346" i="7"/>
  <c r="AB354" i="7"/>
  <c r="AB343" i="7"/>
  <c r="AB155" i="7"/>
  <c r="AB257" i="7"/>
  <c r="AB366" i="7"/>
  <c r="AB330" i="7"/>
  <c r="AB364" i="7"/>
  <c r="S212" i="7"/>
  <c r="AB191" i="7"/>
  <c r="AB344" i="7"/>
  <c r="AB205" i="7"/>
  <c r="AB144" i="7"/>
  <c r="S213" i="7"/>
  <c r="AB353" i="7"/>
  <c r="AB145" i="7"/>
  <c r="AB164" i="7"/>
  <c r="AB227" i="7"/>
  <c r="AB369" i="7"/>
  <c r="S223" i="7"/>
  <c r="AB147" i="7"/>
  <c r="AB255" i="7"/>
  <c r="AB352" i="7"/>
  <c r="AB345" i="7"/>
  <c r="AB152" i="7"/>
  <c r="AB243" i="7"/>
  <c r="AB288" i="7"/>
  <c r="S194" i="7"/>
  <c r="AB214" i="7"/>
  <c r="AB171" i="7"/>
  <c r="AB286" i="7"/>
  <c r="AB185" i="7"/>
  <c r="AB168" i="7"/>
  <c r="AB341" i="7"/>
  <c r="AB337" i="7"/>
  <c r="S202" i="7"/>
  <c r="AB305" i="7"/>
  <c r="AB290" i="7"/>
  <c r="AB342" i="7"/>
  <c r="AB225" i="7"/>
  <c r="S215" i="7"/>
  <c r="AB289" i="7"/>
  <c r="AB184" i="7"/>
  <c r="AB372" i="7"/>
  <c r="AB348" i="7"/>
  <c r="AB175" i="7"/>
  <c r="AB160" i="7"/>
  <c r="AB151" i="7"/>
  <c r="AB270" i="7"/>
  <c r="AB141" i="7"/>
  <c r="AB260" i="7"/>
  <c r="AB304" i="7"/>
  <c r="AB174" i="7"/>
  <c r="AB206" i="7"/>
  <c r="S209" i="7"/>
  <c r="AB355" i="7"/>
  <c r="AB365" i="7"/>
  <c r="AB146" i="7"/>
  <c r="AB292" i="7"/>
  <c r="AB359" i="7"/>
  <c r="AB211" i="7"/>
  <c r="AB347" i="7"/>
  <c r="AB371" i="7"/>
  <c r="S224" i="7"/>
  <c r="AB368" i="7"/>
  <c r="S222" i="7"/>
  <c r="AB204" i="7"/>
  <c r="AB373" i="7"/>
  <c r="AB221" i="7"/>
  <c r="AB291" i="7"/>
  <c r="AB329" i="7"/>
  <c r="AB367" i="7"/>
  <c r="AB370" i="7"/>
  <c r="S188" i="7"/>
  <c r="S285" i="7"/>
  <c r="AB210" i="7"/>
  <c r="AB357" i="7"/>
  <c r="AB356" i="7"/>
  <c r="AB358" i="7"/>
  <c r="AB268" i="7"/>
  <c r="AB254" i="7"/>
  <c r="AB406" i="1" l="1"/>
  <c r="AB699" i="1" s="1"/>
  <c r="AB701" i="1" s="1"/>
  <c r="AF290" i="1"/>
  <c r="L87" i="4"/>
  <c r="L209" i="4"/>
  <c r="L128" i="4"/>
  <c r="L38" i="4"/>
  <c r="L239" i="4"/>
  <c r="L178" i="4"/>
  <c r="L7" i="4"/>
  <c r="L59" i="4"/>
  <c r="M4" i="4"/>
  <c r="N2" i="4"/>
  <c r="C158" i="4"/>
  <c r="AF96" i="1"/>
  <c r="AM250" i="1"/>
  <c r="AM280" i="1" s="1"/>
  <c r="AK290" i="1"/>
  <c r="AK590" i="1"/>
  <c r="AE62" i="42" s="1"/>
  <c r="Z11" i="49"/>
  <c r="AA13" i="42"/>
  <c r="AG175" i="1"/>
  <c r="AG103" i="1"/>
  <c r="Y32" i="42"/>
  <c r="Y256" i="42" s="1" a="1"/>
  <c r="Y256" i="42" s="1"/>
  <c r="AE234" i="1"/>
  <c r="AF227" i="1"/>
  <c r="AC60" i="49"/>
  <c r="AD43" i="42"/>
  <c r="AJ286" i="1"/>
  <c r="AJ288" i="1" s="1"/>
  <c r="AN364" i="1"/>
  <c r="AN376" i="1" s="1"/>
  <c r="AN349" i="1"/>
  <c r="V450" i="42"/>
  <c r="V449" i="42"/>
  <c r="AM276" i="1"/>
  <c r="AM377" i="1"/>
  <c r="AA361" i="42"/>
  <c r="AA362" i="42"/>
  <c r="AA302" i="42"/>
  <c r="AA301" i="42"/>
  <c r="AU289" i="42"/>
  <c r="AU290" i="42"/>
  <c r="AJ93" i="1"/>
  <c r="AJ94" i="1"/>
  <c r="AE296" i="42" a="1"/>
  <c r="AE296" i="42" s="1"/>
  <c r="Z289" i="42"/>
  <c r="Z290" i="42"/>
  <c r="AD78" i="49"/>
  <c r="AJ460" i="1"/>
  <c r="AI467" i="1"/>
  <c r="AC293" i="42"/>
  <c r="AC294" i="42"/>
  <c r="AD457" i="1"/>
  <c r="AD648" i="1" s="1"/>
  <c r="AD458" i="1"/>
  <c r="AR338" i="42"/>
  <c r="AR337" i="42"/>
  <c r="AE33" i="49"/>
  <c r="AF26" i="42"/>
  <c r="AL285" i="1"/>
  <c r="AN201" i="1"/>
  <c r="AE9" i="49"/>
  <c r="AS9" i="49" s="1"/>
  <c r="AF11" i="42"/>
  <c r="AN78" i="1"/>
  <c r="AL80" i="1"/>
  <c r="AL76" i="1" s="1"/>
  <c r="AL84" i="1"/>
  <c r="AB292" i="42" a="1"/>
  <c r="AB292" i="42" s="1"/>
  <c r="AV42" i="42"/>
  <c r="AV292" i="42" s="1" a="1"/>
  <c r="AV292" i="42" s="1"/>
  <c r="AB185" i="42"/>
  <c r="AB186" i="42"/>
  <c r="AC59" i="49"/>
  <c r="AD42" i="42"/>
  <c r="AJ280" i="1"/>
  <c r="AJ256" i="1"/>
  <c r="AJ251" i="1"/>
  <c r="AJ281" i="1"/>
  <c r="AJ379" i="1"/>
  <c r="AJ294" i="1" s="1"/>
  <c r="AU322" i="42"/>
  <c r="AU321" i="42"/>
  <c r="X336" i="42" a="1"/>
  <c r="X336" i="42" s="1"/>
  <c r="AT55" i="42"/>
  <c r="AT336" i="42" s="1" a="1"/>
  <c r="AT336" i="42" s="1"/>
  <c r="T337" i="42"/>
  <c r="T338" i="42"/>
  <c r="AF672" i="1"/>
  <c r="AG422" i="1"/>
  <c r="AD184" i="42" a="1"/>
  <c r="AD184" i="42" s="1"/>
  <c r="AW11" i="42"/>
  <c r="AW184" i="42" s="1" a="1"/>
  <c r="AW184" i="42" s="1"/>
  <c r="AA77" i="49"/>
  <c r="AQ59" i="49"/>
  <c r="AQ77" i="49" s="1"/>
  <c r="AC360" i="42" a="1"/>
  <c r="AC360" i="42" s="1"/>
  <c r="AK367" i="1"/>
  <c r="AK358" i="1"/>
  <c r="AE190" i="42"/>
  <c r="AE189" i="42"/>
  <c r="Q454" i="42"/>
  <c r="Q414" i="42"/>
  <c r="Q346" i="42"/>
  <c r="Q330" i="42"/>
  <c r="Q314" i="42"/>
  <c r="Q282" i="42"/>
  <c r="Q254" i="42"/>
  <c r="Q222" i="42"/>
  <c r="Q214" i="42"/>
  <c r="R6" i="42"/>
  <c r="Q182" i="42"/>
  <c r="AB288" i="42" a="1"/>
  <c r="AB288" i="42" s="1"/>
  <c r="AV41" i="42"/>
  <c r="AV288" i="42" s="1" a="1"/>
  <c r="AV288" i="42" s="1"/>
  <c r="AD236" i="42" a="1"/>
  <c r="AD236" i="42" s="1"/>
  <c r="AW26" i="42"/>
  <c r="AW236" i="42" s="1" a="1"/>
  <c r="AW236" i="42" s="1"/>
  <c r="W635" i="1"/>
  <c r="W642" i="1" s="1"/>
  <c r="Q78" i="42" s="1"/>
  <c r="W449" i="1"/>
  <c r="E226" i="7"/>
  <c r="AA61" i="49"/>
  <c r="AB44" i="42"/>
  <c r="AH293" i="1"/>
  <c r="AH257" i="1"/>
  <c r="X362" i="42"/>
  <c r="X361" i="42"/>
  <c r="AC322" i="42"/>
  <c r="AC321" i="42"/>
  <c r="Z297" i="42"/>
  <c r="Z298" i="42"/>
  <c r="AC673" i="1"/>
  <c r="AC387" i="1"/>
  <c r="AD394" i="1"/>
  <c r="V192" i="42" a="1"/>
  <c r="V192" i="42" s="1"/>
  <c r="AS13" i="42"/>
  <c r="AS192" i="42" s="1" a="1"/>
  <c r="AS192" i="42" s="1"/>
  <c r="AX190" i="42"/>
  <c r="AX189" i="42"/>
  <c r="AV286" i="42"/>
  <c r="AV285" i="42"/>
  <c r="AA76" i="49"/>
  <c r="AQ58" i="49"/>
  <c r="AQ76" i="49" s="1"/>
  <c r="AC51" i="49"/>
  <c r="AR33" i="49"/>
  <c r="AR51" i="49" s="1"/>
  <c r="AD61" i="49"/>
  <c r="AE44" i="42"/>
  <c r="AK293" i="1"/>
  <c r="AK257" i="1"/>
  <c r="AC85" i="49"/>
  <c r="AD50" i="42"/>
  <c r="AM365" i="1"/>
  <c r="AM356" i="1"/>
  <c r="AM351" i="1"/>
  <c r="AE237" i="42"/>
  <c r="AE238" i="42"/>
  <c r="AU297" i="42"/>
  <c r="AU298" i="42"/>
  <c r="W111" i="49"/>
  <c r="AO101" i="49"/>
  <c r="AO111" i="49" s="1"/>
  <c r="N14" i="1"/>
  <c r="N9" i="1" s="1"/>
  <c r="W507" i="1"/>
  <c r="W513" i="1" s="1"/>
  <c r="W587" i="1"/>
  <c r="Q60" i="42" s="1"/>
  <c r="N23" i="51"/>
  <c r="W589" i="1"/>
  <c r="Q61" i="42" s="1"/>
  <c r="W283" i="1"/>
  <c r="AB286" i="42"/>
  <c r="AB285" i="42"/>
  <c r="P115" i="49"/>
  <c r="Q59" i="42"/>
  <c r="AE686" i="1"/>
  <c r="AF482" i="1"/>
  <c r="AF486" i="1" s="1"/>
  <c r="AE484" i="1"/>
  <c r="AE488" i="1" s="1"/>
  <c r="AE492" i="1" s="1"/>
  <c r="Q240" i="42" a="1"/>
  <c r="Q240" i="42" s="1"/>
  <c r="AB320" i="42" a="1"/>
  <c r="AB320" i="42" s="1"/>
  <c r="AV50" i="42"/>
  <c r="AV320" i="42" s="1" a="1"/>
  <c r="AV320" i="42" s="1"/>
  <c r="AM93" i="1"/>
  <c r="AM94" i="1"/>
  <c r="AA95" i="49"/>
  <c r="AQ85" i="49"/>
  <c r="AQ95" i="49" s="1"/>
  <c r="Q228" i="42" a="1"/>
  <c r="Q228" i="42" s="1"/>
  <c r="Q234" i="42"/>
  <c r="Q233" i="42"/>
  <c r="N42" i="51"/>
  <c r="BO42" i="51" s="1"/>
  <c r="BO21" i="51"/>
  <c r="AN179" i="1"/>
  <c r="AN181" i="1" s="1"/>
  <c r="AN161" i="1"/>
  <c r="AH98" i="1"/>
  <c r="AG99" i="1"/>
  <c r="Z360" i="42" a="1"/>
  <c r="Z360" i="42" s="1"/>
  <c r="AU62" i="42"/>
  <c r="AU360" i="42" s="1" a="1"/>
  <c r="AU360" i="42" s="1"/>
  <c r="AE292" i="42" a="1"/>
  <c r="AE292" i="42" s="1"/>
  <c r="T194" i="42"/>
  <c r="T193" i="42"/>
  <c r="P100" i="49"/>
  <c r="Q54" i="42"/>
  <c r="N29" i="51"/>
  <c r="W295" i="1"/>
  <c r="AP258" i="42"/>
  <c r="AP257" i="42"/>
  <c r="P49" i="49"/>
  <c r="AT302" i="42"/>
  <c r="AT301" i="42"/>
  <c r="AF704" i="1"/>
  <c r="M517" i="1"/>
  <c r="AD77" i="49"/>
  <c r="AT361" i="42"/>
  <c r="AT362" i="42"/>
  <c r="Z322" i="42"/>
  <c r="Z321" i="42"/>
  <c r="O114" i="7"/>
  <c r="P115" i="7"/>
  <c r="X302" i="42"/>
  <c r="X301" i="42"/>
  <c r="Y101" i="49"/>
  <c r="Z55" i="42"/>
  <c r="AV237" i="42"/>
  <c r="AV238" i="42"/>
  <c r="AH95" i="1"/>
  <c r="AH96" i="1" s="1"/>
  <c r="AH90" i="1"/>
  <c r="AL276" i="1"/>
  <c r="AL377" i="1"/>
  <c r="AD284" i="42" a="1"/>
  <c r="AD284" i="42" s="1"/>
  <c r="AW40" i="42"/>
  <c r="AW284" i="42" s="1" a="1"/>
  <c r="AW284" i="42" s="1"/>
  <c r="AC75" i="49"/>
  <c r="AR57" i="49"/>
  <c r="AR75" i="49" s="1"/>
  <c r="AE320" i="42" a="1"/>
  <c r="AE320" i="42" s="1"/>
  <c r="N338" i="7"/>
  <c r="N3" i="7"/>
  <c r="Z300" i="42" a="1"/>
  <c r="Z300" i="42" s="1"/>
  <c r="AU44" i="42"/>
  <c r="AU300" i="42" s="1" a="1"/>
  <c r="AU300" i="42" s="1"/>
  <c r="Y338" i="42"/>
  <c r="Y337" i="42"/>
  <c r="AV454" i="42"/>
  <c r="AV414" i="42"/>
  <c r="AV346" i="42"/>
  <c r="AV314" i="42"/>
  <c r="AV330" i="42"/>
  <c r="AV282" i="42"/>
  <c r="AV214" i="42"/>
  <c r="AV254" i="42"/>
  <c r="AV182" i="42"/>
  <c r="AV222" i="42"/>
  <c r="AW6" i="42"/>
  <c r="AB238" i="42"/>
  <c r="AB237" i="42"/>
  <c r="AH590" i="1"/>
  <c r="AB62" i="42" s="1"/>
  <c r="AH290" i="1"/>
  <c r="AD693" i="1"/>
  <c r="AD565" i="1"/>
  <c r="AE454" i="1"/>
  <c r="AE456" i="1" s="1"/>
  <c r="Q318" i="42"/>
  <c r="Q317" i="42"/>
  <c r="Q324" i="42" a="1"/>
  <c r="Q324" i="42" s="1"/>
  <c r="AD95" i="49"/>
  <c r="Q30" i="49"/>
  <c r="R23" i="42"/>
  <c r="X183" i="1"/>
  <c r="X268" i="1"/>
  <c r="X193" i="1"/>
  <c r="X203" i="1"/>
  <c r="AU294" i="42"/>
  <c r="AU293" i="42"/>
  <c r="AF665" i="1"/>
  <c r="AF480" i="1"/>
  <c r="AG479" i="1"/>
  <c r="Z294" i="42"/>
  <c r="Z293" i="42"/>
  <c r="AS338" i="42"/>
  <c r="AS337" i="42"/>
  <c r="Y79" i="49"/>
  <c r="AP61" i="49"/>
  <c r="AP79" i="49" s="1"/>
  <c r="AB101" i="49"/>
  <c r="AC55" i="42"/>
  <c r="AA336" i="42" a="1"/>
  <c r="AA336" i="42" s="1"/>
  <c r="AF91" i="1"/>
  <c r="AF102" i="1"/>
  <c r="AE185" i="42"/>
  <c r="AE186" i="42"/>
  <c r="AM288" i="1"/>
  <c r="AG228" i="1"/>
  <c r="V338" i="42"/>
  <c r="V337" i="42"/>
  <c r="Y192" i="42" a="1"/>
  <c r="Y192" i="42" s="1"/>
  <c r="AC298" i="42"/>
  <c r="AC297" i="42"/>
  <c r="AC300" i="42" a="1"/>
  <c r="AC300" i="42" s="1"/>
  <c r="Z111" i="49"/>
  <c r="AE288" i="42" a="1"/>
  <c r="AE288" i="42" s="1"/>
  <c r="E381" i="7"/>
  <c r="P96" i="49"/>
  <c r="AE233" i="1"/>
  <c r="AE694" i="1"/>
  <c r="AE566" i="1"/>
  <c r="AF453" i="1"/>
  <c r="AC58" i="49"/>
  <c r="AD41" i="42"/>
  <c r="AJ275" i="1"/>
  <c r="P52" i="49"/>
  <c r="N466" i="1"/>
  <c r="N504" i="1"/>
  <c r="N509" i="1"/>
  <c r="N460" i="1"/>
  <c r="N515" i="1"/>
  <c r="O15" i="1" a="1"/>
  <c r="O15" i="1" s="1"/>
  <c r="O12" i="1" a="1"/>
  <c r="O12" i="1" s="1"/>
  <c r="O13" i="1"/>
  <c r="O17" i="1"/>
  <c r="P10" i="1"/>
  <c r="E382" i="7"/>
  <c r="E216" i="7"/>
  <c r="W11" i="49"/>
  <c r="AO11" i="49" s="1"/>
  <c r="X13" i="42"/>
  <c r="AD103" i="1"/>
  <c r="AD175" i="1"/>
  <c r="AK281" i="1"/>
  <c r="AK379" i="1"/>
  <c r="AK294" i="1" s="1"/>
  <c r="AF229" i="1"/>
  <c r="AF232" i="1" s="1"/>
  <c r="AE237" i="1"/>
  <c r="AE486" i="1"/>
  <c r="AJ367" i="1"/>
  <c r="AJ358" i="1"/>
  <c r="AB79" i="49"/>
  <c r="AE286" i="42"/>
  <c r="AE285" i="42"/>
  <c r="AD76" i="49"/>
  <c r="AB296" i="42" a="1"/>
  <c r="AB296" i="42" s="1"/>
  <c r="AV43" i="42"/>
  <c r="AV296" i="42" s="1" a="1"/>
  <c r="AV296" i="42" s="1"/>
  <c r="N5" i="4"/>
  <c r="AE57" i="49"/>
  <c r="AF40" i="42"/>
  <c r="AL253" i="1"/>
  <c r="AL269" i="1"/>
  <c r="AN244" i="1"/>
  <c r="AL247" i="1"/>
  <c r="AL250" i="1" s="1"/>
  <c r="AF539" i="1"/>
  <c r="AE540" i="1"/>
  <c r="AE555" i="1" s="1"/>
  <c r="AE545" i="1"/>
  <c r="AE546" i="1" s="1"/>
  <c r="AE556" i="1" s="1"/>
  <c r="AE550" i="1"/>
  <c r="AE551" i="1" s="1"/>
  <c r="AE557" i="1" s="1"/>
  <c r="AL365" i="1"/>
  <c r="AL356" i="1"/>
  <c r="AL351" i="1"/>
  <c r="AK95" i="1"/>
  <c r="W85" i="42"/>
  <c r="W448" i="42" s="1" a="1"/>
  <c r="W448" i="42" s="1"/>
  <c r="AC559" i="1"/>
  <c r="AD554" i="1"/>
  <c r="AD558" i="1" s="1"/>
  <c r="AC560" i="1"/>
  <c r="AR194" i="42"/>
  <c r="AR193" i="42"/>
  <c r="AV185" i="42"/>
  <c r="AV186" i="42"/>
  <c r="AF695" i="1"/>
  <c r="AF487" i="1"/>
  <c r="AG483" i="1"/>
  <c r="AC289" i="42"/>
  <c r="AC290" i="42"/>
  <c r="AA78" i="49"/>
  <c r="AQ60" i="49"/>
  <c r="AQ78" i="49" s="1"/>
  <c r="X258" i="42"/>
  <c r="X257" i="42"/>
  <c r="AC352" i="7"/>
  <c r="AC342" i="7"/>
  <c r="AC286" i="7"/>
  <c r="AC370" i="7"/>
  <c r="AC211" i="7"/>
  <c r="AC329" i="7"/>
  <c r="AC151" i="7"/>
  <c r="AC268" i="7"/>
  <c r="AC348" i="7"/>
  <c r="AC337" i="7"/>
  <c r="AC289" i="7"/>
  <c r="AC358" i="7"/>
  <c r="AC371" i="7"/>
  <c r="AC305" i="7"/>
  <c r="AC304" i="7"/>
  <c r="AC344" i="7"/>
  <c r="AC290" i="7"/>
  <c r="AC144" i="7"/>
  <c r="AC164" i="7"/>
  <c r="AC255" i="7"/>
  <c r="AC155" i="7"/>
  <c r="AC346" i="7"/>
  <c r="AC353" i="7"/>
  <c r="AC369" i="7"/>
  <c r="S381" i="7"/>
  <c r="AC354" i="7"/>
  <c r="AC260" i="7"/>
  <c r="AC175" i="7"/>
  <c r="AC225" i="7"/>
  <c r="AC168" i="7"/>
  <c r="AC221" i="7"/>
  <c r="AC270" i="7"/>
  <c r="AC206" i="7"/>
  <c r="AC191" i="7"/>
  <c r="AC330" i="7"/>
  <c r="AC372" i="7"/>
  <c r="AC292" i="7"/>
  <c r="AC171" i="7"/>
  <c r="AC367" i="7"/>
  <c r="AC185" i="7"/>
  <c r="AC141" i="7"/>
  <c r="AC257" i="7"/>
  <c r="AC243" i="7"/>
  <c r="AC205" i="7"/>
  <c r="S382" i="7"/>
  <c r="AC365" i="7"/>
  <c r="AC355" i="7"/>
  <c r="AC288" i="7"/>
  <c r="AC204" i="7"/>
  <c r="AC145" i="7"/>
  <c r="AC146" i="7"/>
  <c r="AC366" i="7"/>
  <c r="AC347" i="7"/>
  <c r="AC210" i="7"/>
  <c r="AC364" i="7"/>
  <c r="AC357" i="7"/>
  <c r="AC356" i="7"/>
  <c r="AC174" i="7"/>
  <c r="AC341" i="7"/>
  <c r="AC343" i="7"/>
  <c r="S216" i="7"/>
  <c r="AC345" i="7"/>
  <c r="AC291" i="7"/>
  <c r="S226" i="7"/>
  <c r="AC160" i="7"/>
  <c r="AC254" i="7"/>
  <c r="AC368" i="7"/>
  <c r="AC227" i="7"/>
  <c r="AC152" i="7"/>
  <c r="AC373" i="7"/>
  <c r="AC359" i="7"/>
  <c r="AC184" i="7"/>
  <c r="AC214" i="7"/>
  <c r="AC147" i="7"/>
  <c r="AC403" i="1" l="1"/>
  <c r="AM256" i="1"/>
  <c r="AC406" i="1"/>
  <c r="AD403" i="1" s="1"/>
  <c r="AC640" i="1"/>
  <c r="AC677" i="1" s="1"/>
  <c r="O2" i="4"/>
  <c r="N4" i="4"/>
  <c r="M38" i="4"/>
  <c r="M209" i="4"/>
  <c r="M87" i="4"/>
  <c r="M128" i="4"/>
  <c r="M239" i="4"/>
  <c r="M7" i="4"/>
  <c r="M59" i="4"/>
  <c r="M178" i="4"/>
  <c r="AM251" i="1"/>
  <c r="AM95" i="1"/>
  <c r="AM96" i="1" s="1"/>
  <c r="P145" i="49"/>
  <c r="V194" i="42"/>
  <c r="V193" i="42"/>
  <c r="AF236" i="42" a="1"/>
  <c r="AF236" i="42" s="1"/>
  <c r="AX26" i="42"/>
  <c r="AX236" i="42" s="1" a="1"/>
  <c r="AX236" i="42" s="1"/>
  <c r="AE293" i="42"/>
  <c r="AE294" i="42"/>
  <c r="AE59" i="49"/>
  <c r="AF42" i="42"/>
  <c r="AL280" i="1"/>
  <c r="AL256" i="1"/>
  <c r="AL251" i="1"/>
  <c r="AC302" i="42"/>
  <c r="AC301" i="42"/>
  <c r="AB360" i="42" a="1"/>
  <c r="AB360" i="42" s="1"/>
  <c r="AV62" i="42"/>
  <c r="AV360" i="42" s="1" a="1"/>
  <c r="AV360" i="42" s="1"/>
  <c r="Y111" i="49"/>
  <c r="AP101" i="49"/>
  <c r="AP111" i="49" s="1"/>
  <c r="AD673" i="1"/>
  <c r="AD387" i="1"/>
  <c r="AE394" i="1"/>
  <c r="AE51" i="49"/>
  <c r="AS33" i="49"/>
  <c r="AS51" i="49" s="1"/>
  <c r="AJ95" i="1"/>
  <c r="AJ90" i="1"/>
  <c r="AD296" i="42" a="1"/>
  <c r="AD296" i="42" s="1"/>
  <c r="AW43" i="42"/>
  <c r="AW296" i="42" s="1" a="1"/>
  <c r="AW296" i="42" s="1"/>
  <c r="X85" i="42"/>
  <c r="X448" i="42" s="1" a="1"/>
  <c r="X448" i="42" s="1"/>
  <c r="AD559" i="1"/>
  <c r="AE554" i="1"/>
  <c r="AE558" i="1" s="1"/>
  <c r="AD560" i="1"/>
  <c r="AF284" i="42" a="1"/>
  <c r="AF284" i="42" s="1"/>
  <c r="AX40" i="42"/>
  <c r="AX284" i="42" s="1" a="1"/>
  <c r="AX284" i="42" s="1"/>
  <c r="AA337" i="42"/>
  <c r="AA338" i="42"/>
  <c r="Q326" i="42"/>
  <c r="Q325" i="42"/>
  <c r="AE322" i="42"/>
  <c r="AE321" i="42"/>
  <c r="P114" i="7"/>
  <c r="Q115" i="7"/>
  <c r="AA101" i="49"/>
  <c r="AB55" i="42"/>
  <c r="AW237" i="42"/>
  <c r="AW238" i="42"/>
  <c r="AL93" i="1"/>
  <c r="AL94" i="1"/>
  <c r="AC78" i="49"/>
  <c r="AR60" i="49"/>
  <c r="AR78" i="49" s="1"/>
  <c r="AG487" i="1"/>
  <c r="AG695" i="1"/>
  <c r="AH483" i="1"/>
  <c r="AE75" i="49"/>
  <c r="AS57" i="49"/>
  <c r="AS75" i="49" s="1"/>
  <c r="AM257" i="1"/>
  <c r="AM293" i="1"/>
  <c r="AV322" i="42"/>
  <c r="AV321" i="42"/>
  <c r="Q356" i="42" a="1"/>
  <c r="Q356" i="42" s="1"/>
  <c r="AM367" i="1"/>
  <c r="AM358" i="1"/>
  <c r="AB300" i="42" a="1"/>
  <c r="AB300" i="42" s="1"/>
  <c r="AV44" i="42"/>
  <c r="AV300" i="42" s="1" a="1"/>
  <c r="AV300" i="42" s="1"/>
  <c r="AD237" i="42"/>
  <c r="AD238" i="42"/>
  <c r="AB322" i="42"/>
  <c r="AB321" i="42"/>
  <c r="N44" i="51"/>
  <c r="BO44" i="51" s="1"/>
  <c r="BO23" i="51"/>
  <c r="AA79" i="49"/>
  <c r="AQ61" i="49"/>
  <c r="AQ79" i="49" s="1"/>
  <c r="AV289" i="42"/>
  <c r="AV290" i="42"/>
  <c r="AN80" i="1"/>
  <c r="AN76" i="1" s="1"/>
  <c r="AN84" i="1"/>
  <c r="Z336" i="42" a="1"/>
  <c r="Z336" i="42" s="1"/>
  <c r="AU55" i="42"/>
  <c r="AU336" i="42" s="1" a="1"/>
  <c r="AU336" i="42" s="1"/>
  <c r="X192" i="42" a="1"/>
  <c r="X192" i="42" s="1"/>
  <c r="AT13" i="42"/>
  <c r="AT192" i="42" s="1" a="1"/>
  <c r="AT192" i="42" s="1"/>
  <c r="P13" i="1"/>
  <c r="P15" i="1" a="1"/>
  <c r="P15" i="1" s="1"/>
  <c r="P12" i="1" a="1"/>
  <c r="P12" i="1" s="1"/>
  <c r="Q10" i="1"/>
  <c r="P17" i="1"/>
  <c r="Y194" i="42"/>
  <c r="Y193" i="42"/>
  <c r="AC336" i="42" a="1"/>
  <c r="AC336" i="42" s="1"/>
  <c r="Q229" i="42"/>
  <c r="Q230" i="42"/>
  <c r="Q241" i="42"/>
  <c r="Q242" i="42"/>
  <c r="Q352" i="42" a="1"/>
  <c r="Q352" i="42" s="1"/>
  <c r="E228" i="7"/>
  <c r="AB289" i="42"/>
  <c r="AB290" i="42"/>
  <c r="AW185" i="42"/>
  <c r="AW186" i="42"/>
  <c r="AJ590" i="1"/>
  <c r="AD62" i="42" s="1"/>
  <c r="AJ290" i="1"/>
  <c r="AF184" i="42" a="1"/>
  <c r="AF184" i="42" s="1"/>
  <c r="AX11" i="42"/>
  <c r="AX184" i="42" s="1" a="1"/>
  <c r="AX184" i="42" s="1"/>
  <c r="AF233" i="1"/>
  <c r="AB111" i="49"/>
  <c r="AW454" i="42"/>
  <c r="AW414" i="42"/>
  <c r="AW314" i="42"/>
  <c r="AW346" i="42"/>
  <c r="AW330" i="42"/>
  <c r="AW254" i="42"/>
  <c r="AW282" i="42"/>
  <c r="AW214" i="42"/>
  <c r="AW222" i="42"/>
  <c r="AW182" i="42"/>
  <c r="AX6" i="42"/>
  <c r="AU302" i="42"/>
  <c r="AU301" i="42"/>
  <c r="AD320" i="42" a="1"/>
  <c r="AD320" i="42" s="1"/>
  <c r="AW50" i="42"/>
  <c r="AW320" i="42" s="1" a="1"/>
  <c r="AW320" i="42" s="1"/>
  <c r="AD185" i="42"/>
  <c r="AD186" i="42"/>
  <c r="AG672" i="1"/>
  <c r="AH422" i="1"/>
  <c r="Z302" i="42"/>
  <c r="Z301" i="42"/>
  <c r="AC95" i="49"/>
  <c r="AR85" i="49"/>
  <c r="AR95" i="49" s="1"/>
  <c r="Y258" i="42"/>
  <c r="Y257" i="42"/>
  <c r="O14" i="1"/>
  <c r="O9" i="1" s="1"/>
  <c r="Q32" i="49"/>
  <c r="R25" i="42"/>
  <c r="X185" i="1"/>
  <c r="X279" i="1"/>
  <c r="X210" i="1"/>
  <c r="Q81" i="42"/>
  <c r="AC61" i="49"/>
  <c r="AD44" i="42"/>
  <c r="AJ293" i="1"/>
  <c r="AJ257" i="1"/>
  <c r="AM281" i="1"/>
  <c r="AM379" i="1"/>
  <c r="AM294" i="1" s="1"/>
  <c r="AE60" i="49"/>
  <c r="AF43" i="42"/>
  <c r="AL286" i="1"/>
  <c r="AL288" i="1" s="1"/>
  <c r="AV297" i="42"/>
  <c r="AV298" i="42"/>
  <c r="Q84" i="49"/>
  <c r="R49" i="42"/>
  <c r="O17" i="51"/>
  <c r="BP17" i="51" s="1"/>
  <c r="X271" i="1"/>
  <c r="AG704" i="1"/>
  <c r="AD101" i="49"/>
  <c r="AE55" i="42"/>
  <c r="Q420" i="42" a="1"/>
  <c r="Q420" i="42" s="1"/>
  <c r="W449" i="42"/>
  <c r="W450" i="42"/>
  <c r="Y11" i="49"/>
  <c r="AP11" i="49" s="1"/>
  <c r="Z13" i="42"/>
  <c r="AF175" i="1"/>
  <c r="AF103" i="1"/>
  <c r="O504" i="1"/>
  <c r="O466" i="1"/>
  <c r="O460" i="1"/>
  <c r="O509" i="1"/>
  <c r="O515" i="1"/>
  <c r="AD288" i="42" a="1"/>
  <c r="AD288" i="42" s="1"/>
  <c r="AW41" i="42"/>
  <c r="AW288" i="42" s="1" a="1"/>
  <c r="AW288" i="42" s="1"/>
  <c r="AB297" i="42"/>
  <c r="AB298" i="42"/>
  <c r="AC76" i="49"/>
  <c r="AR58" i="49"/>
  <c r="AR76" i="49" s="1"/>
  <c r="P102" i="49"/>
  <c r="Q56" i="42"/>
  <c r="N31" i="51"/>
  <c r="N7" i="51"/>
  <c r="BO7" i="51" s="1"/>
  <c r="W592" i="1"/>
  <c r="W297" i="1"/>
  <c r="W296" i="1"/>
  <c r="AU361" i="42"/>
  <c r="AU362" i="42"/>
  <c r="AF686" i="1"/>
  <c r="AG482" i="1"/>
  <c r="AG486" i="1" s="1"/>
  <c r="AF484" i="1"/>
  <c r="AF488" i="1" s="1"/>
  <c r="AF492" i="1" s="1"/>
  <c r="AE300" i="42" a="1"/>
  <c r="AE300" i="42" s="1"/>
  <c r="AD292" i="42" a="1"/>
  <c r="AD292" i="42" s="1"/>
  <c r="AW42" i="42"/>
  <c r="AW292" i="42" s="1" a="1"/>
  <c r="AW292" i="42" s="1"/>
  <c r="AL367" i="1"/>
  <c r="AL358" i="1"/>
  <c r="AF694" i="1"/>
  <c r="AF566" i="1"/>
  <c r="AG453" i="1"/>
  <c r="Z32" i="42"/>
  <c r="Z256" i="42" s="1" a="1"/>
  <c r="Z256" i="42" s="1"/>
  <c r="AF234" i="1"/>
  <c r="AG227" i="1"/>
  <c r="R224" i="42" a="1"/>
  <c r="R224" i="42" s="1"/>
  <c r="AQ23" i="42"/>
  <c r="AQ224" i="42" s="1" a="1"/>
  <c r="AQ224" i="42" s="1"/>
  <c r="AH91" i="1"/>
  <c r="AH102" i="1"/>
  <c r="O338" i="7"/>
  <c r="O3" i="7"/>
  <c r="BO29" i="51"/>
  <c r="N46" i="51"/>
  <c r="BO46" i="51" s="1"/>
  <c r="Z361" i="42"/>
  <c r="Z362" i="42"/>
  <c r="AD79" i="49"/>
  <c r="AC77" i="49"/>
  <c r="AR59" i="49"/>
  <c r="AR77" i="49" s="1"/>
  <c r="AK460" i="1"/>
  <c r="AJ467" i="1"/>
  <c r="AA192" i="42" a="1"/>
  <c r="AA192" i="42" s="1"/>
  <c r="AG539" i="1"/>
  <c r="AF540" i="1"/>
  <c r="AF555" i="1" s="1"/>
  <c r="AF545" i="1"/>
  <c r="AF546" i="1" s="1"/>
  <c r="AF556" i="1" s="1"/>
  <c r="AF550" i="1"/>
  <c r="AF551" i="1" s="1"/>
  <c r="AF557" i="1" s="1"/>
  <c r="AE457" i="1"/>
  <c r="AE648" i="1" s="1"/>
  <c r="AE458" i="1"/>
  <c r="AE289" i="42"/>
  <c r="AE290" i="42"/>
  <c r="AH228" i="1"/>
  <c r="Q48" i="49"/>
  <c r="AL30" i="49"/>
  <c r="AL48" i="49" s="1"/>
  <c r="AE693" i="1"/>
  <c r="AE565" i="1"/>
  <c r="AF454" i="1"/>
  <c r="AF456" i="1" s="1"/>
  <c r="AW286" i="42"/>
  <c r="AW285" i="42"/>
  <c r="Q332" i="42" a="1"/>
  <c r="Q332" i="42" s="1"/>
  <c r="R454" i="42"/>
  <c r="R414" i="42"/>
  <c r="R330" i="42"/>
  <c r="R346" i="42"/>
  <c r="R314" i="42"/>
  <c r="R282" i="42"/>
  <c r="R254" i="42"/>
  <c r="R222" i="42"/>
  <c r="R214" i="42"/>
  <c r="R182" i="42"/>
  <c r="S6" i="42"/>
  <c r="AQ32" i="42"/>
  <c r="AQ256" i="42" s="1" a="1"/>
  <c r="AQ256" i="42" s="1"/>
  <c r="AQ85" i="42"/>
  <c r="AQ448" i="42" s="1" a="1"/>
  <c r="AQ448" i="42" s="1"/>
  <c r="AT338" i="42"/>
  <c r="AT337" i="42"/>
  <c r="AN365" i="1"/>
  <c r="AN356" i="1"/>
  <c r="AN351" i="1"/>
  <c r="AE58" i="49"/>
  <c r="AF41" i="42"/>
  <c r="AL275" i="1"/>
  <c r="AK96" i="1"/>
  <c r="N517" i="1"/>
  <c r="AG665" i="1"/>
  <c r="AG480" i="1"/>
  <c r="AH479" i="1"/>
  <c r="AD286" i="42"/>
  <c r="AD285" i="42"/>
  <c r="P110" i="49"/>
  <c r="AI98" i="1"/>
  <c r="AH99" i="1"/>
  <c r="AC361" i="42"/>
  <c r="AC362" i="42"/>
  <c r="X338" i="42"/>
  <c r="X337" i="42"/>
  <c r="AN276" i="1"/>
  <c r="AN377" i="1"/>
  <c r="AE360" i="42" a="1"/>
  <c r="AE360" i="42" s="1"/>
  <c r="AM290" i="1"/>
  <c r="AM590" i="1"/>
  <c r="AV293" i="42"/>
  <c r="AV294" i="42"/>
  <c r="AN285" i="1"/>
  <c r="AE298" i="42"/>
  <c r="AE297" i="42"/>
  <c r="O5" i="4"/>
  <c r="AN269" i="1"/>
  <c r="AN253" i="1"/>
  <c r="AN286" i="1" s="1"/>
  <c r="AN247" i="1"/>
  <c r="AN275" i="1" s="1"/>
  <c r="AL281" i="1"/>
  <c r="AL379" i="1"/>
  <c r="AL294" i="1" s="1"/>
  <c r="AE85" i="49"/>
  <c r="AF50" i="42"/>
  <c r="AG229" i="1"/>
  <c r="AG232" i="1" s="1"/>
  <c r="AF237" i="1"/>
  <c r="Q348" i="42" a="1"/>
  <c r="Q348" i="42" s="1"/>
  <c r="AS194" i="42"/>
  <c r="AS193" i="42"/>
  <c r="AB293" i="42"/>
  <c r="AB294" i="42"/>
  <c r="AD337" i="7"/>
  <c r="AD210" i="7"/>
  <c r="AD343" i="7"/>
  <c r="AD292" i="7"/>
  <c r="AD344" i="7"/>
  <c r="AD357" i="7"/>
  <c r="AD254" i="7"/>
  <c r="AD268" i="7"/>
  <c r="AD291" i="7"/>
  <c r="AD304" i="7"/>
  <c r="AD225" i="7"/>
  <c r="AD191" i="7"/>
  <c r="AD342" i="7"/>
  <c r="AD370" i="7"/>
  <c r="AD352" i="7"/>
  <c r="AD330" i="7"/>
  <c r="AD160" i="7"/>
  <c r="AD144" i="7"/>
  <c r="S228" i="7"/>
  <c r="AD305" i="7"/>
  <c r="AD174" i="7"/>
  <c r="AD364" i="7"/>
  <c r="AD257" i="7"/>
  <c r="AD151" i="7"/>
  <c r="AD353" i="7"/>
  <c r="AD185" i="7"/>
  <c r="AD356" i="7"/>
  <c r="AD371" i="7"/>
  <c r="AD346" i="7"/>
  <c r="AD206" i="7"/>
  <c r="AD355" i="7"/>
  <c r="AD214" i="7"/>
  <c r="AD286" i="7"/>
  <c r="AD289" i="7"/>
  <c r="AD141" i="7"/>
  <c r="AD347" i="7"/>
  <c r="AD184" i="7"/>
  <c r="AD290" i="7"/>
  <c r="AD221" i="7"/>
  <c r="AD175" i="7"/>
  <c r="AD367" i="7"/>
  <c r="AD373" i="7"/>
  <c r="AD368" i="7"/>
  <c r="AD348" i="7"/>
  <c r="AD205" i="7"/>
  <c r="AD260" i="7"/>
  <c r="AD366" i="7"/>
  <c r="AD365" i="7"/>
  <c r="AD372" i="7"/>
  <c r="AD164" i="7"/>
  <c r="AD354" i="7"/>
  <c r="AD345" i="7"/>
  <c r="AD358" i="7"/>
  <c r="AD288" i="7"/>
  <c r="AD155" i="7"/>
  <c r="AD329" i="7"/>
  <c r="AD146" i="7"/>
  <c r="AD255" i="7"/>
  <c r="AD270" i="7"/>
  <c r="AD227" i="7"/>
  <c r="AD369" i="7"/>
  <c r="AD145" i="7"/>
  <c r="AD341" i="7"/>
  <c r="AD359" i="7"/>
  <c r="AD243" i="7"/>
  <c r="AD152" i="7"/>
  <c r="AD168" i="7"/>
  <c r="AD204" i="7"/>
  <c r="AD171" i="7"/>
  <c r="AD211" i="7"/>
  <c r="AD147" i="7"/>
  <c r="X3" i="1" l="1"/>
  <c r="X4" i="1" s="1"/>
  <c r="AD406" i="1"/>
  <c r="AD640" i="1"/>
  <c r="AD677" i="1" s="1"/>
  <c r="AC699" i="1"/>
  <c r="AC701" i="1" s="1"/>
  <c r="AE403" i="1"/>
  <c r="AD699" i="1"/>
  <c r="AD701" i="1" s="1"/>
  <c r="N87" i="4"/>
  <c r="N209" i="4"/>
  <c r="N59" i="4"/>
  <c r="N7" i="4"/>
  <c r="N239" i="4"/>
  <c r="N178" i="4"/>
  <c r="N38" i="4"/>
  <c r="N128" i="4"/>
  <c r="O4" i="4"/>
  <c r="AN250" i="1"/>
  <c r="AN251" i="1" s="1"/>
  <c r="AN288" i="1"/>
  <c r="AN590" i="1" s="1"/>
  <c r="O517" i="1"/>
  <c r="AF458" i="1"/>
  <c r="AF457" i="1"/>
  <c r="AF648" i="1" s="1"/>
  <c r="AB361" i="42"/>
  <c r="AB362" i="42"/>
  <c r="AE95" i="49"/>
  <c r="AS85" i="49"/>
  <c r="AS95" i="49" s="1"/>
  <c r="Q334" i="42"/>
  <c r="Q333" i="42"/>
  <c r="AG686" i="1"/>
  <c r="AH482" i="1"/>
  <c r="AH486" i="1" s="1"/>
  <c r="AG484" i="1"/>
  <c r="AG488" i="1" s="1"/>
  <c r="AG492" i="1" s="1"/>
  <c r="AD111" i="49"/>
  <c r="R316" i="42" a="1"/>
  <c r="R316" i="42" s="1"/>
  <c r="AQ49" i="42"/>
  <c r="AQ316" i="42" s="1" a="1"/>
  <c r="AQ316" i="42" s="1"/>
  <c r="E234" i="7"/>
  <c r="E308" i="7"/>
  <c r="E237" i="7"/>
  <c r="AT193" i="42"/>
  <c r="AT194" i="42"/>
  <c r="AF286" i="42"/>
  <c r="AF285" i="42"/>
  <c r="AH695" i="1"/>
  <c r="AH487" i="1"/>
  <c r="AI483" i="1"/>
  <c r="AX286" i="42"/>
  <c r="AX285" i="42"/>
  <c r="AH539" i="1"/>
  <c r="AG545" i="1"/>
  <c r="AG546" i="1" s="1"/>
  <c r="AG556" i="1" s="1"/>
  <c r="AG540" i="1"/>
  <c r="AG555" i="1" s="1"/>
  <c r="AG550" i="1"/>
  <c r="AG551" i="1" s="1"/>
  <c r="AG557" i="1" s="1"/>
  <c r="Q94" i="49"/>
  <c r="AL84" i="49"/>
  <c r="AL94" i="49" s="1"/>
  <c r="AC101" i="49"/>
  <c r="AD55" i="42"/>
  <c r="X194" i="42"/>
  <c r="X193" i="42"/>
  <c r="AA32" i="42"/>
  <c r="AA256" i="42" s="1" a="1"/>
  <c r="AA256" i="42" s="1"/>
  <c r="AG234" i="1"/>
  <c r="AH227" i="1"/>
  <c r="AA193" i="42"/>
  <c r="AA194" i="42"/>
  <c r="AQ226" i="42"/>
  <c r="AH704" i="1"/>
  <c r="AD300" i="42" a="1"/>
  <c r="AD300" i="42" s="1"/>
  <c r="AW44" i="42"/>
  <c r="AW300" i="42" s="1" a="1"/>
  <c r="AW300" i="42" s="1"/>
  <c r="AX454" i="42"/>
  <c r="AX414" i="42"/>
  <c r="AX346" i="42"/>
  <c r="AX314" i="42"/>
  <c r="AX330" i="42"/>
  <c r="AX254" i="42"/>
  <c r="AX282" i="42"/>
  <c r="AX214" i="42"/>
  <c r="AX182" i="42"/>
  <c r="AX222" i="42"/>
  <c r="Q353" i="42"/>
  <c r="Q354" i="42"/>
  <c r="Y85" i="42"/>
  <c r="Y448" i="42" s="1" a="1"/>
  <c r="Y448" i="42" s="1"/>
  <c r="AE559" i="1"/>
  <c r="AF554" i="1"/>
  <c r="AF558" i="1" s="1"/>
  <c r="AE560" i="1"/>
  <c r="AX237" i="42"/>
  <c r="AX238" i="42"/>
  <c r="S454" i="42"/>
  <c r="S414" i="42"/>
  <c r="S330" i="42"/>
  <c r="S346" i="42"/>
  <c r="S282" i="42"/>
  <c r="S314" i="42"/>
  <c r="S222" i="42"/>
  <c r="S254" i="42"/>
  <c r="S214" i="42"/>
  <c r="T6" i="42"/>
  <c r="AR32" i="42" s="1"/>
  <c r="AR256" i="42" s="1" a="1"/>
  <c r="AR256" i="42" s="1"/>
  <c r="S182" i="42"/>
  <c r="AI228" i="1"/>
  <c r="R226" i="42"/>
  <c r="AC79" i="49"/>
  <c r="AR61" i="49"/>
  <c r="AR79" i="49" s="1"/>
  <c r="AU337" i="42"/>
  <c r="AU338" i="42"/>
  <c r="AE387" i="1"/>
  <c r="AF394" i="1"/>
  <c r="AE673" i="1"/>
  <c r="AE61" i="49"/>
  <c r="AF44" i="42"/>
  <c r="AL257" i="1"/>
  <c r="AL293" i="1"/>
  <c r="AF237" i="42"/>
  <c r="AF238" i="42"/>
  <c r="X449" i="42"/>
  <c r="X450" i="42"/>
  <c r="AH665" i="1"/>
  <c r="AI479" i="1"/>
  <c r="AH480" i="1"/>
  <c r="AG233" i="1"/>
  <c r="P116" i="49"/>
  <c r="Q63" i="42"/>
  <c r="W624" i="1"/>
  <c r="O21" i="51"/>
  <c r="X282" i="1"/>
  <c r="Q114" i="7"/>
  <c r="AW298" i="42"/>
  <c r="AW297" i="42"/>
  <c r="AF292" i="42" a="1"/>
  <c r="AF292" i="42" s="1"/>
  <c r="AX42" i="42"/>
  <c r="AX292" i="42" s="1" a="1"/>
  <c r="AX292" i="42" s="1"/>
  <c r="Q34" i="49"/>
  <c r="R27" i="42"/>
  <c r="X292" i="1"/>
  <c r="X211" i="1"/>
  <c r="Z338" i="42"/>
  <c r="Z337" i="42"/>
  <c r="AW293" i="42"/>
  <c r="AW294" i="42"/>
  <c r="Q31" i="49"/>
  <c r="R24" i="42"/>
  <c r="X274" i="1"/>
  <c r="X277" i="1" s="1"/>
  <c r="X186" i="1"/>
  <c r="AW322" i="42"/>
  <c r="AW321" i="42"/>
  <c r="AD298" i="42"/>
  <c r="AD297" i="42"/>
  <c r="AE77" i="49"/>
  <c r="AS59" i="49"/>
  <c r="AS77" i="49" s="1"/>
  <c r="Z258" i="42"/>
  <c r="Z257" i="42"/>
  <c r="AD293" i="42"/>
  <c r="AD294" i="42"/>
  <c r="R232" i="42" a="1"/>
  <c r="R232" i="42" s="1"/>
  <c r="AQ25" i="42"/>
  <c r="AQ232" i="42" s="1" a="1"/>
  <c r="AQ232" i="42" s="1"/>
  <c r="AD322" i="42"/>
  <c r="AD321" i="42"/>
  <c r="AX185" i="42"/>
  <c r="AX186" i="42"/>
  <c r="AN93" i="1"/>
  <c r="AN94" i="1"/>
  <c r="AF296" i="42" a="1"/>
  <c r="AF296" i="42" s="1"/>
  <c r="AX43" i="42"/>
  <c r="AX296" i="42" s="1" a="1"/>
  <c r="AX296" i="42" s="1"/>
  <c r="Q432" i="42" a="1"/>
  <c r="Q432" i="42" s="1"/>
  <c r="Q50" i="49"/>
  <c r="AL32" i="49"/>
  <c r="AL50" i="49" s="1"/>
  <c r="AF185" i="42"/>
  <c r="AF186" i="42"/>
  <c r="AV302" i="42"/>
  <c r="AV301" i="42"/>
  <c r="AD289" i="42"/>
  <c r="AD290" i="42"/>
  <c r="AJ98" i="1"/>
  <c r="AI99" i="1"/>
  <c r="AI102" i="1"/>
  <c r="AQ449" i="42"/>
  <c r="AQ450" i="42"/>
  <c r="AG694" i="1"/>
  <c r="AG566" i="1"/>
  <c r="AH453" i="1"/>
  <c r="N48" i="51"/>
  <c r="BO48" i="51" s="1"/>
  <c r="BO31" i="51"/>
  <c r="AE78" i="49"/>
  <c r="AS60" i="49"/>
  <c r="AS78" i="49" s="1"/>
  <c r="AI422" i="1"/>
  <c r="AH672" i="1"/>
  <c r="AB302" i="42"/>
  <c r="AB301" i="42"/>
  <c r="AL95" i="1"/>
  <c r="AL90" i="1"/>
  <c r="P338" i="7"/>
  <c r="P3" i="7"/>
  <c r="AF320" i="42" a="1"/>
  <c r="AF320" i="42" s="1"/>
  <c r="AX50" i="42"/>
  <c r="AX320" i="42" s="1" a="1"/>
  <c r="AX320" i="42" s="1"/>
  <c r="AN281" i="1"/>
  <c r="AN379" i="1"/>
  <c r="AN294" i="1" s="1"/>
  <c r="AL590" i="1"/>
  <c r="AF62" i="42" s="1"/>
  <c r="AL290" i="1"/>
  <c r="AF288" i="42" a="1"/>
  <c r="AF288" i="42" s="1"/>
  <c r="AX41" i="42"/>
  <c r="AX288" i="42" s="1" a="1"/>
  <c r="AX288" i="42" s="1"/>
  <c r="AN367" i="1"/>
  <c r="AN358" i="1"/>
  <c r="AE301" i="42"/>
  <c r="AE302" i="42"/>
  <c r="Q340" i="42" a="1"/>
  <c r="Q340" i="42" s="1"/>
  <c r="P466" i="1"/>
  <c r="P504" i="1"/>
  <c r="P460" i="1"/>
  <c r="P509" i="1"/>
  <c r="P515" i="1"/>
  <c r="AJ91" i="1"/>
  <c r="AE336" i="42" a="1"/>
  <c r="AE336" i="42" s="1"/>
  <c r="AE361" i="42"/>
  <c r="AE362" i="42"/>
  <c r="AH229" i="1"/>
  <c r="AH232" i="1" s="1"/>
  <c r="AG237" i="1"/>
  <c r="AE76" i="49"/>
  <c r="AS58" i="49"/>
  <c r="AS76" i="49" s="1"/>
  <c r="AQ258" i="42"/>
  <c r="AQ257" i="42"/>
  <c r="AL460" i="1"/>
  <c r="AK467" i="1"/>
  <c r="P112" i="49"/>
  <c r="AD360" i="42" a="1"/>
  <c r="AD360" i="42" s="1"/>
  <c r="AW62" i="42"/>
  <c r="AW360" i="42" s="1" a="1"/>
  <c r="AW360" i="42" s="1"/>
  <c r="Q13" i="1"/>
  <c r="R10" i="1"/>
  <c r="Q17" i="1"/>
  <c r="Q15" i="1" a="1"/>
  <c r="Q15" i="1" s="1"/>
  <c r="Q12" i="1" a="1"/>
  <c r="Q12" i="1" s="1"/>
  <c r="Q456" i="42"/>
  <c r="Q350" i="42"/>
  <c r="Q458" i="42" s="1"/>
  <c r="Q349" i="42"/>
  <c r="Q457" i="42" s="1"/>
  <c r="AF565" i="1"/>
  <c r="AF693" i="1"/>
  <c r="AG454" i="1"/>
  <c r="AG456" i="1" s="1"/>
  <c r="AA11" i="49"/>
  <c r="AQ11" i="49" s="1"/>
  <c r="AB13" i="42"/>
  <c r="AH175" i="1"/>
  <c r="AH103" i="1"/>
  <c r="P14" i="1"/>
  <c r="P9" i="1" s="1"/>
  <c r="Q421" i="42"/>
  <c r="Q422" i="42"/>
  <c r="AB336" i="42" a="1"/>
  <c r="AB336" i="42" s="1"/>
  <c r="AV55" i="42"/>
  <c r="AV336" i="42" s="1" a="1"/>
  <c r="AV336" i="42" s="1"/>
  <c r="AJ96" i="1"/>
  <c r="AW289" i="42"/>
  <c r="AW290" i="42"/>
  <c r="Z192" i="42" a="1"/>
  <c r="Z192" i="42" s="1"/>
  <c r="AU13" i="42"/>
  <c r="AU192" i="42" s="1" a="1"/>
  <c r="AU192" i="42" s="1"/>
  <c r="Q86" i="49"/>
  <c r="R51" i="42"/>
  <c r="O19" i="51"/>
  <c r="BP19" i="51" s="1"/>
  <c r="O6" i="51"/>
  <c r="BP6" i="51" s="1"/>
  <c r="X386" i="1"/>
  <c r="X585" i="1"/>
  <c r="X414" i="1"/>
  <c r="X272" i="1"/>
  <c r="X502" i="1"/>
  <c r="X289" i="1"/>
  <c r="AC337" i="42"/>
  <c r="AC338" i="42"/>
  <c r="Q358" i="42"/>
  <c r="Q357" i="42"/>
  <c r="AA111" i="49"/>
  <c r="AQ101" i="49"/>
  <c r="AQ111" i="49" s="1"/>
  <c r="AV361" i="42"/>
  <c r="AV362" i="42"/>
  <c r="S308" i="7"/>
  <c r="AE184" i="7"/>
  <c r="AE352" i="7"/>
  <c r="AE337" i="7"/>
  <c r="AE289" i="7"/>
  <c r="AE345" i="7"/>
  <c r="AE366" i="7"/>
  <c r="AE210" i="7"/>
  <c r="AE344" i="7"/>
  <c r="AE146" i="7"/>
  <c r="AE155" i="7"/>
  <c r="AE358" i="7"/>
  <c r="AE372" i="7"/>
  <c r="AE214" i="7"/>
  <c r="AE191" i="7"/>
  <c r="AE286" i="7"/>
  <c r="AE227" i="7"/>
  <c r="AE364" i="7"/>
  <c r="AE171" i="7"/>
  <c r="AE147" i="7"/>
  <c r="AE185" i="7"/>
  <c r="AE305" i="7"/>
  <c r="AE243" i="7"/>
  <c r="AE204" i="7"/>
  <c r="AE255" i="7"/>
  <c r="AE144" i="7"/>
  <c r="AE141" i="7"/>
  <c r="AE368" i="7"/>
  <c r="AE356" i="7"/>
  <c r="AE346" i="7"/>
  <c r="AE288" i="7"/>
  <c r="S237" i="7"/>
  <c r="AE304" i="7"/>
  <c r="AE348" i="7"/>
  <c r="AE257" i="7"/>
  <c r="AE221" i="7"/>
  <c r="AE151" i="7"/>
  <c r="AE354" i="7"/>
  <c r="AE370" i="7"/>
  <c r="AE160" i="7"/>
  <c r="AE343" i="7"/>
  <c r="AE290" i="7"/>
  <c r="AE347" i="7"/>
  <c r="AE369" i="7"/>
  <c r="S234" i="7"/>
  <c r="AE371" i="7"/>
  <c r="AE342" i="7"/>
  <c r="AE174" i="7"/>
  <c r="AE329" i="7"/>
  <c r="AE341" i="7"/>
  <c r="AE268" i="7"/>
  <c r="AE291" i="7"/>
  <c r="AE373" i="7"/>
  <c r="AE353" i="7"/>
  <c r="AE254" i="7"/>
  <c r="AE205" i="7"/>
  <c r="AE330" i="7"/>
  <c r="AE367" i="7"/>
  <c r="AE152" i="7"/>
  <c r="AE225" i="7"/>
  <c r="AE270" i="7"/>
  <c r="AE206" i="7"/>
  <c r="AE145" i="7"/>
  <c r="AE357" i="7"/>
  <c r="AE292" i="7"/>
  <c r="AE260" i="7"/>
  <c r="AE168" i="7"/>
  <c r="AE211" i="7"/>
  <c r="AE164" i="7"/>
  <c r="AE359" i="7"/>
  <c r="AE175" i="7"/>
  <c r="AE355" i="7"/>
  <c r="AE365" i="7"/>
  <c r="X5" i="1" l="1"/>
  <c r="X6" i="1" s="1"/>
  <c r="AE406" i="1"/>
  <c r="AE640" i="1"/>
  <c r="AE677" i="1" s="1"/>
  <c r="AE699" i="1"/>
  <c r="AE701" i="1" s="1"/>
  <c r="AF403" i="1"/>
  <c r="O7" i="4"/>
  <c r="O87" i="4"/>
  <c r="O59" i="4"/>
  <c r="O209" i="4"/>
  <c r="O239" i="4"/>
  <c r="O38" i="4"/>
  <c r="O178" i="4"/>
  <c r="O128" i="4"/>
  <c r="AN280" i="1"/>
  <c r="AN256" i="1"/>
  <c r="AN293" i="1" s="1"/>
  <c r="AN290" i="1"/>
  <c r="P517" i="1"/>
  <c r="AB32" i="42"/>
  <c r="AB256" i="42" s="1" a="1"/>
  <c r="AB256" i="42" s="1"/>
  <c r="AH234" i="1"/>
  <c r="AI227" i="1"/>
  <c r="Y449" i="42"/>
  <c r="Y450" i="42"/>
  <c r="AM460" i="1"/>
  <c r="AL467" i="1"/>
  <c r="AF322" i="42"/>
  <c r="AF321" i="42"/>
  <c r="R234" i="42"/>
  <c r="R240" i="42" a="1"/>
  <c r="R240" i="42" s="1"/>
  <c r="AQ27" i="42"/>
  <c r="AQ240" i="42" s="1" a="1"/>
  <c r="AQ240" i="42" s="1"/>
  <c r="AK98" i="1"/>
  <c r="AJ99" i="1"/>
  <c r="AU193" i="42"/>
  <c r="AU194" i="42"/>
  <c r="AB337" i="42"/>
  <c r="AB338" i="42"/>
  <c r="Q14" i="1"/>
  <c r="Q9" i="1" s="1"/>
  <c r="AF360" i="42" a="1"/>
  <c r="AF360" i="42" s="1"/>
  <c r="AX62" i="42"/>
  <c r="AX360" i="42" s="1" a="1"/>
  <c r="AX360" i="42" s="1"/>
  <c r="AJ102" i="1"/>
  <c r="AH694" i="1"/>
  <c r="AH566" i="1"/>
  <c r="AI453" i="1"/>
  <c r="Q434" i="42"/>
  <c r="Q433" i="42"/>
  <c r="Q338" i="7"/>
  <c r="Q3" i="7"/>
  <c r="Q100" i="49"/>
  <c r="R54" i="42"/>
  <c r="O29" i="51"/>
  <c r="X295" i="1"/>
  <c r="V570" i="1" s="1"/>
  <c r="AV338" i="42"/>
  <c r="AV337" i="42"/>
  <c r="AI665" i="1"/>
  <c r="AJ479" i="1"/>
  <c r="AI480" i="1"/>
  <c r="Q531" i="1"/>
  <c r="Q466" i="1"/>
  <c r="Q504" i="1"/>
  <c r="Q460" i="1"/>
  <c r="Q509" i="1"/>
  <c r="Q515" i="1"/>
  <c r="AG458" i="1"/>
  <c r="AG457" i="1"/>
  <c r="AG648" i="1" s="1"/>
  <c r="X587" i="1"/>
  <c r="R60" i="42" s="1"/>
  <c r="X507" i="1"/>
  <c r="X513" i="1" s="1"/>
  <c r="AW301" i="42"/>
  <c r="AW302" i="42"/>
  <c r="AH233" i="1"/>
  <c r="AQ318" i="42"/>
  <c r="AX298" i="42"/>
  <c r="AX297" i="42"/>
  <c r="R228" i="42" a="1"/>
  <c r="R228" i="42" s="1"/>
  <c r="AQ24" i="42"/>
  <c r="AQ228" i="42" s="1" a="1"/>
  <c r="AQ228" i="42" s="1"/>
  <c r="AD301" i="42"/>
  <c r="AD302" i="42"/>
  <c r="R318" i="42"/>
  <c r="AE101" i="49"/>
  <c r="AF55" i="42"/>
  <c r="AA257" i="42"/>
  <c r="AA258" i="42"/>
  <c r="AD336" i="42" a="1"/>
  <c r="AD336" i="42" s="1"/>
  <c r="AW55" i="42"/>
  <c r="AW336" i="42" s="1" a="1"/>
  <c r="AW336" i="42" s="1"/>
  <c r="Z194" i="42"/>
  <c r="Z193" i="42"/>
  <c r="AX294" i="42"/>
  <c r="AX293" i="42"/>
  <c r="Q115" i="49"/>
  <c r="R59" i="42"/>
  <c r="AB192" i="42" a="1"/>
  <c r="AB192" i="42" s="1"/>
  <c r="AV13" i="42"/>
  <c r="AV192" i="42" s="1" a="1"/>
  <c r="AV192" i="42" s="1"/>
  <c r="AF293" i="42"/>
  <c r="AF294" i="42"/>
  <c r="Q364" i="42" a="1"/>
  <c r="Q364" i="42" s="1"/>
  <c r="AJ228" i="1"/>
  <c r="T454" i="42"/>
  <c r="T414" i="42"/>
  <c r="T330" i="42"/>
  <c r="T346" i="42"/>
  <c r="T314" i="42"/>
  <c r="T282" i="42"/>
  <c r="T222" i="42"/>
  <c r="T254" i="42"/>
  <c r="T214" i="42"/>
  <c r="T182" i="42"/>
  <c r="U6" i="42"/>
  <c r="AI704" i="1"/>
  <c r="AC111" i="49"/>
  <c r="AR101" i="49"/>
  <c r="AR111" i="49" s="1"/>
  <c r="AX322" i="42"/>
  <c r="AX321" i="42"/>
  <c r="AB11" i="49"/>
  <c r="AC13" i="42"/>
  <c r="AI175" i="1"/>
  <c r="AI103" i="1"/>
  <c r="X449" i="1"/>
  <c r="X635" i="1"/>
  <c r="X642" i="1" s="1"/>
  <c r="R78" i="42" s="1"/>
  <c r="AW361" i="42"/>
  <c r="AW362" i="42"/>
  <c r="AH237" i="1"/>
  <c r="AI229" i="1"/>
  <c r="AI232" i="1" s="1"/>
  <c r="AI672" i="1"/>
  <c r="AJ422" i="1"/>
  <c r="AN95" i="1"/>
  <c r="AN96" i="1" s="1"/>
  <c r="AN90" i="1"/>
  <c r="P146" i="49"/>
  <c r="AF300" i="42" a="1"/>
  <c r="AF300" i="42" s="1"/>
  <c r="AX44" i="42"/>
  <c r="AX300" i="42" s="1" a="1"/>
  <c r="AX300" i="42" s="1"/>
  <c r="AI695" i="1"/>
  <c r="AI487" i="1"/>
  <c r="AJ483" i="1"/>
  <c r="Q52" i="49"/>
  <c r="AL34" i="49"/>
  <c r="AL52" i="49" s="1"/>
  <c r="R15" i="1" a="1"/>
  <c r="R15" i="1" s="1"/>
  <c r="R12" i="1" a="1"/>
  <c r="R12" i="1" s="1"/>
  <c r="S10" i="1"/>
  <c r="R17" i="1"/>
  <c r="R13" i="1"/>
  <c r="Q49" i="49"/>
  <c r="AL31" i="49"/>
  <c r="AL49" i="49" s="1"/>
  <c r="AD361" i="42"/>
  <c r="AD362" i="42"/>
  <c r="AR258" i="42"/>
  <c r="AR257" i="42"/>
  <c r="AE79" i="49"/>
  <c r="AS61" i="49"/>
  <c r="AS79" i="49" s="1"/>
  <c r="AH686" i="1"/>
  <c r="AI482" i="1"/>
  <c r="AI486" i="1" s="1"/>
  <c r="AH484" i="1"/>
  <c r="AH488" i="1" s="1"/>
  <c r="AH492" i="1" s="1"/>
  <c r="Q342" i="42"/>
  <c r="Q341" i="42"/>
  <c r="AF298" i="42"/>
  <c r="AF297" i="42"/>
  <c r="AL91" i="1"/>
  <c r="AL96" i="1"/>
  <c r="AQ234" i="42"/>
  <c r="R324" i="42" a="1"/>
  <c r="R324" i="42" s="1"/>
  <c r="AQ51" i="42"/>
  <c r="AQ324" i="42" s="1" a="1"/>
  <c r="AQ324" i="42" s="1"/>
  <c r="AG693" i="1"/>
  <c r="AG565" i="1"/>
  <c r="AH454" i="1"/>
  <c r="AE337" i="42"/>
  <c r="AE338" i="42"/>
  <c r="Q96" i="49"/>
  <c r="AL86" i="49"/>
  <c r="AL96" i="49" s="1"/>
  <c r="AX289" i="42"/>
  <c r="AX290" i="42"/>
  <c r="O23" i="51"/>
  <c r="X589" i="1"/>
  <c r="R61" i="42" s="1"/>
  <c r="X283" i="1"/>
  <c r="Z85" i="42"/>
  <c r="Z448" i="42" s="1" a="1"/>
  <c r="Z448" i="42" s="1"/>
  <c r="AF559" i="1"/>
  <c r="AG554" i="1"/>
  <c r="AG558" i="1" s="1"/>
  <c r="AF560" i="1"/>
  <c r="AF289" i="42"/>
  <c r="AF290" i="42"/>
  <c r="O42" i="51"/>
  <c r="BP42" i="51" s="1"/>
  <c r="BP21" i="51"/>
  <c r="AF387" i="1"/>
  <c r="AG394" i="1"/>
  <c r="AF673" i="1"/>
  <c r="AI539" i="1"/>
  <c r="AH545" i="1"/>
  <c r="AH546" i="1" s="1"/>
  <c r="AH556" i="1" s="1"/>
  <c r="AH540" i="1"/>
  <c r="AH555" i="1" s="1"/>
  <c r="AH550" i="1"/>
  <c r="AH551" i="1" s="1"/>
  <c r="AH557" i="1" s="1"/>
  <c r="AF406" i="1" l="1"/>
  <c r="AF640" i="1"/>
  <c r="AF677" i="1" s="1"/>
  <c r="AN257" i="1"/>
  <c r="AG403" i="1"/>
  <c r="AF699" i="1"/>
  <c r="AF701" i="1" s="1"/>
  <c r="R14" i="1"/>
  <c r="R9" i="1" s="1"/>
  <c r="AB193" i="42"/>
  <c r="AB194" i="42"/>
  <c r="Z449" i="42"/>
  <c r="Z450" i="42"/>
  <c r="AQ326" i="42"/>
  <c r="R326" i="42"/>
  <c r="R420" i="42" a="1"/>
  <c r="R420" i="42" s="1"/>
  <c r="AQ78" i="42"/>
  <c r="AQ420" i="42" s="1" a="1"/>
  <c r="AQ420" i="42" s="1"/>
  <c r="R348" i="42" a="1"/>
  <c r="R348" i="42" s="1"/>
  <c r="AQ59" i="42"/>
  <c r="AQ348" i="42" s="1" a="1"/>
  <c r="AQ348" i="42" s="1"/>
  <c r="AJ695" i="1"/>
  <c r="AJ487" i="1"/>
  <c r="AK483" i="1"/>
  <c r="R81" i="42"/>
  <c r="AJ704" i="1"/>
  <c r="Q145" i="49"/>
  <c r="AL115" i="49"/>
  <c r="AL145" i="49" s="1"/>
  <c r="AC11" i="49"/>
  <c r="AD13" i="42"/>
  <c r="AD192" i="42" s="1" a="1"/>
  <c r="AD192" i="42" s="1"/>
  <c r="AJ175" i="1"/>
  <c r="AJ103" i="1"/>
  <c r="AX361" i="42"/>
  <c r="AX362" i="42"/>
  <c r="AC32" i="42"/>
  <c r="AC256" i="42" s="1" a="1"/>
  <c r="AC256" i="42" s="1"/>
  <c r="AI234" i="1"/>
  <c r="AJ227" i="1"/>
  <c r="AF361" i="42"/>
  <c r="AF362" i="42"/>
  <c r="AN91" i="1"/>
  <c r="AK228" i="1"/>
  <c r="AF336" i="42" a="1"/>
  <c r="AF336" i="42" s="1"/>
  <c r="AX55" i="42"/>
  <c r="AX336" i="42" s="1" a="1"/>
  <c r="AX336" i="42" s="1"/>
  <c r="AJ672" i="1"/>
  <c r="AK422" i="1"/>
  <c r="AE111" i="49"/>
  <c r="AS101" i="49"/>
  <c r="AS111" i="49" s="1"/>
  <c r="AJ665" i="1"/>
  <c r="AK479" i="1"/>
  <c r="AJ480" i="1"/>
  <c r="Q102" i="49"/>
  <c r="R56" i="42"/>
  <c r="O31" i="51"/>
  <c r="O7" i="51"/>
  <c r="BP7" i="51" s="1"/>
  <c r="X592" i="1"/>
  <c r="X296" i="1"/>
  <c r="X297" i="1"/>
  <c r="X572" i="1"/>
  <c r="AN460" i="1"/>
  <c r="AN467" i="1" s="1"/>
  <c r="AM467" i="1"/>
  <c r="AQ230" i="42"/>
  <c r="BP29" i="51"/>
  <c r="O46" i="51"/>
  <c r="BP46" i="51" s="1"/>
  <c r="AX301" i="42"/>
  <c r="AX302" i="42"/>
  <c r="R230" i="42"/>
  <c r="R332" i="42" a="1"/>
  <c r="R332" i="42" s="1"/>
  <c r="AQ54" i="42"/>
  <c r="AQ332" i="42" s="1" a="1"/>
  <c r="AQ332" i="42" s="1"/>
  <c r="AI545" i="1"/>
  <c r="AI546" i="1" s="1"/>
  <c r="AI556" i="1" s="1"/>
  <c r="AI550" i="1"/>
  <c r="AI551" i="1" s="1"/>
  <c r="AI557" i="1" s="1"/>
  <c r="AJ539" i="1"/>
  <c r="AI540" i="1"/>
  <c r="AI555" i="1" s="1"/>
  <c r="AF301" i="42"/>
  <c r="AF302" i="42"/>
  <c r="AI237" i="1"/>
  <c r="AJ229" i="1"/>
  <c r="AJ232" i="1" s="1"/>
  <c r="U454" i="42"/>
  <c r="U414" i="42"/>
  <c r="U330" i="42"/>
  <c r="U346" i="42"/>
  <c r="U282" i="42"/>
  <c r="U314" i="42"/>
  <c r="U222" i="42"/>
  <c r="U214" i="42"/>
  <c r="U254" i="42"/>
  <c r="U182" i="42"/>
  <c r="V6" i="42"/>
  <c r="Q110" i="49"/>
  <c r="AL100" i="49"/>
  <c r="AL110" i="49" s="1"/>
  <c r="R352" i="42" a="1"/>
  <c r="R352" i="42" s="1"/>
  <c r="AQ60" i="42"/>
  <c r="AQ352" i="42" s="1" a="1"/>
  <c r="AQ352" i="42" s="1"/>
  <c r="AG673" i="1"/>
  <c r="AG387" i="1"/>
  <c r="AH394" i="1"/>
  <c r="AI686" i="1"/>
  <c r="AJ482" i="1"/>
  <c r="AI484" i="1"/>
  <c r="AI488" i="1" s="1"/>
  <c r="AI492" i="1" s="1"/>
  <c r="R356" i="42" a="1"/>
  <c r="R356" i="42" s="1"/>
  <c r="AQ61" i="42"/>
  <c r="AQ356" i="42" s="1" a="1"/>
  <c r="AQ356" i="42" s="1"/>
  <c r="AH693" i="1"/>
  <c r="AH565" i="1"/>
  <c r="AI454" i="1"/>
  <c r="AI456" i="1" s="1"/>
  <c r="O44" i="51"/>
  <c r="BP44" i="51" s="1"/>
  <c r="BP23" i="51"/>
  <c r="AC192" i="42" a="1"/>
  <c r="AC192" i="42" s="1"/>
  <c r="Q460" i="42"/>
  <c r="Q365" i="42"/>
  <c r="Q461" i="42" s="1"/>
  <c r="Q366" i="42"/>
  <c r="Q462" i="42" s="1"/>
  <c r="AI233" i="1"/>
  <c r="AR11" i="49"/>
  <c r="AW338" i="42"/>
  <c r="AW337" i="42"/>
  <c r="AI694" i="1"/>
  <c r="AI566" i="1"/>
  <c r="AJ453" i="1"/>
  <c r="AL98" i="1"/>
  <c r="AK99" i="1"/>
  <c r="AK102" i="1"/>
  <c r="AB257" i="42"/>
  <c r="AB258" i="42"/>
  <c r="AV193" i="42"/>
  <c r="AV194" i="42"/>
  <c r="AA85" i="42"/>
  <c r="AA448" i="42" s="1" a="1"/>
  <c r="AA448" i="42" s="1"/>
  <c r="AG559" i="1"/>
  <c r="AH554" i="1"/>
  <c r="AH558" i="1" s="1"/>
  <c r="AG560" i="1"/>
  <c r="R531" i="1"/>
  <c r="R466" i="1"/>
  <c r="R504" i="1"/>
  <c r="R460" i="1"/>
  <c r="R509" i="1"/>
  <c r="R515" i="1"/>
  <c r="AD337" i="42"/>
  <c r="AD338" i="42"/>
  <c r="AH456" i="1"/>
  <c r="AQ242" i="42"/>
  <c r="S17" i="1"/>
  <c r="S13" i="1"/>
  <c r="S12" i="1" a="1"/>
  <c r="S12" i="1" s="1"/>
  <c r="T10" i="1"/>
  <c r="S15" i="1" a="1"/>
  <c r="S15" i="1" s="1"/>
  <c r="Q517" i="1"/>
  <c r="R242" i="42"/>
  <c r="AG406" i="1" l="1"/>
  <c r="AG640" i="1"/>
  <c r="AG677" i="1" s="1"/>
  <c r="AG699" i="1"/>
  <c r="AG701" i="1" s="1"/>
  <c r="AH403" i="1"/>
  <c r="AW13" i="42"/>
  <c r="AW192" i="42" s="1" a="1"/>
  <c r="AW192" i="42" s="1"/>
  <c r="AW193" i="42" s="1"/>
  <c r="AI458" i="1"/>
  <c r="AI457" i="1"/>
  <c r="AI648" i="1" s="1"/>
  <c r="AD32" i="42"/>
  <c r="AD256" i="42" s="1" a="1"/>
  <c r="AD256" i="42" s="1"/>
  <c r="AJ234" i="1"/>
  <c r="AK227" i="1"/>
  <c r="AQ456" i="42"/>
  <c r="AQ350" i="42"/>
  <c r="AQ458" i="42" s="1"/>
  <c r="S531" i="1"/>
  <c r="S466" i="1"/>
  <c r="S504" i="1"/>
  <c r="S460" i="1"/>
  <c r="S509" i="1"/>
  <c r="S515" i="1"/>
  <c r="AJ694" i="1"/>
  <c r="AJ566" i="1"/>
  <c r="AK453" i="1"/>
  <c r="R456" i="42"/>
  <c r="R350" i="42"/>
  <c r="R458" i="42" s="1"/>
  <c r="AJ545" i="1"/>
  <c r="AJ546" i="1" s="1"/>
  <c r="AJ556" i="1" s="1"/>
  <c r="AJ550" i="1"/>
  <c r="AJ551" i="1" s="1"/>
  <c r="AJ557" i="1" s="1"/>
  <c r="AJ540" i="1"/>
  <c r="AJ555" i="1" s="1"/>
  <c r="AK539" i="1"/>
  <c r="AQ422" i="42"/>
  <c r="AQ358" i="42"/>
  <c r="O48" i="51"/>
  <c r="BP48" i="51" s="1"/>
  <c r="BP31" i="51"/>
  <c r="AK672" i="1"/>
  <c r="AL422" i="1"/>
  <c r="AX337" i="42"/>
  <c r="AX338" i="42"/>
  <c r="R422" i="42"/>
  <c r="AI693" i="1"/>
  <c r="AI565" i="1"/>
  <c r="AJ454" i="1"/>
  <c r="AJ456" i="1" s="1"/>
  <c r="R358" i="42"/>
  <c r="R340" i="42" a="1"/>
  <c r="R340" i="42" s="1"/>
  <c r="AQ56" i="42"/>
  <c r="AQ340" i="42" s="1" a="1"/>
  <c r="AQ340" i="42" s="1"/>
  <c r="AF337" i="42"/>
  <c r="AF338" i="42"/>
  <c r="Q112" i="49"/>
  <c r="AL102" i="49"/>
  <c r="AL112" i="49" s="1"/>
  <c r="AJ237" i="1"/>
  <c r="AK229" i="1"/>
  <c r="AK232" i="1" s="1"/>
  <c r="AL228" i="1"/>
  <c r="AJ686" i="1"/>
  <c r="AK482" i="1"/>
  <c r="AK486" i="1" s="1"/>
  <c r="AJ484" i="1"/>
  <c r="AJ488" i="1" s="1"/>
  <c r="AJ492" i="1" s="1"/>
  <c r="AJ486" i="1"/>
  <c r="AB85" i="42"/>
  <c r="AB448" i="42" s="1" a="1"/>
  <c r="AB448" i="42" s="1"/>
  <c r="AH559" i="1"/>
  <c r="AI554" i="1"/>
  <c r="AI558" i="1" s="1"/>
  <c r="AH560" i="1"/>
  <c r="AK665" i="1"/>
  <c r="AL479" i="1"/>
  <c r="AK480" i="1"/>
  <c r="R517" i="1"/>
  <c r="AH673" i="1"/>
  <c r="AH387" i="1"/>
  <c r="AI394" i="1"/>
  <c r="AK704" i="1"/>
  <c r="AC257" i="42"/>
  <c r="AC258" i="42"/>
  <c r="AA449" i="42"/>
  <c r="AA450" i="42"/>
  <c r="V414" i="42"/>
  <c r="V454" i="42"/>
  <c r="V330" i="42"/>
  <c r="V346" i="42"/>
  <c r="V314" i="42"/>
  <c r="V222" i="42"/>
  <c r="V254" i="42"/>
  <c r="V282" i="42"/>
  <c r="V214" i="42"/>
  <c r="V182" i="42"/>
  <c r="W6" i="42"/>
  <c r="AQ334" i="42"/>
  <c r="R432" i="42" a="1"/>
  <c r="R432" i="42" s="1"/>
  <c r="AQ81" i="42"/>
  <c r="AQ432" i="42" s="1" a="1"/>
  <c r="AQ432" i="42" s="1"/>
  <c r="AD11" i="49"/>
  <c r="AE13" i="42"/>
  <c r="AK175" i="1"/>
  <c r="AK103" i="1"/>
  <c r="R334" i="42"/>
  <c r="AC193" i="42"/>
  <c r="AC194" i="42"/>
  <c r="AM98" i="1"/>
  <c r="AL99" i="1"/>
  <c r="AL102" i="1"/>
  <c r="T15" i="1" a="1"/>
  <c r="T15" i="1" s="1"/>
  <c r="T12" i="1" a="1"/>
  <c r="T12" i="1" s="1"/>
  <c r="T17" i="1"/>
  <c r="T13" i="1"/>
  <c r="U10" i="1"/>
  <c r="AQ354" i="42"/>
  <c r="AJ233" i="1"/>
  <c r="AD193" i="42"/>
  <c r="AD194" i="42"/>
  <c r="AK695" i="1"/>
  <c r="AL483" i="1"/>
  <c r="AK487" i="1"/>
  <c r="S14" i="1"/>
  <c r="S9" i="1" s="1"/>
  <c r="AH458" i="1"/>
  <c r="AH457" i="1"/>
  <c r="AH648" i="1" s="1"/>
  <c r="R354" i="42"/>
  <c r="Q116" i="49"/>
  <c r="R63" i="42"/>
  <c r="X624" i="1"/>
  <c r="AH406" i="1" l="1"/>
  <c r="AH640" i="1"/>
  <c r="AH677" i="1" s="1"/>
  <c r="AI403" i="1"/>
  <c r="AH699" i="1"/>
  <c r="AH701" i="1" s="1"/>
  <c r="AW194" i="42"/>
  <c r="AJ457" i="1"/>
  <c r="AJ648" i="1" s="1"/>
  <c r="AJ458" i="1"/>
  <c r="AE32" i="42"/>
  <c r="AE256" i="42" s="1" a="1"/>
  <c r="AE256" i="42" s="1"/>
  <c r="AK234" i="1"/>
  <c r="AL227" i="1"/>
  <c r="AM228" i="1"/>
  <c r="AK545" i="1"/>
  <c r="AK546" i="1" s="1"/>
  <c r="AK556" i="1" s="1"/>
  <c r="AK550" i="1"/>
  <c r="AK551" i="1" s="1"/>
  <c r="AK557" i="1" s="1"/>
  <c r="AK540" i="1"/>
  <c r="AK555" i="1" s="1"/>
  <c r="AL539" i="1"/>
  <c r="U15" i="1" a="1"/>
  <c r="U15" i="1" s="1"/>
  <c r="U12" i="1" a="1"/>
  <c r="U12" i="1" s="1"/>
  <c r="V10" i="1"/>
  <c r="U17" i="1"/>
  <c r="U13" i="1"/>
  <c r="D742" i="1"/>
  <c r="D714" i="1" s="1"/>
  <c r="AQ434" i="42"/>
  <c r="AJ394" i="1"/>
  <c r="AI673" i="1"/>
  <c r="AI387" i="1"/>
  <c r="AL665" i="1"/>
  <c r="AM479" i="1"/>
  <c r="AL480" i="1"/>
  <c r="R434" i="42"/>
  <c r="AC85" i="42"/>
  <c r="AC448" i="42" s="1" a="1"/>
  <c r="AC448" i="42" s="1"/>
  <c r="AJ554" i="1"/>
  <c r="AJ558" i="1" s="1"/>
  <c r="AI560" i="1"/>
  <c r="AI559" i="1"/>
  <c r="T466" i="1"/>
  <c r="T531" i="1"/>
  <c r="T504" i="1"/>
  <c r="T460" i="1"/>
  <c r="U460" i="1" s="1"/>
  <c r="T509" i="1"/>
  <c r="T515" i="1"/>
  <c r="T14" i="1"/>
  <c r="T9" i="1" s="1"/>
  <c r="AB450" i="42"/>
  <c r="AB449" i="42"/>
  <c r="W454" i="42"/>
  <c r="W414" i="42"/>
  <c r="W330" i="42"/>
  <c r="W346" i="42"/>
  <c r="W314" i="42"/>
  <c r="W214" i="42"/>
  <c r="W254" i="42"/>
  <c r="W222" i="42"/>
  <c r="W182" i="42"/>
  <c r="W282" i="42"/>
  <c r="X6" i="42"/>
  <c r="AL704" i="1"/>
  <c r="AL672" i="1"/>
  <c r="AM422" i="1"/>
  <c r="AK694" i="1"/>
  <c r="AK566" i="1"/>
  <c r="AL453" i="1"/>
  <c r="AK233" i="1"/>
  <c r="AD257" i="42"/>
  <c r="AD258" i="42"/>
  <c r="Q146" i="49"/>
  <c r="AL116" i="49"/>
  <c r="AL146" i="49" s="1"/>
  <c r="AK686" i="1"/>
  <c r="AL482" i="1"/>
  <c r="AK484" i="1"/>
  <c r="AK488" i="1" s="1"/>
  <c r="AK492" i="1" s="1"/>
  <c r="AK237" i="1"/>
  <c r="AL229" i="1"/>
  <c r="AL232" i="1" s="1"/>
  <c r="AJ693" i="1"/>
  <c r="AK454" i="1"/>
  <c r="AK456" i="1" s="1"/>
  <c r="AJ565" i="1"/>
  <c r="AM99" i="1"/>
  <c r="AN98" i="1"/>
  <c r="AM102" i="1"/>
  <c r="AE192" i="42" a="1"/>
  <c r="AE192" i="42" s="1"/>
  <c r="AQ342" i="42"/>
  <c r="R364" i="42" a="1"/>
  <c r="R364" i="42" s="1"/>
  <c r="AQ63" i="42"/>
  <c r="AQ364" i="42" s="1" a="1"/>
  <c r="AQ364" i="42" s="1"/>
  <c r="AE11" i="49"/>
  <c r="AS11" i="49" s="1"/>
  <c r="AF13" i="42"/>
  <c r="AF192" i="42" s="1" a="1"/>
  <c r="AF192" i="42" s="1"/>
  <c r="AL175" i="1"/>
  <c r="AL103" i="1"/>
  <c r="AL695" i="1"/>
  <c r="AM483" i="1"/>
  <c r="AL487" i="1"/>
  <c r="R342" i="42"/>
  <c r="S517" i="1"/>
  <c r="AI406" i="1" l="1"/>
  <c r="AI640" i="1"/>
  <c r="AI677" i="1" s="1"/>
  <c r="AI699" i="1"/>
  <c r="AI701" i="1" s="1"/>
  <c r="AJ403" i="1"/>
  <c r="Q735" i="1"/>
  <c r="Q737" i="1" s="1"/>
  <c r="R735" i="1"/>
  <c r="R737" i="1" s="1"/>
  <c r="S735" i="1"/>
  <c r="S737" i="1" s="1"/>
  <c r="T735" i="1"/>
  <c r="T737" i="1" s="1"/>
  <c r="U735" i="1"/>
  <c r="U737" i="1" s="1"/>
  <c r="T517" i="1"/>
  <c r="AK457" i="1"/>
  <c r="AK648" i="1" s="1"/>
  <c r="AK458" i="1"/>
  <c r="AF32" i="42"/>
  <c r="AF256" i="42" s="1" a="1"/>
  <c r="AF256" i="42" s="1"/>
  <c r="AM227" i="1"/>
  <c r="AL234" i="1"/>
  <c r="AL545" i="1"/>
  <c r="AL546" i="1" s="1"/>
  <c r="AL556" i="1" s="1"/>
  <c r="AL550" i="1"/>
  <c r="AL551" i="1" s="1"/>
  <c r="AL557" i="1" s="1"/>
  <c r="AL540" i="1"/>
  <c r="AL555" i="1" s="1"/>
  <c r="AM539" i="1"/>
  <c r="AL686" i="1"/>
  <c r="AM482" i="1"/>
  <c r="AM486" i="1" s="1"/>
  <c r="AL484" i="1"/>
  <c r="AL488" i="1" s="1"/>
  <c r="AL492" i="1" s="1"/>
  <c r="AD85" i="42"/>
  <c r="AD448" i="42" s="1" a="1"/>
  <c r="AD448" i="42" s="1"/>
  <c r="AK554" i="1"/>
  <c r="AK558" i="1" s="1"/>
  <c r="AJ560" i="1"/>
  <c r="AJ559" i="1"/>
  <c r="X454" i="42"/>
  <c r="X414" i="42"/>
  <c r="X346" i="42"/>
  <c r="X314" i="42"/>
  <c r="X330" i="42"/>
  <c r="X254" i="42"/>
  <c r="X214" i="42"/>
  <c r="X282" i="42"/>
  <c r="X222" i="42"/>
  <c r="X182" i="42"/>
  <c r="Y6" i="42"/>
  <c r="AC450" i="42"/>
  <c r="AC449" i="42"/>
  <c r="AF193" i="42"/>
  <c r="AF194" i="42"/>
  <c r="D744" i="1"/>
  <c r="AN228" i="1"/>
  <c r="AL694" i="1"/>
  <c r="AL566" i="1"/>
  <c r="AM453" i="1"/>
  <c r="AM665" i="1"/>
  <c r="AN479" i="1"/>
  <c r="AM480" i="1"/>
  <c r="AL233" i="1"/>
  <c r="R460" i="42"/>
  <c r="R366" i="42"/>
  <c r="R462" i="42" s="1"/>
  <c r="AM704" i="1"/>
  <c r="U531" i="1"/>
  <c r="U466" i="1"/>
  <c r="U504" i="1"/>
  <c r="U509" i="1"/>
  <c r="U515" i="1"/>
  <c r="AQ460" i="42"/>
  <c r="AQ366" i="42"/>
  <c r="AQ462" i="42" s="1"/>
  <c r="AE193" i="42"/>
  <c r="AE194" i="42"/>
  <c r="V735" i="1"/>
  <c r="V15" i="1" a="1"/>
  <c r="V15" i="1" s="1"/>
  <c r="V12" i="1" a="1"/>
  <c r="V12" i="1" s="1"/>
  <c r="W10" i="1"/>
  <c r="V17" i="1"/>
  <c r="V13" i="1"/>
  <c r="AE257" i="42"/>
  <c r="AE258" i="42"/>
  <c r="AL486" i="1"/>
  <c r="AX13" i="42"/>
  <c r="AX192" i="42" s="1" a="1"/>
  <c r="AX192" i="42" s="1"/>
  <c r="U14" i="1"/>
  <c r="U9" i="1" s="1"/>
  <c r="AK693" i="1"/>
  <c r="AL454" i="1"/>
  <c r="AL456" i="1" s="1"/>
  <c r="AK565" i="1"/>
  <c r="AM672" i="1"/>
  <c r="AN422" i="1"/>
  <c r="AN672" i="1" s="1"/>
  <c r="AJ673" i="1"/>
  <c r="AK394" i="1"/>
  <c r="AJ387" i="1"/>
  <c r="AM695" i="1"/>
  <c r="AN483" i="1"/>
  <c r="AM487" i="1"/>
  <c r="AM175" i="1"/>
  <c r="AM103" i="1"/>
  <c r="AN99" i="1"/>
  <c r="AN102" i="1"/>
  <c r="AL237" i="1"/>
  <c r="AM229" i="1"/>
  <c r="AM232" i="1" s="1"/>
  <c r="AJ406" i="1" l="1"/>
  <c r="AJ640" i="1"/>
  <c r="AJ677" i="1" s="1"/>
  <c r="AK403" i="1"/>
  <c r="AJ699" i="1"/>
  <c r="AJ701" i="1" s="1"/>
  <c r="V531" i="1"/>
  <c r="V504" i="1"/>
  <c r="V460" i="1"/>
  <c r="U517" i="1"/>
  <c r="AN227" i="1"/>
  <c r="AM234" i="1"/>
  <c r="AL457" i="1"/>
  <c r="AL648" i="1" s="1"/>
  <c r="AL458" i="1"/>
  <c r="W504" i="1"/>
  <c r="AN704" i="1"/>
  <c r="AM545" i="1"/>
  <c r="AM546" i="1" s="1"/>
  <c r="AM556" i="1" s="1"/>
  <c r="AM550" i="1"/>
  <c r="AM551" i="1" s="1"/>
  <c r="AM557" i="1" s="1"/>
  <c r="AM540" i="1"/>
  <c r="AM555" i="1" s="1"/>
  <c r="AN539" i="1"/>
  <c r="AN480" i="1"/>
  <c r="AN665" i="1"/>
  <c r="AM686" i="1"/>
  <c r="AN482" i="1"/>
  <c r="AN486" i="1" s="1"/>
  <c r="AM484" i="1"/>
  <c r="AM488" i="1" s="1"/>
  <c r="AM492" i="1" s="1"/>
  <c r="AM694" i="1"/>
  <c r="AM566" i="1"/>
  <c r="AN453" i="1"/>
  <c r="AX193" i="42"/>
  <c r="AX194" i="42"/>
  <c r="AM237" i="1"/>
  <c r="AN229" i="1"/>
  <c r="AN237" i="1" s="1"/>
  <c r="AM233" i="1"/>
  <c r="C92" i="48"/>
  <c r="D15" i="7"/>
  <c r="AK673" i="1"/>
  <c r="AL394" i="1"/>
  <c r="AK387" i="1"/>
  <c r="AF257" i="42"/>
  <c r="AF258" i="42"/>
  <c r="V14" i="1"/>
  <c r="V9" i="1" s="1"/>
  <c r="AL693" i="1"/>
  <c r="AL565" i="1"/>
  <c r="AM454" i="1"/>
  <c r="AN695" i="1"/>
  <c r="AN487" i="1"/>
  <c r="AN103" i="1"/>
  <c r="AN175" i="1"/>
  <c r="W735" i="1"/>
  <c r="W15" i="1" a="1"/>
  <c r="W15" i="1" s="1"/>
  <c r="W12" i="1" a="1"/>
  <c r="W12" i="1" s="1"/>
  <c r="X10" i="1"/>
  <c r="W17" i="1"/>
  <c r="W459" i="1" s="1"/>
  <c r="W471" i="1" s="1"/>
  <c r="W13" i="1"/>
  <c r="AE85" i="42"/>
  <c r="AE448" i="42" s="1" a="1"/>
  <c r="AE448" i="42" s="1"/>
  <c r="AK560" i="1"/>
  <c r="AK559" i="1"/>
  <c r="AL554" i="1"/>
  <c r="AL558" i="1" s="1"/>
  <c r="Y454" i="42"/>
  <c r="Y414" i="42"/>
  <c r="Y346" i="42"/>
  <c r="Y314" i="42"/>
  <c r="Y330" i="42"/>
  <c r="Y254" i="42"/>
  <c r="Y282" i="42"/>
  <c r="Y214" i="42"/>
  <c r="Y222" i="42"/>
  <c r="Y182" i="42"/>
  <c r="Z6" i="42"/>
  <c r="AD450" i="42"/>
  <c r="AD449" i="42"/>
  <c r="R15" i="7"/>
  <c r="AK406" i="1" l="1"/>
  <c r="AK640" i="1"/>
  <c r="AK677" i="1" s="1"/>
  <c r="AK699" i="1"/>
  <c r="AK701" i="1" s="1"/>
  <c r="AL403" i="1"/>
  <c r="D28" i="7"/>
  <c r="AN232" i="1"/>
  <c r="AN234" i="1" s="1"/>
  <c r="AN550" i="1"/>
  <c r="AN551" i="1" s="1"/>
  <c r="AN557" i="1" s="1"/>
  <c r="AN540" i="1"/>
  <c r="AN555" i="1" s="1"/>
  <c r="AN545" i="1"/>
  <c r="AN546" i="1" s="1"/>
  <c r="AN556" i="1" s="1"/>
  <c r="X504" i="1"/>
  <c r="W503" i="1"/>
  <c r="AF85" i="42"/>
  <c r="AF448" i="42" s="1" a="1"/>
  <c r="AF448" i="42" s="1"/>
  <c r="AL560" i="1"/>
  <c r="AL559" i="1"/>
  <c r="AM554" i="1"/>
  <c r="AM558" i="1" s="1"/>
  <c r="X735" i="1"/>
  <c r="Y10" i="1"/>
  <c r="X17" i="1"/>
  <c r="X459" i="1" s="1"/>
  <c r="X471" i="1" s="1"/>
  <c r="X15" i="1" a="1"/>
  <c r="X15" i="1" s="1"/>
  <c r="X12" i="1" a="1"/>
  <c r="X12" i="1" s="1"/>
  <c r="X13" i="1"/>
  <c r="W14" i="1"/>
  <c r="W9" i="1" s="1"/>
  <c r="Z414" i="42"/>
  <c r="Z454" i="42"/>
  <c r="Z346" i="42"/>
  <c r="Z314" i="42"/>
  <c r="Z330" i="42"/>
  <c r="Z282" i="42"/>
  <c r="Z214" i="42"/>
  <c r="Z254" i="42"/>
  <c r="Z182" i="42"/>
  <c r="Z222" i="42"/>
  <c r="AA6" i="42"/>
  <c r="AN686" i="1"/>
  <c r="AN484" i="1"/>
  <c r="AN488" i="1" s="1"/>
  <c r="AN492" i="1" s="1"/>
  <c r="AE450" i="42"/>
  <c r="AE449" i="42"/>
  <c r="AN694" i="1"/>
  <c r="AN566" i="1"/>
  <c r="AM693" i="1"/>
  <c r="AM565" i="1"/>
  <c r="AN454" i="1"/>
  <c r="AN456" i="1" s="1"/>
  <c r="AL673" i="1"/>
  <c r="AM394" i="1"/>
  <c r="AL387" i="1"/>
  <c r="AM456" i="1"/>
  <c r="W598" i="1"/>
  <c r="W626" i="1"/>
  <c r="R28" i="7"/>
  <c r="AL406" i="1" l="1"/>
  <c r="AL640" i="1"/>
  <c r="AL677" i="1" s="1"/>
  <c r="AL699" i="1"/>
  <c r="AL701" i="1" s="1"/>
  <c r="AM403" i="1"/>
  <c r="AN233" i="1"/>
  <c r="AM559" i="1"/>
  <c r="AM560" i="1"/>
  <c r="AN554" i="1"/>
  <c r="AN558" i="1" s="1"/>
  <c r="AN457" i="1"/>
  <c r="AN648" i="1" s="1"/>
  <c r="AN458" i="1"/>
  <c r="W663" i="1"/>
  <c r="AF450" i="42"/>
  <c r="AF449" i="42"/>
  <c r="X503" i="1"/>
  <c r="Y504" i="1"/>
  <c r="AA454" i="42"/>
  <c r="AA414" i="42"/>
  <c r="AA346" i="42"/>
  <c r="AA314" i="42"/>
  <c r="AA330" i="42"/>
  <c r="AA282" i="42"/>
  <c r="AA214" i="42"/>
  <c r="AA254" i="42"/>
  <c r="AA182" i="42"/>
  <c r="AA222" i="42"/>
  <c r="AB6" i="42"/>
  <c r="AM673" i="1"/>
  <c r="AM387" i="1"/>
  <c r="AN394" i="1"/>
  <c r="X14" i="1"/>
  <c r="X9" i="1" s="1"/>
  <c r="X598" i="1"/>
  <c r="X626" i="1"/>
  <c r="AM457" i="1"/>
  <c r="AM648" i="1" s="1"/>
  <c r="AM458" i="1"/>
  <c r="AN693" i="1"/>
  <c r="AN565" i="1"/>
  <c r="Y735" i="1"/>
  <c r="Z10" i="1"/>
  <c r="Y17" i="1"/>
  <c r="Y459" i="1" s="1"/>
  <c r="Y471" i="1" s="1"/>
  <c r="Y15" i="1" a="1"/>
  <c r="Y15" i="1" s="1"/>
  <c r="Y13" i="1"/>
  <c r="Y12" i="1" a="1"/>
  <c r="Y12" i="1" s="1"/>
  <c r="AM406" i="1" l="1"/>
  <c r="AM640" i="1"/>
  <c r="AM677" i="1" s="1"/>
  <c r="AM699" i="1"/>
  <c r="AM701" i="1" s="1"/>
  <c r="AN403" i="1"/>
  <c r="Y14" i="1"/>
  <c r="Y9" i="1" s="1"/>
  <c r="AN559" i="1"/>
  <c r="AN560" i="1"/>
  <c r="AN673" i="1"/>
  <c r="AN387" i="1"/>
  <c r="AO387" i="1" s="1"/>
  <c r="AP387" i="1" s="1"/>
  <c r="AQ387" i="1" s="1"/>
  <c r="AR387" i="1" s="1"/>
  <c r="AS387" i="1" s="1"/>
  <c r="AT387" i="1" s="1"/>
  <c r="AU387" i="1" s="1"/>
  <c r="AV387" i="1" s="1"/>
  <c r="AW387" i="1" s="1"/>
  <c r="AX387" i="1" s="1"/>
  <c r="AY387" i="1" s="1"/>
  <c r="AZ387" i="1" s="1"/>
  <c r="BA387" i="1" s="1"/>
  <c r="BB387" i="1" s="1"/>
  <c r="BC387" i="1" s="1"/>
  <c r="BD387" i="1" s="1"/>
  <c r="BE387" i="1" s="1"/>
  <c r="X663" i="1"/>
  <c r="Y598" i="1"/>
  <c r="Y626" i="1"/>
  <c r="Z504" i="1"/>
  <c r="Z735" i="1"/>
  <c r="AA10" i="1"/>
  <c r="Z17" i="1"/>
  <c r="Z459" i="1" s="1"/>
  <c r="Z471" i="1" s="1"/>
  <c r="Z13" i="1"/>
  <c r="Z15" i="1" a="1"/>
  <c r="Z15" i="1" s="1"/>
  <c r="Z12" i="1" a="1"/>
  <c r="Z12" i="1" s="1"/>
  <c r="O120" i="49"/>
  <c r="P67" i="42"/>
  <c r="AB454" i="42"/>
  <c r="AB414" i="42"/>
  <c r="AB346" i="42"/>
  <c r="AB314" i="42"/>
  <c r="AB330" i="42"/>
  <c r="AB254" i="42"/>
  <c r="AB282" i="42"/>
  <c r="AB214" i="42"/>
  <c r="AB222" i="42"/>
  <c r="AB182" i="42"/>
  <c r="AC6" i="42"/>
  <c r="AN406" i="1" l="1"/>
  <c r="AN699" i="1" s="1"/>
  <c r="AN701" i="1" s="1"/>
  <c r="AN640" i="1"/>
  <c r="AN677" i="1" s="1"/>
  <c r="Z14" i="1"/>
  <c r="Z9" i="1" s="1"/>
  <c r="AO388" i="1"/>
  <c r="AO394" i="1" s="1"/>
  <c r="AP388" i="1" s="1"/>
  <c r="AP394" i="1" s="1"/>
  <c r="AA504" i="1"/>
  <c r="O150" i="49"/>
  <c r="AK120" i="49"/>
  <c r="AK150" i="49" s="1"/>
  <c r="I36" i="50"/>
  <c r="P380" i="42" a="1"/>
  <c r="P380" i="42" s="1"/>
  <c r="AP67" i="42"/>
  <c r="AP380" i="42" s="1" a="1"/>
  <c r="AP380" i="42" s="1"/>
  <c r="Z598" i="1"/>
  <c r="Z626" i="1"/>
  <c r="AA735" i="1"/>
  <c r="AB10" i="1"/>
  <c r="AA17" i="1"/>
  <c r="AA459" i="1" s="1"/>
  <c r="AA471" i="1" s="1"/>
  <c r="AA13" i="1"/>
  <c r="AA12" i="1" a="1"/>
  <c r="AA12" i="1" s="1"/>
  <c r="AA15" i="1" a="1"/>
  <c r="AA15" i="1" s="1"/>
  <c r="AC454" i="42"/>
  <c r="AC414" i="42"/>
  <c r="AC346" i="42"/>
  <c r="AC314" i="42"/>
  <c r="AC330" i="42"/>
  <c r="AC254" i="42"/>
  <c r="AC282" i="42"/>
  <c r="AC214" i="42"/>
  <c r="AC182" i="42"/>
  <c r="AC222" i="42"/>
  <c r="AD6" i="42"/>
  <c r="AA14" i="1" l="1"/>
  <c r="AA9" i="1" s="1"/>
  <c r="AP382" i="42"/>
  <c r="AP381" i="42"/>
  <c r="AB735" i="1"/>
  <c r="AC10" i="1"/>
  <c r="AB17" i="1"/>
  <c r="AB459" i="1" s="1"/>
  <c r="AB471" i="1" s="1"/>
  <c r="AB13" i="1"/>
  <c r="AB15" i="1" a="1"/>
  <c r="AB15" i="1" s="1"/>
  <c r="AB12" i="1" a="1"/>
  <c r="AB12" i="1" s="1"/>
  <c r="AB14" i="1" s="1"/>
  <c r="AB9" i="1" s="1"/>
  <c r="P382" i="42"/>
  <c r="P381" i="42"/>
  <c r="AB504" i="1"/>
  <c r="AA626" i="1"/>
  <c r="AA598" i="1"/>
  <c r="AD454" i="42"/>
  <c r="AD414" i="42"/>
  <c r="AD346" i="42"/>
  <c r="AD330" i="42"/>
  <c r="AD254" i="42"/>
  <c r="AD282" i="42"/>
  <c r="AD314" i="42"/>
  <c r="AD222" i="42"/>
  <c r="AD214" i="42"/>
  <c r="AD182" i="42"/>
  <c r="AE6" i="42"/>
  <c r="AQ388" i="1"/>
  <c r="AQ394" i="1" s="1"/>
  <c r="AR388" i="1" l="1"/>
  <c r="AR394" i="1" s="1"/>
  <c r="AC735" i="1"/>
  <c r="AC17" i="1"/>
  <c r="AC459" i="1" s="1"/>
  <c r="AC471" i="1" s="1"/>
  <c r="AC15" i="1" a="1"/>
  <c r="AC15" i="1" s="1"/>
  <c r="AC13" i="1"/>
  <c r="AC12" i="1" a="1"/>
  <c r="AC12" i="1" s="1"/>
  <c r="AD10" i="1"/>
  <c r="AE454" i="42"/>
  <c r="AE414" i="42"/>
  <c r="AE346" i="42"/>
  <c r="AE330" i="42"/>
  <c r="AE314" i="42"/>
  <c r="AE254" i="42"/>
  <c r="AE282" i="42"/>
  <c r="AE222" i="42"/>
  <c r="AE214" i="42"/>
  <c r="AE182" i="42"/>
  <c r="AF6" i="42"/>
  <c r="AB626" i="1"/>
  <c r="AB598" i="1"/>
  <c r="AC504" i="1"/>
  <c r="AC14" i="1" l="1"/>
  <c r="AC9" i="1" s="1"/>
  <c r="AS388" i="1"/>
  <c r="AS394" i="1" s="1"/>
  <c r="AF454" i="42"/>
  <c r="AF414" i="42"/>
  <c r="AF346" i="42"/>
  <c r="AF330" i="42"/>
  <c r="AF282" i="42"/>
  <c r="AF314" i="42"/>
  <c r="AF222" i="42"/>
  <c r="AF254" i="42"/>
  <c r="AF182" i="42"/>
  <c r="AF214" i="42"/>
  <c r="AR85" i="42"/>
  <c r="AR448" i="42" s="1" a="1"/>
  <c r="AR448" i="42" s="1"/>
  <c r="AS85" i="42"/>
  <c r="AS448" i="42" s="1" a="1"/>
  <c r="AS448" i="42" s="1"/>
  <c r="AS32" i="42"/>
  <c r="AS256" i="42" s="1" a="1"/>
  <c r="AS256" i="42" s="1"/>
  <c r="AT32" i="42"/>
  <c r="AT256" i="42" s="1" a="1"/>
  <c r="AT256" i="42" s="1"/>
  <c r="AT85" i="42"/>
  <c r="AT448" i="42" s="1" a="1"/>
  <c r="AT448" i="42" s="1"/>
  <c r="AU32" i="42"/>
  <c r="AU256" i="42" s="1" a="1"/>
  <c r="AU256" i="42" s="1"/>
  <c r="AU85" i="42"/>
  <c r="AU448" i="42" s="1" a="1"/>
  <c r="AU448" i="42" s="1"/>
  <c r="AV32" i="42"/>
  <c r="AV256" i="42" s="1" a="1"/>
  <c r="AV256" i="42" s="1"/>
  <c r="AV85" i="42"/>
  <c r="AV448" i="42" s="1" a="1"/>
  <c r="AV448" i="42" s="1"/>
  <c r="AW85" i="42"/>
  <c r="AW448" i="42" s="1" a="1"/>
  <c r="AW448" i="42" s="1"/>
  <c r="AX85" i="42"/>
  <c r="AX448" i="42" s="1" a="1"/>
  <c r="AX448" i="42" s="1"/>
  <c r="AX32" i="42"/>
  <c r="AX256" i="42" s="1" a="1"/>
  <c r="AX256" i="42" s="1"/>
  <c r="AW32" i="42"/>
  <c r="AW256" i="42" s="1" a="1"/>
  <c r="AW256" i="42" s="1"/>
  <c r="AD504" i="1"/>
  <c r="AD735" i="1"/>
  <c r="AD15" i="1" a="1"/>
  <c r="AD15" i="1" s="1"/>
  <c r="AD12" i="1" a="1"/>
  <c r="AD12" i="1" s="1"/>
  <c r="AD13" i="1"/>
  <c r="AE10" i="1"/>
  <c r="AD17" i="1"/>
  <c r="AD459" i="1" s="1"/>
  <c r="AD471" i="1" s="1"/>
  <c r="AC626" i="1"/>
  <c r="AC598" i="1"/>
  <c r="AD14" i="1" l="1"/>
  <c r="AD9" i="1" s="1"/>
  <c r="AW257" i="42"/>
  <c r="AW258" i="42"/>
  <c r="AX257" i="42"/>
  <c r="AX258" i="42"/>
  <c r="AU257" i="42"/>
  <c r="AU258" i="42"/>
  <c r="AR449" i="42"/>
  <c r="AR450" i="42"/>
  <c r="AD626" i="1"/>
  <c r="AD598" i="1"/>
  <c r="AX450" i="42"/>
  <c r="AX449" i="42"/>
  <c r="AE735" i="1"/>
  <c r="AE15" i="1" a="1"/>
  <c r="AE15" i="1" s="1"/>
  <c r="AE12" i="1" a="1"/>
  <c r="AE12" i="1" s="1"/>
  <c r="AE13" i="1"/>
  <c r="AE17" i="1"/>
  <c r="AE459" i="1" s="1"/>
  <c r="AE471" i="1" s="1"/>
  <c r="AF10" i="1"/>
  <c r="AT449" i="42"/>
  <c r="AT450" i="42"/>
  <c r="AT257" i="42"/>
  <c r="AT258" i="42"/>
  <c r="AU449" i="42"/>
  <c r="AU450" i="42"/>
  <c r="AS258" i="42"/>
  <c r="AS257" i="42"/>
  <c r="AV449" i="42"/>
  <c r="AV450" i="42"/>
  <c r="AE504" i="1"/>
  <c r="AS449" i="42"/>
  <c r="AS450" i="42"/>
  <c r="AV257" i="42"/>
  <c r="AV258" i="42"/>
  <c r="AT388" i="1"/>
  <c r="AT394" i="1" s="1"/>
  <c r="AW450" i="42"/>
  <c r="AW449" i="42"/>
  <c r="AE14" i="1" l="1"/>
  <c r="AE9" i="1" s="1"/>
  <c r="AU388" i="1"/>
  <c r="AU394" i="1" s="1"/>
  <c r="AE626" i="1"/>
  <c r="AE598" i="1"/>
  <c r="AF735" i="1"/>
  <c r="AF13" i="1"/>
  <c r="AF15" i="1" a="1"/>
  <c r="AF15" i="1" s="1"/>
  <c r="AF12" i="1" a="1"/>
  <c r="AF12" i="1" s="1"/>
  <c r="AG10" i="1"/>
  <c r="AF17" i="1"/>
  <c r="AF459" i="1" s="1"/>
  <c r="AF471" i="1" s="1"/>
  <c r="AF504" i="1"/>
  <c r="AV388" i="1" l="1"/>
  <c r="AV394" i="1" s="1"/>
  <c r="AG504" i="1"/>
  <c r="AF626" i="1"/>
  <c r="AF598" i="1"/>
  <c r="AG735" i="1"/>
  <c r="AG13" i="1"/>
  <c r="AH10" i="1"/>
  <c r="AG17" i="1"/>
  <c r="AG459" i="1" s="1"/>
  <c r="AG471" i="1" s="1"/>
  <c r="AG15" i="1" a="1"/>
  <c r="AG15" i="1" s="1"/>
  <c r="AG12" i="1" a="1"/>
  <c r="AG12" i="1" s="1"/>
  <c r="AF14" i="1"/>
  <c r="AF9" i="1" s="1"/>
  <c r="AG14" i="1" l="1"/>
  <c r="AG9" i="1" s="1"/>
  <c r="AW388" i="1"/>
  <c r="AW394" i="1" s="1"/>
  <c r="AG626" i="1"/>
  <c r="AG598" i="1"/>
  <c r="AH735" i="1"/>
  <c r="AH15" i="1" a="1"/>
  <c r="AH15" i="1" s="1"/>
  <c r="AH12" i="1" a="1"/>
  <c r="AH12" i="1" s="1"/>
  <c r="AI10" i="1"/>
  <c r="AH17" i="1"/>
  <c r="AH459" i="1" s="1"/>
  <c r="AH471" i="1" s="1"/>
  <c r="AH13" i="1"/>
  <c r="AH504" i="1"/>
  <c r="AX388" i="1" l="1"/>
  <c r="AX394" i="1" s="1"/>
  <c r="AI504" i="1"/>
  <c r="AI735" i="1"/>
  <c r="AI17" i="1"/>
  <c r="AI459" i="1" s="1"/>
  <c r="AI471" i="1" s="1"/>
  <c r="AI13" i="1"/>
  <c r="AJ10" i="1"/>
  <c r="AI15" i="1" a="1"/>
  <c r="AI15" i="1" s="1"/>
  <c r="AI12" i="1" a="1"/>
  <c r="AI12" i="1" s="1"/>
  <c r="AH626" i="1"/>
  <c r="AH598" i="1"/>
  <c r="AH14" i="1"/>
  <c r="AH9" i="1" s="1"/>
  <c r="AI14" i="1" l="1"/>
  <c r="AI9" i="1" s="1"/>
  <c r="AY388" i="1"/>
  <c r="AY394" i="1" s="1"/>
  <c r="AI626" i="1"/>
  <c r="AI598" i="1"/>
  <c r="AJ504" i="1"/>
  <c r="AJ735" i="1"/>
  <c r="AJ15" i="1" a="1"/>
  <c r="AJ15" i="1" s="1"/>
  <c r="AJ12" i="1" a="1"/>
  <c r="AJ12" i="1" s="1"/>
  <c r="AJ17" i="1"/>
  <c r="AJ459" i="1" s="1"/>
  <c r="AJ471" i="1" s="1"/>
  <c r="AJ13" i="1"/>
  <c r="AK10" i="1"/>
  <c r="AZ388" i="1" l="1"/>
  <c r="AZ394" i="1" s="1"/>
  <c r="AK735" i="1"/>
  <c r="AK15" i="1" a="1"/>
  <c r="AK15" i="1" s="1"/>
  <c r="AK12" i="1" a="1"/>
  <c r="AK12" i="1" s="1"/>
  <c r="AL10" i="1"/>
  <c r="AK17" i="1"/>
  <c r="AK459" i="1" s="1"/>
  <c r="AK471" i="1" s="1"/>
  <c r="AK13" i="1"/>
  <c r="AJ626" i="1"/>
  <c r="AJ598" i="1"/>
  <c r="AK504" i="1"/>
  <c r="AJ14" i="1"/>
  <c r="AJ9" i="1" s="1"/>
  <c r="BA388" i="1" l="1"/>
  <c r="BA394" i="1" s="1"/>
  <c r="AL735" i="1"/>
  <c r="AL15" i="1" a="1"/>
  <c r="AL15" i="1" s="1"/>
  <c r="AL12" i="1" a="1"/>
  <c r="AL12" i="1" s="1"/>
  <c r="AM10" i="1"/>
  <c r="AL17" i="1"/>
  <c r="AL459" i="1" s="1"/>
  <c r="AL471" i="1" s="1"/>
  <c r="AL13" i="1"/>
  <c r="C131" i="4"/>
  <c r="C171" i="4"/>
  <c r="D164" i="4"/>
  <c r="C170" i="4"/>
  <c r="C136" i="4"/>
  <c r="C230" i="4"/>
  <c r="BU75" i="51" s="1"/>
  <c r="E162" i="4"/>
  <c r="G223" i="7" s="1"/>
  <c r="C138" i="4"/>
  <c r="E193" i="7" s="1"/>
  <c r="C141" i="4"/>
  <c r="E189" i="7" s="1"/>
  <c r="D121" i="4"/>
  <c r="D163" i="4"/>
  <c r="F224" i="7" s="1"/>
  <c r="C139" i="4"/>
  <c r="E190" i="7" s="1"/>
  <c r="D154" i="4"/>
  <c r="F212" i="7" s="1"/>
  <c r="D236" i="4"/>
  <c r="C148" i="4"/>
  <c r="C130" i="4"/>
  <c r="E183" i="7" s="1"/>
  <c r="C174" i="4"/>
  <c r="C231" i="4"/>
  <c r="BU76" i="51" s="1"/>
  <c r="C179" i="4"/>
  <c r="C181" i="4" s="1"/>
  <c r="E287" i="7" s="1"/>
  <c r="C129" i="4"/>
  <c r="D174" i="4"/>
  <c r="E179" i="4"/>
  <c r="C164" i="4"/>
  <c r="C166" i="4" s="1"/>
  <c r="C132" i="4"/>
  <c r="D138" i="4"/>
  <c r="E132" i="4"/>
  <c r="D129" i="4"/>
  <c r="C175" i="4"/>
  <c r="C236" i="4"/>
  <c r="E142" i="4"/>
  <c r="G194" i="7" s="1"/>
  <c r="D235" i="4"/>
  <c r="D156" i="4"/>
  <c r="F215" i="7" s="1"/>
  <c r="E147" i="4"/>
  <c r="E148" i="4"/>
  <c r="G203" i="7" s="1"/>
  <c r="D179" i="4"/>
  <c r="F129" i="4"/>
  <c r="E230" i="4"/>
  <c r="BW75" i="51" s="1"/>
  <c r="E129" i="4"/>
  <c r="E139" i="4"/>
  <c r="G190" i="7" s="1"/>
  <c r="E154" i="4"/>
  <c r="G212" i="7" s="1"/>
  <c r="D140" i="4"/>
  <c r="F188" i="7" s="1"/>
  <c r="D139" i="4"/>
  <c r="F190" i="7" s="1"/>
  <c r="D170" i="4"/>
  <c r="D232" i="4"/>
  <c r="BV77" i="51" s="1"/>
  <c r="E155" i="4"/>
  <c r="G213" i="7" s="1"/>
  <c r="E156" i="4"/>
  <c r="G215" i="7" s="1"/>
  <c r="D155" i="4"/>
  <c r="F213" i="7" s="1"/>
  <c r="D161" i="4"/>
  <c r="D131" i="4"/>
  <c r="D132" i="4"/>
  <c r="D231" i="4"/>
  <c r="BV76" i="51" s="1"/>
  <c r="E175" i="4"/>
  <c r="D137" i="4"/>
  <c r="D171" i="4"/>
  <c r="E164" i="4"/>
  <c r="D141" i="4"/>
  <c r="F189" i="7" s="1"/>
  <c r="D136" i="4"/>
  <c r="E140" i="4"/>
  <c r="G188" i="7" s="1"/>
  <c r="D217" i="4"/>
  <c r="BV63" i="51" s="1"/>
  <c r="E138" i="4"/>
  <c r="E163" i="4"/>
  <c r="G224" i="7" s="1"/>
  <c r="D230" i="4"/>
  <c r="BV75" i="51" s="1"/>
  <c r="E137" i="4"/>
  <c r="E153" i="4"/>
  <c r="E170" i="4"/>
  <c r="E136" i="4"/>
  <c r="D162" i="4"/>
  <c r="F223" i="7" s="1"/>
  <c r="D142" i="4"/>
  <c r="F194" i="7" s="1"/>
  <c r="D149" i="4"/>
  <c r="F207" i="7" s="1"/>
  <c r="E141" i="4"/>
  <c r="G189" i="7" s="1"/>
  <c r="F231" i="4"/>
  <c r="BX76" i="51" s="1"/>
  <c r="D130" i="4"/>
  <c r="F183" i="7" s="1"/>
  <c r="D148" i="4"/>
  <c r="F203" i="7" s="1"/>
  <c r="D180" i="4"/>
  <c r="F285" i="7" s="1"/>
  <c r="E171" i="4"/>
  <c r="D147" i="4"/>
  <c r="D153" i="4"/>
  <c r="E217" i="4"/>
  <c r="BW63" i="51" s="1"/>
  <c r="D175" i="4"/>
  <c r="E174" i="4"/>
  <c r="X51" i="48" s="1"/>
  <c r="AQ51" i="48" s="1"/>
  <c r="E180" i="4"/>
  <c r="G285" i="7" s="1"/>
  <c r="E131" i="4"/>
  <c r="E232" i="4"/>
  <c r="BW77" i="51" s="1"/>
  <c r="F230" i="4"/>
  <c r="BX75" i="51" s="1"/>
  <c r="CE75" i="51" s="1"/>
  <c r="CG75" i="51" s="1"/>
  <c r="E149" i="4"/>
  <c r="G207" i="7" s="1"/>
  <c r="F130" i="4"/>
  <c r="H183" i="7" s="1"/>
  <c r="H232" i="4"/>
  <c r="BZ77" i="51" s="1"/>
  <c r="F217" i="4"/>
  <c r="BX63" i="51" s="1"/>
  <c r="CE63" i="51" s="1"/>
  <c r="E231" i="4"/>
  <c r="BW76" i="51" s="1"/>
  <c r="F138" i="4"/>
  <c r="F156" i="4"/>
  <c r="H215" i="7" s="1"/>
  <c r="F131" i="4"/>
  <c r="F153" i="4"/>
  <c r="E161" i="4"/>
  <c r="F121" i="4"/>
  <c r="F148" i="4"/>
  <c r="H203" i="7" s="1"/>
  <c r="F139" i="4"/>
  <c r="H190" i="7" s="1"/>
  <c r="F147" i="4"/>
  <c r="E130" i="4"/>
  <c r="G183" i="7" s="1"/>
  <c r="F140" i="4"/>
  <c r="H188" i="7" s="1"/>
  <c r="F141" i="4"/>
  <c r="H189" i="7" s="1"/>
  <c r="F164" i="4"/>
  <c r="F136" i="4"/>
  <c r="F232" i="4"/>
  <c r="BX77" i="51" s="1"/>
  <c r="E121" i="4"/>
  <c r="F162" i="4"/>
  <c r="H223" i="7" s="1"/>
  <c r="F163" i="4"/>
  <c r="H224" i="7" s="1"/>
  <c r="F132" i="4"/>
  <c r="F170" i="4"/>
  <c r="G131" i="4"/>
  <c r="F142" i="4"/>
  <c r="H194" i="7" s="1"/>
  <c r="F161" i="4"/>
  <c r="H149" i="4"/>
  <c r="J207" i="7" s="1"/>
  <c r="F137" i="4"/>
  <c r="G230" i="4"/>
  <c r="BY75" i="51" s="1"/>
  <c r="CH75" i="51" s="1"/>
  <c r="G232" i="4"/>
  <c r="BY77" i="51" s="1"/>
  <c r="CH77" i="51" s="1"/>
  <c r="H164" i="4"/>
  <c r="F174" i="4"/>
  <c r="Y51" i="48" s="1"/>
  <c r="AR51" i="48" s="1"/>
  <c r="G153" i="4"/>
  <c r="G179" i="4"/>
  <c r="F179" i="4"/>
  <c r="F175" i="4"/>
  <c r="F171" i="4"/>
  <c r="F155" i="4"/>
  <c r="H213" i="7" s="1"/>
  <c r="F149" i="4"/>
  <c r="H207" i="7" s="1"/>
  <c r="F180" i="4"/>
  <c r="H285" i="7" s="1"/>
  <c r="F154" i="4"/>
  <c r="H212" i="7" s="1"/>
  <c r="L162" i="4"/>
  <c r="N223" i="7" s="1"/>
  <c r="G171" i="4"/>
  <c r="H170" i="4"/>
  <c r="G137" i="4"/>
  <c r="H155" i="4"/>
  <c r="J213" i="7" s="1"/>
  <c r="H154" i="4"/>
  <c r="J212" i="7" s="1"/>
  <c r="G180" i="4"/>
  <c r="I285" i="7" s="1"/>
  <c r="G161" i="4"/>
  <c r="H156" i="4"/>
  <c r="J215" i="7" s="1"/>
  <c r="H136" i="4"/>
  <c r="H138" i="4"/>
  <c r="H131" i="4"/>
  <c r="H137" i="4"/>
  <c r="H231" i="4"/>
  <c r="BZ76" i="51" s="1"/>
  <c r="G138" i="4"/>
  <c r="H180" i="4"/>
  <c r="J285" i="7" s="1"/>
  <c r="H141" i="4"/>
  <c r="J189" i="7" s="1"/>
  <c r="H140" i="4"/>
  <c r="J188" i="7" s="1"/>
  <c r="G170" i="4"/>
  <c r="H161" i="4"/>
  <c r="G155" i="4"/>
  <c r="I213" i="7" s="1"/>
  <c r="H153" i="4"/>
  <c r="G132" i="4"/>
  <c r="J154" i="4"/>
  <c r="L212" i="7" s="1"/>
  <c r="G231" i="4"/>
  <c r="BY76" i="51" s="1"/>
  <c r="CH76" i="51" s="1"/>
  <c r="H230" i="4"/>
  <c r="BZ75" i="51" s="1"/>
  <c r="G156" i="4"/>
  <c r="I215" i="7" s="1"/>
  <c r="G136" i="4"/>
  <c r="G142" i="4"/>
  <c r="I194" i="7" s="1"/>
  <c r="H179" i="4"/>
  <c r="L161" i="4"/>
  <c r="G140" i="4"/>
  <c r="I188" i="7" s="1"/>
  <c r="J140" i="4"/>
  <c r="L188" i="7" s="1"/>
  <c r="G162" i="4"/>
  <c r="I223" i="7" s="1"/>
  <c r="H130" i="4"/>
  <c r="J183" i="7" s="1"/>
  <c r="G149" i="4"/>
  <c r="I207" i="7" s="1"/>
  <c r="H162" i="4"/>
  <c r="J223" i="7" s="1"/>
  <c r="G217" i="4"/>
  <c r="I161" i="4"/>
  <c r="G141" i="4"/>
  <c r="I189" i="7" s="1"/>
  <c r="H171" i="4"/>
  <c r="H132" i="4"/>
  <c r="G164" i="4"/>
  <c r="H142" i="4"/>
  <c r="J194" i="7" s="1"/>
  <c r="H217" i="4"/>
  <c r="G154" i="4"/>
  <c r="I212" i="7" s="1"/>
  <c r="I162" i="4"/>
  <c r="K223" i="7" s="1"/>
  <c r="J149" i="4"/>
  <c r="L207" i="7" s="1"/>
  <c r="I131" i="4"/>
  <c r="J217" i="4"/>
  <c r="L170" i="4"/>
  <c r="J232" i="4"/>
  <c r="CB77" i="51" s="1"/>
  <c r="I230" i="4"/>
  <c r="CA75" i="51" s="1"/>
  <c r="J141" i="4"/>
  <c r="L189" i="7" s="1"/>
  <c r="I153" i="4"/>
  <c r="I232" i="4"/>
  <c r="CA77" i="51" s="1"/>
  <c r="J231" i="4"/>
  <c r="CB76" i="51" s="1"/>
  <c r="I154" i="4"/>
  <c r="K212" i="7" s="1"/>
  <c r="I164" i="4"/>
  <c r="L142" i="4"/>
  <c r="N194" i="7" s="1"/>
  <c r="J153" i="4"/>
  <c r="I170" i="4"/>
  <c r="I142" i="4"/>
  <c r="K194" i="7" s="1"/>
  <c r="I217" i="4"/>
  <c r="J162" i="4"/>
  <c r="L223" i="7" s="1"/>
  <c r="J164" i="4"/>
  <c r="J161" i="4"/>
  <c r="J179" i="4"/>
  <c r="I171" i="4"/>
  <c r="J142" i="4"/>
  <c r="L194" i="7" s="1"/>
  <c r="J137" i="4"/>
  <c r="J131" i="4"/>
  <c r="J132" i="4"/>
  <c r="J155" i="4"/>
  <c r="L213" i="7" s="1"/>
  <c r="L230" i="4"/>
  <c r="J170" i="4"/>
  <c r="I156" i="4"/>
  <c r="K215" i="7" s="1"/>
  <c r="J136" i="4"/>
  <c r="I136" i="4"/>
  <c r="J230" i="4"/>
  <c r="CB75" i="51" s="1"/>
  <c r="I179" i="4"/>
  <c r="I155" i="4"/>
  <c r="K213" i="7" s="1"/>
  <c r="K156" i="4"/>
  <c r="M215" i="7" s="1"/>
  <c r="I180" i="4"/>
  <c r="K285" i="7" s="1"/>
  <c r="K154" i="4"/>
  <c r="M212" i="7" s="1"/>
  <c r="J156" i="4"/>
  <c r="L215" i="7" s="1"/>
  <c r="I137" i="4"/>
  <c r="I140" i="4"/>
  <c r="K188" i="7" s="1"/>
  <c r="I132" i="4"/>
  <c r="L217" i="4"/>
  <c r="J180" i="4"/>
  <c r="L285" i="7" s="1"/>
  <c r="M162" i="4"/>
  <c r="O223" i="7" s="1"/>
  <c r="L231" i="4"/>
  <c r="I149" i="4"/>
  <c r="K207" i="7" s="1"/>
  <c r="I141" i="4"/>
  <c r="K189" i="7" s="1"/>
  <c r="K170" i="4"/>
  <c r="I231" i="4"/>
  <c r="CA76" i="51" s="1"/>
  <c r="L132" i="4"/>
  <c r="K171" i="4"/>
  <c r="K230" i="4"/>
  <c r="CC75" i="51" s="1"/>
  <c r="K231" i="4"/>
  <c r="CC76" i="51" s="1"/>
  <c r="J171" i="4"/>
  <c r="K164" i="4"/>
  <c r="K232" i="4"/>
  <c r="CC77" i="51" s="1"/>
  <c r="L180" i="4"/>
  <c r="N285" i="7" s="1"/>
  <c r="K180" i="4"/>
  <c r="M285" i="7" s="1"/>
  <c r="L141" i="4"/>
  <c r="N189" i="7" s="1"/>
  <c r="K155" i="4"/>
  <c r="M213" i="7" s="1"/>
  <c r="M149" i="4"/>
  <c r="O207" i="7" s="1"/>
  <c r="M155" i="4"/>
  <c r="O213" i="7" s="1"/>
  <c r="L232" i="4"/>
  <c r="K131" i="4"/>
  <c r="K132" i="4"/>
  <c r="L153" i="4"/>
  <c r="K141" i="4"/>
  <c r="M189" i="7" s="1"/>
  <c r="L140" i="4"/>
  <c r="N188" i="7" s="1"/>
  <c r="M180" i="4"/>
  <c r="O285" i="7" s="1"/>
  <c r="K179" i="4"/>
  <c r="L136" i="4"/>
  <c r="L149" i="4"/>
  <c r="N207" i="7" s="1"/>
  <c r="L155" i="4"/>
  <c r="N213" i="7" s="1"/>
  <c r="K162" i="4"/>
  <c r="M223" i="7" s="1"/>
  <c r="L179" i="4"/>
  <c r="M154" i="4"/>
  <c r="O212" i="7" s="1"/>
  <c r="L156" i="4"/>
  <c r="N215" i="7" s="1"/>
  <c r="K217" i="4"/>
  <c r="K142" i="4"/>
  <c r="M194" i="7" s="1"/>
  <c r="L171" i="4"/>
  <c r="L131" i="4"/>
  <c r="M137" i="4"/>
  <c r="L137" i="4"/>
  <c r="K136" i="4"/>
  <c r="O161" i="4"/>
  <c r="M231" i="4"/>
  <c r="M140" i="4"/>
  <c r="O188" i="7" s="1"/>
  <c r="M217" i="4"/>
  <c r="K137" i="4"/>
  <c r="O232" i="4"/>
  <c r="M170" i="4"/>
  <c r="L164" i="4"/>
  <c r="N136" i="4"/>
  <c r="K140" i="4"/>
  <c r="M188" i="7" s="1"/>
  <c r="L154" i="4"/>
  <c r="N212" i="7" s="1"/>
  <c r="O170" i="4"/>
  <c r="M132" i="4"/>
  <c r="O171" i="4"/>
  <c r="M164" i="4"/>
  <c r="M131" i="4"/>
  <c r="M171" i="4"/>
  <c r="K149" i="4"/>
  <c r="M207" i="7" s="1"/>
  <c r="K153" i="4"/>
  <c r="M156" i="4"/>
  <c r="O215" i="7" s="1"/>
  <c r="M161" i="4"/>
  <c r="M232" i="4"/>
  <c r="M136" i="4"/>
  <c r="M142" i="4"/>
  <c r="O194" i="7" s="1"/>
  <c r="M153" i="4"/>
  <c r="K161" i="4"/>
  <c r="M179" i="4"/>
  <c r="O137" i="4"/>
  <c r="N164" i="4"/>
  <c r="O164" i="4"/>
  <c r="O231" i="4"/>
  <c r="N231" i="4"/>
  <c r="O131" i="4"/>
  <c r="O132" i="4"/>
  <c r="N180" i="4"/>
  <c r="P285" i="7" s="1"/>
  <c r="N153" i="4"/>
  <c r="N232" i="4"/>
  <c r="N140" i="4"/>
  <c r="P188" i="7" s="1"/>
  <c r="N161" i="4"/>
  <c r="N154" i="4"/>
  <c r="P212" i="7" s="1"/>
  <c r="O156" i="4"/>
  <c r="Q215" i="7" s="1"/>
  <c r="N217" i="4"/>
  <c r="N179" i="4"/>
  <c r="N155" i="4"/>
  <c r="P213" i="7" s="1"/>
  <c r="M141" i="4"/>
  <c r="O189" i="7" s="1"/>
  <c r="N141" i="4"/>
  <c r="P189" i="7" s="1"/>
  <c r="N156" i="4"/>
  <c r="P215" i="7" s="1"/>
  <c r="N132" i="4"/>
  <c r="O153" i="4"/>
  <c r="O162" i="4"/>
  <c r="Q223" i="7" s="1"/>
  <c r="N162" i="4"/>
  <c r="P223" i="7" s="1"/>
  <c r="N142" i="4"/>
  <c r="P194" i="7" s="1"/>
  <c r="N230" i="4"/>
  <c r="O179" i="4"/>
  <c r="N131" i="4"/>
  <c r="M230" i="4"/>
  <c r="O217" i="4"/>
  <c r="O180" i="4"/>
  <c r="Q285" i="7" s="1"/>
  <c r="O142" i="4"/>
  <c r="Q194" i="7" s="1"/>
  <c r="N149" i="4"/>
  <c r="P207" i="7" s="1"/>
  <c r="O141" i="4"/>
  <c r="Q189" i="7" s="1"/>
  <c r="O154" i="4"/>
  <c r="Q212" i="7" s="1"/>
  <c r="N171" i="4"/>
  <c r="N137" i="4"/>
  <c r="N170" i="4"/>
  <c r="O149" i="4"/>
  <c r="Q207" i="7" s="1"/>
  <c r="O140" i="4"/>
  <c r="Q188" i="7" s="1"/>
  <c r="O136" i="4"/>
  <c r="O155" i="4"/>
  <c r="Q213" i="7" s="1"/>
  <c r="O230" i="4"/>
  <c r="AL504" i="1"/>
  <c r="AK14" i="1"/>
  <c r="AK9" i="1" s="1"/>
  <c r="AK598" i="1"/>
  <c r="AK626" i="1"/>
  <c r="AB194" i="7"/>
  <c r="U224" i="7"/>
  <c r="AA194" i="7"/>
  <c r="T215" i="7"/>
  <c r="Y213" i="7"/>
  <c r="T223" i="7"/>
  <c r="Z194" i="7"/>
  <c r="AB285" i="7"/>
  <c r="AD189" i="7"/>
  <c r="U183" i="7"/>
  <c r="Z215" i="7"/>
  <c r="AD188" i="7"/>
  <c r="X215" i="7"/>
  <c r="AC223" i="7"/>
  <c r="V207" i="7"/>
  <c r="AB212" i="7"/>
  <c r="V203" i="7"/>
  <c r="AB189" i="7"/>
  <c r="AA189" i="7"/>
  <c r="T212" i="7"/>
  <c r="S287" i="7"/>
  <c r="AA213" i="7"/>
  <c r="W212" i="7"/>
  <c r="AD207" i="7"/>
  <c r="AB223" i="7"/>
  <c r="AE212" i="7"/>
  <c r="W207" i="7"/>
  <c r="AA207" i="7"/>
  <c r="Y285" i="7"/>
  <c r="AA285" i="7"/>
  <c r="AA188" i="7"/>
  <c r="V183" i="7"/>
  <c r="V194" i="7"/>
  <c r="U215" i="7"/>
  <c r="U285" i="7"/>
  <c r="S193" i="7"/>
  <c r="U213" i="7"/>
  <c r="AC212" i="7"/>
  <c r="Y207" i="7"/>
  <c r="AB213" i="7"/>
  <c r="X189" i="7"/>
  <c r="AE223" i="7"/>
  <c r="AB207" i="7"/>
  <c r="Z223" i="7"/>
  <c r="Y188" i="7"/>
  <c r="T285" i="7"/>
  <c r="X213" i="7"/>
  <c r="W213" i="7"/>
  <c r="U194" i="7"/>
  <c r="T207" i="7"/>
  <c r="T190" i="7"/>
  <c r="AD212" i="7"/>
  <c r="AC213" i="7"/>
  <c r="Z213" i="7"/>
  <c r="Z188" i="7"/>
  <c r="U190" i="7"/>
  <c r="T194" i="7"/>
  <c r="U189" i="7"/>
  <c r="U188" i="7"/>
  <c r="T213" i="7"/>
  <c r="V188" i="7"/>
  <c r="AC189" i="7"/>
  <c r="W285" i="7"/>
  <c r="U203" i="7"/>
  <c r="AC207" i="7"/>
  <c r="AD215" i="7"/>
  <c r="Y212" i="7"/>
  <c r="S190" i="7"/>
  <c r="AE213" i="7"/>
  <c r="AC188" i="7"/>
  <c r="Z207" i="7"/>
  <c r="Y194" i="7"/>
  <c r="X194" i="7"/>
  <c r="AE285" i="7"/>
  <c r="AE189" i="7"/>
  <c r="U223" i="7"/>
  <c r="T203" i="7"/>
  <c r="AD213" i="7"/>
  <c r="S183" i="7"/>
  <c r="V223" i="7"/>
  <c r="V213" i="7"/>
  <c r="AE194" i="7"/>
  <c r="V212" i="7"/>
  <c r="W215" i="7"/>
  <c r="W194" i="7"/>
  <c r="W189" i="7"/>
  <c r="X285" i="7"/>
  <c r="AE207" i="7"/>
  <c r="X183" i="7"/>
  <c r="X223" i="7"/>
  <c r="AD285" i="7"/>
  <c r="Y215" i="7"/>
  <c r="W188" i="7"/>
  <c r="AC285" i="7"/>
  <c r="Z285" i="7"/>
  <c r="AD194" i="7"/>
  <c r="AC215" i="7"/>
  <c r="AA215" i="7"/>
  <c r="AA212" i="7"/>
  <c r="AB215" i="7"/>
  <c r="X212" i="7"/>
  <c r="Z189" i="7"/>
  <c r="T188" i="7"/>
  <c r="AC194" i="7"/>
  <c r="Y189" i="7"/>
  <c r="X188" i="7"/>
  <c r="T224" i="7"/>
  <c r="AE215" i="7"/>
  <c r="V285" i="7"/>
  <c r="AD223" i="7"/>
  <c r="V190" i="7"/>
  <c r="AB188" i="7"/>
  <c r="U207" i="7"/>
  <c r="U212" i="7"/>
  <c r="V215" i="7"/>
  <c r="Y223" i="7"/>
  <c r="S189" i="7"/>
  <c r="AE188" i="7"/>
  <c r="T189" i="7"/>
  <c r="AA223" i="7"/>
  <c r="W223" i="7"/>
  <c r="Z212" i="7"/>
  <c r="X207" i="7"/>
  <c r="V189" i="7"/>
  <c r="V224" i="7"/>
  <c r="T183" i="7"/>
  <c r="K42" i="50" l="1"/>
  <c r="W51" i="48"/>
  <c r="AP51" i="48" s="1"/>
  <c r="D98" i="4"/>
  <c r="F256" i="7" s="1"/>
  <c r="E98" i="4"/>
  <c r="G256" i="7" s="1"/>
  <c r="F98" i="4"/>
  <c r="H256" i="7" s="1"/>
  <c r="H98" i="4"/>
  <c r="J256" i="7" s="1"/>
  <c r="G98" i="4"/>
  <c r="I256" i="7" s="1"/>
  <c r="E296" i="4"/>
  <c r="G327" i="7"/>
  <c r="D296" i="4"/>
  <c r="F327" i="7"/>
  <c r="C296" i="4"/>
  <c r="E327" i="7"/>
  <c r="F296" i="4"/>
  <c r="H327" i="7"/>
  <c r="E186" i="7"/>
  <c r="G172" i="4"/>
  <c r="Z50" i="48" s="1"/>
  <c r="H193" i="7"/>
  <c r="G186" i="7"/>
  <c r="CG63" i="51"/>
  <c r="C32" i="4"/>
  <c r="C25" i="4"/>
  <c r="C10" i="4"/>
  <c r="C15" i="4"/>
  <c r="D10" i="4"/>
  <c r="W15" i="48" s="1"/>
  <c r="AP15" i="48" s="1"/>
  <c r="E20" i="4"/>
  <c r="X20" i="48" s="1"/>
  <c r="AQ20" i="48" s="1"/>
  <c r="E15" i="4"/>
  <c r="D25" i="4"/>
  <c r="W25" i="48" s="1"/>
  <c r="AP25" i="48" s="1"/>
  <c r="D15" i="4"/>
  <c r="F10" i="4"/>
  <c r="Y15" i="48" s="1"/>
  <c r="AR15" i="48" s="1"/>
  <c r="F25" i="4"/>
  <c r="Y25" i="48" s="1"/>
  <c r="AR25" i="48" s="1"/>
  <c r="C20" i="4"/>
  <c r="F32" i="4"/>
  <c r="Y30" i="48" s="1"/>
  <c r="AR30" i="48" s="1"/>
  <c r="E32" i="4"/>
  <c r="X30" i="48" s="1"/>
  <c r="AQ30" i="48" s="1"/>
  <c r="E25" i="4"/>
  <c r="X25" i="48" s="1"/>
  <c r="AQ25" i="48" s="1"/>
  <c r="D20" i="4"/>
  <c r="W20" i="48" s="1"/>
  <c r="AP20" i="48" s="1"/>
  <c r="D32" i="4"/>
  <c r="W30" i="48" s="1"/>
  <c r="AP30" i="48" s="1"/>
  <c r="I25" i="4"/>
  <c r="E10" i="4"/>
  <c r="X15" i="48" s="1"/>
  <c r="AQ15" i="48" s="1"/>
  <c r="F20" i="4"/>
  <c r="Y20" i="48" s="1"/>
  <c r="AR20" i="48" s="1"/>
  <c r="G20" i="4"/>
  <c r="H32" i="4"/>
  <c r="G15" i="4"/>
  <c r="H20" i="4"/>
  <c r="H15" i="4"/>
  <c r="J32" i="4"/>
  <c r="F15" i="4"/>
  <c r="G10" i="4"/>
  <c r="G25" i="4"/>
  <c r="H25" i="4"/>
  <c r="I32" i="4"/>
  <c r="H10" i="4"/>
  <c r="I15" i="4"/>
  <c r="I20" i="4"/>
  <c r="G32" i="4"/>
  <c r="I10" i="4"/>
  <c r="J15" i="4"/>
  <c r="L20" i="4"/>
  <c r="J20" i="4"/>
  <c r="J10" i="4"/>
  <c r="J25" i="4"/>
  <c r="K25" i="4"/>
  <c r="K10" i="4"/>
  <c r="K20" i="4"/>
  <c r="K32" i="4"/>
  <c r="L10" i="4"/>
  <c r="L15" i="4"/>
  <c r="L32" i="4"/>
  <c r="L25" i="4"/>
  <c r="K15" i="4"/>
  <c r="M20" i="4"/>
  <c r="M10" i="4"/>
  <c r="M25" i="4"/>
  <c r="M15" i="4"/>
  <c r="N20" i="4"/>
  <c r="N15" i="4"/>
  <c r="M32" i="4"/>
  <c r="O32" i="4"/>
  <c r="O15" i="4"/>
  <c r="N25" i="4"/>
  <c r="O25" i="4"/>
  <c r="O20" i="4"/>
  <c r="N32" i="4"/>
  <c r="O10" i="4"/>
  <c r="N10" i="4"/>
  <c r="CI77" i="51"/>
  <c r="CE77" i="51"/>
  <c r="CG77" i="51" s="1"/>
  <c r="CI76" i="51"/>
  <c r="CE76" i="51"/>
  <c r="CG76" i="51" s="1"/>
  <c r="CI75" i="51"/>
  <c r="I172" i="4"/>
  <c r="K181" i="4"/>
  <c r="M287" i="7" s="1"/>
  <c r="G193" i="7"/>
  <c r="F181" i="4"/>
  <c r="H287" i="7" s="1"/>
  <c r="H181" i="4"/>
  <c r="J287" i="7" s="1"/>
  <c r="I193" i="7"/>
  <c r="I181" i="4"/>
  <c r="K287" i="7" s="1"/>
  <c r="E172" i="4"/>
  <c r="X50" i="48" s="1"/>
  <c r="AQ50" i="48" s="1"/>
  <c r="N181" i="4"/>
  <c r="P287" i="7" s="1"/>
  <c r="P186" i="7"/>
  <c r="M181" i="4"/>
  <c r="O287" i="7" s="1"/>
  <c r="L186" i="7"/>
  <c r="G181" i="4"/>
  <c r="I287" i="7" s="1"/>
  <c r="N172" i="4"/>
  <c r="M186" i="7"/>
  <c r="M172" i="4"/>
  <c r="F151" i="4"/>
  <c r="H202" i="7"/>
  <c r="F186" i="7"/>
  <c r="E151" i="4"/>
  <c r="G202" i="7"/>
  <c r="K158" i="4"/>
  <c r="M209" i="7"/>
  <c r="L42" i="50"/>
  <c r="T42" i="50" s="1"/>
  <c r="E158" i="4"/>
  <c r="G209" i="7"/>
  <c r="L181" i="4"/>
  <c r="N287" i="7" s="1"/>
  <c r="J172" i="4"/>
  <c r="I158" i="4"/>
  <c r="K209" i="7"/>
  <c r="I186" i="7"/>
  <c r="F290" i="4"/>
  <c r="G120" i="4"/>
  <c r="E203" i="7"/>
  <c r="C151" i="4"/>
  <c r="C159" i="4" s="1"/>
  <c r="AL598" i="1"/>
  <c r="O73" i="4" s="1"/>
  <c r="AL626" i="1"/>
  <c r="O90" i="4" s="1"/>
  <c r="H158" i="4"/>
  <c r="J209" i="7"/>
  <c r="H217" i="7"/>
  <c r="D166" i="4"/>
  <c r="W52" i="48" s="1"/>
  <c r="AP52" i="48" s="1"/>
  <c r="F222" i="7"/>
  <c r="E196" i="7"/>
  <c r="Q192" i="7"/>
  <c r="O186" i="7"/>
  <c r="J222" i="7"/>
  <c r="J192" i="7"/>
  <c r="F172" i="4"/>
  <c r="Y50" i="48" s="1"/>
  <c r="AR50" i="48" s="1"/>
  <c r="E166" i="4"/>
  <c r="X52" i="48" s="1"/>
  <c r="AQ52" i="48" s="1"/>
  <c r="G222" i="7"/>
  <c r="AM735" i="1"/>
  <c r="AM15" i="1" a="1"/>
  <c r="AM15" i="1" s="1"/>
  <c r="AM12" i="1" a="1"/>
  <c r="AM12" i="1" s="1"/>
  <c r="AN10" i="1"/>
  <c r="AM17" i="1"/>
  <c r="AM459" i="1" s="1"/>
  <c r="AM471" i="1" s="1"/>
  <c r="AM13" i="1"/>
  <c r="F158" i="4"/>
  <c r="H209" i="7"/>
  <c r="D158" i="4"/>
  <c r="F209" i="7"/>
  <c r="AL14" i="1"/>
  <c r="AL9" i="1" s="1"/>
  <c r="E144" i="4"/>
  <c r="G192" i="7"/>
  <c r="P222" i="7"/>
  <c r="O158" i="4"/>
  <c r="Q209" i="7"/>
  <c r="I222" i="7"/>
  <c r="H186" i="7"/>
  <c r="D151" i="4"/>
  <c r="F202" i="7"/>
  <c r="E54" i="4"/>
  <c r="G163" i="7" s="1"/>
  <c r="G215" i="4"/>
  <c r="D73" i="4"/>
  <c r="C33" i="4"/>
  <c r="E149" i="7" s="1"/>
  <c r="D68" i="4"/>
  <c r="D18" i="4"/>
  <c r="W18" i="48" s="1"/>
  <c r="AP18" i="48" s="1"/>
  <c r="E47" i="4"/>
  <c r="G154" i="7" s="1"/>
  <c r="C215" i="4"/>
  <c r="BU61" i="51" s="1"/>
  <c r="C212" i="4"/>
  <c r="BU58" i="51" s="1"/>
  <c r="D101" i="4"/>
  <c r="F258" i="7" s="1"/>
  <c r="E193" i="4"/>
  <c r="E225" i="4"/>
  <c r="BW71" i="51" s="1"/>
  <c r="C18" i="4"/>
  <c r="E77" i="4"/>
  <c r="C72" i="4"/>
  <c r="F225" i="4"/>
  <c r="BX71" i="51" s="1"/>
  <c r="CE71" i="51" s="1"/>
  <c r="D55" i="4"/>
  <c r="F91" i="4"/>
  <c r="H248" i="7" s="1"/>
  <c r="D71" i="4"/>
  <c r="W41" i="48" s="1"/>
  <c r="F212" i="4"/>
  <c r="BX58" i="51" s="1"/>
  <c r="F253" i="4"/>
  <c r="D75" i="4"/>
  <c r="E51" i="4"/>
  <c r="L35" i="50" s="1"/>
  <c r="T35" i="50" s="1"/>
  <c r="F71" i="4"/>
  <c r="Y41" i="48" s="1"/>
  <c r="D89" i="4"/>
  <c r="E118" i="4"/>
  <c r="G275" i="7" s="1"/>
  <c r="C21" i="4"/>
  <c r="F67" i="4"/>
  <c r="D220" i="4"/>
  <c r="BV66" i="51" s="1"/>
  <c r="DN66" i="51" s="1"/>
  <c r="C44" i="4"/>
  <c r="D186" i="4"/>
  <c r="W9" i="48" s="1"/>
  <c r="AP9" i="48" s="1"/>
  <c r="C14" i="4"/>
  <c r="D88" i="4"/>
  <c r="F242" i="7" s="1"/>
  <c r="E44" i="4"/>
  <c r="D95" i="4"/>
  <c r="F244" i="7" s="1"/>
  <c r="D224" i="4"/>
  <c r="E74" i="4"/>
  <c r="X42" i="48" s="1"/>
  <c r="AQ42" i="48" s="1"/>
  <c r="E106" i="4"/>
  <c r="F23" i="4"/>
  <c r="Y23" i="48" s="1"/>
  <c r="AR23" i="48" s="1"/>
  <c r="D223" i="4"/>
  <c r="BV69" i="51" s="1"/>
  <c r="DN69" i="51" s="1"/>
  <c r="D192" i="4"/>
  <c r="F69" i="4"/>
  <c r="E224" i="4"/>
  <c r="F74" i="4"/>
  <c r="Y42" i="48" s="1"/>
  <c r="AR42" i="48" s="1"/>
  <c r="E245" i="4"/>
  <c r="D31" i="4"/>
  <c r="W29" i="48" s="1"/>
  <c r="AP29" i="48" s="1"/>
  <c r="C9" i="4"/>
  <c r="D99" i="4"/>
  <c r="F259" i="7" s="1"/>
  <c r="E19" i="4"/>
  <c r="X19" i="48" s="1"/>
  <c r="AQ19" i="48" s="1"/>
  <c r="F68" i="4"/>
  <c r="D104" i="4"/>
  <c r="E14" i="4"/>
  <c r="F108" i="4"/>
  <c r="F8" i="4"/>
  <c r="Y13" i="48" s="1"/>
  <c r="D213" i="4"/>
  <c r="BV59" i="51" s="1"/>
  <c r="C67" i="4"/>
  <c r="E108" i="4"/>
  <c r="D202" i="4"/>
  <c r="E11" i="4"/>
  <c r="F99" i="4"/>
  <c r="H259" i="7" s="1"/>
  <c r="E82" i="4"/>
  <c r="X47" i="48" s="1"/>
  <c r="AQ47" i="48" s="1"/>
  <c r="L5" i="50"/>
  <c r="C60" i="4"/>
  <c r="E140" i="7" s="1"/>
  <c r="F54" i="4"/>
  <c r="H163" i="7" s="1"/>
  <c r="D69" i="4"/>
  <c r="C192" i="4"/>
  <c r="C26" i="4"/>
  <c r="E9" i="4"/>
  <c r="X14" i="48" s="1"/>
  <c r="AQ14" i="48" s="1"/>
  <c r="D65" i="4"/>
  <c r="F148" i="7" s="1"/>
  <c r="C193" i="4"/>
  <c r="F64" i="4"/>
  <c r="H143" i="7" s="1"/>
  <c r="E92" i="4"/>
  <c r="G245" i="7" s="1"/>
  <c r="F115" i="4"/>
  <c r="D111" i="4"/>
  <c r="E100" i="4"/>
  <c r="F96" i="4"/>
  <c r="D82" i="4"/>
  <c r="W47" i="48" s="1"/>
  <c r="AP47" i="48" s="1"/>
  <c r="C252" i="4"/>
  <c r="E102" i="4"/>
  <c r="F24" i="4"/>
  <c r="Y24" i="48" s="1"/>
  <c r="AR24" i="48" s="1"/>
  <c r="F111" i="4"/>
  <c r="F49" i="4"/>
  <c r="E89" i="4"/>
  <c r="D9" i="4"/>
  <c r="W14" i="48" s="1"/>
  <c r="AP14" i="48" s="1"/>
  <c r="C74" i="4"/>
  <c r="E166" i="7" s="1"/>
  <c r="E78" i="4"/>
  <c r="X45" i="48" s="1"/>
  <c r="AQ45" i="48" s="1"/>
  <c r="D21" i="4"/>
  <c r="E221" i="4"/>
  <c r="BW67" i="51" s="1"/>
  <c r="C81" i="4"/>
  <c r="F101" i="4"/>
  <c r="H258" i="7" s="1"/>
  <c r="C244" i="4"/>
  <c r="E69" i="4"/>
  <c r="D117" i="4"/>
  <c r="E18" i="4"/>
  <c r="X18" i="48" s="1"/>
  <c r="F77" i="4"/>
  <c r="F61" i="4"/>
  <c r="C213" i="4"/>
  <c r="BU59" i="51" s="1"/>
  <c r="C23" i="4"/>
  <c r="BU25" i="51" s="1"/>
  <c r="DM25" i="51" s="1"/>
  <c r="E61" i="4"/>
  <c r="F222" i="4"/>
  <c r="BX68" i="51" s="1"/>
  <c r="CE68" i="51" s="1"/>
  <c r="C196" i="4"/>
  <c r="D108" i="4"/>
  <c r="D96" i="4"/>
  <c r="C73" i="4"/>
  <c r="E99" i="4"/>
  <c r="G259" i="7" s="1"/>
  <c r="D26" i="4"/>
  <c r="W26" i="48" s="1"/>
  <c r="AP26" i="48" s="1"/>
  <c r="E64" i="4"/>
  <c r="G143" i="7" s="1"/>
  <c r="F31" i="4"/>
  <c r="Y29" i="48" s="1"/>
  <c r="AR29" i="48" s="1"/>
  <c r="D24" i="4"/>
  <c r="W24" i="48" s="1"/>
  <c r="AP24" i="48" s="1"/>
  <c r="D222" i="4"/>
  <c r="BV68" i="51" s="1"/>
  <c r="DN68" i="51" s="1"/>
  <c r="D193" i="4"/>
  <c r="F80" i="4"/>
  <c r="C16" i="4"/>
  <c r="E8" i="4"/>
  <c r="X13" i="48" s="1"/>
  <c r="E21" i="4"/>
  <c r="E53" i="4"/>
  <c r="D51" i="4"/>
  <c r="K35" i="50" s="1"/>
  <c r="C65" i="4"/>
  <c r="E148" i="7" s="1"/>
  <c r="C8" i="4"/>
  <c r="F89" i="4"/>
  <c r="D74" i="4"/>
  <c r="E112" i="4"/>
  <c r="E68" i="4"/>
  <c r="C51" i="4"/>
  <c r="F18" i="4"/>
  <c r="Y18" i="48" s="1"/>
  <c r="D102" i="4"/>
  <c r="E222" i="4"/>
  <c r="BW68" i="51" s="1"/>
  <c r="F184" i="4"/>
  <c r="F107" i="4"/>
  <c r="C19" i="4"/>
  <c r="BU22" i="51" s="1"/>
  <c r="D30" i="4"/>
  <c r="W28" i="48" s="1"/>
  <c r="C80" i="4"/>
  <c r="C47" i="4"/>
  <c r="E154" i="7" s="1"/>
  <c r="D184" i="4"/>
  <c r="C82" i="4"/>
  <c r="D112" i="4"/>
  <c r="E187" i="4"/>
  <c r="E254" i="4"/>
  <c r="D115" i="4"/>
  <c r="D107" i="4"/>
  <c r="L6" i="50"/>
  <c r="D47" i="4"/>
  <c r="F154" i="7" s="1"/>
  <c r="F118" i="4"/>
  <c r="H275" i="7" s="1"/>
  <c r="F73" i="4"/>
  <c r="D118" i="4"/>
  <c r="F275" i="7" s="1"/>
  <c r="E94" i="4"/>
  <c r="E75" i="4"/>
  <c r="E23" i="4"/>
  <c r="X23" i="48" s="1"/>
  <c r="AQ23" i="48" s="1"/>
  <c r="C68" i="4"/>
  <c r="E50" i="4"/>
  <c r="D72" i="4"/>
  <c r="AP43" i="48" s="1"/>
  <c r="E110" i="4"/>
  <c r="G267" i="7" s="1"/>
  <c r="D90" i="4"/>
  <c r="F223" i="4"/>
  <c r="BX69" i="51" s="1"/>
  <c r="CE69" i="51" s="1"/>
  <c r="D19" i="4"/>
  <c r="W19" i="48" s="1"/>
  <c r="F117" i="4"/>
  <c r="C245" i="4"/>
  <c r="D81" i="4"/>
  <c r="F112" i="4"/>
  <c r="C75" i="4"/>
  <c r="C13" i="4"/>
  <c r="E73" i="4"/>
  <c r="C202" i="4"/>
  <c r="D80" i="4"/>
  <c r="D78" i="4"/>
  <c r="W45" i="48" s="1"/>
  <c r="AP45" i="48" s="1"/>
  <c r="D60" i="4"/>
  <c r="D188" i="4"/>
  <c r="F104" i="4"/>
  <c r="F113" i="4"/>
  <c r="D8" i="4"/>
  <c r="W13" i="48" s="1"/>
  <c r="F106" i="4"/>
  <c r="C64" i="4"/>
  <c r="E143" i="7" s="1"/>
  <c r="E104" i="4"/>
  <c r="E184" i="4"/>
  <c r="C31" i="4"/>
  <c r="D53" i="4"/>
  <c r="F202" i="4"/>
  <c r="C11" i="4"/>
  <c r="F44" i="4"/>
  <c r="E95" i="4"/>
  <c r="G244" i="7" s="1"/>
  <c r="E31" i="4"/>
  <c r="X29" i="48" s="1"/>
  <c r="AQ29" i="48" s="1"/>
  <c r="D92" i="4"/>
  <c r="F245" i="7" s="1"/>
  <c r="M5" i="50"/>
  <c r="F65" i="4"/>
  <c r="H148" i="7" s="1"/>
  <c r="E96" i="4"/>
  <c r="F196" i="4"/>
  <c r="Y11" i="48" s="1"/>
  <c r="AR11" i="48" s="1"/>
  <c r="E253" i="4"/>
  <c r="D225" i="4"/>
  <c r="BV71" i="51" s="1"/>
  <c r="DN71" i="51" s="1"/>
  <c r="D14" i="4"/>
  <c r="C69" i="4"/>
  <c r="D94" i="4"/>
  <c r="D67" i="4"/>
  <c r="F47" i="4"/>
  <c r="H154" i="7" s="1"/>
  <c r="F75" i="4"/>
  <c r="C77" i="4"/>
  <c r="E55" i="4"/>
  <c r="F215" i="4"/>
  <c r="BX61" i="51" s="1"/>
  <c r="CE61" i="51" s="1"/>
  <c r="F186" i="4"/>
  <c r="Y9" i="48" s="1"/>
  <c r="AR9" i="48" s="1"/>
  <c r="G213" i="4"/>
  <c r="BY59" i="51" s="1"/>
  <c r="CH59" i="51" s="1"/>
  <c r="G100" i="4"/>
  <c r="F245" i="4"/>
  <c r="E67" i="4"/>
  <c r="F221" i="4"/>
  <c r="BX67" i="51" s="1"/>
  <c r="CE67" i="51" s="1"/>
  <c r="C49" i="4"/>
  <c r="F187" i="4"/>
  <c r="C24" i="4"/>
  <c r="BU26" i="51" s="1"/>
  <c r="DM26" i="51" s="1"/>
  <c r="C30" i="4"/>
  <c r="C50" i="4"/>
  <c r="E159" i="7" s="1"/>
  <c r="D254" i="4"/>
  <c r="E111" i="4"/>
  <c r="G109" i="4"/>
  <c r="E113" i="4"/>
  <c r="G102" i="4"/>
  <c r="F90" i="4"/>
  <c r="K5" i="50"/>
  <c r="E90" i="4"/>
  <c r="C253" i="4"/>
  <c r="E60" i="4"/>
  <c r="E24" i="4"/>
  <c r="X24" i="48" s="1"/>
  <c r="AQ24" i="48" s="1"/>
  <c r="G107" i="4"/>
  <c r="E244" i="4"/>
  <c r="F51" i="4"/>
  <c r="M35" i="50" s="1"/>
  <c r="G44" i="4"/>
  <c r="E216" i="4"/>
  <c r="BW62" i="51" s="1"/>
  <c r="D110" i="4"/>
  <c r="F267" i="7" s="1"/>
  <c r="F188" i="4"/>
  <c r="D183" i="4"/>
  <c r="W8" i="48" s="1"/>
  <c r="D44" i="4"/>
  <c r="D11" i="4"/>
  <c r="D253" i="4"/>
  <c r="E252" i="4"/>
  <c r="E71" i="4"/>
  <c r="X41" i="48" s="1"/>
  <c r="F21" i="4"/>
  <c r="E88" i="4"/>
  <c r="G242" i="7" s="1"/>
  <c r="E91" i="4"/>
  <c r="G248" i="7" s="1"/>
  <c r="F220" i="4"/>
  <c r="BX66" i="51" s="1"/>
  <c r="CE66" i="51" s="1"/>
  <c r="D226" i="4"/>
  <c r="BV72" i="51" s="1"/>
  <c r="DN72" i="51" s="1"/>
  <c r="G90" i="4"/>
  <c r="C216" i="4"/>
  <c r="BU62" i="51" s="1"/>
  <c r="E212" i="4"/>
  <c r="BW58" i="51" s="1"/>
  <c r="D187" i="4"/>
  <c r="E223" i="4"/>
  <c r="BW69" i="51" s="1"/>
  <c r="E213" i="4"/>
  <c r="BW59" i="51" s="1"/>
  <c r="D33" i="4"/>
  <c r="F149" i="7" s="1"/>
  <c r="E115" i="4"/>
  <c r="D91" i="4"/>
  <c r="F248" i="7" s="1"/>
  <c r="F14" i="4"/>
  <c r="C78" i="4"/>
  <c r="G216" i="4"/>
  <c r="F72" i="4"/>
  <c r="F9" i="4"/>
  <c r="Y14" i="48" s="1"/>
  <c r="AR14" i="48" s="1"/>
  <c r="F33" i="4"/>
  <c r="H149" i="7" s="1"/>
  <c r="E186" i="4"/>
  <c r="X9" i="48" s="1"/>
  <c r="AQ9" i="48" s="1"/>
  <c r="F216" i="4"/>
  <c r="BX62" i="51" s="1"/>
  <c r="CE62" i="51" s="1"/>
  <c r="G112" i="4"/>
  <c r="N5" i="50"/>
  <c r="F254" i="4"/>
  <c r="F226" i="4"/>
  <c r="BX72" i="51" s="1"/>
  <c r="CE72" i="51" s="1"/>
  <c r="D109" i="4"/>
  <c r="D252" i="4"/>
  <c r="E81" i="4"/>
  <c r="D49" i="4"/>
  <c r="E188" i="4"/>
  <c r="F60" i="4"/>
  <c r="E49" i="4"/>
  <c r="F88" i="4"/>
  <c r="H242" i="7" s="1"/>
  <c r="G212" i="4"/>
  <c r="BY58" i="51" s="1"/>
  <c r="CH58" i="51" s="1"/>
  <c r="F102" i="4"/>
  <c r="E101" i="4"/>
  <c r="G258" i="7" s="1"/>
  <c r="F95" i="4"/>
  <c r="H244" i="7" s="1"/>
  <c r="E202" i="4"/>
  <c r="D106" i="4"/>
  <c r="D216" i="4"/>
  <c r="BV62" i="51" s="1"/>
  <c r="F92" i="4"/>
  <c r="H245" i="7" s="1"/>
  <c r="E196" i="4"/>
  <c r="X11" i="48" s="1"/>
  <c r="AQ11" i="48" s="1"/>
  <c r="E26" i="4"/>
  <c r="X26" i="48" s="1"/>
  <c r="AQ26" i="48" s="1"/>
  <c r="D221" i="4"/>
  <c r="BV67" i="51" s="1"/>
  <c r="DN67" i="51" s="1"/>
  <c r="F110" i="4"/>
  <c r="H267" i="7" s="1"/>
  <c r="G113" i="4"/>
  <c r="E220" i="4"/>
  <c r="BW66" i="51" s="1"/>
  <c r="E117" i="4"/>
  <c r="E109" i="4"/>
  <c r="D54" i="4"/>
  <c r="F163" i="7" s="1"/>
  <c r="F30" i="4"/>
  <c r="Y28" i="48" s="1"/>
  <c r="F244" i="4"/>
  <c r="F78" i="4"/>
  <c r="Y45" i="48" s="1"/>
  <c r="AR45" i="48" s="1"/>
  <c r="D113" i="4"/>
  <c r="D212" i="4"/>
  <c r="BV58" i="51" s="1"/>
  <c r="F53" i="4"/>
  <c r="G65" i="4"/>
  <c r="I148" i="7" s="1"/>
  <c r="G253" i="4"/>
  <c r="E33" i="4"/>
  <c r="G149" i="7" s="1"/>
  <c r="E80" i="4"/>
  <c r="E72" i="4"/>
  <c r="AQ43" i="48" s="1"/>
  <c r="G14" i="4"/>
  <c r="D245" i="4"/>
  <c r="E13" i="4"/>
  <c r="E30" i="4"/>
  <c r="X28" i="48" s="1"/>
  <c r="F55" i="4"/>
  <c r="E192" i="4"/>
  <c r="E16" i="4"/>
  <c r="F94" i="4"/>
  <c r="E215" i="4"/>
  <c r="BW61" i="51" s="1"/>
  <c r="F16" i="4"/>
  <c r="F82" i="4"/>
  <c r="Y47" i="48" s="1"/>
  <c r="AR47" i="48" s="1"/>
  <c r="F224" i="4"/>
  <c r="F13" i="4"/>
  <c r="D64" i="4"/>
  <c r="F143" i="7" s="1"/>
  <c r="E226" i="4"/>
  <c r="BW72" i="51" s="1"/>
  <c r="F81" i="4"/>
  <c r="D50" i="4"/>
  <c r="E183" i="4"/>
  <c r="X8" i="48" s="1"/>
  <c r="AQ8" i="48" s="1"/>
  <c r="D244" i="4"/>
  <c r="D61" i="4"/>
  <c r="E65" i="4"/>
  <c r="G148" i="7" s="1"/>
  <c r="F193" i="4"/>
  <c r="D196" i="4"/>
  <c r="W11" i="48" s="1"/>
  <c r="AP11" i="48" s="1"/>
  <c r="G118" i="4"/>
  <c r="I275" i="7" s="1"/>
  <c r="K6" i="50"/>
  <c r="F11" i="4"/>
  <c r="F213" i="4"/>
  <c r="BX59" i="51" s="1"/>
  <c r="D100" i="4"/>
  <c r="F109" i="4"/>
  <c r="F192" i="4"/>
  <c r="E107" i="4"/>
  <c r="G224" i="4"/>
  <c r="D77" i="4"/>
  <c r="F50" i="4"/>
  <c r="F252" i="4"/>
  <c r="D13" i="4"/>
  <c r="D16" i="4"/>
  <c r="G26" i="4"/>
  <c r="M6" i="50"/>
  <c r="F26" i="4"/>
  <c r="Y26" i="48" s="1"/>
  <c r="AR26" i="48" s="1"/>
  <c r="C61" i="4"/>
  <c r="F100" i="4"/>
  <c r="G69" i="4"/>
  <c r="D215" i="4"/>
  <c r="BV61" i="51" s="1"/>
  <c r="G74" i="4"/>
  <c r="G51" i="4"/>
  <c r="N35" i="50" s="1"/>
  <c r="D23" i="4"/>
  <c r="W23" i="48" s="1"/>
  <c r="AP23" i="48" s="1"/>
  <c r="F183" i="4"/>
  <c r="Y8" i="48" s="1"/>
  <c r="AR8" i="48" s="1"/>
  <c r="G245" i="4"/>
  <c r="F19" i="4"/>
  <c r="Y19" i="48" s="1"/>
  <c r="AR19" i="48" s="1"/>
  <c r="C71" i="4"/>
  <c r="G73" i="4"/>
  <c r="G80" i="4"/>
  <c r="G92" i="4"/>
  <c r="I245" i="7" s="1"/>
  <c r="H65" i="4"/>
  <c r="J148" i="7" s="1"/>
  <c r="H212" i="4"/>
  <c r="BZ58" i="51" s="1"/>
  <c r="H244" i="4"/>
  <c r="G222" i="4"/>
  <c r="BY68" i="51" s="1"/>
  <c r="H216" i="4"/>
  <c r="G252" i="4"/>
  <c r="J31" i="4"/>
  <c r="G99" i="4"/>
  <c r="I259" i="7" s="1"/>
  <c r="H9" i="4"/>
  <c r="H110" i="4"/>
  <c r="J267" i="7" s="1"/>
  <c r="H106" i="4"/>
  <c r="H33" i="4"/>
  <c r="J149" i="7" s="1"/>
  <c r="H51" i="4"/>
  <c r="O35" i="50" s="1"/>
  <c r="H102" i="4"/>
  <c r="H90" i="4"/>
  <c r="H215" i="4"/>
  <c r="H107" i="4"/>
  <c r="H252" i="4"/>
  <c r="H112" i="4"/>
  <c r="G111" i="4"/>
  <c r="G61" i="4"/>
  <c r="H26" i="4"/>
  <c r="G220" i="4"/>
  <c r="BY66" i="51" s="1"/>
  <c r="G89" i="4"/>
  <c r="G193" i="4"/>
  <c r="H221" i="4"/>
  <c r="BZ67" i="51" s="1"/>
  <c r="DR67" i="51" s="1"/>
  <c r="G225" i="4"/>
  <c r="BY71" i="51" s="1"/>
  <c r="H213" i="4"/>
  <c r="BZ59" i="51" s="1"/>
  <c r="H118" i="4"/>
  <c r="J275" i="7" s="1"/>
  <c r="H80" i="4"/>
  <c r="G47" i="4"/>
  <c r="I154" i="7" s="1"/>
  <c r="H30" i="4"/>
  <c r="H60" i="4"/>
  <c r="H104" i="4"/>
  <c r="H111" i="4"/>
  <c r="G31" i="4"/>
  <c r="H73" i="4"/>
  <c r="H88" i="4"/>
  <c r="J242" i="7" s="1"/>
  <c r="H23" i="4"/>
  <c r="H245" i="4"/>
  <c r="G19" i="4"/>
  <c r="H31" i="4"/>
  <c r="G50" i="4"/>
  <c r="G192" i="4"/>
  <c r="H99" i="4"/>
  <c r="J259" i="7" s="1"/>
  <c r="H226" i="4"/>
  <c r="BZ72" i="51" s="1"/>
  <c r="DR72" i="51" s="1"/>
  <c r="H100" i="4"/>
  <c r="G82" i="4"/>
  <c r="Z47" i="48" s="1"/>
  <c r="H196" i="4"/>
  <c r="H11" i="4"/>
  <c r="H16" i="4"/>
  <c r="H222" i="4"/>
  <c r="BZ68" i="51" s="1"/>
  <c r="DR68" i="51" s="1"/>
  <c r="G106" i="4"/>
  <c r="H253" i="4"/>
  <c r="H254" i="4"/>
  <c r="H113" i="4"/>
  <c r="H24" i="4"/>
  <c r="H192" i="4"/>
  <c r="H64" i="4"/>
  <c r="J143" i="7" s="1"/>
  <c r="H19" i="4"/>
  <c r="G23" i="4"/>
  <c r="G254" i="4"/>
  <c r="H21" i="4"/>
  <c r="H101" i="4"/>
  <c r="J258" i="7" s="1"/>
  <c r="H75" i="4"/>
  <c r="H67" i="4"/>
  <c r="G101" i="4"/>
  <c r="I258" i="7" s="1"/>
  <c r="H13" i="4"/>
  <c r="G244" i="4"/>
  <c r="H220" i="4"/>
  <c r="BZ66" i="51" s="1"/>
  <c r="DR66" i="51" s="1"/>
  <c r="H69" i="4"/>
  <c r="H14" i="4"/>
  <c r="H109" i="4"/>
  <c r="H74" i="4"/>
  <c r="G9" i="4"/>
  <c r="G72" i="4"/>
  <c r="H18" i="4"/>
  <c r="H92" i="4"/>
  <c r="J245" i="7" s="1"/>
  <c r="G24" i="4"/>
  <c r="H8" i="4"/>
  <c r="N6" i="50"/>
  <c r="H44" i="4"/>
  <c r="G75" i="4"/>
  <c r="H224" i="4"/>
  <c r="H61" i="4"/>
  <c r="G110" i="4"/>
  <c r="I267" i="7" s="1"/>
  <c r="O6" i="50"/>
  <c r="H82" i="4"/>
  <c r="H223" i="4"/>
  <c r="BZ69" i="51" s="1"/>
  <c r="DR69" i="51" s="1"/>
  <c r="I44" i="4"/>
  <c r="I220" i="4"/>
  <c r="CA66" i="51" s="1"/>
  <c r="I215" i="4"/>
  <c r="J107" i="4"/>
  <c r="I106" i="4"/>
  <c r="I252" i="4"/>
  <c r="J61" i="4"/>
  <c r="I14" i="4"/>
  <c r="I212" i="4"/>
  <c r="CA58" i="51" s="1"/>
  <c r="I69" i="4"/>
  <c r="J109" i="4"/>
  <c r="I73" i="4"/>
  <c r="I192" i="4"/>
  <c r="J252" i="4"/>
  <c r="I216" i="4"/>
  <c r="J254" i="4"/>
  <c r="I112" i="4"/>
  <c r="I113" i="4"/>
  <c r="I99" i="4"/>
  <c r="K259" i="7" s="1"/>
  <c r="J244" i="4"/>
  <c r="J225" i="4"/>
  <c r="CB71" i="51" s="1"/>
  <c r="J224" i="4"/>
  <c r="J14" i="4"/>
  <c r="I26" i="4"/>
  <c r="I225" i="4"/>
  <c r="CA71" i="51" s="1"/>
  <c r="J65" i="4"/>
  <c r="L148" i="7" s="1"/>
  <c r="J110" i="4"/>
  <c r="L267" i="7" s="1"/>
  <c r="I90" i="4"/>
  <c r="J75" i="4"/>
  <c r="J23" i="4"/>
  <c r="I51" i="4"/>
  <c r="P35" i="50" s="1"/>
  <c r="J212" i="4"/>
  <c r="CB58" i="51" s="1"/>
  <c r="J9" i="4"/>
  <c r="I24" i="4"/>
  <c r="J74" i="4"/>
  <c r="J118" i="4"/>
  <c r="L275" i="7" s="1"/>
  <c r="J51" i="4"/>
  <c r="J113" i="4"/>
  <c r="I101" i="4"/>
  <c r="K258" i="7" s="1"/>
  <c r="I222" i="4"/>
  <c r="CA68" i="51" s="1"/>
  <c r="J192" i="4"/>
  <c r="I23" i="4"/>
  <c r="I111" i="4"/>
  <c r="J220" i="4"/>
  <c r="CB66" i="51" s="1"/>
  <c r="I213" i="4"/>
  <c r="CA59" i="51" s="1"/>
  <c r="J112" i="4"/>
  <c r="J100" i="4"/>
  <c r="I100" i="4"/>
  <c r="I61" i="4"/>
  <c r="I109" i="4"/>
  <c r="J44" i="4"/>
  <c r="H225" i="4"/>
  <c r="BZ71" i="51" s="1"/>
  <c r="DR71" i="51" s="1"/>
  <c r="J80" i="4"/>
  <c r="J82" i="4"/>
  <c r="I224" i="4"/>
  <c r="J19" i="4"/>
  <c r="J92" i="4"/>
  <c r="L245" i="7" s="1"/>
  <c r="I244" i="4"/>
  <c r="I31" i="4"/>
  <c r="I245" i="4"/>
  <c r="J102" i="4"/>
  <c r="I254" i="4"/>
  <c r="I74" i="4"/>
  <c r="J222" i="4"/>
  <c r="CB68" i="51" s="1"/>
  <c r="J90" i="4"/>
  <c r="J215" i="4"/>
  <c r="J245" i="4"/>
  <c r="P5" i="50"/>
  <c r="I92" i="4"/>
  <c r="K245" i="7" s="1"/>
  <c r="I75" i="4"/>
  <c r="J216" i="4"/>
  <c r="I102" i="4"/>
  <c r="I82" i="4"/>
  <c r="J99" i="4"/>
  <c r="L259" i="7" s="1"/>
  <c r="J26" i="4"/>
  <c r="J111" i="4"/>
  <c r="J73" i="4"/>
  <c r="I9" i="4"/>
  <c r="J213" i="4"/>
  <c r="CB59" i="51" s="1"/>
  <c r="J24" i="4"/>
  <c r="J106" i="4"/>
  <c r="I65" i="4"/>
  <c r="K148" i="7" s="1"/>
  <c r="J101" i="4"/>
  <c r="L258" i="7" s="1"/>
  <c r="I110" i="4"/>
  <c r="K267" i="7" s="1"/>
  <c r="I19" i="4"/>
  <c r="P6" i="50"/>
  <c r="I80" i="4"/>
  <c r="I107" i="4"/>
  <c r="I118" i="4"/>
  <c r="K275" i="7" s="1"/>
  <c r="L215" i="4"/>
  <c r="L107" i="4"/>
  <c r="L224" i="4"/>
  <c r="L245" i="4"/>
  <c r="K23" i="4"/>
  <c r="CC25" i="51" s="1"/>
  <c r="DU25" i="51" s="1"/>
  <c r="K101" i="4"/>
  <c r="M258" i="7" s="1"/>
  <c r="L225" i="4"/>
  <c r="K51" i="4"/>
  <c r="K61" i="4"/>
  <c r="L252" i="4"/>
  <c r="K80" i="4"/>
  <c r="K19" i="4"/>
  <c r="CC22" i="51" s="1"/>
  <c r="DU22" i="51" s="1"/>
  <c r="L100" i="4"/>
  <c r="K216" i="4"/>
  <c r="K192" i="4"/>
  <c r="K106" i="4"/>
  <c r="K31" i="4"/>
  <c r="L65" i="4"/>
  <c r="N148" i="7" s="1"/>
  <c r="K26" i="4"/>
  <c r="M74" i="4"/>
  <c r="O166" i="7" s="1"/>
  <c r="L101" i="4"/>
  <c r="N258" i="7" s="1"/>
  <c r="K99" i="4"/>
  <c r="M259" i="7" s="1"/>
  <c r="L23" i="4"/>
  <c r="K82" i="4"/>
  <c r="K212" i="4"/>
  <c r="CC58" i="51" s="1"/>
  <c r="K24" i="4"/>
  <c r="CC26" i="51" s="1"/>
  <c r="DU26" i="51" s="1"/>
  <c r="N80" i="4"/>
  <c r="L31" i="4"/>
  <c r="N351" i="7" s="1"/>
  <c r="K244" i="4"/>
  <c r="N215" i="4"/>
  <c r="M9" i="4"/>
  <c r="O340" i="7" s="1"/>
  <c r="L99" i="4"/>
  <c r="N259" i="7" s="1"/>
  <c r="L19" i="4"/>
  <c r="L92" i="4"/>
  <c r="N245" i="7" s="1"/>
  <c r="K118" i="4"/>
  <c r="M275" i="7" s="1"/>
  <c r="K92" i="4"/>
  <c r="M245" i="7" s="1"/>
  <c r="L216" i="4"/>
  <c r="L109" i="4"/>
  <c r="L118" i="4"/>
  <c r="N275" i="7" s="1"/>
  <c r="L80" i="4"/>
  <c r="K220" i="4"/>
  <c r="CC66" i="51" s="1"/>
  <c r="L14" i="4"/>
  <c r="K112" i="4"/>
  <c r="L244" i="4"/>
  <c r="K65" i="4"/>
  <c r="M148" i="7" s="1"/>
  <c r="K100" i="4"/>
  <c r="L51" i="4"/>
  <c r="M26" i="4"/>
  <c r="L220" i="4"/>
  <c r="K254" i="4"/>
  <c r="K14" i="4"/>
  <c r="M101" i="4"/>
  <c r="O258" i="7" s="1"/>
  <c r="K111" i="4"/>
  <c r="L61" i="4"/>
  <c r="K107" i="4"/>
  <c r="K213" i="4"/>
  <c r="CC59" i="51" s="1"/>
  <c r="L75" i="4"/>
  <c r="M44" i="4"/>
  <c r="N73" i="4"/>
  <c r="N225" i="4"/>
  <c r="N192" i="4"/>
  <c r="M23" i="4"/>
  <c r="L213" i="4"/>
  <c r="L112" i="4"/>
  <c r="K73" i="4"/>
  <c r="L254" i="4"/>
  <c r="K225" i="4"/>
  <c r="CC71" i="51" s="1"/>
  <c r="K252" i="4"/>
  <c r="K215" i="4"/>
  <c r="L106" i="4"/>
  <c r="L212" i="4"/>
  <c r="N113" i="4"/>
  <c r="K74" i="4"/>
  <c r="M166" i="7" s="1"/>
  <c r="K75" i="4"/>
  <c r="M65" i="4"/>
  <c r="O148" i="7" s="1"/>
  <c r="L90" i="4"/>
  <c r="L26" i="4"/>
  <c r="K113" i="4"/>
  <c r="K102" i="4"/>
  <c r="L9" i="4"/>
  <c r="N340" i="7" s="1"/>
  <c r="M220" i="4"/>
  <c r="N74" i="4"/>
  <c r="P166" i="7" s="1"/>
  <c r="K110" i="4"/>
  <c r="M267" i="7" s="1"/>
  <c r="K224" i="4"/>
  <c r="L44" i="4"/>
  <c r="L74" i="4"/>
  <c r="N166" i="7" s="1"/>
  <c r="L73" i="4"/>
  <c r="K90" i="4"/>
  <c r="L192" i="4"/>
  <c r="L222" i="4"/>
  <c r="M112" i="4"/>
  <c r="N244" i="4"/>
  <c r="L111" i="4"/>
  <c r="L113" i="4"/>
  <c r="L24" i="4"/>
  <c r="L102" i="4"/>
  <c r="K245" i="4"/>
  <c r="K222" i="4"/>
  <c r="CC68" i="51" s="1"/>
  <c r="K109" i="4"/>
  <c r="K44" i="4"/>
  <c r="K9" i="4"/>
  <c r="L110" i="4"/>
  <c r="N267" i="7" s="1"/>
  <c r="N51" i="4"/>
  <c r="M213" i="4"/>
  <c r="O9" i="4"/>
  <c r="Q340" i="7" s="1"/>
  <c r="O106" i="4"/>
  <c r="M245" i="4"/>
  <c r="M107" i="4"/>
  <c r="N19" i="4"/>
  <c r="M111" i="4"/>
  <c r="N92" i="4"/>
  <c r="P245" i="7" s="1"/>
  <c r="M75" i="4"/>
  <c r="M113" i="4"/>
  <c r="N222" i="4"/>
  <c r="N212" i="4"/>
  <c r="M110" i="4"/>
  <c r="O267" i="7" s="1"/>
  <c r="M92" i="4"/>
  <c r="O245" i="7" s="1"/>
  <c r="N111" i="4"/>
  <c r="O244" i="4"/>
  <c r="M244" i="4"/>
  <c r="M80" i="4"/>
  <c r="M106" i="4"/>
  <c r="N102" i="4"/>
  <c r="L82" i="4"/>
  <c r="M19" i="4"/>
  <c r="M216" i="4"/>
  <c r="N31" i="4"/>
  <c r="P351" i="7" s="1"/>
  <c r="M215" i="4"/>
  <c r="O19" i="4"/>
  <c r="N109" i="4"/>
  <c r="M109" i="4"/>
  <c r="N220" i="4"/>
  <c r="M73" i="4"/>
  <c r="N99" i="4"/>
  <c r="P259" i="7" s="1"/>
  <c r="M51" i="4"/>
  <c r="M61" i="4"/>
  <c r="N118" i="4"/>
  <c r="P275" i="7" s="1"/>
  <c r="M31" i="4"/>
  <c r="O351" i="7" s="1"/>
  <c r="N23" i="4"/>
  <c r="M222" i="4"/>
  <c r="M100" i="4"/>
  <c r="N107" i="4"/>
  <c r="M90" i="4"/>
  <c r="N100" i="4"/>
  <c r="N252" i="4"/>
  <c r="N26" i="4"/>
  <c r="N44" i="4"/>
  <c r="M252" i="4"/>
  <c r="N245" i="4"/>
  <c r="M24" i="4"/>
  <c r="M82" i="4"/>
  <c r="M99" i="4"/>
  <c r="O259" i="7" s="1"/>
  <c r="M212" i="4"/>
  <c r="N213" i="4"/>
  <c r="M192" i="4"/>
  <c r="M225" i="4"/>
  <c r="N75" i="4"/>
  <c r="M14" i="4"/>
  <c r="N90" i="4"/>
  <c r="N216" i="4"/>
  <c r="M118" i="4"/>
  <c r="O275" i="7" s="1"/>
  <c r="O220" i="4"/>
  <c r="O109" i="4"/>
  <c r="M102" i="4"/>
  <c r="N112" i="4"/>
  <c r="O44" i="4"/>
  <c r="O61" i="4"/>
  <c r="N101" i="4"/>
  <c r="P258" i="7" s="1"/>
  <c r="O26" i="4"/>
  <c r="N14" i="4"/>
  <c r="O225" i="4"/>
  <c r="O75" i="4"/>
  <c r="N82" i="4"/>
  <c r="O102" i="4"/>
  <c r="O107" i="4"/>
  <c r="N106" i="4"/>
  <c r="O224" i="4"/>
  <c r="O14" i="4"/>
  <c r="O74" i="4"/>
  <c r="Q166" i="7" s="1"/>
  <c r="M224" i="4"/>
  <c r="O92" i="4"/>
  <c r="Q245" i="7" s="1"/>
  <c r="N24" i="4"/>
  <c r="O24" i="4"/>
  <c r="O100" i="4"/>
  <c r="O254" i="4"/>
  <c r="O99" i="4"/>
  <c r="Q259" i="7" s="1"/>
  <c r="O213" i="4"/>
  <c r="O82" i="4"/>
  <c r="N65" i="4"/>
  <c r="P148" i="7" s="1"/>
  <c r="M254" i="4"/>
  <c r="O111" i="4"/>
  <c r="N254" i="4"/>
  <c r="N61" i="4"/>
  <c r="O23" i="4"/>
  <c r="O65" i="4"/>
  <c r="Q148" i="7" s="1"/>
  <c r="O215" i="4"/>
  <c r="O51" i="4"/>
  <c r="O252" i="4"/>
  <c r="O80" i="4"/>
  <c r="O212" i="4"/>
  <c r="O110" i="4"/>
  <c r="Q267" i="7" s="1"/>
  <c r="O216" i="4"/>
  <c r="N110" i="4"/>
  <c r="P267" i="7" s="1"/>
  <c r="O31" i="4"/>
  <c r="Q351" i="7" s="1"/>
  <c r="N9" i="4"/>
  <c r="P340" i="7" s="1"/>
  <c r="O222" i="4"/>
  <c r="O101" i="4"/>
  <c r="Q258" i="7" s="1"/>
  <c r="O112" i="4"/>
  <c r="O113" i="4"/>
  <c r="N224" i="4"/>
  <c r="O245" i="4"/>
  <c r="O118" i="4"/>
  <c r="Q275" i="7" s="1"/>
  <c r="M222" i="7"/>
  <c r="N222" i="7"/>
  <c r="W50" i="48"/>
  <c r="AP50" i="48" s="1"/>
  <c r="D134" i="4"/>
  <c r="F182" i="7"/>
  <c r="E290" i="4"/>
  <c r="F120" i="4"/>
  <c r="D290" i="4"/>
  <c r="E120" i="4"/>
  <c r="AM504" i="1"/>
  <c r="O181" i="4"/>
  <c r="Q287" i="7" s="1"/>
  <c r="N158" i="4"/>
  <c r="P209" i="7"/>
  <c r="Q222" i="7"/>
  <c r="N192" i="7"/>
  <c r="K172" i="4"/>
  <c r="J158" i="4"/>
  <c r="L209" i="7"/>
  <c r="F217" i="7"/>
  <c r="D144" i="4"/>
  <c r="F192" i="7"/>
  <c r="F193" i="7"/>
  <c r="M192" i="7"/>
  <c r="L172" i="4"/>
  <c r="K222" i="7"/>
  <c r="G158" i="4"/>
  <c r="I209" i="7"/>
  <c r="F196" i="7"/>
  <c r="G217" i="7"/>
  <c r="L222" i="7"/>
  <c r="I192" i="7"/>
  <c r="M42" i="50"/>
  <c r="F144" i="4"/>
  <c r="H192" i="7"/>
  <c r="Q186" i="7"/>
  <c r="O172" i="4"/>
  <c r="H196" i="7"/>
  <c r="E134" i="4"/>
  <c r="G182" i="7"/>
  <c r="E181" i="4"/>
  <c r="G287" i="7" s="1"/>
  <c r="K186" i="7"/>
  <c r="C144" i="4"/>
  <c r="E192" i="7"/>
  <c r="L192" i="7"/>
  <c r="F166" i="4"/>
  <c r="Y52" i="48" s="1"/>
  <c r="AR52" i="48" s="1"/>
  <c r="H222" i="7"/>
  <c r="L158" i="4"/>
  <c r="N209" i="7"/>
  <c r="O192" i="7"/>
  <c r="J196" i="7"/>
  <c r="J186" i="7"/>
  <c r="H172" i="4"/>
  <c r="F134" i="4"/>
  <c r="H182" i="7"/>
  <c r="C134" i="4"/>
  <c r="E182" i="7"/>
  <c r="C172" i="4"/>
  <c r="M158" i="4"/>
  <c r="O209" i="7"/>
  <c r="O222" i="7"/>
  <c r="N186" i="7"/>
  <c r="P192" i="7"/>
  <c r="K192" i="7"/>
  <c r="J181" i="4"/>
  <c r="L287" i="7" s="1"/>
  <c r="J193" i="7"/>
  <c r="G196" i="7"/>
  <c r="D181" i="4"/>
  <c r="F287" i="7" s="1"/>
  <c r="E307" i="7"/>
  <c r="BB388" i="1"/>
  <c r="BB394" i="1" s="1"/>
  <c r="AD148" i="7"/>
  <c r="U256" i="7"/>
  <c r="T157" i="7"/>
  <c r="AD245" i="7"/>
  <c r="X287" i="7"/>
  <c r="AD161" i="7"/>
  <c r="AB245" i="7"/>
  <c r="AA275" i="7"/>
  <c r="AD287" i="7"/>
  <c r="AB222" i="7"/>
  <c r="Z209" i="7"/>
  <c r="W259" i="7"/>
  <c r="S154" i="7"/>
  <c r="Y153" i="7"/>
  <c r="U275" i="7"/>
  <c r="T193" i="7"/>
  <c r="U161" i="7"/>
  <c r="AA258" i="7"/>
  <c r="W186" i="7"/>
  <c r="V258" i="7"/>
  <c r="W153" i="7"/>
  <c r="U158" i="7"/>
  <c r="U242" i="7"/>
  <c r="T267" i="7"/>
  <c r="AD340" i="7"/>
  <c r="S327" i="7"/>
  <c r="AD209" i="7"/>
  <c r="AD351" i="7"/>
  <c r="U202" i="7"/>
  <c r="U196" i="7"/>
  <c r="V143" i="7"/>
  <c r="AA267" i="7"/>
  <c r="V217" i="7"/>
  <c r="AC192" i="7"/>
  <c r="AE161" i="7"/>
  <c r="X161" i="7"/>
  <c r="X192" i="7"/>
  <c r="AD158" i="7"/>
  <c r="Y222" i="7"/>
  <c r="U193" i="7"/>
  <c r="Z192" i="7"/>
  <c r="AE258" i="7"/>
  <c r="V186" i="7"/>
  <c r="X186" i="7"/>
  <c r="Y287" i="7"/>
  <c r="AE166" i="7"/>
  <c r="V248" i="7"/>
  <c r="AA259" i="7"/>
  <c r="X158" i="7"/>
  <c r="V327" i="7"/>
  <c r="U287" i="7"/>
  <c r="T186" i="7"/>
  <c r="U153" i="7"/>
  <c r="AE287" i="7"/>
  <c r="T154" i="7"/>
  <c r="X143" i="7"/>
  <c r="AA209" i="7"/>
  <c r="AE148" i="7"/>
  <c r="V245" i="7"/>
  <c r="W287" i="7"/>
  <c r="T209" i="7"/>
  <c r="AB166" i="7"/>
  <c r="U192" i="7"/>
  <c r="V192" i="7"/>
  <c r="V242" i="7"/>
  <c r="T259" i="7"/>
  <c r="W192" i="7"/>
  <c r="U327" i="7"/>
  <c r="AC158" i="7"/>
  <c r="V163" i="7"/>
  <c r="W267" i="7"/>
  <c r="V193" i="7"/>
  <c r="T182" i="7"/>
  <c r="Z287" i="7"/>
  <c r="S166" i="7"/>
  <c r="S182" i="7"/>
  <c r="S203" i="7"/>
  <c r="S148" i="7"/>
  <c r="W209" i="7"/>
  <c r="V244" i="7"/>
  <c r="Y209" i="7"/>
  <c r="T202" i="7"/>
  <c r="AB192" i="7"/>
  <c r="W148" i="7"/>
  <c r="AE186" i="7"/>
  <c r="T248" i="7"/>
  <c r="AB267" i="7"/>
  <c r="U259" i="7"/>
  <c r="AC259" i="7"/>
  <c r="X245" i="7"/>
  <c r="X242" i="7"/>
  <c r="V150" i="7"/>
  <c r="Y245" i="7"/>
  <c r="W256" i="7"/>
  <c r="U154" i="7"/>
  <c r="X275" i="7"/>
  <c r="AB351" i="7"/>
  <c r="Y267" i="7"/>
  <c r="U163" i="7"/>
  <c r="AD267" i="7"/>
  <c r="AB158" i="7"/>
  <c r="U222" i="7"/>
  <c r="AD275" i="7"/>
  <c r="AA161" i="7"/>
  <c r="W275" i="7"/>
  <c r="V148" i="7"/>
  <c r="AD259" i="7"/>
  <c r="AC161" i="7"/>
  <c r="Z245" i="7"/>
  <c r="V222" i="7"/>
  <c r="U267" i="7"/>
  <c r="AB275" i="7"/>
  <c r="AC186" i="7"/>
  <c r="X153" i="7"/>
  <c r="AC258" i="7"/>
  <c r="AA186" i="7"/>
  <c r="Z186" i="7"/>
  <c r="W161" i="7"/>
  <c r="V161" i="7"/>
  <c r="AE209" i="7"/>
  <c r="S150" i="7"/>
  <c r="AD186" i="7"/>
  <c r="Y158" i="7"/>
  <c r="T153" i="7"/>
  <c r="S161" i="7"/>
  <c r="T256" i="7"/>
  <c r="V153" i="7"/>
  <c r="V259" i="7"/>
  <c r="X222" i="7"/>
  <c r="U150" i="7"/>
  <c r="Y275" i="7"/>
  <c r="S186" i="7"/>
  <c r="S159" i="7"/>
  <c r="AD192" i="7"/>
  <c r="AC166" i="7"/>
  <c r="Y259" i="7"/>
  <c r="AC287" i="7"/>
  <c r="T245" i="7"/>
  <c r="X259" i="7"/>
  <c r="Y148" i="7"/>
  <c r="AE351" i="7"/>
  <c r="AE340" i="7"/>
  <c r="AB148" i="7"/>
  <c r="Z158" i="7"/>
  <c r="AB340" i="7"/>
  <c r="S140" i="7"/>
  <c r="AB258" i="7"/>
  <c r="S158" i="7"/>
  <c r="T258" i="7"/>
  <c r="AA287" i="7"/>
  <c r="AC222" i="7"/>
  <c r="S143" i="7"/>
  <c r="U245" i="7"/>
  <c r="U217" i="7"/>
  <c r="AB259" i="7"/>
  <c r="W193" i="7"/>
  <c r="Z267" i="7"/>
  <c r="W158" i="7"/>
  <c r="AA245" i="7"/>
  <c r="V158" i="7"/>
  <c r="U209" i="7"/>
  <c r="AA166" i="7"/>
  <c r="Z275" i="7"/>
  <c r="U182" i="7"/>
  <c r="T222" i="7"/>
  <c r="S149" i="7"/>
  <c r="Z161" i="7"/>
  <c r="Z258" i="7"/>
  <c r="V202" i="7"/>
  <c r="V149" i="7"/>
  <c r="AB186" i="7"/>
  <c r="U143" i="7"/>
  <c r="AD166" i="7"/>
  <c r="W245" i="7"/>
  <c r="V256" i="7"/>
  <c r="T217" i="7"/>
  <c r="T196" i="7"/>
  <c r="V275" i="7"/>
  <c r="X209" i="7"/>
  <c r="AE245" i="7"/>
  <c r="AC267" i="7"/>
  <c r="T244" i="7"/>
  <c r="V209" i="7"/>
  <c r="AC351" i="7"/>
  <c r="AC148" i="7"/>
  <c r="T192" i="7"/>
  <c r="AE222" i="7"/>
  <c r="X258" i="7"/>
  <c r="V267" i="7"/>
  <c r="AE275" i="7"/>
  <c r="AC340" i="7"/>
  <c r="U248" i="7"/>
  <c r="Z222" i="7"/>
  <c r="V287" i="7"/>
  <c r="S192" i="7"/>
  <c r="W258" i="7"/>
  <c r="T143" i="7"/>
  <c r="T163" i="7"/>
  <c r="AA158" i="7"/>
  <c r="Y258" i="7"/>
  <c r="W222" i="7"/>
  <c r="T287" i="7"/>
  <c r="AC209" i="7"/>
  <c r="Z148" i="7"/>
  <c r="T242" i="7"/>
  <c r="X193" i="7"/>
  <c r="Y192" i="7"/>
  <c r="AC245" i="7"/>
  <c r="U244" i="7"/>
  <c r="AB287" i="7"/>
  <c r="AA192" i="7"/>
  <c r="AE259" i="7"/>
  <c r="T158" i="7"/>
  <c r="U186" i="7"/>
  <c r="U148" i="7"/>
  <c r="AE267" i="7"/>
  <c r="Y186" i="7"/>
  <c r="U258" i="7"/>
  <c r="S307" i="7"/>
  <c r="T161" i="7"/>
  <c r="Z259" i="7"/>
  <c r="T275" i="7"/>
  <c r="X196" i="7"/>
  <c r="S153" i="7"/>
  <c r="AA222" i="7"/>
  <c r="T149" i="7"/>
  <c r="S196" i="7"/>
  <c r="V182" i="7"/>
  <c r="T327" i="7"/>
  <c r="AE192" i="7"/>
  <c r="X256" i="7"/>
  <c r="AC275" i="7"/>
  <c r="V154" i="7"/>
  <c r="T148" i="7"/>
  <c r="AD222" i="7"/>
  <c r="AA148" i="7"/>
  <c r="T150" i="7"/>
  <c r="W154" i="7"/>
  <c r="X149" i="7"/>
  <c r="AB161" i="7"/>
  <c r="X148" i="7"/>
  <c r="Y161" i="7"/>
  <c r="X267" i="7"/>
  <c r="AE158" i="7"/>
  <c r="AB209" i="7"/>
  <c r="U149" i="7"/>
  <c r="S157" i="7"/>
  <c r="AD258" i="7"/>
  <c r="V196" i="7"/>
  <c r="Y31" i="48" l="1"/>
  <c r="AR31" i="48" s="1"/>
  <c r="AR28" i="48"/>
  <c r="AQ18" i="48"/>
  <c r="X21" i="48"/>
  <c r="AQ21" i="48" s="1"/>
  <c r="CB22" i="51"/>
  <c r="DT22" i="51" s="1"/>
  <c r="W21" i="48"/>
  <c r="AP21" i="48" s="1"/>
  <c r="AP19" i="48"/>
  <c r="AQ28" i="48"/>
  <c r="X31" i="48"/>
  <c r="AQ31" i="48" s="1"/>
  <c r="AR43" i="48"/>
  <c r="AP13" i="48"/>
  <c r="W16" i="48"/>
  <c r="AP16" i="48" s="1"/>
  <c r="F166" i="7"/>
  <c r="W42" i="48"/>
  <c r="AP42" i="48" s="1"/>
  <c r="L166" i="7"/>
  <c r="L378" i="7" s="1"/>
  <c r="AQ41" i="48"/>
  <c r="AR41" i="48"/>
  <c r="AR13" i="48"/>
  <c r="Y16" i="48"/>
  <c r="AR16" i="48" s="1"/>
  <c r="CB26" i="51"/>
  <c r="DT26" i="51" s="1"/>
  <c r="CB25" i="51"/>
  <c r="DT25" i="51" s="1"/>
  <c r="AP28" i="48"/>
  <c r="W31" i="48"/>
  <c r="AP31" i="48" s="1"/>
  <c r="AP41" i="48"/>
  <c r="AR18" i="48"/>
  <c r="Y21" i="48"/>
  <c r="AR21" i="48" s="1"/>
  <c r="AQ13" i="48"/>
  <c r="X16" i="48"/>
  <c r="AQ16" i="48" s="1"/>
  <c r="D189" i="4"/>
  <c r="W10" i="48" s="1"/>
  <c r="AP10" i="48" s="1"/>
  <c r="E189" i="4"/>
  <c r="X10" i="48" s="1"/>
  <c r="AQ10" i="48" s="1"/>
  <c r="F189" i="4"/>
  <c r="Y10" i="48" s="1"/>
  <c r="AR10" i="48" s="1"/>
  <c r="L36" i="50"/>
  <c r="T36" i="50" s="1"/>
  <c r="G159" i="7"/>
  <c r="M36" i="50"/>
  <c r="H159" i="7"/>
  <c r="N36" i="50"/>
  <c r="I159" i="7"/>
  <c r="K36" i="50"/>
  <c r="F159" i="7"/>
  <c r="I28" i="4"/>
  <c r="H27" i="4"/>
  <c r="H28" i="4"/>
  <c r="I266" i="7"/>
  <c r="G170" i="7"/>
  <c r="O192" i="4"/>
  <c r="N266" i="7"/>
  <c r="CG61" i="51"/>
  <c r="Q170" i="7"/>
  <c r="CG62" i="51"/>
  <c r="M259" i="4"/>
  <c r="M227" i="4"/>
  <c r="F248" i="4"/>
  <c r="E126" i="4"/>
  <c r="M249" i="4"/>
  <c r="M170" i="7"/>
  <c r="K249" i="4"/>
  <c r="H258" i="4"/>
  <c r="D249" i="4"/>
  <c r="F261" i="7"/>
  <c r="F145" i="4"/>
  <c r="L170" i="7"/>
  <c r="F170" i="7"/>
  <c r="DQ71" i="51"/>
  <c r="CH71" i="51"/>
  <c r="CI71" i="51" s="1"/>
  <c r="DQ66" i="51"/>
  <c r="CH66" i="51"/>
  <c r="CI66" i="51" s="1"/>
  <c r="DQ68" i="51"/>
  <c r="CH68" i="51"/>
  <c r="CI68" i="51" s="1"/>
  <c r="CI58" i="51"/>
  <c r="CE58" i="51"/>
  <c r="CG58" i="51" s="1"/>
  <c r="CI59" i="51"/>
  <c r="CE59" i="51"/>
  <c r="CG59" i="51" s="1"/>
  <c r="N170" i="7"/>
  <c r="I271" i="7"/>
  <c r="E170" i="7"/>
  <c r="D63" i="4"/>
  <c r="BV6" i="51" s="1"/>
  <c r="DN6" i="51" s="1"/>
  <c r="H249" i="4"/>
  <c r="G257" i="4"/>
  <c r="F249" i="4"/>
  <c r="O170" i="7"/>
  <c r="J170" i="7"/>
  <c r="P170" i="7"/>
  <c r="K170" i="7"/>
  <c r="H170" i="7"/>
  <c r="I170" i="7"/>
  <c r="G247" i="7"/>
  <c r="G248" i="4"/>
  <c r="L227" i="4"/>
  <c r="I259" i="4"/>
  <c r="O259" i="4"/>
  <c r="J266" i="7"/>
  <c r="C145" i="4"/>
  <c r="C168" i="4" s="1"/>
  <c r="M248" i="4"/>
  <c r="O249" i="4"/>
  <c r="P261" i="7"/>
  <c r="I249" i="4"/>
  <c r="M380" i="7"/>
  <c r="L380" i="7"/>
  <c r="I257" i="4"/>
  <c r="P266" i="7"/>
  <c r="H261" i="7"/>
  <c r="H247" i="7"/>
  <c r="I261" i="7"/>
  <c r="F247" i="7"/>
  <c r="G195" i="7"/>
  <c r="E380" i="7"/>
  <c r="J257" i="4"/>
  <c r="N227" i="4"/>
  <c r="L266" i="7"/>
  <c r="Q266" i="7"/>
  <c r="G380" i="7"/>
  <c r="N249" i="4"/>
  <c r="AM14" i="1"/>
  <c r="AM9" i="1" s="1"/>
  <c r="L248" i="4"/>
  <c r="K261" i="7"/>
  <c r="J259" i="4"/>
  <c r="H266" i="7"/>
  <c r="D119" i="4"/>
  <c r="F126" i="4"/>
  <c r="O227" i="4"/>
  <c r="H248" i="4"/>
  <c r="E258" i="4"/>
  <c r="N257" i="4"/>
  <c r="E259" i="4"/>
  <c r="J271" i="7"/>
  <c r="Q261" i="7"/>
  <c r="K271" i="7"/>
  <c r="F195" i="7"/>
  <c r="N259" i="4"/>
  <c r="L257" i="4"/>
  <c r="J248" i="4"/>
  <c r="F159" i="4"/>
  <c r="O266" i="7"/>
  <c r="M271" i="7"/>
  <c r="L259" i="4"/>
  <c r="O248" i="4"/>
  <c r="M266" i="7"/>
  <c r="BC388" i="1"/>
  <c r="BC394" i="1" s="1"/>
  <c r="M12" i="50"/>
  <c r="BX21" i="51"/>
  <c r="CE21" i="51" s="1"/>
  <c r="O24" i="50"/>
  <c r="BZ31" i="51"/>
  <c r="DR31" i="51" s="1"/>
  <c r="H46" i="4"/>
  <c r="H35" i="4"/>
  <c r="BY70" i="51"/>
  <c r="G227" i="4"/>
  <c r="H383" i="7"/>
  <c r="E289" i="4"/>
  <c r="E125" i="4"/>
  <c r="E257" i="4"/>
  <c r="E6" i="40"/>
  <c r="E8" i="40" s="1"/>
  <c r="E280" i="4"/>
  <c r="BW7" i="51"/>
  <c r="K13" i="50"/>
  <c r="BV22" i="51"/>
  <c r="D289" i="4"/>
  <c r="D125" i="4"/>
  <c r="K18" i="50"/>
  <c r="BV26" i="51"/>
  <c r="DN26" i="51" s="1"/>
  <c r="D227" i="4"/>
  <c r="BV70" i="51"/>
  <c r="DN70" i="51" s="1"/>
  <c r="F258" i="4"/>
  <c r="I380" i="7"/>
  <c r="Q378" i="7"/>
  <c r="I383" i="7"/>
  <c r="BV8" i="51"/>
  <c r="DN8" i="51" s="1"/>
  <c r="F246" i="7"/>
  <c r="P271" i="7"/>
  <c r="CC27" i="51"/>
  <c r="DU27" i="51" s="1"/>
  <c r="K385" i="7"/>
  <c r="K383" i="7"/>
  <c r="L261" i="7"/>
  <c r="L385" i="7"/>
  <c r="Z24" i="48"/>
  <c r="N18" i="50"/>
  <c r="BY26" i="51"/>
  <c r="DQ26" i="51" s="1"/>
  <c r="G259" i="4"/>
  <c r="O22" i="50"/>
  <c r="BZ29" i="51"/>
  <c r="DR29" i="51" s="1"/>
  <c r="J350" i="7"/>
  <c r="O19" i="50"/>
  <c r="BZ27" i="51"/>
  <c r="DR27" i="51" s="1"/>
  <c r="M19" i="50"/>
  <c r="BX27" i="51"/>
  <c r="CE27" i="51" s="1"/>
  <c r="BV10" i="51"/>
  <c r="DN10" i="51" s="1"/>
  <c r="D282" i="4"/>
  <c r="BX11" i="51"/>
  <c r="CE11" i="51" s="1"/>
  <c r="H302" i="7"/>
  <c r="F383" i="7"/>
  <c r="C281" i="4"/>
  <c r="C83" i="4"/>
  <c r="F271" i="7"/>
  <c r="D292" i="4"/>
  <c r="D203" i="4"/>
  <c r="K23" i="50"/>
  <c r="BV30" i="51"/>
  <c r="F351" i="7"/>
  <c r="K38" i="50"/>
  <c r="L37" i="50"/>
  <c r="T37" i="50" s="1"/>
  <c r="J382" i="7"/>
  <c r="J216" i="7"/>
  <c r="K382" i="7"/>
  <c r="K216" i="7"/>
  <c r="O41" i="50"/>
  <c r="H124" i="4"/>
  <c r="P104" i="4"/>
  <c r="H288" i="4"/>
  <c r="K9" i="50"/>
  <c r="BV19" i="51"/>
  <c r="DN19" i="51" s="1"/>
  <c r="D39" i="4"/>
  <c r="L9" i="50"/>
  <c r="T9" i="50" s="1"/>
  <c r="BW19" i="51"/>
  <c r="E39" i="4"/>
  <c r="O383" i="7"/>
  <c r="Z23" i="48"/>
  <c r="N17" i="50"/>
  <c r="BY25" i="51"/>
  <c r="DQ25" i="51" s="1"/>
  <c r="G195" i="4"/>
  <c r="Z36" i="48" s="1"/>
  <c r="BY35" i="51"/>
  <c r="J385" i="7"/>
  <c r="M22" i="50"/>
  <c r="BX29" i="51"/>
  <c r="CE29" i="51" s="1"/>
  <c r="H350" i="7"/>
  <c r="L23" i="50"/>
  <c r="T23" i="50" s="1"/>
  <c r="BW30" i="51"/>
  <c r="G351" i="7"/>
  <c r="F140" i="7"/>
  <c r="BU17" i="51"/>
  <c r="DM17" i="51" s="1"/>
  <c r="E339" i="7"/>
  <c r="DO67" i="51"/>
  <c r="F289" i="4"/>
  <c r="F125" i="4"/>
  <c r="G269" i="7"/>
  <c r="E249" i="4"/>
  <c r="DP71" i="51"/>
  <c r="F381" i="7"/>
  <c r="F208" i="7"/>
  <c r="M382" i="7"/>
  <c r="M216" i="7"/>
  <c r="P216" i="7"/>
  <c r="P382" i="7"/>
  <c r="C63" i="4"/>
  <c r="C279" i="4" s="1"/>
  <c r="F259" i="4"/>
  <c r="M41" i="50"/>
  <c r="F288" i="4"/>
  <c r="F124" i="4"/>
  <c r="K257" i="4"/>
  <c r="O9" i="50"/>
  <c r="BZ19" i="51"/>
  <c r="DR19" i="51" s="1"/>
  <c r="H39" i="4"/>
  <c r="O17" i="50"/>
  <c r="BZ25" i="51"/>
  <c r="DR25" i="51" s="1"/>
  <c r="N19" i="50"/>
  <c r="Z26" i="48"/>
  <c r="BY27" i="51"/>
  <c r="DQ27" i="51" s="1"/>
  <c r="Z25" i="48"/>
  <c r="Z30" i="48"/>
  <c r="M38" i="50"/>
  <c r="F385" i="7"/>
  <c r="L38" i="50"/>
  <c r="T38" i="50" s="1"/>
  <c r="D79" i="4"/>
  <c r="F297" i="7"/>
  <c r="K40" i="50"/>
  <c r="D287" i="4"/>
  <c r="D123" i="4"/>
  <c r="K14" i="50"/>
  <c r="BV23" i="51"/>
  <c r="G383" i="7"/>
  <c r="H166" i="7"/>
  <c r="BV11" i="51"/>
  <c r="DN11" i="51" s="1"/>
  <c r="F302" i="7"/>
  <c r="O23" i="50"/>
  <c r="BZ30" i="51"/>
  <c r="DR30" i="51" s="1"/>
  <c r="J351" i="7"/>
  <c r="F119" i="4"/>
  <c r="G166" i="7"/>
  <c r="P60" i="4"/>
  <c r="J140" i="7"/>
  <c r="K7" i="50"/>
  <c r="BV17" i="51"/>
  <c r="DN17" i="51" s="1"/>
  <c r="F339" i="7"/>
  <c r="K166" i="7"/>
  <c r="O14" i="50"/>
  <c r="BZ23" i="51"/>
  <c r="DR23" i="51" s="1"/>
  <c r="DO69" i="51"/>
  <c r="G385" i="7"/>
  <c r="K19" i="50"/>
  <c r="BV27" i="51"/>
  <c r="DN27" i="51" s="1"/>
  <c r="E187" i="7"/>
  <c r="E281" i="7"/>
  <c r="E232" i="7"/>
  <c r="I382" i="7"/>
  <c r="I216" i="7"/>
  <c r="D145" i="4"/>
  <c r="Q379" i="7"/>
  <c r="M261" i="7"/>
  <c r="CC30" i="51"/>
  <c r="DU30" i="51" s="1"/>
  <c r="M351" i="7"/>
  <c r="L271" i="7"/>
  <c r="P23" i="50"/>
  <c r="CA30" i="51"/>
  <c r="DS30" i="51" s="1"/>
  <c r="K351" i="7"/>
  <c r="K266" i="7"/>
  <c r="J383" i="7"/>
  <c r="O13" i="50"/>
  <c r="BZ22" i="51"/>
  <c r="DR22" i="51" s="1"/>
  <c r="O8" i="50"/>
  <c r="BZ18" i="51"/>
  <c r="DR18" i="51" s="1"/>
  <c r="J340" i="7"/>
  <c r="D248" i="4"/>
  <c r="L22" i="50"/>
  <c r="T22" i="50" s="1"/>
  <c r="BW29" i="51"/>
  <c r="G350" i="7"/>
  <c r="K37" i="50"/>
  <c r="BW11" i="51"/>
  <c r="G302" i="7"/>
  <c r="I247" i="7"/>
  <c r="G271" i="7"/>
  <c r="L17" i="50"/>
  <c r="T17" i="50" s="1"/>
  <c r="BW25" i="51"/>
  <c r="BU35" i="51"/>
  <c r="DM35" i="51" s="1"/>
  <c r="C195" i="4"/>
  <c r="F269" i="7"/>
  <c r="E79" i="4"/>
  <c r="C280" i="4"/>
  <c r="BW70" i="51"/>
  <c r="E227" i="4"/>
  <c r="H380" i="7"/>
  <c r="E145" i="4"/>
  <c r="G384" i="7"/>
  <c r="K12" i="50"/>
  <c r="BV21" i="51"/>
  <c r="O5" i="50"/>
  <c r="Q380" i="7"/>
  <c r="E233" i="7"/>
  <c r="J384" i="7"/>
  <c r="P8" i="50"/>
  <c r="CA18" i="51"/>
  <c r="DS18" i="51" s="1"/>
  <c r="K340" i="7"/>
  <c r="N13" i="50"/>
  <c r="Z19" i="48"/>
  <c r="BY22" i="51"/>
  <c r="O257" i="4"/>
  <c r="O385" i="7"/>
  <c r="P383" i="7"/>
  <c r="N378" i="7"/>
  <c r="M378" i="7"/>
  <c r="I248" i="4"/>
  <c r="I385" i="7"/>
  <c r="O12" i="50"/>
  <c r="BZ21" i="51"/>
  <c r="DR21" i="51" s="1"/>
  <c r="BW10" i="51"/>
  <c r="E282" i="4"/>
  <c r="M24" i="50"/>
  <c r="BX31" i="51"/>
  <c r="CE31" i="51" s="1"/>
  <c r="F35" i="4"/>
  <c r="F46" i="4"/>
  <c r="BU19" i="51"/>
  <c r="DM19" i="51" s="1"/>
  <c r="C39" i="4"/>
  <c r="C42" i="4" s="1"/>
  <c r="C292" i="4"/>
  <c r="C203" i="4"/>
  <c r="E378" i="7"/>
  <c r="BU21" i="51"/>
  <c r="G381" i="7"/>
  <c r="G208" i="7"/>
  <c r="E142" i="7"/>
  <c r="CA70" i="51"/>
  <c r="I227" i="4"/>
  <c r="P13" i="50"/>
  <c r="CA22" i="51"/>
  <c r="DS22" i="51" s="1"/>
  <c r="E292" i="4"/>
  <c r="E203" i="4"/>
  <c r="Q271" i="7"/>
  <c r="H187" i="7"/>
  <c r="H281" i="7"/>
  <c r="L382" i="7"/>
  <c r="L216" i="7"/>
  <c r="AN504" i="1"/>
  <c r="O271" i="7"/>
  <c r="M383" i="7"/>
  <c r="J249" i="4"/>
  <c r="L383" i="7"/>
  <c r="H63" i="4"/>
  <c r="J261" i="7"/>
  <c r="M13" i="50"/>
  <c r="BX22" i="51"/>
  <c r="CE22" i="51" s="1"/>
  <c r="Z15" i="48"/>
  <c r="E119" i="4"/>
  <c r="H246" i="7"/>
  <c r="M8" i="50"/>
  <c r="BX18" i="51"/>
  <c r="CE18" i="51" s="1"/>
  <c r="H340" i="7"/>
  <c r="DP66" i="51"/>
  <c r="F195" i="4"/>
  <c r="Y36" i="48" s="1"/>
  <c r="AR36" i="48" s="1"/>
  <c r="BX35" i="51"/>
  <c r="CE35" i="51" s="1"/>
  <c r="F292" i="4"/>
  <c r="F203" i="4"/>
  <c r="K22" i="50"/>
  <c r="BV29" i="51"/>
  <c r="F350" i="7"/>
  <c r="L14" i="50"/>
  <c r="T14" i="50" s="1"/>
  <c r="BW23" i="51"/>
  <c r="DP68" i="51"/>
  <c r="K8" i="50"/>
  <c r="BV18" i="51"/>
  <c r="DN18" i="51" s="1"/>
  <c r="F340" i="7"/>
  <c r="M7" i="50"/>
  <c r="BX17" i="51"/>
  <c r="CE17" i="51" s="1"/>
  <c r="H339" i="7"/>
  <c r="F6" i="40"/>
  <c r="F8" i="40" s="1"/>
  <c r="F280" i="4"/>
  <c r="BX7" i="51"/>
  <c r="CE7" i="51" s="1"/>
  <c r="DO71" i="51"/>
  <c r="F382" i="7"/>
  <c r="F216" i="7"/>
  <c r="F232" i="7"/>
  <c r="DP67" i="51"/>
  <c r="L13" i="50"/>
  <c r="T13" i="50" s="1"/>
  <c r="BW22" i="51"/>
  <c r="P378" i="7"/>
  <c r="E195" i="7"/>
  <c r="N382" i="7"/>
  <c r="N216" i="7"/>
  <c r="H226" i="7"/>
  <c r="F281" i="7"/>
  <c r="F187" i="7"/>
  <c r="N385" i="7"/>
  <c r="K259" i="4"/>
  <c r="CB27" i="51"/>
  <c r="DT27" i="51" s="1"/>
  <c r="N8" i="50"/>
  <c r="Z14" i="48"/>
  <c r="BY18" i="51"/>
  <c r="DQ18" i="51" s="1"/>
  <c r="I340" i="7"/>
  <c r="O18" i="50"/>
  <c r="BZ26" i="51"/>
  <c r="DR26" i="51" s="1"/>
  <c r="Z20" i="48"/>
  <c r="H257" i="4"/>
  <c r="CB30" i="51"/>
  <c r="DT30" i="51" s="1"/>
  <c r="L351" i="7"/>
  <c r="G249" i="4"/>
  <c r="F281" i="4"/>
  <c r="BX9" i="51"/>
  <c r="CE9" i="51" s="1"/>
  <c r="F9" i="40"/>
  <c r="F11" i="40" s="1"/>
  <c r="F83" i="4"/>
  <c r="DO66" i="51"/>
  <c r="L34" i="50"/>
  <c r="T34" i="50" s="1"/>
  <c r="BW39" i="51"/>
  <c r="E248" i="4"/>
  <c r="BU29" i="51"/>
  <c r="E350" i="7"/>
  <c r="D280" i="4"/>
  <c r="BV7" i="51"/>
  <c r="DN7" i="51" s="1"/>
  <c r="DM22" i="51"/>
  <c r="L7" i="50"/>
  <c r="T7" i="50" s="1"/>
  <c r="BW17" i="51"/>
  <c r="G339" i="7"/>
  <c r="E63" i="4"/>
  <c r="L8" i="50"/>
  <c r="T8" i="50" s="1"/>
  <c r="BW18" i="51"/>
  <c r="G340" i="7"/>
  <c r="H269" i="7"/>
  <c r="BU23" i="51"/>
  <c r="D159" i="4"/>
  <c r="G382" i="7"/>
  <c r="G232" i="7"/>
  <c r="G216" i="7"/>
  <c r="F380" i="7"/>
  <c r="O378" i="7"/>
  <c r="K24" i="50"/>
  <c r="BV31" i="51"/>
  <c r="D35" i="4"/>
  <c r="D46" i="4"/>
  <c r="DP72" i="51"/>
  <c r="BU18" i="51"/>
  <c r="DM18" i="51" s="1"/>
  <c r="E340" i="7"/>
  <c r="D126" i="4"/>
  <c r="N383" i="7"/>
  <c r="N261" i="7"/>
  <c r="P17" i="50"/>
  <c r="CA25" i="51"/>
  <c r="DS25" i="51" s="1"/>
  <c r="P18" i="50"/>
  <c r="CA26" i="51"/>
  <c r="DS26" i="51" s="1"/>
  <c r="P19" i="50"/>
  <c r="CA27" i="51"/>
  <c r="DS27" i="51" s="1"/>
  <c r="BZ70" i="51"/>
  <c r="DR70" i="51" s="1"/>
  <c r="H227" i="4"/>
  <c r="H6" i="40"/>
  <c r="H8" i="40" s="1"/>
  <c r="H280" i="4"/>
  <c r="BZ7" i="51"/>
  <c r="DR7" i="51" s="1"/>
  <c r="P67" i="4"/>
  <c r="BX10" i="51"/>
  <c r="CE10" i="51" s="1"/>
  <c r="F282" i="4"/>
  <c r="F257" i="4"/>
  <c r="DO72" i="51"/>
  <c r="H140" i="7"/>
  <c r="I384" i="7"/>
  <c r="G246" i="7"/>
  <c r="BU30" i="51"/>
  <c r="E351" i="7"/>
  <c r="F384" i="7"/>
  <c r="BU27" i="51"/>
  <c r="DM27" i="51" s="1"/>
  <c r="H382" i="7"/>
  <c r="H216" i="7"/>
  <c r="H232" i="7"/>
  <c r="E159" i="4"/>
  <c r="H381" i="7"/>
  <c r="H208" i="7"/>
  <c r="AN735" i="1"/>
  <c r="AN17" i="1"/>
  <c r="AN459" i="1" s="1"/>
  <c r="AN471" i="1" s="1"/>
  <c r="AN15" i="1" a="1"/>
  <c r="AN15" i="1" s="1"/>
  <c r="AN12" i="1" a="1"/>
  <c r="AN12" i="1" s="1"/>
  <c r="AN13" i="1"/>
  <c r="M23" i="50"/>
  <c r="BX30" i="51"/>
  <c r="CE30" i="51" s="1"/>
  <c r="H351" i="7"/>
  <c r="M40" i="50"/>
  <c r="F287" i="4"/>
  <c r="F123" i="4"/>
  <c r="Q385" i="7"/>
  <c r="K380" i="7"/>
  <c r="N380" i="7"/>
  <c r="G281" i="7"/>
  <c r="G187" i="7"/>
  <c r="K248" i="4"/>
  <c r="CB18" i="51"/>
  <c r="L340" i="7"/>
  <c r="J166" i="7"/>
  <c r="K17" i="50"/>
  <c r="BV25" i="51"/>
  <c r="DN25" i="51" s="1"/>
  <c r="M9" i="50"/>
  <c r="F39" i="4"/>
  <c r="BX19" i="51"/>
  <c r="CE19" i="51" s="1"/>
  <c r="H385" i="7"/>
  <c r="M14" i="50"/>
  <c r="BX23" i="51"/>
  <c r="CE23" i="51" s="1"/>
  <c r="L18" i="50"/>
  <c r="T18" i="50" s="1"/>
  <c r="BW26" i="51"/>
  <c r="G297" i="7"/>
  <c r="H297" i="7"/>
  <c r="M34" i="50"/>
  <c r="BX39" i="51"/>
  <c r="CE39" i="51" s="1"/>
  <c r="K41" i="50"/>
  <c r="D288" i="4"/>
  <c r="D124" i="4"/>
  <c r="M17" i="50"/>
  <c r="BX25" i="51"/>
  <c r="CE25" i="51" s="1"/>
  <c r="Q382" i="7"/>
  <c r="Q216" i="7"/>
  <c r="O380" i="7"/>
  <c r="E217" i="7"/>
  <c r="E208" i="7"/>
  <c r="Z42" i="48"/>
  <c r="I166" i="7"/>
  <c r="BW8" i="51"/>
  <c r="P385" i="7"/>
  <c r="L40" i="50"/>
  <c r="T40" i="50" s="1"/>
  <c r="E123" i="4"/>
  <c r="E287" i="4"/>
  <c r="F226" i="7"/>
  <c r="O7" i="50"/>
  <c r="BZ17" i="51"/>
  <c r="DR17" i="51" s="1"/>
  <c r="P8" i="4"/>
  <c r="J339" i="7"/>
  <c r="F79" i="4"/>
  <c r="P380" i="7"/>
  <c r="H195" i="7"/>
  <c r="J380" i="7"/>
  <c r="O261" i="7"/>
  <c r="CC18" i="51"/>
  <c r="M340" i="7"/>
  <c r="N271" i="7"/>
  <c r="CC70" i="51"/>
  <c r="K227" i="4"/>
  <c r="H259" i="4"/>
  <c r="H384" i="7"/>
  <c r="L24" i="50"/>
  <c r="T24" i="50" s="1"/>
  <c r="BW31" i="51"/>
  <c r="E35" i="4"/>
  <c r="E46" i="4"/>
  <c r="C79" i="4"/>
  <c r="G140" i="7"/>
  <c r="L41" i="50"/>
  <c r="T41" i="50" s="1"/>
  <c r="E288" i="4"/>
  <c r="E124" i="4"/>
  <c r="D281" i="4"/>
  <c r="BV9" i="51"/>
  <c r="DN9" i="51" s="1"/>
  <c r="D83" i="4"/>
  <c r="BV35" i="51"/>
  <c r="DN35" i="51" s="1"/>
  <c r="D195" i="4"/>
  <c r="W36" i="48" s="1"/>
  <c r="AP36" i="48" s="1"/>
  <c r="DO68" i="51"/>
  <c r="F63" i="4"/>
  <c r="H271" i="7"/>
  <c r="G266" i="7"/>
  <c r="BX8" i="51"/>
  <c r="CE8" i="51" s="1"/>
  <c r="E281" i="4"/>
  <c r="BW9" i="51"/>
  <c r="E9" i="40"/>
  <c r="E11" i="40" s="1"/>
  <c r="E83" i="4"/>
  <c r="L12" i="50"/>
  <c r="T12" i="50" s="1"/>
  <c r="BW21" i="51"/>
  <c r="DP69" i="51"/>
  <c r="BU31" i="51"/>
  <c r="C35" i="4"/>
  <c r="C46" i="4"/>
  <c r="O382" i="7"/>
  <c r="O216" i="7"/>
  <c r="F266" i="7"/>
  <c r="G261" i="7"/>
  <c r="G226" i="7"/>
  <c r="Q383" i="7"/>
  <c r="M257" i="4"/>
  <c r="N248" i="4"/>
  <c r="M385" i="7"/>
  <c r="L249" i="4"/>
  <c r="CB70" i="51"/>
  <c r="J227" i="4"/>
  <c r="Z29" i="48"/>
  <c r="N23" i="50"/>
  <c r="BY30" i="51"/>
  <c r="I351" i="7"/>
  <c r="BX70" i="51"/>
  <c r="CE70" i="51" s="1"/>
  <c r="F227" i="4"/>
  <c r="G258" i="4"/>
  <c r="L19" i="50"/>
  <c r="T19" i="50" s="1"/>
  <c r="BW27" i="51"/>
  <c r="K34" i="50"/>
  <c r="BV39" i="51"/>
  <c r="DN39" i="51" s="1"/>
  <c r="BU39" i="51"/>
  <c r="DM39" i="51" s="1"/>
  <c r="M18" i="50"/>
  <c r="BX26" i="51"/>
  <c r="CE26" i="51" s="1"/>
  <c r="M37" i="50"/>
  <c r="BW35" i="51"/>
  <c r="E195" i="4"/>
  <c r="X36" i="48" s="1"/>
  <c r="AQ36" i="48" s="1"/>
  <c r="AM598" i="1"/>
  <c r="AM626" i="1"/>
  <c r="T166" i="7"/>
  <c r="Z166" i="7"/>
  <c r="V140" i="7"/>
  <c r="U339" i="7"/>
  <c r="V195" i="7"/>
  <c r="AE271" i="7"/>
  <c r="U269" i="7"/>
  <c r="V383" i="7"/>
  <c r="V208" i="7"/>
  <c r="V269" i="7"/>
  <c r="T340" i="7"/>
  <c r="AA382" i="7"/>
  <c r="AA261" i="7"/>
  <c r="Z271" i="7"/>
  <c r="AC380" i="7"/>
  <c r="U166" i="7"/>
  <c r="T159" i="7"/>
  <c r="AD378" i="7"/>
  <c r="X340" i="7"/>
  <c r="Y340" i="7"/>
  <c r="X339" i="7"/>
  <c r="Z378" i="7"/>
  <c r="T383" i="7"/>
  <c r="V382" i="7"/>
  <c r="AE383" i="7"/>
  <c r="V271" i="7"/>
  <c r="V261" i="7"/>
  <c r="S378" i="7"/>
  <c r="T187" i="7"/>
  <c r="AA340" i="7"/>
  <c r="AE170" i="7"/>
  <c r="Z340" i="7"/>
  <c r="AD380" i="7"/>
  <c r="T232" i="7"/>
  <c r="W380" i="7"/>
  <c r="AB383" i="7"/>
  <c r="U383" i="7"/>
  <c r="S281" i="7"/>
  <c r="AA170" i="7"/>
  <c r="AB261" i="7"/>
  <c r="T339" i="7"/>
  <c r="U208" i="7"/>
  <c r="AC382" i="7"/>
  <c r="Z385" i="7"/>
  <c r="X380" i="7"/>
  <c r="W157" i="7"/>
  <c r="T246" i="7"/>
  <c r="V385" i="7"/>
  <c r="AC170" i="7"/>
  <c r="S208" i="7"/>
  <c r="W384" i="7"/>
  <c r="T384" i="7"/>
  <c r="T281" i="7"/>
  <c r="T266" i="7"/>
  <c r="S232" i="7"/>
  <c r="AA385" i="7"/>
  <c r="AB382" i="7"/>
  <c r="S339" i="7"/>
  <c r="U340" i="7"/>
  <c r="X266" i="7"/>
  <c r="Z216" i="7"/>
  <c r="T382" i="7"/>
  <c r="S233" i="7"/>
  <c r="Y271" i="7"/>
  <c r="U266" i="7"/>
  <c r="AC261" i="7"/>
  <c r="U140" i="7"/>
  <c r="V297" i="7"/>
  <c r="W247" i="7"/>
  <c r="X385" i="7"/>
  <c r="W261" i="7"/>
  <c r="AB271" i="7"/>
  <c r="V216" i="7"/>
  <c r="AE379" i="7"/>
  <c r="AA383" i="7"/>
  <c r="T380" i="7"/>
  <c r="AB385" i="7"/>
  <c r="AE378" i="7"/>
  <c r="AA271" i="7"/>
  <c r="U381" i="7"/>
  <c r="U187" i="7"/>
  <c r="V247" i="7"/>
  <c r="U385" i="7"/>
  <c r="AC378" i="7"/>
  <c r="AB378" i="7"/>
  <c r="T350" i="7"/>
  <c r="AD271" i="7"/>
  <c r="W340" i="7"/>
  <c r="AC383" i="7"/>
  <c r="U384" i="7"/>
  <c r="V159" i="7"/>
  <c r="W382" i="7"/>
  <c r="U261" i="7"/>
  <c r="V187" i="7"/>
  <c r="U271" i="7"/>
  <c r="Y166" i="7"/>
  <c r="AC271" i="7"/>
  <c r="U157" i="7"/>
  <c r="V340" i="7"/>
  <c r="S350" i="7"/>
  <c r="AE216" i="7"/>
  <c r="W351" i="7"/>
  <c r="S217" i="7"/>
  <c r="W383" i="7"/>
  <c r="Y380" i="7"/>
  <c r="U281" i="7"/>
  <c r="T297" i="7"/>
  <c r="T261" i="7"/>
  <c r="V380" i="7"/>
  <c r="AA266" i="7"/>
  <c r="T208" i="7"/>
  <c r="W166" i="7"/>
  <c r="T302" i="7"/>
  <c r="U350" i="7"/>
  <c r="V166" i="7"/>
  <c r="Y170" i="7"/>
  <c r="AD216" i="7"/>
  <c r="X384" i="7"/>
  <c r="S351" i="7"/>
  <c r="AA378" i="7"/>
  <c r="T247" i="7"/>
  <c r="AE385" i="7"/>
  <c r="S195" i="7"/>
  <c r="S142" i="7"/>
  <c r="U382" i="7"/>
  <c r="T226" i="7"/>
  <c r="AC216" i="7"/>
  <c r="X351" i="7"/>
  <c r="W271" i="7"/>
  <c r="X166" i="7"/>
  <c r="V266" i="7"/>
  <c r="AC266" i="7"/>
  <c r="X261" i="7"/>
  <c r="Z383" i="7"/>
  <c r="Y261" i="7"/>
  <c r="V226" i="7"/>
  <c r="Z382" i="7"/>
  <c r="U226" i="7"/>
  <c r="V281" i="7"/>
  <c r="V232" i="7"/>
  <c r="Z170" i="7"/>
  <c r="AB216" i="7"/>
  <c r="T170" i="7"/>
  <c r="U380" i="7"/>
  <c r="T216" i="7"/>
  <c r="AE380" i="7"/>
  <c r="X271" i="7"/>
  <c r="X383" i="7"/>
  <c r="U297" i="7"/>
  <c r="AD383" i="7"/>
  <c r="U159" i="7"/>
  <c r="AD170" i="7"/>
  <c r="Y382" i="7"/>
  <c r="V170" i="7"/>
  <c r="V384" i="7"/>
  <c r="U232" i="7"/>
  <c r="V246" i="7"/>
  <c r="X350" i="7"/>
  <c r="V157" i="7"/>
  <c r="T269" i="7"/>
  <c r="V339" i="7"/>
  <c r="AB266" i="7"/>
  <c r="AD261" i="7"/>
  <c r="S340" i="7"/>
  <c r="T381" i="7"/>
  <c r="U170" i="7"/>
  <c r="T195" i="7"/>
  <c r="AD385" i="7"/>
  <c r="Z261" i="7"/>
  <c r="T351" i="7"/>
  <c r="U302" i="7"/>
  <c r="Z351" i="7"/>
  <c r="V302" i="7"/>
  <c r="V350" i="7"/>
  <c r="X170" i="7"/>
  <c r="Z380" i="7"/>
  <c r="Y266" i="7"/>
  <c r="AD266" i="7"/>
  <c r="V381" i="7"/>
  <c r="Z266" i="7"/>
  <c r="U216" i="7"/>
  <c r="AB170" i="7"/>
  <c r="U247" i="7"/>
  <c r="AA380" i="7"/>
  <c r="X216" i="7"/>
  <c r="AC385" i="7"/>
  <c r="Y216" i="7"/>
  <c r="Y385" i="7"/>
  <c r="AA351" i="7"/>
  <c r="V351" i="7"/>
  <c r="W216" i="7"/>
  <c r="AD382" i="7"/>
  <c r="AB380" i="7"/>
  <c r="W266" i="7"/>
  <c r="AE266" i="7"/>
  <c r="AE261" i="7"/>
  <c r="W159" i="7"/>
  <c r="T385" i="7"/>
  <c r="AA216" i="7"/>
  <c r="X382" i="7"/>
  <c r="Y351" i="7"/>
  <c r="U246" i="7"/>
  <c r="S187" i="7"/>
  <c r="W170" i="7"/>
  <c r="AE382" i="7"/>
  <c r="X140" i="7"/>
  <c r="W385" i="7"/>
  <c r="U195" i="7"/>
  <c r="S380" i="7"/>
  <c r="S170" i="7"/>
  <c r="Y383" i="7"/>
  <c r="T140" i="7"/>
  <c r="T271" i="7"/>
  <c r="U351" i="7"/>
  <c r="W46" i="48" l="1"/>
  <c r="AP44" i="48"/>
  <c r="X46" i="48"/>
  <c r="AQ44" i="48"/>
  <c r="F378" i="7"/>
  <c r="G379" i="7"/>
  <c r="G173" i="7"/>
  <c r="P173" i="7"/>
  <c r="O173" i="7"/>
  <c r="Q173" i="7"/>
  <c r="F333" i="7"/>
  <c r="H262" i="7"/>
  <c r="H263" i="7" s="1"/>
  <c r="I173" i="7"/>
  <c r="H173" i="7"/>
  <c r="K379" i="7"/>
  <c r="J379" i="7"/>
  <c r="E379" i="7"/>
  <c r="N173" i="7"/>
  <c r="F379" i="7"/>
  <c r="L173" i="7"/>
  <c r="F262" i="7"/>
  <c r="M379" i="7"/>
  <c r="J173" i="7"/>
  <c r="CH22" i="51"/>
  <c r="DQ22" i="51"/>
  <c r="CC43" i="51"/>
  <c r="DU18" i="51"/>
  <c r="CH30" i="51"/>
  <c r="DQ30" i="51"/>
  <c r="CB43" i="51"/>
  <c r="DT18" i="51"/>
  <c r="M173" i="7"/>
  <c r="I386" i="7"/>
  <c r="K173" i="7"/>
  <c r="P386" i="7"/>
  <c r="L379" i="7"/>
  <c r="F173" i="7"/>
  <c r="E173" i="7"/>
  <c r="F168" i="4"/>
  <c r="D279" i="4"/>
  <c r="D85" i="4"/>
  <c r="N379" i="7"/>
  <c r="O379" i="7"/>
  <c r="H379" i="7"/>
  <c r="I379" i="7"/>
  <c r="P379" i="7"/>
  <c r="DQ35" i="51"/>
  <c r="CH35" i="51"/>
  <c r="CI35" i="51" s="1"/>
  <c r="DQ70" i="51"/>
  <c r="CH70" i="51"/>
  <c r="CI70" i="51" s="1"/>
  <c r="CH18" i="51"/>
  <c r="CI18" i="51" s="1"/>
  <c r="CH25" i="51"/>
  <c r="CI25" i="51" s="1"/>
  <c r="CH26" i="51"/>
  <c r="CI26" i="51" s="1"/>
  <c r="CH27" i="51"/>
  <c r="CI27" i="51" s="1"/>
  <c r="E283" i="4"/>
  <c r="E334" i="7"/>
  <c r="G333" i="7"/>
  <c r="K386" i="7"/>
  <c r="CA47" i="51"/>
  <c r="J262" i="7"/>
  <c r="C85" i="4"/>
  <c r="H272" i="7"/>
  <c r="E85" i="4"/>
  <c r="CB47" i="51"/>
  <c r="CA43" i="51"/>
  <c r="BD388" i="1"/>
  <c r="BD394" i="1" s="1"/>
  <c r="DP26" i="51"/>
  <c r="DO25" i="51"/>
  <c r="BZ48" i="51"/>
  <c r="DO18" i="51"/>
  <c r="F197" i="7"/>
  <c r="BU42" i="51"/>
  <c r="DM21" i="51"/>
  <c r="BV44" i="51"/>
  <c r="DN23" i="51"/>
  <c r="DP27" i="51"/>
  <c r="DO8" i="51"/>
  <c r="G228" i="7"/>
  <c r="DP10" i="51"/>
  <c r="N386" i="7"/>
  <c r="E3" i="40"/>
  <c r="E5" i="40" s="1"/>
  <c r="E279" i="4"/>
  <c r="BW6" i="51"/>
  <c r="DO39" i="51"/>
  <c r="H228" i="7"/>
  <c r="E168" i="4"/>
  <c r="F280" i="7"/>
  <c r="BZ44" i="51"/>
  <c r="H42" i="4"/>
  <c r="F335" i="7"/>
  <c r="BW43" i="51"/>
  <c r="DO22" i="51"/>
  <c r="DP8" i="51"/>
  <c r="DP39" i="51"/>
  <c r="E309" i="7"/>
  <c r="E197" i="7"/>
  <c r="CG67" i="51"/>
  <c r="DT67" i="51"/>
  <c r="J378" i="7"/>
  <c r="DO7" i="51"/>
  <c r="E326" i="7"/>
  <c r="E325" i="7"/>
  <c r="E218" i="7"/>
  <c r="DO17" i="51"/>
  <c r="DT66" i="51"/>
  <c r="CG66" i="51"/>
  <c r="I280" i="7"/>
  <c r="BY43" i="51"/>
  <c r="DP21" i="51"/>
  <c r="BX42" i="51"/>
  <c r="DT72" i="51"/>
  <c r="CG72" i="51"/>
  <c r="G386" i="7"/>
  <c r="DP19" i="51"/>
  <c r="G272" i="7"/>
  <c r="F42" i="4"/>
  <c r="H197" i="7"/>
  <c r="DO70" i="51"/>
  <c r="G303" i="7"/>
  <c r="G125" i="7"/>
  <c r="CC47" i="51"/>
  <c r="G378" i="7"/>
  <c r="L386" i="7"/>
  <c r="DO10" i="51"/>
  <c r="I378" i="7"/>
  <c r="G280" i="7"/>
  <c r="DP17" i="51"/>
  <c r="J142" i="7"/>
  <c r="C43" i="4"/>
  <c r="DO21" i="51"/>
  <c r="BW42" i="51"/>
  <c r="AN14" i="1"/>
  <c r="AN9" i="1" s="1"/>
  <c r="DP18" i="51"/>
  <c r="H386" i="7"/>
  <c r="E332" i="7"/>
  <c r="E122" i="7"/>
  <c r="M386" i="7"/>
  <c r="F303" i="7"/>
  <c r="F125" i="7"/>
  <c r="F142" i="7"/>
  <c r="E42" i="4"/>
  <c r="E43" i="4" s="1"/>
  <c r="G197" i="7"/>
  <c r="F249" i="7"/>
  <c r="F331" i="7"/>
  <c r="BY47" i="51"/>
  <c r="F228" i="7"/>
  <c r="DP35" i="51"/>
  <c r="J386" i="7"/>
  <c r="DO11" i="51"/>
  <c r="E333" i="7"/>
  <c r="E335" i="7"/>
  <c r="DO19" i="51"/>
  <c r="G262" i="7"/>
  <c r="DO9" i="51"/>
  <c r="DN31" i="51"/>
  <c r="BV48" i="51"/>
  <c r="DM31" i="51"/>
  <c r="BU48" i="51"/>
  <c r="O386" i="7"/>
  <c r="AN598" i="1"/>
  <c r="AN626" i="1"/>
  <c r="G249" i="7"/>
  <c r="G331" i="7"/>
  <c r="BU43" i="51"/>
  <c r="F85" i="4"/>
  <c r="H378" i="7"/>
  <c r="F218" i="7"/>
  <c r="H125" i="7"/>
  <c r="H303" i="7"/>
  <c r="DM30" i="51"/>
  <c r="BU47" i="51"/>
  <c r="DO27" i="51"/>
  <c r="BW44" i="51"/>
  <c r="DO23" i="51"/>
  <c r="H249" i="7"/>
  <c r="H331" i="7"/>
  <c r="BV42" i="51"/>
  <c r="DN21" i="51"/>
  <c r="BW47" i="51"/>
  <c r="DO30" i="51"/>
  <c r="DP11" i="51"/>
  <c r="BZ46" i="51"/>
  <c r="BX44" i="51"/>
  <c r="DP23" i="51"/>
  <c r="DT71" i="51"/>
  <c r="CG71" i="51"/>
  <c r="H3" i="40"/>
  <c r="H5" i="40" s="1"/>
  <c r="H279" i="4"/>
  <c r="BZ6" i="51"/>
  <c r="DR6" i="51" s="1"/>
  <c r="P63" i="4"/>
  <c r="Q386" i="7"/>
  <c r="G218" i="7"/>
  <c r="BZ43" i="51"/>
  <c r="K378" i="7"/>
  <c r="H280" i="7"/>
  <c r="DO31" i="51"/>
  <c r="BW48" i="51"/>
  <c r="DO35" i="51"/>
  <c r="CG68" i="51"/>
  <c r="DT68" i="51"/>
  <c r="G142" i="7"/>
  <c r="H142" i="7"/>
  <c r="G335" i="7"/>
  <c r="H335" i="7"/>
  <c r="DP25" i="51"/>
  <c r="H218" i="7"/>
  <c r="DP9" i="51"/>
  <c r="BX48" i="51"/>
  <c r="DP31" i="51"/>
  <c r="BZ42" i="51"/>
  <c r="D42" i="4"/>
  <c r="BX43" i="51"/>
  <c r="DP22" i="51"/>
  <c r="F3" i="40"/>
  <c r="F5" i="40" s="1"/>
  <c r="F279" i="4"/>
  <c r="BX6" i="51"/>
  <c r="CE6" i="51" s="1"/>
  <c r="DO26" i="51"/>
  <c r="BX47" i="51"/>
  <c r="DP30" i="51"/>
  <c r="BU44" i="51"/>
  <c r="DM23" i="51"/>
  <c r="DP7" i="51"/>
  <c r="BV46" i="51"/>
  <c r="DN29" i="51"/>
  <c r="BW46" i="51"/>
  <c r="DO29" i="51"/>
  <c r="D168" i="4"/>
  <c r="H333" i="7"/>
  <c r="BV43" i="51"/>
  <c r="DN22" i="51"/>
  <c r="F272" i="7"/>
  <c r="DP70" i="51"/>
  <c r="BU46" i="51"/>
  <c r="DM29" i="51"/>
  <c r="F386" i="7"/>
  <c r="DT69" i="51"/>
  <c r="CG69" i="51"/>
  <c r="BZ47" i="51"/>
  <c r="BX46" i="51"/>
  <c r="DP29" i="51"/>
  <c r="DN30" i="51"/>
  <c r="BV47" i="51"/>
  <c r="T378" i="7"/>
  <c r="V218" i="7"/>
  <c r="U142" i="7"/>
  <c r="T379" i="7"/>
  <c r="AD379" i="7"/>
  <c r="U228" i="7"/>
  <c r="T272" i="7"/>
  <c r="S218" i="7"/>
  <c r="U378" i="7"/>
  <c r="V249" i="7"/>
  <c r="AE386" i="7"/>
  <c r="V333" i="7"/>
  <c r="V280" i="7"/>
  <c r="X262" i="7"/>
  <c r="S326" i="7"/>
  <c r="U379" i="7"/>
  <c r="AD173" i="7"/>
  <c r="AC379" i="7"/>
  <c r="U303" i="7"/>
  <c r="Z173" i="7"/>
  <c r="Z379" i="7"/>
  <c r="X386" i="7"/>
  <c r="T125" i="7"/>
  <c r="AA379" i="7"/>
  <c r="S334" i="7"/>
  <c r="T333" i="7"/>
  <c r="S325" i="7"/>
  <c r="Z386" i="7"/>
  <c r="T280" i="7"/>
  <c r="W378" i="7"/>
  <c r="Y378" i="7"/>
  <c r="Y173" i="7"/>
  <c r="T335" i="7"/>
  <c r="U197" i="7"/>
  <c r="S173" i="7"/>
  <c r="V228" i="7"/>
  <c r="X142" i="7"/>
  <c r="V262" i="7"/>
  <c r="AC386" i="7"/>
  <c r="V386" i="7"/>
  <c r="X378" i="7"/>
  <c r="V142" i="7"/>
  <c r="T228" i="7"/>
  <c r="U249" i="7"/>
  <c r="S335" i="7"/>
  <c r="V272" i="7"/>
  <c r="AE173" i="7"/>
  <c r="AB379" i="7"/>
  <c r="AA173" i="7"/>
  <c r="AD386" i="7"/>
  <c r="W386" i="7"/>
  <c r="AA386" i="7"/>
  <c r="V379" i="7"/>
  <c r="V335" i="7"/>
  <c r="T218" i="7"/>
  <c r="V331" i="7"/>
  <c r="U262" i="7"/>
  <c r="U386" i="7"/>
  <c r="S309" i="7"/>
  <c r="T173" i="7"/>
  <c r="W173" i="7"/>
  <c r="U218" i="7"/>
  <c r="Y379" i="7"/>
  <c r="T262" i="7"/>
  <c r="S332" i="7"/>
  <c r="U125" i="7"/>
  <c r="AC173" i="7"/>
  <c r="T303" i="7"/>
  <c r="U173" i="7"/>
  <c r="V303" i="7"/>
  <c r="W280" i="7"/>
  <c r="S333" i="7"/>
  <c r="U331" i="7"/>
  <c r="X173" i="7"/>
  <c r="V378" i="7"/>
  <c r="T386" i="7"/>
  <c r="T142" i="7"/>
  <c r="S197" i="7"/>
  <c r="V125" i="7"/>
  <c r="V197" i="7"/>
  <c r="Y386" i="7"/>
  <c r="W379" i="7"/>
  <c r="X379" i="7"/>
  <c r="S122" i="7"/>
  <c r="T249" i="7"/>
  <c r="T197" i="7"/>
  <c r="T331" i="7"/>
  <c r="U333" i="7"/>
  <c r="U335" i="7"/>
  <c r="U280" i="7"/>
  <c r="U272" i="7"/>
  <c r="AB173" i="7"/>
  <c r="S379" i="7"/>
  <c r="AB386" i="7"/>
  <c r="V173" i="7"/>
  <c r="X48" i="48" l="1"/>
  <c r="AQ48" i="48" s="1"/>
  <c r="AQ46" i="48"/>
  <c r="Y46" i="48"/>
  <c r="AR44" i="48"/>
  <c r="W48" i="48"/>
  <c r="AP48" i="48" s="1"/>
  <c r="AP46" i="48"/>
  <c r="F198" i="7"/>
  <c r="H282" i="7"/>
  <c r="F263" i="7"/>
  <c r="F43" i="4"/>
  <c r="F56" i="4" s="1"/>
  <c r="G219" i="7"/>
  <c r="F219" i="7"/>
  <c r="G198" i="7"/>
  <c r="F326" i="7"/>
  <c r="J263" i="7"/>
  <c r="F325" i="7"/>
  <c r="H273" i="7"/>
  <c r="E219" i="7"/>
  <c r="G137" i="7" a="1"/>
  <c r="G137" i="7" s="1"/>
  <c r="F282" i="7"/>
  <c r="F273" i="7"/>
  <c r="G276" i="7"/>
  <c r="G278" i="7"/>
  <c r="G250" i="7"/>
  <c r="G282" i="7"/>
  <c r="G273" i="7"/>
  <c r="E231" i="7"/>
  <c r="F236" i="7"/>
  <c r="E236" i="7"/>
  <c r="E229" i="7"/>
  <c r="E198" i="7"/>
  <c r="G234" i="7"/>
  <c r="G308" i="7"/>
  <c r="G233" i="7"/>
  <c r="H237" i="7"/>
  <c r="DT39" i="51"/>
  <c r="CG39" i="51"/>
  <c r="H137" i="7" a="1"/>
  <c r="H137" i="7" s="1"/>
  <c r="CG9" i="51"/>
  <c r="CG70" i="51"/>
  <c r="DT70" i="51"/>
  <c r="DO6" i="51"/>
  <c r="CG8" i="51"/>
  <c r="H234" i="7"/>
  <c r="H308" i="7"/>
  <c r="H233" i="7"/>
  <c r="G263" i="7"/>
  <c r="G236" i="7"/>
  <c r="F231" i="7"/>
  <c r="F229" i="7"/>
  <c r="E336" i="7"/>
  <c r="CE42" i="51"/>
  <c r="CG21" i="51"/>
  <c r="CG18" i="51"/>
  <c r="E314" i="7"/>
  <c r="E156" i="7"/>
  <c r="E123" i="7"/>
  <c r="D22" i="7"/>
  <c r="H236" i="7"/>
  <c r="G229" i="7"/>
  <c r="G231" i="7"/>
  <c r="H122" i="7"/>
  <c r="H332" i="7"/>
  <c r="H334" i="7"/>
  <c r="H43" i="4"/>
  <c r="CE46" i="51"/>
  <c r="CG29" i="51"/>
  <c r="D43" i="4"/>
  <c r="D56" i="4" s="1"/>
  <c r="DP6" i="51"/>
  <c r="H276" i="7"/>
  <c r="H278" i="7"/>
  <c r="H250" i="7"/>
  <c r="CG19" i="51"/>
  <c r="F122" i="7"/>
  <c r="F334" i="7"/>
  <c r="F332" i="7"/>
  <c r="H229" i="7"/>
  <c r="H231" i="7"/>
  <c r="H198" i="7"/>
  <c r="CG25" i="51"/>
  <c r="CE48" i="51"/>
  <c r="CG31" i="51"/>
  <c r="J122" i="7"/>
  <c r="J332" i="7"/>
  <c r="H326" i="7"/>
  <c r="CG11" i="51"/>
  <c r="CG26" i="51"/>
  <c r="G122" i="7"/>
  <c r="G332" i="7"/>
  <c r="G334" i="7"/>
  <c r="CG27" i="51"/>
  <c r="F137" i="7" a="1"/>
  <c r="F137" i="7" s="1"/>
  <c r="F234" i="7"/>
  <c r="F308" i="7"/>
  <c r="F233" i="7"/>
  <c r="G237" i="7"/>
  <c r="F237" i="7"/>
  <c r="CE43" i="51"/>
  <c r="CG22" i="51"/>
  <c r="H325" i="7"/>
  <c r="CH43" i="51"/>
  <c r="CI43" i="51" s="1"/>
  <c r="CI22" i="51"/>
  <c r="CE44" i="51"/>
  <c r="CG23" i="51"/>
  <c r="CI30" i="51"/>
  <c r="CH47" i="51"/>
  <c r="CI47" i="51" s="1"/>
  <c r="DT35" i="51"/>
  <c r="CG35" i="51"/>
  <c r="CG7" i="51"/>
  <c r="BE388" i="1"/>
  <c r="BE394" i="1" s="1"/>
  <c r="E56" i="4"/>
  <c r="H219" i="7"/>
  <c r="CE47" i="51"/>
  <c r="CG30" i="51"/>
  <c r="E134" i="7" a="1"/>
  <c r="E134" i="7" s="1"/>
  <c r="G325" i="7"/>
  <c r="CG10" i="51"/>
  <c r="F276" i="7"/>
  <c r="F278" i="7"/>
  <c r="F250" i="7"/>
  <c r="G326" i="7"/>
  <c r="CG17" i="51"/>
  <c r="U233" i="7"/>
  <c r="U231" i="7"/>
  <c r="T278" i="7"/>
  <c r="T234" i="7"/>
  <c r="S336" i="7"/>
  <c r="V334" i="7"/>
  <c r="S231" i="7"/>
  <c r="U236" i="7"/>
  <c r="T231" i="7"/>
  <c r="T325" i="7"/>
  <c r="S123" i="7"/>
  <c r="V326" i="7"/>
  <c r="U334" i="7"/>
  <c r="V236" i="7"/>
  <c r="V233" i="7"/>
  <c r="T237" i="7"/>
  <c r="V231" i="7"/>
  <c r="U234" i="7"/>
  <c r="S156" i="7"/>
  <c r="S314" i="7"/>
  <c r="T326" i="7"/>
  <c r="V325" i="7"/>
  <c r="U237" i="7"/>
  <c r="T308" i="7"/>
  <c r="T233" i="7"/>
  <c r="R22" i="7"/>
  <c r="V308" i="7"/>
  <c r="V137" i="7"/>
  <c r="V237" i="7"/>
  <c r="U308" i="7"/>
  <c r="V278" i="7"/>
  <c r="X332" i="7"/>
  <c r="U122" i="7"/>
  <c r="X122" i="7"/>
  <c r="T236" i="7"/>
  <c r="V332" i="7"/>
  <c r="V234" i="7"/>
  <c r="T122" i="7"/>
  <c r="U326" i="7"/>
  <c r="T334" i="7"/>
  <c r="T137" i="7"/>
  <c r="U137" i="7"/>
  <c r="U332" i="7"/>
  <c r="T332" i="7"/>
  <c r="U276" i="7"/>
  <c r="T276" i="7"/>
  <c r="S134" i="7"/>
  <c r="U278" i="7"/>
  <c r="V122" i="7"/>
  <c r="U325" i="7"/>
  <c r="S236" i="7"/>
  <c r="V276" i="7"/>
  <c r="Y48" i="48" l="1"/>
  <c r="AR48" i="48" s="1"/>
  <c r="AR46" i="48"/>
  <c r="CG46" i="51"/>
  <c r="E135" i="7" a="1"/>
  <c r="E135" i="7" s="1"/>
  <c r="CG6" i="51"/>
  <c r="E319" i="7"/>
  <c r="F309" i="7"/>
  <c r="J134" i="7" a="1"/>
  <c r="J134" i="7" s="1"/>
  <c r="E377" i="7"/>
  <c r="E323" i="7"/>
  <c r="E328" i="7"/>
  <c r="E162" i="7"/>
  <c r="E315" i="7"/>
  <c r="J314" i="7"/>
  <c r="J123" i="7"/>
  <c r="F319" i="7"/>
  <c r="G134" i="7" a="1"/>
  <c r="G134" i="7" s="1"/>
  <c r="CG48" i="51"/>
  <c r="G307" i="7"/>
  <c r="F307" i="7"/>
  <c r="G314" i="7"/>
  <c r="G156" i="7"/>
  <c r="G123" i="7"/>
  <c r="G336" i="7"/>
  <c r="F134" i="7" a="1"/>
  <c r="F134" i="7" s="1"/>
  <c r="H134" i="7" a="1"/>
  <c r="H134" i="7" s="1"/>
  <c r="CG42" i="51"/>
  <c r="F314" i="7"/>
  <c r="F156" i="7"/>
  <c r="F123" i="7"/>
  <c r="F336" i="7"/>
  <c r="H314" i="7"/>
  <c r="H156" i="7"/>
  <c r="H123" i="7"/>
  <c r="H336" i="7"/>
  <c r="CG43" i="51"/>
  <c r="G319" i="7"/>
  <c r="G309" i="7"/>
  <c r="CG44" i="51"/>
  <c r="H307" i="7"/>
  <c r="H309" i="7"/>
  <c r="CG47" i="51"/>
  <c r="H319" i="7"/>
  <c r="T134" i="7"/>
  <c r="U156" i="7"/>
  <c r="U134" i="7"/>
  <c r="U336" i="7"/>
  <c r="V309" i="7"/>
  <c r="T314" i="7"/>
  <c r="V307" i="7"/>
  <c r="S315" i="7"/>
  <c r="U307" i="7"/>
  <c r="T309" i="7"/>
  <c r="S328" i="7"/>
  <c r="U314" i="7"/>
  <c r="V123" i="7"/>
  <c r="X123" i="7"/>
  <c r="S135" i="7"/>
  <c r="S323" i="7"/>
  <c r="V134" i="7"/>
  <c r="V156" i="7"/>
  <c r="X134" i="7"/>
  <c r="V314" i="7"/>
  <c r="U319" i="7"/>
  <c r="U309" i="7"/>
  <c r="T319" i="7"/>
  <c r="T336" i="7"/>
  <c r="S319" i="7"/>
  <c r="T123" i="7"/>
  <c r="S377" i="7"/>
  <c r="X314" i="7"/>
  <c r="U123" i="7"/>
  <c r="T307" i="7"/>
  <c r="V336" i="7"/>
  <c r="V319" i="7"/>
  <c r="T156" i="7"/>
  <c r="S162" i="7"/>
  <c r="G321" i="7" l="1"/>
  <c r="J135" i="7" a="1"/>
  <c r="J135" i="7" s="1"/>
  <c r="E321" i="7"/>
  <c r="H135" i="7" a="1"/>
  <c r="H135" i="7" s="1"/>
  <c r="G135" i="7" a="1"/>
  <c r="G135" i="7" s="1"/>
  <c r="E320" i="7"/>
  <c r="H323" i="7"/>
  <c r="H377" i="7"/>
  <c r="H328" i="7"/>
  <c r="H162" i="7"/>
  <c r="H315" i="7"/>
  <c r="H320" i="7"/>
  <c r="G377" i="7"/>
  <c r="G328" i="7"/>
  <c r="G162" i="7"/>
  <c r="G315" i="7"/>
  <c r="G320" i="7"/>
  <c r="G323" i="7"/>
  <c r="E165" i="7"/>
  <c r="E306" i="7"/>
  <c r="F135" i="7" a="1"/>
  <c r="F135" i="7" s="1"/>
  <c r="H321" i="7"/>
  <c r="F323" i="7"/>
  <c r="F328" i="7"/>
  <c r="F162" i="7"/>
  <c r="F377" i="7"/>
  <c r="F315" i="7"/>
  <c r="F320" i="7"/>
  <c r="F321" i="7"/>
  <c r="S165" i="7"/>
  <c r="V320" i="7"/>
  <c r="S306" i="7"/>
  <c r="V323" i="7"/>
  <c r="V328" i="7"/>
  <c r="T321" i="7"/>
  <c r="T315" i="7"/>
  <c r="T135" i="7"/>
  <c r="U315" i="7"/>
  <c r="U377" i="7"/>
  <c r="U323" i="7"/>
  <c r="U135" i="7"/>
  <c r="V321" i="7"/>
  <c r="S320" i="7"/>
  <c r="V162" i="7"/>
  <c r="U321" i="7"/>
  <c r="V377" i="7"/>
  <c r="V315" i="7"/>
  <c r="U162" i="7"/>
  <c r="S321" i="7"/>
  <c r="U320" i="7"/>
  <c r="T162" i="7"/>
  <c r="X135" i="7"/>
  <c r="T377" i="7"/>
  <c r="V135" i="7"/>
  <c r="U328" i="7"/>
  <c r="T323" i="7"/>
  <c r="T320" i="7"/>
  <c r="T328" i="7"/>
  <c r="E167" i="7" l="1"/>
  <c r="H165" i="7"/>
  <c r="H306" i="7"/>
  <c r="F165" i="7"/>
  <c r="F306" i="7"/>
  <c r="G165" i="7"/>
  <c r="G306" i="7"/>
  <c r="U306" i="7"/>
  <c r="T306" i="7"/>
  <c r="S167" i="7"/>
  <c r="T165" i="7"/>
  <c r="V165" i="7"/>
  <c r="V306" i="7"/>
  <c r="U165" i="7"/>
  <c r="H167" i="7" l="1"/>
  <c r="G167" i="7"/>
  <c r="E169" i="7"/>
  <c r="F167" i="7"/>
  <c r="V167" i="7"/>
  <c r="T167" i="7"/>
  <c r="U167" i="7"/>
  <c r="S169" i="7"/>
  <c r="G169" i="7" l="1"/>
  <c r="F169" i="7"/>
  <c r="E316" i="7"/>
  <c r="E296" i="7"/>
  <c r="E172" i="7"/>
  <c r="E322" i="7"/>
  <c r="H169" i="7"/>
  <c r="U169" i="7"/>
  <c r="S172" i="7"/>
  <c r="S322" i="7"/>
  <c r="T169" i="7"/>
  <c r="S316" i="7"/>
  <c r="S296" i="7"/>
  <c r="V169" i="7"/>
  <c r="E177" i="7" l="1"/>
  <c r="F316" i="7"/>
  <c r="F296" i="7"/>
  <c r="F322" i="7"/>
  <c r="F172" i="7"/>
  <c r="H296" i="7"/>
  <c r="H322" i="7"/>
  <c r="H172" i="7"/>
  <c r="H316" i="7"/>
  <c r="E176" i="7"/>
  <c r="G316" i="7"/>
  <c r="G296" i="7"/>
  <c r="G322" i="7"/>
  <c r="G172" i="7"/>
  <c r="T316" i="7"/>
  <c r="V296" i="7"/>
  <c r="U172" i="7"/>
  <c r="V172" i="7"/>
  <c r="T172" i="7"/>
  <c r="T322" i="7"/>
  <c r="V316" i="7"/>
  <c r="V322" i="7"/>
  <c r="T296" i="7"/>
  <c r="U322" i="7"/>
  <c r="U316" i="7"/>
  <c r="S176" i="7"/>
  <c r="U296" i="7"/>
  <c r="G177" i="7" l="1"/>
  <c r="H177" i="7"/>
  <c r="F177" i="7"/>
  <c r="G176" i="7"/>
  <c r="F176" i="7"/>
  <c r="H176" i="7"/>
  <c r="E298" i="7"/>
  <c r="T176" i="7"/>
  <c r="S298" i="7"/>
  <c r="U176" i="7"/>
  <c r="V176" i="7"/>
  <c r="H298" i="7" l="1"/>
  <c r="E124" i="7"/>
  <c r="E300" i="7"/>
  <c r="F298" i="7"/>
  <c r="G298" i="7"/>
  <c r="V298" i="7"/>
  <c r="T298" i="7"/>
  <c r="S124" i="7"/>
  <c r="U298" i="7"/>
  <c r="S300" i="7"/>
  <c r="F124" i="7" l="1"/>
  <c r="F299" i="7"/>
  <c r="F300" i="7"/>
  <c r="E136" i="7" a="1"/>
  <c r="E136" i="7" s="1"/>
  <c r="G124" i="7"/>
  <c r="G299" i="7"/>
  <c r="G300" i="7"/>
  <c r="H124" i="7"/>
  <c r="H299" i="7"/>
  <c r="H300" i="7"/>
  <c r="V124" i="7"/>
  <c r="V300" i="7"/>
  <c r="T124" i="7"/>
  <c r="U124" i="7"/>
  <c r="V299" i="7"/>
  <c r="U300" i="7"/>
  <c r="T299" i="7"/>
  <c r="U299" i="7"/>
  <c r="S136" i="7"/>
  <c r="T300" i="7"/>
  <c r="F136" i="7" l="1" a="1"/>
  <c r="F136" i="7" s="1"/>
  <c r="H301" i="7"/>
  <c r="G136" i="7" a="1"/>
  <c r="G136" i="7" s="1"/>
  <c r="F301" i="7"/>
  <c r="H136" i="7" a="1"/>
  <c r="H136" i="7" s="1"/>
  <c r="G301" i="7"/>
  <c r="T136" i="7"/>
  <c r="V136" i="7"/>
  <c r="V301" i="7"/>
  <c r="T301" i="7"/>
  <c r="U301" i="7"/>
  <c r="U136" i="7"/>
  <c r="M67" i="51" l="1"/>
  <c r="BN67" i="51" s="1"/>
  <c r="P14" i="42"/>
  <c r="G221" i="4"/>
  <c r="BY67" i="51" s="1"/>
  <c r="X115" i="1"/>
  <c r="M69" i="51" l="1"/>
  <c r="BN69" i="51" s="1"/>
  <c r="I5" i="50"/>
  <c r="G223" i="4"/>
  <c r="BY69" i="51" s="1"/>
  <c r="DQ67" i="51"/>
  <c r="CH67" i="51"/>
  <c r="CI67" i="51" s="1"/>
  <c r="P196" i="42" a="1"/>
  <c r="P196" i="42" s="1"/>
  <c r="AP14" i="42"/>
  <c r="AP196" i="42" s="1" a="1"/>
  <c r="AP196" i="42" s="1"/>
  <c r="V185" i="1"/>
  <c r="V186" i="1" l="1"/>
  <c r="V274" i="1"/>
  <c r="V277" i="1" s="1"/>
  <c r="V220" i="1"/>
  <c r="O32" i="49"/>
  <c r="P25" i="42"/>
  <c r="I7" i="50"/>
  <c r="O84" i="49"/>
  <c r="P49" i="42"/>
  <c r="M17" i="51"/>
  <c r="BN17" i="51" s="1"/>
  <c r="G8" i="4"/>
  <c r="DQ69" i="51"/>
  <c r="CH69" i="51"/>
  <c r="CI69" i="51" s="1"/>
  <c r="P23" i="42"/>
  <c r="O30" i="49"/>
  <c r="G226" i="4"/>
  <c r="BY72" i="51" s="1"/>
  <c r="AP197" i="42"/>
  <c r="AQ197" i="42"/>
  <c r="AP198" i="42"/>
  <c r="R197" i="42"/>
  <c r="P198" i="42"/>
  <c r="P197" i="42"/>
  <c r="G130" i="4"/>
  <c r="I183" i="7" s="1"/>
  <c r="W183" i="7"/>
  <c r="V587" i="1" l="1"/>
  <c r="V615" i="1" s="1"/>
  <c r="V507" i="1"/>
  <c r="V329" i="1"/>
  <c r="I196" i="7"/>
  <c r="AP23" i="42"/>
  <c r="AP224" i="42" s="1" a="1"/>
  <c r="AP224" i="42" s="1"/>
  <c r="P224" i="42" a="1"/>
  <c r="P224" i="42" s="1"/>
  <c r="O34" i="49"/>
  <c r="P27" i="42"/>
  <c r="X212" i="1"/>
  <c r="AK84" i="49"/>
  <c r="AK94" i="49" s="1"/>
  <c r="O94" i="49"/>
  <c r="I339" i="7"/>
  <c r="BY17" i="51"/>
  <c r="DQ17" i="51" s="1"/>
  <c r="N7" i="50"/>
  <c r="Z13" i="48"/>
  <c r="P316" i="42" a="1"/>
  <c r="P316" i="42" s="1"/>
  <c r="AP49" i="42"/>
  <c r="AP316" i="42" s="1" a="1"/>
  <c r="AP316" i="42" s="1"/>
  <c r="P51" i="42"/>
  <c r="M19" i="51"/>
  <c r="BN19" i="51" s="1"/>
  <c r="M6" i="51"/>
  <c r="BN6" i="51" s="1"/>
  <c r="I9" i="50"/>
  <c r="O86" i="49"/>
  <c r="G11" i="4"/>
  <c r="G16" i="4"/>
  <c r="G13" i="4"/>
  <c r="I12" i="50"/>
  <c r="M21" i="51"/>
  <c r="G18" i="4"/>
  <c r="AP25" i="42"/>
  <c r="AP232" i="42" s="1" a="1"/>
  <c r="AP232" i="42" s="1"/>
  <c r="P232" i="42" a="1"/>
  <c r="P232" i="42" s="1"/>
  <c r="O48" i="49"/>
  <c r="AK30" i="49"/>
  <c r="AK48" i="49" s="1"/>
  <c r="O31" i="49"/>
  <c r="P24" i="42"/>
  <c r="P59" i="42"/>
  <c r="O115" i="49"/>
  <c r="G60" i="4"/>
  <c r="DQ72" i="51"/>
  <c r="CH72" i="51"/>
  <c r="CI72" i="51" s="1"/>
  <c r="O50" i="49"/>
  <c r="AK32" i="49"/>
  <c r="AK50" i="49" s="1"/>
  <c r="W196" i="7"/>
  <c r="W339" i="7"/>
  <c r="Z16" i="48" l="1"/>
  <c r="V513" i="1"/>
  <c r="V515" i="1" s="1"/>
  <c r="W515" i="1" s="1"/>
  <c r="V509" i="1"/>
  <c r="AP318" i="42"/>
  <c r="AP317" i="42"/>
  <c r="AQ317" i="42"/>
  <c r="BN21" i="51"/>
  <c r="M42" i="51"/>
  <c r="BN42" i="51" s="1"/>
  <c r="P317" i="42"/>
  <c r="P318" i="42"/>
  <c r="R317" i="42"/>
  <c r="P228" i="42" a="1"/>
  <c r="P228" i="42" s="1"/>
  <c r="AP24" i="42"/>
  <c r="AP228" i="42" s="1" a="1"/>
  <c r="AP228" i="42" s="1"/>
  <c r="CH17" i="51"/>
  <c r="CI17" i="51" s="1"/>
  <c r="O49" i="49"/>
  <c r="AK31" i="49"/>
  <c r="AK49" i="49" s="1"/>
  <c r="P234" i="42"/>
  <c r="P233" i="42"/>
  <c r="R233" i="42"/>
  <c r="N9" i="50"/>
  <c r="BY19" i="51"/>
  <c r="DQ19" i="51" s="1"/>
  <c r="G39" i="4"/>
  <c r="G42" i="4" s="1"/>
  <c r="AP233" i="42"/>
  <c r="AP234" i="42"/>
  <c r="AQ233" i="42"/>
  <c r="O96" i="49"/>
  <c r="AK86" i="49"/>
  <c r="AK96" i="49" s="1"/>
  <c r="AP27" i="42"/>
  <c r="AP240" i="42" s="1" a="1"/>
  <c r="AP240" i="42" s="1"/>
  <c r="P240" i="42" a="1"/>
  <c r="P240" i="42" s="1"/>
  <c r="G148" i="4"/>
  <c r="I203" i="7" s="1"/>
  <c r="O52" i="49"/>
  <c r="AK34" i="49"/>
  <c r="AK52" i="49" s="1"/>
  <c r="G63" i="4"/>
  <c r="I140" i="7"/>
  <c r="O145" i="49"/>
  <c r="AK115" i="49"/>
  <c r="AK145" i="49" s="1"/>
  <c r="P226" i="42"/>
  <c r="P225" i="42"/>
  <c r="R225" i="42"/>
  <c r="AP225" i="42"/>
  <c r="AP226" i="42"/>
  <c r="AQ225" i="42"/>
  <c r="I14" i="50"/>
  <c r="M23" i="51"/>
  <c r="G21" i="4"/>
  <c r="P61" i="42"/>
  <c r="I22" i="50"/>
  <c r="O100" i="49"/>
  <c r="P54" i="42"/>
  <c r="M29" i="51"/>
  <c r="G30" i="4"/>
  <c r="P348" i="42" a="1"/>
  <c r="P348" i="42" s="1"/>
  <c r="AP59" i="42"/>
  <c r="AP348" i="42" s="1" a="1"/>
  <c r="AP348" i="42" s="1"/>
  <c r="BY21" i="51"/>
  <c r="DQ21" i="51" s="1"/>
  <c r="N12" i="50"/>
  <c r="Z18" i="48"/>
  <c r="P324" i="42" a="1"/>
  <c r="P324" i="42" s="1"/>
  <c r="AP51" i="42"/>
  <c r="AP324" i="42" s="1" a="1"/>
  <c r="AP324" i="42" s="1"/>
  <c r="W140" i="7"/>
  <c r="W203" i="7"/>
  <c r="V307" i="1" l="1"/>
  <c r="Q11" i="48"/>
  <c r="AN11" i="48" s="1"/>
  <c r="Z21" i="48"/>
  <c r="V517" i="1"/>
  <c r="W517" i="1"/>
  <c r="X515" i="1"/>
  <c r="W514" i="1"/>
  <c r="I217" i="7"/>
  <c r="G64" i="4"/>
  <c r="I143" i="7" s="1"/>
  <c r="P60" i="42"/>
  <c r="P241" i="42"/>
  <c r="P242" i="42"/>
  <c r="R241" i="42"/>
  <c r="BN23" i="51"/>
  <c r="M44" i="51"/>
  <c r="BN44" i="51" s="1"/>
  <c r="BY6" i="51"/>
  <c r="DQ6" i="51" s="1"/>
  <c r="G279" i="4"/>
  <c r="G3" i="40"/>
  <c r="G5" i="40" s="1"/>
  <c r="P229" i="42"/>
  <c r="P230" i="42"/>
  <c r="R229" i="42"/>
  <c r="AP242" i="42"/>
  <c r="AP241" i="42"/>
  <c r="AQ241" i="42"/>
  <c r="W301" i="1"/>
  <c r="P356" i="42" a="1"/>
  <c r="P356" i="42" s="1"/>
  <c r="AP61" i="42"/>
  <c r="AP356" i="42" s="1" a="1"/>
  <c r="AP356" i="42" s="1"/>
  <c r="P349" i="42"/>
  <c r="P457" i="42" s="1"/>
  <c r="P456" i="42"/>
  <c r="P350" i="42"/>
  <c r="P458" i="42" s="1"/>
  <c r="R349" i="42"/>
  <c r="R457" i="42" s="1"/>
  <c r="P81" i="42"/>
  <c r="G196" i="4"/>
  <c r="Z11" i="48" s="1"/>
  <c r="P332" i="42" a="1"/>
  <c r="P332" i="42" s="1"/>
  <c r="AP54" i="42"/>
  <c r="AP332" i="42" s="1" a="1"/>
  <c r="AP332" i="42" s="1"/>
  <c r="P326" i="42"/>
  <c r="P325" i="42"/>
  <c r="R325" i="42"/>
  <c r="BN29" i="51"/>
  <c r="M46" i="51"/>
  <c r="BN46" i="51" s="1"/>
  <c r="O110" i="49"/>
  <c r="AK100" i="49"/>
  <c r="AK110" i="49" s="1"/>
  <c r="AP230" i="42"/>
  <c r="AP229" i="42"/>
  <c r="AQ229" i="42"/>
  <c r="AP456" i="42"/>
  <c r="AP350" i="42"/>
  <c r="AP458" i="42" s="1"/>
  <c r="AP349" i="42"/>
  <c r="AP457" i="42" s="1"/>
  <c r="AQ349" i="42"/>
  <c r="AQ457" i="42" s="1"/>
  <c r="CH19" i="51"/>
  <c r="CI19" i="51" s="1"/>
  <c r="N14" i="50"/>
  <c r="BY23" i="51"/>
  <c r="DQ23" i="51" s="1"/>
  <c r="O102" i="49"/>
  <c r="P56" i="42"/>
  <c r="M7" i="51"/>
  <c r="BN7" i="51" s="1"/>
  <c r="I24" i="50"/>
  <c r="M31" i="51"/>
  <c r="G33" i="4"/>
  <c r="T570" i="1"/>
  <c r="T571" i="1" s="1"/>
  <c r="U570" i="1"/>
  <c r="U571" i="1" s="1"/>
  <c r="W572" i="1"/>
  <c r="AP326" i="42"/>
  <c r="AP325" i="42"/>
  <c r="AQ325" i="42"/>
  <c r="CH21" i="51"/>
  <c r="BY42" i="51"/>
  <c r="Z28" i="48"/>
  <c r="N22" i="50"/>
  <c r="BY29" i="51"/>
  <c r="DQ29" i="51" s="1"/>
  <c r="I350" i="7"/>
  <c r="I142" i="7"/>
  <c r="G95" i="4"/>
  <c r="I244" i="7" s="1"/>
  <c r="W244" i="7"/>
  <c r="W142" i="7"/>
  <c r="W217" i="7"/>
  <c r="W143" i="7"/>
  <c r="W350" i="7"/>
  <c r="Z31" i="48" l="1"/>
  <c r="W685" i="1"/>
  <c r="W520" i="1"/>
  <c r="W521" i="1" s="1"/>
  <c r="W631" i="1" s="1"/>
  <c r="Y515" i="1"/>
  <c r="X517" i="1"/>
  <c r="X514" i="1"/>
  <c r="AP81" i="42"/>
  <c r="AP432" i="42" s="1" a="1"/>
  <c r="AP432" i="42" s="1"/>
  <c r="P432" i="42" a="1"/>
  <c r="P432" i="42" s="1"/>
  <c r="CH29" i="51"/>
  <c r="BY46" i="51"/>
  <c r="I41" i="50"/>
  <c r="P78" i="42"/>
  <c r="G104" i="4"/>
  <c r="I262" i="7"/>
  <c r="I332" i="7"/>
  <c r="I122" i="7"/>
  <c r="CH6" i="51"/>
  <c r="CI6" i="51" s="1"/>
  <c r="AQ357" i="42"/>
  <c r="AP357" i="42"/>
  <c r="AP358" i="42"/>
  <c r="P357" i="42"/>
  <c r="P358" i="42"/>
  <c r="R357" i="42"/>
  <c r="G88" i="4"/>
  <c r="I242" i="7" s="1"/>
  <c r="O116" i="49"/>
  <c r="P63" i="42"/>
  <c r="G67" i="4"/>
  <c r="M48" i="51"/>
  <c r="BN48" i="51" s="1"/>
  <c r="BN31" i="51"/>
  <c r="CH42" i="51"/>
  <c r="CI42" i="51" s="1"/>
  <c r="CI21" i="51"/>
  <c r="P340" i="42" a="1"/>
  <c r="P340" i="42" s="1"/>
  <c r="AP56" i="42"/>
  <c r="AP340" i="42" s="1" a="1"/>
  <c r="AP340" i="42" s="1"/>
  <c r="CH23" i="51"/>
  <c r="BY44" i="51"/>
  <c r="G139" i="4"/>
  <c r="I149" i="7"/>
  <c r="N24" i="50"/>
  <c r="BY31" i="51"/>
  <c r="DQ31" i="51" s="1"/>
  <c r="G35" i="4"/>
  <c r="G46" i="4"/>
  <c r="G43" i="4" s="1"/>
  <c r="O112" i="49"/>
  <c r="AK102" i="49"/>
  <c r="AK112" i="49" s="1"/>
  <c r="W432" i="1"/>
  <c r="W427" i="1" s="1"/>
  <c r="P352" i="42" a="1"/>
  <c r="P352" i="42" s="1"/>
  <c r="AP60" i="42"/>
  <c r="AP352" i="42" s="1" a="1"/>
  <c r="AP352" i="42" s="1"/>
  <c r="AP333" i="42"/>
  <c r="AP334" i="42"/>
  <c r="AQ333" i="42"/>
  <c r="N35" i="51"/>
  <c r="BO35" i="51" s="1"/>
  <c r="W302" i="1"/>
  <c r="W433" i="1"/>
  <c r="W307" i="1"/>
  <c r="W311" i="1"/>
  <c r="M8" i="51"/>
  <c r="BN8" i="51" s="1"/>
  <c r="I34" i="50"/>
  <c r="G49" i="4"/>
  <c r="P334" i="42"/>
  <c r="P333" i="42"/>
  <c r="R333" i="42"/>
  <c r="I334" i="7"/>
  <c r="W122" i="7"/>
  <c r="W262" i="7"/>
  <c r="W332" i="7"/>
  <c r="W242" i="7"/>
  <c r="W149" i="7"/>
  <c r="W334" i="7"/>
  <c r="X685" i="1" l="1"/>
  <c r="H148" i="4" s="1"/>
  <c r="J203" i="7" s="1"/>
  <c r="X520" i="1"/>
  <c r="X521" i="1" s="1"/>
  <c r="X631" i="1" s="1"/>
  <c r="Y517" i="1"/>
  <c r="Z515" i="1"/>
  <c r="H95" i="4"/>
  <c r="J244" i="7" s="1"/>
  <c r="CH44" i="51"/>
  <c r="CI44" i="51" s="1"/>
  <c r="CI23" i="51"/>
  <c r="N41" i="50"/>
  <c r="G288" i="4"/>
  <c r="G124" i="4"/>
  <c r="I263" i="7"/>
  <c r="AQ353" i="42"/>
  <c r="AP353" i="42"/>
  <c r="AP354" i="42"/>
  <c r="P420" i="42" a="1"/>
  <c r="P420" i="42" s="1"/>
  <c r="AP78" i="42"/>
  <c r="AP420" i="42" s="1" a="1"/>
  <c r="AP420" i="42" s="1"/>
  <c r="P354" i="42"/>
  <c r="P353" i="42"/>
  <c r="R353" i="42"/>
  <c r="G53" i="4"/>
  <c r="G6" i="40"/>
  <c r="G8" i="40" s="1"/>
  <c r="G280" i="4"/>
  <c r="BY7" i="51"/>
  <c r="DQ7" i="51" s="1"/>
  <c r="O146" i="49"/>
  <c r="AK116" i="49"/>
  <c r="AK146" i="49" s="1"/>
  <c r="AP63" i="42"/>
  <c r="AP364" i="42" s="1" a="1"/>
  <c r="AP364" i="42" s="1"/>
  <c r="P364" i="42" a="1"/>
  <c r="P364" i="42" s="1"/>
  <c r="I246" i="7"/>
  <c r="N34" i="50"/>
  <c r="BY39" i="51"/>
  <c r="N8" i="51"/>
  <c r="BO8" i="51" s="1"/>
  <c r="W596" i="1"/>
  <c r="W312" i="1"/>
  <c r="CH31" i="51"/>
  <c r="BY48" i="51"/>
  <c r="I314" i="7"/>
  <c r="I123" i="7"/>
  <c r="CH46" i="51"/>
  <c r="CI46" i="51" s="1"/>
  <c r="CI29" i="51"/>
  <c r="AP342" i="42"/>
  <c r="AP341" i="42"/>
  <c r="AQ341" i="42"/>
  <c r="I134" i="7" a="1"/>
  <c r="I134" i="7" s="1"/>
  <c r="I190" i="7"/>
  <c r="G144" i="4"/>
  <c r="P434" i="42"/>
  <c r="P433" i="42"/>
  <c r="R433" i="42"/>
  <c r="AP433" i="42"/>
  <c r="AP434" i="42"/>
  <c r="AQ433" i="42"/>
  <c r="P342" i="42"/>
  <c r="P341" i="42"/>
  <c r="R341" i="42"/>
  <c r="O118" i="49"/>
  <c r="P65" i="42"/>
  <c r="G71" i="4"/>
  <c r="X301" i="1"/>
  <c r="W675" i="1"/>
  <c r="W681" i="1" s="1"/>
  <c r="W134" i="7"/>
  <c r="W246" i="7"/>
  <c r="W190" i="7"/>
  <c r="W123" i="7"/>
  <c r="X244" i="7"/>
  <c r="X203" i="7"/>
  <c r="W314" i="7"/>
  <c r="X432" i="1" l="1"/>
  <c r="X427" i="1" s="1"/>
  <c r="J246" i="7"/>
  <c r="Z517" i="1"/>
  <c r="AA515" i="1"/>
  <c r="J217" i="7"/>
  <c r="M9" i="51"/>
  <c r="BN9" i="51" s="1"/>
  <c r="I38" i="50"/>
  <c r="G55" i="4"/>
  <c r="P372" i="42" a="1"/>
  <c r="P372" i="42" s="1"/>
  <c r="AP65" i="42"/>
  <c r="AP372" i="42" s="1" a="1"/>
  <c r="AP372" i="42" s="1"/>
  <c r="X675" i="1"/>
  <c r="Y301" i="1"/>
  <c r="O35" i="51"/>
  <c r="BP35" i="51" s="1"/>
  <c r="X311" i="1"/>
  <c r="X302" i="1"/>
  <c r="X307" i="1"/>
  <c r="X433" i="1"/>
  <c r="H47" i="4"/>
  <c r="J154" i="7" s="1"/>
  <c r="W593" i="1"/>
  <c r="Q65" i="42"/>
  <c r="P118" i="49"/>
  <c r="DQ39" i="51"/>
  <c r="CH39" i="51"/>
  <c r="CI39" i="51" s="1"/>
  <c r="I195" i="7"/>
  <c r="Z41" i="48"/>
  <c r="BY8" i="51"/>
  <c r="DQ8" i="51" s="1"/>
  <c r="O148" i="49"/>
  <c r="AK118" i="49"/>
  <c r="AK148" i="49" s="1"/>
  <c r="O117" i="49"/>
  <c r="P64" i="42"/>
  <c r="G68" i="4"/>
  <c r="AQ421" i="42"/>
  <c r="AP422" i="42"/>
  <c r="AP421" i="42"/>
  <c r="I331" i="7"/>
  <c r="P421" i="42"/>
  <c r="R421" i="42"/>
  <c r="P422" i="42"/>
  <c r="P460" i="42"/>
  <c r="P366" i="42"/>
  <c r="P462" i="42" s="1"/>
  <c r="P365" i="42"/>
  <c r="P461" i="42" s="1"/>
  <c r="R365" i="42"/>
  <c r="R461" i="42" s="1"/>
  <c r="I135" i="7" a="1"/>
  <c r="I135" i="7" s="1"/>
  <c r="CH7" i="51"/>
  <c r="CI7" i="51" s="1"/>
  <c r="CI31" i="51"/>
  <c r="CH48" i="51"/>
  <c r="CI48" i="51" s="1"/>
  <c r="V493" i="1"/>
  <c r="V494" i="1" s="1"/>
  <c r="I37" i="50"/>
  <c r="G54" i="4"/>
  <c r="AP365" i="42"/>
  <c r="AP461" i="42" s="1"/>
  <c r="AP460" i="42"/>
  <c r="AP366" i="42"/>
  <c r="AP462" i="42" s="1"/>
  <c r="AQ365" i="42"/>
  <c r="AQ461" i="42" s="1"/>
  <c r="P68" i="42"/>
  <c r="O121" i="49"/>
  <c r="G77" i="4"/>
  <c r="W195" i="7"/>
  <c r="X246" i="7"/>
  <c r="X217" i="7"/>
  <c r="W135" i="7"/>
  <c r="X154" i="7"/>
  <c r="W331" i="7"/>
  <c r="W150" i="7"/>
  <c r="N37" i="50" l="1"/>
  <c r="I163" i="7"/>
  <c r="J334" i="7"/>
  <c r="AA517" i="1"/>
  <c r="AB515" i="1"/>
  <c r="J331" i="7"/>
  <c r="CH8" i="51"/>
  <c r="CI8" i="51" s="1"/>
  <c r="AP373" i="42"/>
  <c r="AP465" i="42" s="1"/>
  <c r="AP374" i="42"/>
  <c r="AP466" i="42" s="1"/>
  <c r="AP464" i="42"/>
  <c r="BZ35" i="51"/>
  <c r="DR35" i="51" s="1"/>
  <c r="H195" i="4"/>
  <c r="P374" i="42"/>
  <c r="P466" i="42" s="1"/>
  <c r="P464" i="42"/>
  <c r="P373" i="42"/>
  <c r="P465" i="42" s="1"/>
  <c r="O8" i="51"/>
  <c r="BP8" i="51" s="1"/>
  <c r="X596" i="1"/>
  <c r="X312" i="1"/>
  <c r="H49" i="4"/>
  <c r="O123" i="49"/>
  <c r="P70" i="42"/>
  <c r="G188" i="4"/>
  <c r="P384" i="42" a="1"/>
  <c r="P384" i="42" s="1"/>
  <c r="AP68" i="42"/>
  <c r="AP384" i="42" s="1" a="1"/>
  <c r="AP384" i="42" s="1"/>
  <c r="X681" i="1"/>
  <c r="H139" i="4"/>
  <c r="N38" i="50"/>
  <c r="G56" i="4"/>
  <c r="O147" i="49"/>
  <c r="AK117" i="49"/>
  <c r="AK147" i="49" s="1"/>
  <c r="O151" i="49"/>
  <c r="AK121" i="49"/>
  <c r="AK151" i="49" s="1"/>
  <c r="Q372" i="42" a="1"/>
  <c r="Q372" i="42" s="1"/>
  <c r="AP64" i="42"/>
  <c r="AP368" i="42" s="1" a="1"/>
  <c r="AP368" i="42" s="1"/>
  <c r="P368" i="42" a="1"/>
  <c r="P368" i="42" s="1"/>
  <c r="Y433" i="1"/>
  <c r="P148" i="49"/>
  <c r="P69" i="42"/>
  <c r="O122" i="49"/>
  <c r="G78" i="4"/>
  <c r="P117" i="49"/>
  <c r="Q64" i="42"/>
  <c r="X331" i="7"/>
  <c r="X334" i="7"/>
  <c r="W163" i="7"/>
  <c r="AC515" i="1" l="1"/>
  <c r="AB517" i="1"/>
  <c r="P388" i="42" a="1"/>
  <c r="P388" i="42" s="1"/>
  <c r="AP69" i="42"/>
  <c r="AP388" i="42" s="1" a="1"/>
  <c r="AP388" i="42" s="1"/>
  <c r="AP386" i="42"/>
  <c r="AP385" i="42"/>
  <c r="Z45" i="48"/>
  <c r="G79" i="4"/>
  <c r="O152" i="49"/>
  <c r="AK122" i="49"/>
  <c r="AK152" i="49" s="1"/>
  <c r="P385" i="42"/>
  <c r="P386" i="42"/>
  <c r="J190" i="7"/>
  <c r="H144" i="4"/>
  <c r="G81" i="4"/>
  <c r="G91" i="4"/>
  <c r="I248" i="7" s="1"/>
  <c r="X593" i="1"/>
  <c r="Q118" i="49"/>
  <c r="R65" i="42"/>
  <c r="H71" i="4"/>
  <c r="G187" i="4"/>
  <c r="AP370" i="42"/>
  <c r="AP369" i="42"/>
  <c r="O34" i="50"/>
  <c r="BZ39" i="51"/>
  <c r="DR39" i="51" s="1"/>
  <c r="P370" i="42"/>
  <c r="P369" i="42"/>
  <c r="AP70" i="42"/>
  <c r="AP392" i="42" s="1" a="1"/>
  <c r="AP392" i="42" s="1"/>
  <c r="P392" i="42" a="1"/>
  <c r="P392" i="42" s="1"/>
  <c r="P147" i="49"/>
  <c r="Q368" i="42" a="1"/>
  <c r="Q368" i="42" s="1"/>
  <c r="Q373" i="42"/>
  <c r="Q465" i="42" s="1"/>
  <c r="Q374" i="42"/>
  <c r="Q466" i="42" s="1"/>
  <c r="Q464" i="42"/>
  <c r="AK123" i="49"/>
  <c r="AK153" i="49" s="1"/>
  <c r="O153" i="49"/>
  <c r="I333" i="7"/>
  <c r="I335" i="7"/>
  <c r="I156" i="7"/>
  <c r="W333" i="7"/>
  <c r="W335" i="7"/>
  <c r="W248" i="7"/>
  <c r="W156" i="7"/>
  <c r="X190" i="7"/>
  <c r="Z46" i="48" l="1"/>
  <c r="AC517" i="1"/>
  <c r="AD515" i="1"/>
  <c r="O124" i="49"/>
  <c r="P71" i="42"/>
  <c r="BY9" i="51"/>
  <c r="DQ9" i="51" s="1"/>
  <c r="G83" i="4"/>
  <c r="G281" i="4"/>
  <c r="G9" i="40"/>
  <c r="G11" i="40" s="1"/>
  <c r="G85" i="4"/>
  <c r="J195" i="7"/>
  <c r="G108" i="4"/>
  <c r="I269" i="7" s="1"/>
  <c r="BZ8" i="51"/>
  <c r="DR8" i="51" s="1"/>
  <c r="P71" i="4"/>
  <c r="M11" i="51"/>
  <c r="BN11" i="51" s="1"/>
  <c r="O127" i="49"/>
  <c r="P74" i="42"/>
  <c r="G186" i="4"/>
  <c r="R372" i="42" a="1"/>
  <c r="R372" i="42" s="1"/>
  <c r="AQ65" i="42"/>
  <c r="AQ372" i="42" s="1" a="1"/>
  <c r="AQ372" i="42" s="1"/>
  <c r="P468" i="42"/>
  <c r="P394" i="42"/>
  <c r="P470" i="42" s="1"/>
  <c r="P393" i="42"/>
  <c r="P469" i="42" s="1"/>
  <c r="I377" i="7"/>
  <c r="I328" i="7"/>
  <c r="I162" i="7"/>
  <c r="I315" i="7"/>
  <c r="Q148" i="49"/>
  <c r="AL118" i="49"/>
  <c r="AL148" i="49" s="1"/>
  <c r="AP393" i="42"/>
  <c r="AP469" i="42" s="1"/>
  <c r="AP468" i="42"/>
  <c r="AP394" i="42"/>
  <c r="AP470" i="42" s="1"/>
  <c r="Q117" i="49"/>
  <c r="R64" i="42"/>
  <c r="H68" i="4"/>
  <c r="Q370" i="42"/>
  <c r="Q369" i="42"/>
  <c r="I249" i="7"/>
  <c r="M10" i="51"/>
  <c r="BN10" i="51" s="1"/>
  <c r="O126" i="49"/>
  <c r="P73" i="42"/>
  <c r="G183" i="4"/>
  <c r="G202" i="4"/>
  <c r="G94" i="4"/>
  <c r="AP389" i="42"/>
  <c r="AP390" i="42"/>
  <c r="P390" i="42"/>
  <c r="P389" i="42"/>
  <c r="W249" i="7"/>
  <c r="W328" i="7"/>
  <c r="X195" i="7"/>
  <c r="W162" i="7"/>
  <c r="W377" i="7"/>
  <c r="X150" i="7"/>
  <c r="W269" i="7"/>
  <c r="W315" i="7"/>
  <c r="Z48" i="48" l="1"/>
  <c r="G189" i="4"/>
  <c r="Z10" i="48" s="1"/>
  <c r="AE515" i="1"/>
  <c r="AD517" i="1"/>
  <c r="AP73" i="42"/>
  <c r="AP404" i="42" s="1" a="1"/>
  <c r="AP404" i="42" s="1"/>
  <c r="P404" i="42" a="1"/>
  <c r="P404" i="42" s="1"/>
  <c r="O156" i="49"/>
  <c r="AK126" i="49"/>
  <c r="AK156" i="49" s="1"/>
  <c r="CH9" i="51"/>
  <c r="CI9" i="51" s="1"/>
  <c r="V736" i="1"/>
  <c r="V737" i="1" s="1"/>
  <c r="I40" i="50"/>
  <c r="P77" i="42"/>
  <c r="G96" i="4"/>
  <c r="G282" i="4"/>
  <c r="BY10" i="51"/>
  <c r="DQ10" i="51" s="1"/>
  <c r="Z8" i="48"/>
  <c r="I165" i="7"/>
  <c r="O125" i="49"/>
  <c r="P72" i="42"/>
  <c r="G184" i="4"/>
  <c r="I297" i="7" s="1"/>
  <c r="AQ464" i="42"/>
  <c r="AQ374" i="42"/>
  <c r="AQ466" i="42" s="1"/>
  <c r="AQ373" i="42"/>
  <c r="AQ465" i="42" s="1"/>
  <c r="AP71" i="42"/>
  <c r="AP396" i="42" s="1" a="1"/>
  <c r="AP396" i="42" s="1"/>
  <c r="P396" i="42" a="1"/>
  <c r="P396" i="42" s="1"/>
  <c r="R373" i="42"/>
  <c r="R465" i="42" s="1"/>
  <c r="R374" i="42"/>
  <c r="R466" i="42" s="1"/>
  <c r="R464" i="42"/>
  <c r="P79" i="42"/>
  <c r="G115" i="4"/>
  <c r="O154" i="49"/>
  <c r="AK124" i="49"/>
  <c r="AK154" i="49" s="1"/>
  <c r="I278" i="7"/>
  <c r="BY11" i="51"/>
  <c r="DQ11" i="51" s="1"/>
  <c r="I302" i="7"/>
  <c r="Z9" i="48"/>
  <c r="G163" i="4"/>
  <c r="AP74" i="42"/>
  <c r="AP408" i="42" s="1" a="1"/>
  <c r="AP408" i="42" s="1"/>
  <c r="P408" i="42" a="1"/>
  <c r="P408" i="42" s="1"/>
  <c r="I272" i="7"/>
  <c r="I306" i="7"/>
  <c r="R368" i="42" a="1"/>
  <c r="R368" i="42" s="1"/>
  <c r="AQ64" i="42"/>
  <c r="AQ368" i="42" s="1" a="1"/>
  <c r="AQ368" i="42" s="1"/>
  <c r="Q147" i="49"/>
  <c r="AL117" i="49"/>
  <c r="AL147" i="49" s="1"/>
  <c r="AK127" i="49"/>
  <c r="AK157" i="49" s="1"/>
  <c r="O157" i="49"/>
  <c r="G292" i="4"/>
  <c r="G203" i="4"/>
  <c r="W297" i="7"/>
  <c r="W306" i="7"/>
  <c r="W272" i="7"/>
  <c r="W165" i="7"/>
  <c r="W278" i="7"/>
  <c r="W302" i="7"/>
  <c r="AE517" i="1" l="1"/>
  <c r="AF515" i="1"/>
  <c r="P410" i="42"/>
  <c r="P409" i="42"/>
  <c r="P398" i="42"/>
  <c r="P397" i="42"/>
  <c r="N40" i="50"/>
  <c r="G287" i="4"/>
  <c r="G123" i="4"/>
  <c r="I250" i="7"/>
  <c r="I224" i="7"/>
  <c r="G166" i="4"/>
  <c r="Z52" i="48" s="1"/>
  <c r="AP410" i="42"/>
  <c r="AP409" i="42"/>
  <c r="I125" i="7"/>
  <c r="I303" i="7"/>
  <c r="AP77" i="42"/>
  <c r="AP416" i="42" s="1" a="1"/>
  <c r="AP416" i="42" s="1"/>
  <c r="P416" i="42" a="1"/>
  <c r="P416" i="42" s="1"/>
  <c r="CH11" i="51"/>
  <c r="CI11" i="51" s="1"/>
  <c r="AQ370" i="42"/>
  <c r="AQ369" i="42"/>
  <c r="I276" i="7"/>
  <c r="AP72" i="42"/>
  <c r="AP400" i="42" s="1" a="1"/>
  <c r="AP400" i="42" s="1"/>
  <c r="P400" i="42" a="1"/>
  <c r="P400" i="42" s="1"/>
  <c r="R370" i="42"/>
  <c r="R369" i="42"/>
  <c r="I307" i="7"/>
  <c r="O155" i="49"/>
  <c r="AK125" i="49"/>
  <c r="AK155" i="49" s="1"/>
  <c r="J333" i="7"/>
  <c r="J335" i="7"/>
  <c r="J156" i="7"/>
  <c r="I167" i="7"/>
  <c r="G289" i="4"/>
  <c r="G125" i="4"/>
  <c r="I273" i="7"/>
  <c r="I282" i="7"/>
  <c r="AP398" i="42"/>
  <c r="AP397" i="42"/>
  <c r="AP79" i="42"/>
  <c r="AP424" i="42" s="1" a="1"/>
  <c r="AP424" i="42" s="1"/>
  <c r="P424" i="42" a="1"/>
  <c r="P424" i="42" s="1"/>
  <c r="CH10" i="51"/>
  <c r="CI10" i="51" s="1"/>
  <c r="P406" i="42"/>
  <c r="P405" i="42"/>
  <c r="V564" i="1"/>
  <c r="V567" i="1" s="1"/>
  <c r="AN51" i="48" s="1"/>
  <c r="P80" i="42"/>
  <c r="G117" i="4"/>
  <c r="G119" i="4" s="1"/>
  <c r="AP405" i="42"/>
  <c r="AP406" i="42"/>
  <c r="W303" i="7"/>
  <c r="X333" i="7"/>
  <c r="W167" i="7"/>
  <c r="X335" i="7"/>
  <c r="X156" i="7"/>
  <c r="W276" i="7"/>
  <c r="W307" i="7"/>
  <c r="W224" i="7"/>
  <c r="W125" i="7"/>
  <c r="AG515" i="1" l="1"/>
  <c r="AF517" i="1"/>
  <c r="V576" i="1"/>
  <c r="V571" i="1"/>
  <c r="V573" i="1"/>
  <c r="V464" i="1"/>
  <c r="V466" i="1" s="1"/>
  <c r="AP417" i="42"/>
  <c r="AP418" i="42"/>
  <c r="I137" i="7" a="1"/>
  <c r="I137" i="7" s="1"/>
  <c r="P418" i="42"/>
  <c r="P417" i="42"/>
  <c r="AP426" i="42"/>
  <c r="AP425" i="42"/>
  <c r="P428" i="42" a="1"/>
  <c r="P428" i="42" s="1"/>
  <c r="AP80" i="42"/>
  <c r="AP428" i="42" s="1" a="1"/>
  <c r="AP428" i="42" s="1"/>
  <c r="P82" i="42"/>
  <c r="G121" i="4"/>
  <c r="W654" i="1"/>
  <c r="I169" i="7"/>
  <c r="P402" i="42"/>
  <c r="P401" i="42"/>
  <c r="P426" i="42"/>
  <c r="P425" i="42"/>
  <c r="J315" i="7"/>
  <c r="J328" i="7"/>
  <c r="J377" i="7"/>
  <c r="AP401" i="42"/>
  <c r="AP402" i="42"/>
  <c r="I226" i="7"/>
  <c r="W137" i="7"/>
  <c r="W226" i="7"/>
  <c r="X377" i="7"/>
  <c r="X328" i="7"/>
  <c r="X315" i="7"/>
  <c r="W169" i="7"/>
  <c r="AH515" i="1" l="1"/>
  <c r="AG517" i="1"/>
  <c r="V580" i="1"/>
  <c r="W576" i="1"/>
  <c r="X576" i="1" s="1"/>
  <c r="Y576" i="1" s="1"/>
  <c r="Z576" i="1" s="1"/>
  <c r="AA576" i="1" s="1"/>
  <c r="AB576" i="1" s="1"/>
  <c r="AC576" i="1" s="1"/>
  <c r="AD576" i="1" s="1"/>
  <c r="AE576" i="1" s="1"/>
  <c r="AF576" i="1" s="1"/>
  <c r="AG576" i="1" s="1"/>
  <c r="AH576" i="1" s="1"/>
  <c r="AI576" i="1" s="1"/>
  <c r="AJ576" i="1" s="1"/>
  <c r="AK576" i="1" s="1"/>
  <c r="AL576" i="1" s="1"/>
  <c r="AM576" i="1" s="1"/>
  <c r="AN576" i="1" s="1"/>
  <c r="V463" i="1"/>
  <c r="W465" i="1" s="1"/>
  <c r="G129" i="4"/>
  <c r="AP82" i="42"/>
  <c r="AP436" i="42" s="1" a="1"/>
  <c r="AP436" i="42" s="1"/>
  <c r="P436" i="42" a="1"/>
  <c r="P436" i="42" s="1"/>
  <c r="C89" i="48"/>
  <c r="G290" i="4"/>
  <c r="H120" i="4"/>
  <c r="G126" i="4"/>
  <c r="I228" i="7"/>
  <c r="I296" i="7"/>
  <c r="I172" i="7"/>
  <c r="I316" i="7"/>
  <c r="AP429" i="42"/>
  <c r="AP430" i="42"/>
  <c r="G147" i="4"/>
  <c r="P430" i="42"/>
  <c r="P429" i="42"/>
  <c r="W316" i="7"/>
  <c r="W228" i="7"/>
  <c r="W296" i="7"/>
  <c r="W172" i="7"/>
  <c r="I322" i="7" l="1"/>
  <c r="AI515" i="1"/>
  <c r="AH517" i="1"/>
  <c r="W470" i="1"/>
  <c r="W625" i="1"/>
  <c r="P437" i="42"/>
  <c r="P438" i="42"/>
  <c r="AP438" i="42"/>
  <c r="AP437" i="42"/>
  <c r="G134" i="4"/>
  <c r="G145" i="4" s="1"/>
  <c r="I182" i="7"/>
  <c r="V135" i="1"/>
  <c r="P84" i="42"/>
  <c r="G175" i="4"/>
  <c r="I234" i="7"/>
  <c r="I308" i="7"/>
  <c r="I233" i="7"/>
  <c r="I237" i="7"/>
  <c r="G151" i="4"/>
  <c r="G159" i="4" s="1"/>
  <c r="I202" i="7"/>
  <c r="V8" i="1"/>
  <c r="V134" i="1"/>
  <c r="P83" i="42"/>
  <c r="I42" i="50"/>
  <c r="G174" i="4"/>
  <c r="I177" i="7"/>
  <c r="I176" i="7"/>
  <c r="W473" i="1"/>
  <c r="W597" i="1"/>
  <c r="W176" i="7"/>
  <c r="W234" i="7"/>
  <c r="W182" i="7"/>
  <c r="W202" i="7"/>
  <c r="W308" i="7"/>
  <c r="W233" i="7"/>
  <c r="W237" i="7"/>
  <c r="W322" i="7"/>
  <c r="G296" i="4" l="1"/>
  <c r="I327" i="7"/>
  <c r="AJ515" i="1"/>
  <c r="AI517" i="1"/>
  <c r="I309" i="7"/>
  <c r="I298" i="7"/>
  <c r="P444" i="42" a="1"/>
  <c r="P444" i="42" s="1"/>
  <c r="AP84" i="42"/>
  <c r="AP444" i="42" s="1" a="1"/>
  <c r="AP444" i="42" s="1"/>
  <c r="P440" i="42" a="1"/>
  <c r="P440" i="42" s="1"/>
  <c r="AP83" i="42"/>
  <c r="AP440" i="42" s="1" a="1"/>
  <c r="AP440" i="42" s="1"/>
  <c r="I281" i="7"/>
  <c r="I232" i="7"/>
  <c r="I187" i="7"/>
  <c r="Z51" i="48"/>
  <c r="N42" i="50"/>
  <c r="P120" i="49"/>
  <c r="Q67" i="42"/>
  <c r="W474" i="1"/>
  <c r="W318" i="1"/>
  <c r="I381" i="7"/>
  <c r="I208" i="7"/>
  <c r="G168" i="4"/>
  <c r="W309" i="7"/>
  <c r="W327" i="7"/>
  <c r="W381" i="7"/>
  <c r="W298" i="7"/>
  <c r="W232" i="7"/>
  <c r="W208" i="7"/>
  <c r="W281" i="7"/>
  <c r="W187" i="7"/>
  <c r="AJ517" i="1" l="1"/>
  <c r="AK515" i="1"/>
  <c r="I326" i="7"/>
  <c r="I325" i="7"/>
  <c r="I336" i="7"/>
  <c r="I197" i="7"/>
  <c r="P150" i="49"/>
  <c r="W320" i="1"/>
  <c r="W322" i="1" s="1"/>
  <c r="J280" i="7"/>
  <c r="AP446" i="42"/>
  <c r="AP445" i="42"/>
  <c r="I218" i="7"/>
  <c r="P445" i="42"/>
  <c r="P446" i="42"/>
  <c r="P441" i="42"/>
  <c r="P442" i="42"/>
  <c r="AP442" i="42"/>
  <c r="AP441" i="42"/>
  <c r="Q380" i="42" a="1"/>
  <c r="Q380" i="42" s="1"/>
  <c r="I124" i="7"/>
  <c r="I299" i="7"/>
  <c r="I300" i="7"/>
  <c r="W325" i="7"/>
  <c r="W336" i="7"/>
  <c r="W124" i="7"/>
  <c r="W299" i="7"/>
  <c r="X280" i="7"/>
  <c r="W326" i="7"/>
  <c r="W197" i="7"/>
  <c r="W300" i="7"/>
  <c r="W218" i="7"/>
  <c r="W325" i="1" l="1"/>
  <c r="W326" i="1" s="1"/>
  <c r="AK517" i="1"/>
  <c r="AL515" i="1"/>
  <c r="I136" i="7" a="1"/>
  <c r="I136" i="7" s="1"/>
  <c r="I236" i="7"/>
  <c r="I229" i="7"/>
  <c r="I231" i="7"/>
  <c r="I323" i="7"/>
  <c r="I198" i="7"/>
  <c r="I301" i="7"/>
  <c r="W328" i="1"/>
  <c r="W602" i="1"/>
  <c r="Q382" i="42"/>
  <c r="Q381" i="42"/>
  <c r="I219" i="7"/>
  <c r="W323" i="7"/>
  <c r="W236" i="7"/>
  <c r="W301" i="7"/>
  <c r="W136" i="7"/>
  <c r="W231" i="7"/>
  <c r="AL517" i="1" l="1"/>
  <c r="AM515" i="1"/>
  <c r="I319" i="7"/>
  <c r="N9" i="51"/>
  <c r="BO9" i="51" s="1"/>
  <c r="W605" i="1"/>
  <c r="W529" i="1" s="1"/>
  <c r="W395" i="1" s="1"/>
  <c r="W329" i="1"/>
  <c r="P121" i="49"/>
  <c r="Q68" i="42"/>
  <c r="W603" i="1"/>
  <c r="W319" i="7"/>
  <c r="AN515" i="1" l="1"/>
  <c r="AM517" i="1"/>
  <c r="P122" i="49"/>
  <c r="Q69" i="42"/>
  <c r="W493" i="1"/>
  <c r="W494" i="1" s="1"/>
  <c r="W627" i="1" s="1"/>
  <c r="Q384" i="42" a="1"/>
  <c r="Q384" i="42" s="1"/>
  <c r="I321" i="7"/>
  <c r="I320" i="7"/>
  <c r="P151" i="49"/>
  <c r="Q70" i="42"/>
  <c r="P123" i="49"/>
  <c r="W608" i="1"/>
  <c r="W321" i="7"/>
  <c r="W320" i="7"/>
  <c r="AN517" i="1" l="1"/>
  <c r="P152" i="49"/>
  <c r="W630" i="1"/>
  <c r="Q392" i="42" a="1"/>
  <c r="Q392" i="42" s="1"/>
  <c r="W544" i="1"/>
  <c r="W646" i="1"/>
  <c r="Q388" i="42" a="1"/>
  <c r="Q388" i="42" s="1"/>
  <c r="W611" i="1"/>
  <c r="W530" i="1" s="1"/>
  <c r="W621" i="1"/>
  <c r="W613" i="1"/>
  <c r="W614" i="1" s="1"/>
  <c r="P153" i="49"/>
  <c r="Q385" i="42"/>
  <c r="Q386" i="42"/>
  <c r="W533" i="1" l="1"/>
  <c r="W534" i="1" s="1"/>
  <c r="W531" i="1"/>
  <c r="P127" i="49"/>
  <c r="Q74" i="42"/>
  <c r="N11" i="51"/>
  <c r="BO11" i="51" s="1"/>
  <c r="Q390" i="42"/>
  <c r="Q389" i="42"/>
  <c r="W633" i="1"/>
  <c r="Q393" i="42"/>
  <c r="Q469" i="42" s="1"/>
  <c r="Q468" i="42"/>
  <c r="Q394" i="42"/>
  <c r="Q470" i="42" s="1"/>
  <c r="P126" i="49"/>
  <c r="Q73" i="42"/>
  <c r="N10" i="51"/>
  <c r="BO10" i="51" s="1"/>
  <c r="P124" i="49"/>
  <c r="Q71" i="42"/>
  <c r="W618" i="1"/>
  <c r="W615" i="1"/>
  <c r="W705" i="1"/>
  <c r="W709" i="1" s="1"/>
  <c r="W652" i="1"/>
  <c r="P125" i="49" l="1"/>
  <c r="Q72" i="42"/>
  <c r="Q396" i="42" a="1"/>
  <c r="Q396" i="42" s="1"/>
  <c r="Q408" i="42" a="1"/>
  <c r="Q408" i="42" s="1"/>
  <c r="Q404" i="42" a="1"/>
  <c r="Q404" i="42" s="1"/>
  <c r="P157" i="49"/>
  <c r="W655" i="1"/>
  <c r="Q79" i="42"/>
  <c r="P154" i="49"/>
  <c r="W736" i="1"/>
  <c r="W737" i="1" s="1"/>
  <c r="Q77" i="42"/>
  <c r="P156" i="49"/>
  <c r="Q406" i="42" l="1"/>
  <c r="Q405" i="42"/>
  <c r="P155" i="49"/>
  <c r="Q424" i="42" a="1"/>
  <c r="Q424" i="42" s="1"/>
  <c r="Q416" i="42" a="1"/>
  <c r="Q416" i="42" s="1"/>
  <c r="Q398" i="42"/>
  <c r="Q397" i="42"/>
  <c r="Q409" i="42"/>
  <c r="Q410" i="42"/>
  <c r="W658" i="1"/>
  <c r="Q80" i="42"/>
  <c r="Q400" i="42" a="1"/>
  <c r="Q400" i="42" s="1"/>
  <c r="Q428" i="42" l="1" a="1"/>
  <c r="Q428" i="42" s="1"/>
  <c r="Q82" i="42"/>
  <c r="Q436" i="42" s="1" a="1"/>
  <c r="Q436" i="42" s="1"/>
  <c r="X654" i="1"/>
  <c r="W564" i="1"/>
  <c r="W567" i="1" s="1"/>
  <c r="W684" i="1"/>
  <c r="W691" i="1" s="1"/>
  <c r="W702" i="1" s="1"/>
  <c r="W659" i="1"/>
  <c r="W662" i="1"/>
  <c r="W670" i="1" s="1"/>
  <c r="W682" i="1" s="1"/>
  <c r="W464" i="1"/>
  <c r="Q426" i="42"/>
  <c r="Q425" i="42"/>
  <c r="Q417" i="42"/>
  <c r="Q418" i="42"/>
  <c r="Q401" i="42"/>
  <c r="Q402" i="42"/>
  <c r="W463" i="1" l="1"/>
  <c r="X465" i="1" s="1"/>
  <c r="X470" i="1" s="1"/>
  <c r="W579" i="1"/>
  <c r="W573" i="1"/>
  <c r="W577" i="1"/>
  <c r="Q437" i="42"/>
  <c r="Q438" i="42"/>
  <c r="W710" i="1"/>
  <c r="W8" i="1" s="1"/>
  <c r="Q430" i="42"/>
  <c r="Q429" i="42"/>
  <c r="X625" i="1" l="1"/>
  <c r="W134" i="1"/>
  <c r="Q83" i="42"/>
  <c r="Q440" i="42" s="1" a="1"/>
  <c r="Q440" i="42" s="1"/>
  <c r="H89" i="4"/>
  <c r="J247" i="7" s="1"/>
  <c r="H193" i="4"/>
  <c r="W135" i="1"/>
  <c r="Q84" i="42"/>
  <c r="Q444" i="42" s="1" a="1"/>
  <c r="Q444" i="42" s="1"/>
  <c r="X597" i="1"/>
  <c r="X473" i="1"/>
  <c r="X247" i="7"/>
  <c r="Q441" i="42" l="1"/>
  <c r="Q442" i="42"/>
  <c r="Q445" i="42"/>
  <c r="Q446" i="42"/>
  <c r="X474" i="1"/>
  <c r="X318" i="1"/>
  <c r="Q120" i="49"/>
  <c r="R67" i="42"/>
  <c r="H72" i="4"/>
  <c r="R380" i="42" l="1" a="1"/>
  <c r="R380" i="42" s="1"/>
  <c r="AQ67" i="42"/>
  <c r="AQ380" i="42" s="1" a="1"/>
  <c r="AQ380" i="42" s="1"/>
  <c r="X320" i="1"/>
  <c r="H50" i="4"/>
  <c r="Q150" i="49"/>
  <c r="AL120" i="49"/>
  <c r="AL150" i="49" s="1"/>
  <c r="X157" i="7"/>
  <c r="O36" i="50" l="1"/>
  <c r="J159" i="7"/>
  <c r="R382" i="42"/>
  <c r="R381" i="42"/>
  <c r="AQ382" i="42"/>
  <c r="AQ381" i="42"/>
  <c r="H53" i="4"/>
  <c r="X322" i="1"/>
  <c r="X602" i="1"/>
  <c r="X159" i="7"/>
  <c r="X328" i="1" l="1"/>
  <c r="O9" i="51" s="1"/>
  <c r="BP9" i="51" s="1"/>
  <c r="X325" i="1"/>
  <c r="X326" i="1" s="1"/>
  <c r="H55" i="4"/>
  <c r="X329" i="1"/>
  <c r="J162" i="7"/>
  <c r="Q121" i="49"/>
  <c r="R68" i="42"/>
  <c r="H77" i="4"/>
  <c r="P77" i="4" s="1"/>
  <c r="X603" i="1"/>
  <c r="H54" i="4"/>
  <c r="X162" i="7"/>
  <c r="O37" i="50" l="1"/>
  <c r="J163" i="7"/>
  <c r="X605" i="1"/>
  <c r="X529" i="1" s="1"/>
  <c r="X395" i="1" s="1"/>
  <c r="Q151" i="49"/>
  <c r="AL121" i="49"/>
  <c r="AL151" i="49" s="1"/>
  <c r="O38" i="50"/>
  <c r="H56" i="4"/>
  <c r="R69" i="42"/>
  <c r="Q122" i="49"/>
  <c r="H78" i="4"/>
  <c r="X493" i="1"/>
  <c r="X494" i="1" s="1"/>
  <c r="X627" i="1" s="1"/>
  <c r="R384" i="42" a="1"/>
  <c r="R384" i="42" s="1"/>
  <c r="AQ68" i="42"/>
  <c r="AQ384" i="42" s="1" a="1"/>
  <c r="AQ384" i="42" s="1"/>
  <c r="Q123" i="49"/>
  <c r="R70" i="42"/>
  <c r="H188" i="4"/>
  <c r="X163" i="7"/>
  <c r="X608" i="1" l="1"/>
  <c r="Q153" i="49"/>
  <c r="AL123" i="49"/>
  <c r="AL153" i="49" s="1"/>
  <c r="AQ385" i="42"/>
  <c r="AQ386" i="42"/>
  <c r="X630" i="1"/>
  <c r="H91" i="4"/>
  <c r="J248" i="7" s="1"/>
  <c r="H79" i="4"/>
  <c r="Q152" i="49"/>
  <c r="AL122" i="49"/>
  <c r="AL152" i="49" s="1"/>
  <c r="R388" i="42" a="1"/>
  <c r="R388" i="42" s="1"/>
  <c r="AQ69" i="42"/>
  <c r="AQ388" i="42" s="1" a="1"/>
  <c r="AQ388" i="42" s="1"/>
  <c r="H187" i="4"/>
  <c r="X646" i="1"/>
  <c r="X544" i="1"/>
  <c r="R392" i="42" a="1"/>
  <c r="R392" i="42" s="1"/>
  <c r="AQ70" i="42"/>
  <c r="AQ392" i="42" s="1" a="1"/>
  <c r="AQ392" i="42" s="1"/>
  <c r="R385" i="42"/>
  <c r="R386" i="42"/>
  <c r="H81" i="4"/>
  <c r="X613" i="1"/>
  <c r="X614" i="1" s="1"/>
  <c r="X621" i="1"/>
  <c r="X611" i="1"/>
  <c r="X530" i="1" s="1"/>
  <c r="X248" i="7"/>
  <c r="X533" i="1" l="1"/>
  <c r="X534" i="1" s="1"/>
  <c r="H108" i="4"/>
  <c r="J269" i="7" s="1"/>
  <c r="X652" i="1"/>
  <c r="X705" i="1"/>
  <c r="AQ389" i="42"/>
  <c r="AQ390" i="42"/>
  <c r="R390" i="42"/>
  <c r="R389" i="42"/>
  <c r="J249" i="7"/>
  <c r="AQ393" i="42"/>
  <c r="AQ469" i="42" s="1"/>
  <c r="AQ394" i="42"/>
  <c r="AQ470" i="42" s="1"/>
  <c r="AQ468" i="42"/>
  <c r="R71" i="42"/>
  <c r="Q124" i="49"/>
  <c r="X618" i="1"/>
  <c r="X615" i="1"/>
  <c r="Q126" i="49"/>
  <c r="O10" i="51"/>
  <c r="BP10" i="51" s="1"/>
  <c r="R73" i="42"/>
  <c r="H183" i="4"/>
  <c r="J306" i="7"/>
  <c r="J165" i="7"/>
  <c r="X633" i="1"/>
  <c r="H202" i="4"/>
  <c r="H94" i="4"/>
  <c r="P94" i="4" s="1"/>
  <c r="BZ9" i="51"/>
  <c r="DR9" i="51" s="1"/>
  <c r="H85" i="4"/>
  <c r="H83" i="4"/>
  <c r="H9" i="40"/>
  <c r="H11" i="40" s="1"/>
  <c r="P81" i="4"/>
  <c r="H281" i="4"/>
  <c r="R468" i="42"/>
  <c r="R394" i="42"/>
  <c r="R470" i="42" s="1"/>
  <c r="R393" i="42"/>
  <c r="R469" i="42" s="1"/>
  <c r="X531" i="1"/>
  <c r="Q127" i="49"/>
  <c r="R74" i="42"/>
  <c r="O11" i="51"/>
  <c r="BP11" i="51" s="1"/>
  <c r="H186" i="4"/>
  <c r="H189" i="4" s="1"/>
  <c r="X249" i="7"/>
  <c r="X269" i="7"/>
  <c r="X306" i="7"/>
  <c r="X165" i="7"/>
  <c r="Q154" i="49" l="1"/>
  <c r="AL124" i="49"/>
  <c r="AL154" i="49" s="1"/>
  <c r="BZ11" i="51"/>
  <c r="DR11" i="51" s="1"/>
  <c r="J302" i="7"/>
  <c r="J167" i="7"/>
  <c r="Q156" i="49"/>
  <c r="AL126" i="49"/>
  <c r="AL156" i="49" s="1"/>
  <c r="Q125" i="49"/>
  <c r="R72" i="42"/>
  <c r="H184" i="4"/>
  <c r="J297" i="7" s="1"/>
  <c r="J278" i="7"/>
  <c r="X736" i="1"/>
  <c r="X737" i="1" s="1"/>
  <c r="R77" i="42"/>
  <c r="H96" i="4"/>
  <c r="R396" i="42" a="1"/>
  <c r="R396" i="42" s="1"/>
  <c r="AQ71" i="42"/>
  <c r="AQ396" i="42" s="1" a="1"/>
  <c r="AQ396" i="42" s="1"/>
  <c r="H292" i="4"/>
  <c r="H203" i="4"/>
  <c r="H282" i="4"/>
  <c r="BZ10" i="51"/>
  <c r="DR10" i="51" s="1"/>
  <c r="H163" i="4"/>
  <c r="X709" i="1"/>
  <c r="R408" i="42" a="1"/>
  <c r="R408" i="42" s="1"/>
  <c r="AQ74" i="42"/>
  <c r="AQ408" i="42" s="1" a="1"/>
  <c r="AQ408" i="42" s="1"/>
  <c r="Q157" i="49"/>
  <c r="AL127" i="49"/>
  <c r="AL157" i="49" s="1"/>
  <c r="R404" i="42" a="1"/>
  <c r="R404" i="42" s="1"/>
  <c r="AQ73" i="42"/>
  <c r="AQ404" i="42" s="1" a="1"/>
  <c r="AQ404" i="42" s="1"/>
  <c r="X655" i="1"/>
  <c r="R79" i="42"/>
  <c r="H115" i="4"/>
  <c r="J272" i="7"/>
  <c r="X167" i="7"/>
  <c r="X272" i="7"/>
  <c r="X302" i="7"/>
  <c r="X278" i="7"/>
  <c r="X297" i="7"/>
  <c r="J276" i="7" l="1"/>
  <c r="O40" i="50"/>
  <c r="H123" i="4"/>
  <c r="H287" i="4"/>
  <c r="J250" i="7"/>
  <c r="AQ410" i="42"/>
  <c r="AQ409" i="42"/>
  <c r="J307" i="7"/>
  <c r="R400" i="42" a="1"/>
  <c r="R400" i="42" s="1"/>
  <c r="AQ72" i="42"/>
  <c r="AQ400" i="42" s="1" a="1"/>
  <c r="AQ400" i="42" s="1"/>
  <c r="R405" i="42"/>
  <c r="R406" i="42"/>
  <c r="J125" i="7"/>
  <c r="J303" i="7"/>
  <c r="AQ406" i="42"/>
  <c r="AQ405" i="42"/>
  <c r="Q155" i="49"/>
  <c r="AL125" i="49"/>
  <c r="AL155" i="49" s="1"/>
  <c r="R410" i="42"/>
  <c r="R409" i="42"/>
  <c r="J224" i="7"/>
  <c r="H166" i="4"/>
  <c r="J169" i="7"/>
  <c r="AQ398" i="42"/>
  <c r="AQ397" i="42"/>
  <c r="X658" i="1"/>
  <c r="R80" i="42"/>
  <c r="H117" i="4"/>
  <c r="H119" i="4" s="1"/>
  <c r="P119" i="4" s="1"/>
  <c r="R416" i="42" a="1"/>
  <c r="R416" i="42" s="1"/>
  <c r="AQ77" i="42"/>
  <c r="AQ416" i="42" s="1" a="1"/>
  <c r="AQ416" i="42" s="1"/>
  <c r="H125" i="4"/>
  <c r="H289" i="4"/>
  <c r="P115" i="4"/>
  <c r="J282" i="7"/>
  <c r="J273" i="7"/>
  <c r="R424" i="42" a="1"/>
  <c r="R424" i="42" s="1"/>
  <c r="AQ79" i="42"/>
  <c r="AQ424" i="42" s="1" a="1"/>
  <c r="AQ424" i="42" s="1"/>
  <c r="R397" i="42"/>
  <c r="R398" i="42"/>
  <c r="X307" i="7"/>
  <c r="X303" i="7"/>
  <c r="X224" i="7"/>
  <c r="X125" i="7"/>
  <c r="X169" i="7"/>
  <c r="X276" i="7"/>
  <c r="AQ417" i="42" l="1"/>
  <c r="AQ418" i="42"/>
  <c r="R418" i="42"/>
  <c r="R417" i="42"/>
  <c r="J137" i="7" a="1"/>
  <c r="J137" i="7" s="1"/>
  <c r="R428" i="42" a="1"/>
  <c r="R428" i="42" s="1"/>
  <c r="AQ80" i="42"/>
  <c r="AQ428" i="42" s="1" a="1"/>
  <c r="AQ428" i="42" s="1"/>
  <c r="H121" i="4"/>
  <c r="R82" i="42"/>
  <c r="Y654" i="1"/>
  <c r="X464" i="1"/>
  <c r="X564" i="1"/>
  <c r="X567" i="1" s="1"/>
  <c r="X662" i="1"/>
  <c r="X659" i="1"/>
  <c r="X684" i="1"/>
  <c r="X463" i="1" s="1"/>
  <c r="Y465" i="1" s="1"/>
  <c r="J172" i="7"/>
  <c r="J296" i="7"/>
  <c r="J316" i="7"/>
  <c r="J226" i="7"/>
  <c r="R401" i="42"/>
  <c r="R402" i="42"/>
  <c r="AQ425" i="42"/>
  <c r="AQ426" i="42"/>
  <c r="AQ402" i="42"/>
  <c r="AQ401" i="42"/>
  <c r="R425" i="42"/>
  <c r="R426" i="42"/>
  <c r="X296" i="7"/>
  <c r="X172" i="7"/>
  <c r="X316" i="7"/>
  <c r="X226" i="7"/>
  <c r="X137" i="7"/>
  <c r="Y470" i="1" l="1"/>
  <c r="Y625" i="1"/>
  <c r="AQ82" i="42"/>
  <c r="AQ436" i="42" s="1" a="1"/>
  <c r="AQ436" i="42" s="1"/>
  <c r="R436" i="42" a="1"/>
  <c r="R436" i="42" s="1"/>
  <c r="X691" i="1"/>
  <c r="X702" i="1" s="1"/>
  <c r="H147" i="4"/>
  <c r="X579" i="1"/>
  <c r="X573" i="1"/>
  <c r="X577" i="1"/>
  <c r="R430" i="42"/>
  <c r="R429" i="42"/>
  <c r="AQ429" i="42"/>
  <c r="AQ430" i="42"/>
  <c r="H290" i="4"/>
  <c r="I120" i="4"/>
  <c r="H126" i="4"/>
  <c r="J228" i="7"/>
  <c r="X670" i="1"/>
  <c r="X682" i="1" s="1"/>
  <c r="H129" i="4"/>
  <c r="J177" i="7"/>
  <c r="J176" i="7"/>
  <c r="X228" i="7"/>
  <c r="X176" i="7"/>
  <c r="X710" i="1" l="1"/>
  <c r="X8" i="1" s="1"/>
  <c r="J298" i="7"/>
  <c r="X134" i="1"/>
  <c r="R83" i="42"/>
  <c r="H174" i="4"/>
  <c r="X135" i="1"/>
  <c r="R84" i="42"/>
  <c r="H175" i="4"/>
  <c r="AQ438" i="42"/>
  <c r="AQ437" i="42"/>
  <c r="R438" i="42"/>
  <c r="R437" i="42"/>
  <c r="J308" i="7"/>
  <c r="J233" i="7"/>
  <c r="J234" i="7"/>
  <c r="J237" i="7"/>
  <c r="J322" i="7"/>
  <c r="H151" i="4"/>
  <c r="H159" i="4" s="1"/>
  <c r="J202" i="7"/>
  <c r="H134" i="4"/>
  <c r="H145" i="4" s="1"/>
  <c r="J182" i="7"/>
  <c r="Y597" i="1"/>
  <c r="Y473" i="1"/>
  <c r="X202" i="7"/>
  <c r="X237" i="7"/>
  <c r="X234" i="7"/>
  <c r="X322" i="7"/>
  <c r="X298" i="7"/>
  <c r="X308" i="7"/>
  <c r="X182" i="7"/>
  <c r="X233" i="7"/>
  <c r="H296" i="4" l="1"/>
  <c r="J327" i="7"/>
  <c r="J309" i="7"/>
  <c r="S67" i="42"/>
  <c r="R120" i="49"/>
  <c r="O42" i="50"/>
  <c r="R440" i="42" a="1"/>
  <c r="R440" i="42" s="1"/>
  <c r="AQ83" i="42"/>
  <c r="AQ440" i="42" s="1" a="1"/>
  <c r="AQ440" i="42" s="1"/>
  <c r="Y474" i="1"/>
  <c r="Y318" i="1"/>
  <c r="R444" i="42" a="1"/>
  <c r="R444" i="42" s="1"/>
  <c r="AQ84" i="42"/>
  <c r="AQ444" i="42" s="1" a="1"/>
  <c r="AQ444" i="42" s="1"/>
  <c r="J232" i="7"/>
  <c r="J187" i="7"/>
  <c r="J281" i="7"/>
  <c r="H168" i="4"/>
  <c r="J208" i="7"/>
  <c r="J381" i="7"/>
  <c r="J299" i="7"/>
  <c r="J124" i="7"/>
  <c r="J300" i="7"/>
  <c r="X381" i="7"/>
  <c r="X309" i="7"/>
  <c r="X232" i="7"/>
  <c r="X327" i="7"/>
  <c r="X187" i="7"/>
  <c r="X281" i="7"/>
  <c r="X124" i="7"/>
  <c r="X299" i="7"/>
  <c r="X208" i="7"/>
  <c r="X300" i="7"/>
  <c r="J197" i="7" l="1"/>
  <c r="AQ442" i="42"/>
  <c r="AQ441" i="42"/>
  <c r="J336" i="7"/>
  <c r="J325" i="7"/>
  <c r="J326" i="7"/>
  <c r="AQ446" i="42"/>
  <c r="AQ445" i="42"/>
  <c r="J301" i="7"/>
  <c r="J136" i="7" a="1"/>
  <c r="J136" i="7" s="1"/>
  <c r="R150" i="49"/>
  <c r="R441" i="42"/>
  <c r="R442" i="42"/>
  <c r="J218" i="7"/>
  <c r="S380" i="42" a="1"/>
  <c r="S380" i="42" s="1"/>
  <c r="R446" i="42"/>
  <c r="R445" i="42"/>
  <c r="K280" i="7"/>
  <c r="X325" i="7"/>
  <c r="X336" i="7"/>
  <c r="X301" i="7"/>
  <c r="X218" i="7"/>
  <c r="X197" i="7"/>
  <c r="X136" i="7"/>
  <c r="Y280" i="7"/>
  <c r="X326" i="7"/>
  <c r="S381" i="42" l="1"/>
  <c r="S382" i="42"/>
  <c r="J219" i="7"/>
  <c r="J229" i="7"/>
  <c r="J231" i="7"/>
  <c r="J236" i="7"/>
  <c r="J323" i="7"/>
  <c r="J198" i="7"/>
  <c r="X323" i="7"/>
  <c r="X236" i="7"/>
  <c r="X231" i="7"/>
  <c r="J319" i="7" l="1"/>
  <c r="X319" i="7"/>
  <c r="J320" i="7" l="1"/>
  <c r="J321" i="7"/>
  <c r="X320" i="7"/>
  <c r="X321" i="7"/>
  <c r="V114" i="1" l="1"/>
  <c r="V107" i="1"/>
  <c r="V118" i="1"/>
  <c r="M77" i="51" l="1"/>
  <c r="P17" i="42"/>
  <c r="AP17" i="42" l="1"/>
  <c r="AP208" i="42" s="1" a="1"/>
  <c r="AP208" i="42" s="1"/>
  <c r="P208" i="42" a="1"/>
  <c r="P208" i="42" s="1"/>
  <c r="P210" i="42" l="1"/>
  <c r="R209" i="42"/>
  <c r="P209" i="42"/>
  <c r="AQ209" i="42"/>
  <c r="AP209" i="42"/>
  <c r="AP210" i="42"/>
  <c r="AA114" i="1"/>
  <c r="Y117" i="1"/>
  <c r="Y115" i="1"/>
  <c r="R12" i="49" l="1"/>
  <c r="S14" i="42"/>
  <c r="Y176" i="1"/>
  <c r="Y141" i="1"/>
  <c r="AA113" i="1"/>
  <c r="AB114" i="1"/>
  <c r="Z115" i="1"/>
  <c r="Y118" i="1"/>
  <c r="Z117" i="1"/>
  <c r="Z1" i="1" s="1"/>
  <c r="Z2" i="1" s="1"/>
  <c r="AA117" i="1" l="1"/>
  <c r="AA118" i="1" s="1"/>
  <c r="AA115" i="1"/>
  <c r="S196" i="42" a="1"/>
  <c r="S196" i="42" s="1"/>
  <c r="Z176" i="1"/>
  <c r="Z178" i="1" s="1"/>
  <c r="Z182" i="1" s="1"/>
  <c r="S12" i="49"/>
  <c r="Z141" i="1"/>
  <c r="T14" i="42"/>
  <c r="T196" i="42" s="1" a="1"/>
  <c r="T196" i="42" s="1"/>
  <c r="AM12" i="49"/>
  <c r="Z118" i="1"/>
  <c r="AB113" i="1"/>
  <c r="AC114" i="1"/>
  <c r="Y178" i="1"/>
  <c r="I221" i="4"/>
  <c r="CA67" i="51" s="1"/>
  <c r="I253" i="4"/>
  <c r="I258" i="4" s="1"/>
  <c r="I223" i="4" l="1"/>
  <c r="CA69" i="51" s="1"/>
  <c r="Y182" i="1"/>
  <c r="AC113" i="1"/>
  <c r="AD114" i="1"/>
  <c r="AB117" i="1"/>
  <c r="AB1" i="1" s="1"/>
  <c r="AB2" i="1" s="1"/>
  <c r="AB115" i="1"/>
  <c r="Z183" i="1"/>
  <c r="Z203" i="1"/>
  <c r="T23" i="42"/>
  <c r="T224" i="42" s="1" a="1"/>
  <c r="T224" i="42" s="1"/>
  <c r="Z268" i="1"/>
  <c r="S30" i="49"/>
  <c r="S48" i="49" s="1"/>
  <c r="Z193" i="1"/>
  <c r="S198" i="42"/>
  <c r="S197" i="42"/>
  <c r="T198" i="42"/>
  <c r="T197" i="42"/>
  <c r="AR14" i="42"/>
  <c r="AR196" i="42" s="1" a="1"/>
  <c r="AR196" i="42" s="1"/>
  <c r="AA176" i="1"/>
  <c r="U14" i="42"/>
  <c r="AA141" i="1"/>
  <c r="T12" i="49"/>
  <c r="T25" i="42" l="1"/>
  <c r="T232" i="42" s="1" a="1"/>
  <c r="T232" i="42" s="1"/>
  <c r="Z210" i="1"/>
  <c r="Z185" i="1"/>
  <c r="S32" i="49"/>
  <c r="S50" i="49" s="1"/>
  <c r="Z279" i="1"/>
  <c r="V14" i="42"/>
  <c r="V196" i="42" s="1" a="1"/>
  <c r="V196" i="42" s="1"/>
  <c r="U12" i="49"/>
  <c r="AN12" i="49" s="1"/>
  <c r="AB141" i="1"/>
  <c r="AB176" i="1"/>
  <c r="AB178" i="1" s="1"/>
  <c r="AB182" i="1" s="1"/>
  <c r="U196" i="42" a="1"/>
  <c r="U196" i="42" s="1"/>
  <c r="AS14" i="42"/>
  <c r="AS196" i="42" s="1" a="1"/>
  <c r="AS196" i="42" s="1"/>
  <c r="AD113" i="1"/>
  <c r="AE114" i="1"/>
  <c r="T225" i="42"/>
  <c r="T226" i="42"/>
  <c r="J253" i="4"/>
  <c r="J258" i="4" s="1"/>
  <c r="AC115" i="1"/>
  <c r="AC117" i="1"/>
  <c r="AR197" i="42"/>
  <c r="AR198" i="42"/>
  <c r="Y268" i="1"/>
  <c r="S23" i="42"/>
  <c r="Y193" i="1"/>
  <c r="Y203" i="1"/>
  <c r="Y183" i="1"/>
  <c r="R30" i="49"/>
  <c r="I226" i="4"/>
  <c r="CA72" i="51" s="1"/>
  <c r="T49" i="42"/>
  <c r="T316" i="42" s="1" a="1"/>
  <c r="T316" i="42" s="1"/>
  <c r="S84" i="49"/>
  <c r="S94" i="49" s="1"/>
  <c r="Z271" i="1"/>
  <c r="AB118" i="1"/>
  <c r="AA178" i="1"/>
  <c r="Z282" i="1" l="1"/>
  <c r="AM30" i="49"/>
  <c r="AM48" i="49" s="1"/>
  <c r="R48" i="49"/>
  <c r="AS198" i="42"/>
  <c r="AS197" i="42"/>
  <c r="I8" i="4"/>
  <c r="R84" i="49"/>
  <c r="Y271" i="1"/>
  <c r="S49" i="42"/>
  <c r="V197" i="42"/>
  <c r="V198" i="42"/>
  <c r="Z502" i="1"/>
  <c r="Z503" i="1" s="1"/>
  <c r="Z635" i="1"/>
  <c r="Z386" i="1"/>
  <c r="Z289" i="1"/>
  <c r="T51" i="42"/>
  <c r="T324" i="42" s="1" a="1"/>
  <c r="T324" i="42" s="1"/>
  <c r="S86" i="49"/>
  <c r="S96" i="49" s="1"/>
  <c r="Z272" i="1"/>
  <c r="Z585" i="1"/>
  <c r="U197" i="42"/>
  <c r="U198" i="42"/>
  <c r="Y210" i="1"/>
  <c r="Y185" i="1"/>
  <c r="R32" i="49"/>
  <c r="Y279" i="1"/>
  <c r="Z3" i="1" s="1"/>
  <c r="S25" i="42"/>
  <c r="AR23" i="42"/>
  <c r="AR224" i="42" s="1" a="1"/>
  <c r="AR224" i="42" s="1"/>
  <c r="S224" i="42" a="1"/>
  <c r="S224" i="42" s="1"/>
  <c r="Z589" i="1"/>
  <c r="T61" i="42" s="1"/>
  <c r="T356" i="42" s="1" a="1"/>
  <c r="T356" i="42" s="1"/>
  <c r="Z283" i="1"/>
  <c r="K253" i="4"/>
  <c r="K258" i="4" s="1"/>
  <c r="AC176" i="1"/>
  <c r="V12" i="49"/>
  <c r="W14" i="42"/>
  <c r="AC141" i="1"/>
  <c r="J223" i="4"/>
  <c r="CB69" i="51" s="1"/>
  <c r="AA182" i="1"/>
  <c r="Z274" i="1"/>
  <c r="Z277" i="1" s="1"/>
  <c r="Z186" i="1"/>
  <c r="T24" i="42"/>
  <c r="T228" i="42" s="1" a="1"/>
  <c r="T228" i="42" s="1"/>
  <c r="S31" i="49"/>
  <c r="S49" i="49" s="1"/>
  <c r="AD115" i="1"/>
  <c r="AD117" i="1"/>
  <c r="AD1" i="1" s="1"/>
  <c r="AD2" i="1" s="1"/>
  <c r="J221" i="4"/>
  <c r="CB67" i="51" s="1"/>
  <c r="AC118" i="1"/>
  <c r="Z292" i="1"/>
  <c r="T27" i="42"/>
  <c r="T240" i="42" s="1" a="1"/>
  <c r="T240" i="42" s="1"/>
  <c r="Z211" i="1"/>
  <c r="S34" i="49"/>
  <c r="S52" i="49" s="1"/>
  <c r="Z212" i="1"/>
  <c r="T317" i="42"/>
  <c r="T318" i="42"/>
  <c r="AE113" i="1"/>
  <c r="AF114" i="1"/>
  <c r="V23" i="42"/>
  <c r="V224" i="42" s="1" a="1"/>
  <c r="V224" i="42" s="1"/>
  <c r="AB193" i="1"/>
  <c r="U30" i="49"/>
  <c r="U48" i="49" s="1"/>
  <c r="AB203" i="1"/>
  <c r="AB183" i="1"/>
  <c r="AB268" i="1"/>
  <c r="T233" i="42"/>
  <c r="T234" i="42"/>
  <c r="T326" i="42" l="1"/>
  <c r="T325" i="42"/>
  <c r="U84" i="49"/>
  <c r="U94" i="49" s="1"/>
  <c r="V49" i="42"/>
  <c r="V316" i="42" s="1" a="1"/>
  <c r="V316" i="42" s="1"/>
  <c r="AB271" i="1"/>
  <c r="AB417" i="1" s="1"/>
  <c r="AB636" i="1" s="1"/>
  <c r="W12" i="49"/>
  <c r="AD176" i="1"/>
  <c r="AD178" i="1" s="1"/>
  <c r="AD182" i="1" s="1"/>
  <c r="AD141" i="1"/>
  <c r="X14" i="42"/>
  <c r="X196" i="42" s="1" a="1"/>
  <c r="X196" i="42" s="1"/>
  <c r="T241" i="42"/>
  <c r="T242" i="42"/>
  <c r="AO12" i="49"/>
  <c r="Z663" i="1"/>
  <c r="I130" i="4" s="1"/>
  <c r="K183" i="7" s="1"/>
  <c r="Y211" i="1"/>
  <c r="S27" i="42"/>
  <c r="R34" i="49"/>
  <c r="Y212" i="1"/>
  <c r="Y292" i="1"/>
  <c r="Z5" i="1" s="1"/>
  <c r="Z6" i="1" s="1"/>
  <c r="AR225" i="42"/>
  <c r="AR226" i="42"/>
  <c r="AD118" i="1"/>
  <c r="I18" i="4"/>
  <c r="Y282" i="1"/>
  <c r="S316" i="42" a="1"/>
  <c r="S316" i="42" s="1"/>
  <c r="AR49" i="42"/>
  <c r="AR316" i="42" s="1" a="1"/>
  <c r="AR316" i="42" s="1"/>
  <c r="R94" i="49"/>
  <c r="AM84" i="49"/>
  <c r="AM94" i="49" s="1"/>
  <c r="S225" i="42"/>
  <c r="S226" i="42"/>
  <c r="AR25" i="42"/>
  <c r="AR232" i="42" s="1" a="1"/>
  <c r="AR232" i="42" s="1"/>
  <c r="S232" i="42" a="1"/>
  <c r="S232" i="42" s="1"/>
  <c r="U32" i="49"/>
  <c r="U50" i="49" s="1"/>
  <c r="AB279" i="1"/>
  <c r="AB210" i="1"/>
  <c r="V25" i="42"/>
  <c r="V232" i="42" s="1" a="1"/>
  <c r="V232" i="42" s="1"/>
  <c r="AB185" i="1"/>
  <c r="K339" i="7"/>
  <c r="P7" i="50"/>
  <c r="CA17" i="51"/>
  <c r="DS17" i="51" s="1"/>
  <c r="T357" i="42"/>
  <c r="T358" i="42"/>
  <c r="T230" i="42"/>
  <c r="T229" i="42"/>
  <c r="I11" i="4"/>
  <c r="Y386" i="1"/>
  <c r="Y502" i="1"/>
  <c r="Y503" i="1" s="1"/>
  <c r="R86" i="49"/>
  <c r="Y585" i="1"/>
  <c r="Y302" i="1"/>
  <c r="Y289" i="1"/>
  <c r="Z4" i="1" s="1"/>
  <c r="Y272" i="1"/>
  <c r="S51" i="42"/>
  <c r="AG114" i="1"/>
  <c r="AF113" i="1"/>
  <c r="S24" i="42"/>
  <c r="R31" i="49"/>
  <c r="Y274" i="1"/>
  <c r="Y186" i="1"/>
  <c r="AE115" i="1"/>
  <c r="AE117" i="1"/>
  <c r="AE118" i="1" s="1"/>
  <c r="S115" i="49"/>
  <c r="S145" i="49" s="1"/>
  <c r="T59" i="42"/>
  <c r="T348" i="42" s="1" a="1"/>
  <c r="T348" i="42" s="1"/>
  <c r="AC178" i="1"/>
  <c r="S100" i="49"/>
  <c r="S110" i="49" s="1"/>
  <c r="T54" i="42"/>
  <c r="T332" i="42" s="1" a="1"/>
  <c r="T332" i="42" s="1"/>
  <c r="Z295" i="1"/>
  <c r="V225" i="42"/>
  <c r="V226" i="42"/>
  <c r="AM32" i="49"/>
  <c r="AM50" i="49" s="1"/>
  <c r="R50" i="49"/>
  <c r="Z507" i="1"/>
  <c r="Z513" i="1" s="1"/>
  <c r="Z514" i="1" s="1"/>
  <c r="Z685" i="1" s="1"/>
  <c r="I148" i="4" s="1"/>
  <c r="K203" i="7" s="1"/>
  <c r="Z587" i="1"/>
  <c r="T60" i="42" s="1"/>
  <c r="T352" i="42" s="1" a="1"/>
  <c r="T352" i="42" s="1"/>
  <c r="AA183" i="1"/>
  <c r="J226" i="4"/>
  <c r="CB72" i="51" s="1"/>
  <c r="AA203" i="1"/>
  <c r="AA268" i="1"/>
  <c r="U23" i="42"/>
  <c r="T30" i="49"/>
  <c r="AA193" i="1"/>
  <c r="W196" i="42" a="1"/>
  <c r="W196" i="42" s="1"/>
  <c r="Y183" i="7"/>
  <c r="Y203" i="7"/>
  <c r="Y339" i="7"/>
  <c r="AB282" i="1" l="1"/>
  <c r="K221" i="4"/>
  <c r="CC67" i="51" s="1"/>
  <c r="AT14" i="42"/>
  <c r="AT196" i="42" s="1" a="1"/>
  <c r="AT196" i="42" s="1"/>
  <c r="AT197" i="42" s="1"/>
  <c r="K196" i="7"/>
  <c r="K217" i="7"/>
  <c r="Z520" i="1"/>
  <c r="AM31" i="49"/>
  <c r="AM49" i="49" s="1"/>
  <c r="R49" i="49"/>
  <c r="AF117" i="1"/>
  <c r="AF115" i="1"/>
  <c r="AR233" i="42"/>
  <c r="AR234" i="42"/>
  <c r="T333" i="42"/>
  <c r="T334" i="42"/>
  <c r="I13" i="4"/>
  <c r="Y277" i="1"/>
  <c r="I21" i="4"/>
  <c r="Y589" i="1"/>
  <c r="S61" i="42" s="1"/>
  <c r="Y283" i="1"/>
  <c r="T32" i="49"/>
  <c r="AA185" i="1"/>
  <c r="U25" i="42"/>
  <c r="AA279" i="1"/>
  <c r="AB3" i="1" s="1"/>
  <c r="AA210" i="1"/>
  <c r="W198" i="42"/>
  <c r="W197" i="42"/>
  <c r="T48" i="49"/>
  <c r="AN30" i="49"/>
  <c r="AN48" i="49" s="1"/>
  <c r="I39" i="4"/>
  <c r="I42" i="4" s="1"/>
  <c r="CA19" i="51"/>
  <c r="DS19" i="51" s="1"/>
  <c r="P9" i="50"/>
  <c r="S317" i="42"/>
  <c r="S318" i="42"/>
  <c r="AR51" i="42"/>
  <c r="AR324" i="42" s="1" a="1"/>
  <c r="AR324" i="42" s="1"/>
  <c r="S324" i="42" a="1"/>
  <c r="S324" i="42" s="1"/>
  <c r="P12" i="50"/>
  <c r="CA21" i="51"/>
  <c r="AD268" i="1"/>
  <c r="AD193" i="1"/>
  <c r="X23" i="42"/>
  <c r="X224" i="42" s="1" a="1"/>
  <c r="X224" i="42" s="1"/>
  <c r="W30" i="49"/>
  <c r="W48" i="49" s="1"/>
  <c r="AD203" i="1"/>
  <c r="AD183" i="1"/>
  <c r="K223" i="4"/>
  <c r="CC69" i="51" s="1"/>
  <c r="AC182" i="1"/>
  <c r="AB502" i="1"/>
  <c r="AB503" i="1" s="1"/>
  <c r="V51" i="42"/>
  <c r="V324" i="42" s="1" a="1"/>
  <c r="V324" i="42" s="1"/>
  <c r="AB429" i="1"/>
  <c r="AB635" i="1" s="1"/>
  <c r="U86" i="49"/>
  <c r="U96" i="49" s="1"/>
  <c r="AB289" i="1"/>
  <c r="AB272" i="1"/>
  <c r="AB386" i="1"/>
  <c r="AB585" i="1"/>
  <c r="V317" i="42"/>
  <c r="V318" i="42"/>
  <c r="T353" i="42"/>
  <c r="T354" i="42"/>
  <c r="V233" i="42"/>
  <c r="V234" i="42"/>
  <c r="J8" i="4"/>
  <c r="U49" i="42"/>
  <c r="T84" i="49"/>
  <c r="AA271" i="1"/>
  <c r="AA417" i="1" s="1"/>
  <c r="AA636" i="1" s="1"/>
  <c r="AM86" i="49"/>
  <c r="AM96" i="49" s="1"/>
  <c r="R96" i="49"/>
  <c r="AB589" i="1"/>
  <c r="V61" i="42" s="1"/>
  <c r="V356" i="42" s="1" a="1"/>
  <c r="V356" i="42" s="1"/>
  <c r="AB283" i="1"/>
  <c r="AR317" i="42"/>
  <c r="AR318" i="42"/>
  <c r="Z592" i="1"/>
  <c r="T56" i="42"/>
  <c r="T340" i="42" s="1" a="1"/>
  <c r="T340" i="42" s="1"/>
  <c r="Z296" i="1"/>
  <c r="S102" i="49"/>
  <c r="S112" i="49" s="1"/>
  <c r="Z297" i="1"/>
  <c r="AG113" i="1"/>
  <c r="AH114" i="1"/>
  <c r="V24" i="42"/>
  <c r="V228" i="42" s="1" a="1"/>
  <c r="V228" i="42" s="1"/>
  <c r="AB274" i="1"/>
  <c r="AB277" i="1" s="1"/>
  <c r="U31" i="49"/>
  <c r="U49" i="49" s="1"/>
  <c r="AB186" i="1"/>
  <c r="AS23" i="42"/>
  <c r="AS224" i="42" s="1" a="1"/>
  <c r="AS224" i="42" s="1"/>
  <c r="U224" i="42" a="1"/>
  <c r="U224" i="42" s="1"/>
  <c r="AE141" i="1"/>
  <c r="AE176" i="1"/>
  <c r="X12" i="49"/>
  <c r="Y14" i="42"/>
  <c r="Y663" i="1"/>
  <c r="AM34" i="49"/>
  <c r="AM52" i="49" s="1"/>
  <c r="R52" i="49"/>
  <c r="S228" i="42" a="1"/>
  <c r="S228" i="42" s="1"/>
  <c r="AR24" i="42"/>
  <c r="AR228" i="42" s="1" a="1"/>
  <c r="AR228" i="42" s="1"/>
  <c r="X198" i="42"/>
  <c r="X197" i="42"/>
  <c r="Y421" i="1"/>
  <c r="Y449" i="1"/>
  <c r="T456" i="42"/>
  <c r="T349" i="42"/>
  <c r="T457" i="42" s="1"/>
  <c r="T350" i="42"/>
  <c r="T458" i="42" s="1"/>
  <c r="I60" i="4"/>
  <c r="R115" i="49"/>
  <c r="S59" i="42"/>
  <c r="V27" i="42"/>
  <c r="V240" i="42" s="1" a="1"/>
  <c r="V240" i="42" s="1"/>
  <c r="AB292" i="1"/>
  <c r="U34" i="49"/>
  <c r="U52" i="49" s="1"/>
  <c r="AB211" i="1"/>
  <c r="AB212" i="1"/>
  <c r="I30" i="4"/>
  <c r="S54" i="42"/>
  <c r="R100" i="49"/>
  <c r="Y295" i="1"/>
  <c r="Y432" i="1"/>
  <c r="Y427" i="1" s="1"/>
  <c r="Y635" i="1"/>
  <c r="I98" i="4" s="1"/>
  <c r="K256" i="7" s="1"/>
  <c r="S234" i="42"/>
  <c r="S233" i="42"/>
  <c r="AR27" i="42"/>
  <c r="AR240" i="42" s="1" a="1"/>
  <c r="AR240" i="42" s="1"/>
  <c r="S240" i="42" a="1"/>
  <c r="S240" i="42" s="1"/>
  <c r="Y196" i="7"/>
  <c r="Y256" i="7"/>
  <c r="Y217" i="7"/>
  <c r="AF118" i="1" l="1"/>
  <c r="AF1" i="1"/>
  <c r="AF2" i="1" s="1"/>
  <c r="CA42" i="51"/>
  <c r="DS21" i="51"/>
  <c r="L253" i="4"/>
  <c r="L258" i="4" s="1"/>
  <c r="AT198" i="42"/>
  <c r="AN84" i="49"/>
  <c r="AN94" i="49" s="1"/>
  <c r="T94" i="49"/>
  <c r="AS49" i="42"/>
  <c r="AS316" i="42" s="1" a="1"/>
  <c r="AS316" i="42" s="1"/>
  <c r="U316" i="42" a="1"/>
  <c r="U316" i="42" s="1"/>
  <c r="AE178" i="1"/>
  <c r="S356" i="42" a="1"/>
  <c r="S356" i="42" s="1"/>
  <c r="AR61" i="42"/>
  <c r="AR356" i="42" s="1" a="1"/>
  <c r="AR356" i="42" s="1"/>
  <c r="I63" i="4"/>
  <c r="K140" i="7"/>
  <c r="V325" i="42"/>
  <c r="V326" i="42"/>
  <c r="R145" i="49"/>
  <c r="AM115" i="49"/>
  <c r="AM145" i="49" s="1"/>
  <c r="Z301" i="1"/>
  <c r="Y675" i="1"/>
  <c r="AR325" i="42"/>
  <c r="AR326" i="42"/>
  <c r="AR59" i="42"/>
  <c r="AR348" i="42" s="1" a="1"/>
  <c r="AR348" i="42" s="1"/>
  <c r="S348" i="42" a="1"/>
  <c r="S348" i="42" s="1"/>
  <c r="AB663" i="1"/>
  <c r="J130" i="4" s="1"/>
  <c r="L183" i="7" s="1"/>
  <c r="U225" i="42"/>
  <c r="U226" i="42"/>
  <c r="X226" i="42"/>
  <c r="X225" i="42"/>
  <c r="CA23" i="51"/>
  <c r="P14" i="50"/>
  <c r="AS226" i="42"/>
  <c r="AS225" i="42"/>
  <c r="AD279" i="1"/>
  <c r="AD185" i="1"/>
  <c r="W32" i="49"/>
  <c r="W50" i="49" s="1"/>
  <c r="AD210" i="1"/>
  <c r="X25" i="42"/>
  <c r="X232" i="42" s="1" a="1"/>
  <c r="X232" i="42" s="1"/>
  <c r="AA292" i="1"/>
  <c r="AB5" i="1" s="1"/>
  <c r="AB6" i="1" s="1"/>
  <c r="U27" i="42"/>
  <c r="T34" i="49"/>
  <c r="AA212" i="1"/>
  <c r="AA211" i="1"/>
  <c r="AF141" i="1"/>
  <c r="AF176" i="1"/>
  <c r="AF178" i="1" s="1"/>
  <c r="AF182" i="1" s="1"/>
  <c r="Y12" i="49"/>
  <c r="AP12" i="49" s="1"/>
  <c r="Z14" i="42"/>
  <c r="Z196" i="42" s="1" a="1"/>
  <c r="Z196" i="42" s="1"/>
  <c r="S241" i="42"/>
  <c r="S242" i="42"/>
  <c r="T341" i="42"/>
  <c r="T342" i="42"/>
  <c r="S81" i="42"/>
  <c r="Y307" i="1"/>
  <c r="AR54" i="42"/>
  <c r="AR332" i="42" s="1" a="1"/>
  <c r="AR332" i="42" s="1"/>
  <c r="S332" i="42" a="1"/>
  <c r="S332" i="42" s="1"/>
  <c r="CA29" i="51"/>
  <c r="K350" i="7"/>
  <c r="P22" i="50"/>
  <c r="V59" i="42"/>
  <c r="V348" i="42" s="1" a="1"/>
  <c r="V348" i="42" s="1"/>
  <c r="U115" i="49"/>
  <c r="U145" i="49" s="1"/>
  <c r="AD271" i="1"/>
  <c r="W84" i="49"/>
  <c r="W94" i="49" s="1"/>
  <c r="X49" i="42"/>
  <c r="X316" i="42" s="1" a="1"/>
  <c r="X316" i="42" s="1"/>
  <c r="J18" i="4"/>
  <c r="AA282" i="1"/>
  <c r="AG115" i="1"/>
  <c r="AG117" i="1"/>
  <c r="AG118" i="1" s="1"/>
  <c r="Y642" i="1"/>
  <c r="Z624" i="1"/>
  <c r="S116" i="49"/>
  <c r="S146" i="49" s="1"/>
  <c r="T63" i="42"/>
  <c r="T364" i="42" s="1" a="1"/>
  <c r="T364" i="42" s="1"/>
  <c r="X570" i="1"/>
  <c r="X571" i="1" s="1"/>
  <c r="W570" i="1"/>
  <c r="W571" i="1" s="1"/>
  <c r="Y311" i="1"/>
  <c r="I33" i="4"/>
  <c r="S56" i="42"/>
  <c r="Y592" i="1"/>
  <c r="Y296" i="1"/>
  <c r="R102" i="49"/>
  <c r="Z572" i="1"/>
  <c r="Y572" i="1"/>
  <c r="Y297" i="1"/>
  <c r="Z449" i="1"/>
  <c r="Z642" i="1"/>
  <c r="T78" i="42" s="1"/>
  <c r="T420" i="42" s="1" a="1"/>
  <c r="T420" i="42" s="1"/>
  <c r="Z414" i="1"/>
  <c r="AR241" i="42"/>
  <c r="AR242" i="42"/>
  <c r="V357" i="42"/>
  <c r="V358" i="42"/>
  <c r="AS25" i="42"/>
  <c r="AS232" i="42" s="1" a="1"/>
  <c r="AS232" i="42" s="1"/>
  <c r="U232" i="42" a="1"/>
  <c r="U232" i="42" s="1"/>
  <c r="AB507" i="1"/>
  <c r="AB513" i="1" s="1"/>
  <c r="AB514" i="1" s="1"/>
  <c r="AB685" i="1" s="1"/>
  <c r="J148" i="4" s="1"/>
  <c r="L203" i="7" s="1"/>
  <c r="AB587" i="1"/>
  <c r="V60" i="42" s="1"/>
  <c r="V352" i="42" s="1" a="1"/>
  <c r="V352" i="42" s="1"/>
  <c r="AA186" i="1"/>
  <c r="AA274" i="1"/>
  <c r="U24" i="42"/>
  <c r="T31" i="49"/>
  <c r="V242" i="42"/>
  <c r="V241" i="42"/>
  <c r="L339" i="7"/>
  <c r="CB17" i="51"/>
  <c r="DT17" i="51" s="1"/>
  <c r="Y507" i="1"/>
  <c r="Y513" i="1" s="1"/>
  <c r="Y514" i="1" s="1"/>
  <c r="I16" i="4"/>
  <c r="Y587" i="1"/>
  <c r="Y196" i="42" a="1"/>
  <c r="Y196" i="42" s="1"/>
  <c r="AM100" i="49"/>
  <c r="AM110" i="49" s="1"/>
  <c r="R110" i="49"/>
  <c r="Y674" i="1"/>
  <c r="Z421" i="1"/>
  <c r="Y423" i="1"/>
  <c r="V229" i="42"/>
  <c r="V230" i="42"/>
  <c r="T50" i="49"/>
  <c r="AN32" i="49"/>
  <c r="AN50" i="49" s="1"/>
  <c r="AC268" i="1"/>
  <c r="AC203" i="1"/>
  <c r="AC183" i="1"/>
  <c r="W23" i="42"/>
  <c r="AC193" i="1"/>
  <c r="K226" i="4"/>
  <c r="CC72" i="51" s="1"/>
  <c r="V30" i="49"/>
  <c r="AR230" i="42"/>
  <c r="AR229" i="42"/>
  <c r="AB295" i="1"/>
  <c r="V54" i="42"/>
  <c r="V332" i="42" s="1" a="1"/>
  <c r="V332" i="42" s="1"/>
  <c r="U100" i="49"/>
  <c r="U110" i="49" s="1"/>
  <c r="S229" i="42"/>
  <c r="S230" i="42"/>
  <c r="AI114" i="1"/>
  <c r="AH113" i="1"/>
  <c r="J11" i="4"/>
  <c r="AA502" i="1"/>
  <c r="AA503" i="1" s="1"/>
  <c r="AA272" i="1"/>
  <c r="U51" i="42"/>
  <c r="T86" i="49"/>
  <c r="AA585" i="1"/>
  <c r="AA289" i="1"/>
  <c r="AB4" i="1" s="1"/>
  <c r="AA429" i="1"/>
  <c r="AA635" i="1" s="1"/>
  <c r="J98" i="4" s="1"/>
  <c r="L256" i="7" s="1"/>
  <c r="AA386" i="1"/>
  <c r="S325" i="42"/>
  <c r="S326" i="42"/>
  <c r="Z339" i="7"/>
  <c r="Z183" i="7"/>
  <c r="Z256" i="7"/>
  <c r="Y140" i="7"/>
  <c r="Z203" i="7"/>
  <c r="Y350" i="7"/>
  <c r="CB21" i="51" l="1"/>
  <c r="DT21" i="51" s="1"/>
  <c r="AD282" i="1"/>
  <c r="CA44" i="51"/>
  <c r="DS23" i="51"/>
  <c r="CA46" i="51"/>
  <c r="DS29" i="51"/>
  <c r="Y681" i="1"/>
  <c r="AB520" i="1"/>
  <c r="AS234" i="42"/>
  <c r="AS233" i="42"/>
  <c r="W224" i="42" a="1"/>
  <c r="W224" i="42" s="1"/>
  <c r="AT23" i="42"/>
  <c r="AT224" i="42" s="1" a="1"/>
  <c r="AT224" i="42" s="1"/>
  <c r="Z198" i="42"/>
  <c r="Z197" i="42"/>
  <c r="AN86" i="49"/>
  <c r="AN96" i="49" s="1"/>
  <c r="T96" i="49"/>
  <c r="AC279" i="1"/>
  <c r="AD3" i="1" s="1"/>
  <c r="V32" i="49"/>
  <c r="AC210" i="1"/>
  <c r="AC185" i="1"/>
  <c r="W25" i="42"/>
  <c r="Y685" i="1"/>
  <c r="Y520" i="1"/>
  <c r="J39" i="4"/>
  <c r="J42" i="4" s="1"/>
  <c r="CB19" i="51"/>
  <c r="DT19" i="51" s="1"/>
  <c r="K8" i="4"/>
  <c r="AC271" i="1"/>
  <c r="W49" i="42"/>
  <c r="V84" i="49"/>
  <c r="V350" i="42"/>
  <c r="V458" i="42" s="1"/>
  <c r="V456" i="42"/>
  <c r="V349" i="42"/>
  <c r="V457" i="42" s="1"/>
  <c r="AD502" i="1"/>
  <c r="AD503" i="1" s="1"/>
  <c r="W86" i="49"/>
  <c r="W96" i="49" s="1"/>
  <c r="AD429" i="1"/>
  <c r="AD635" i="1" s="1"/>
  <c r="AD585" i="1"/>
  <c r="AD272" i="1"/>
  <c r="X51" i="42"/>
  <c r="X324" i="42" s="1" a="1"/>
  <c r="X324" i="42" s="1"/>
  <c r="AD289" i="1"/>
  <c r="AD386" i="1"/>
  <c r="K384" i="7"/>
  <c r="AF193" i="1"/>
  <c r="AF183" i="1"/>
  <c r="AF268" i="1"/>
  <c r="Z23" i="42"/>
  <c r="Z224" i="42" s="1" a="1"/>
  <c r="Z224" i="42" s="1"/>
  <c r="AF203" i="1"/>
  <c r="Y30" i="49"/>
  <c r="Y48" i="49" s="1"/>
  <c r="T365" i="42"/>
  <c r="T461" i="42" s="1"/>
  <c r="T366" i="42"/>
  <c r="T462" i="42" s="1"/>
  <c r="T460" i="42"/>
  <c r="AI113" i="1"/>
  <c r="AJ114" i="1"/>
  <c r="K142" i="7"/>
  <c r="I47" i="4"/>
  <c r="K154" i="7" s="1"/>
  <c r="Z302" i="1"/>
  <c r="Z433" i="1"/>
  <c r="Z311" i="1"/>
  <c r="I49" i="4" s="1"/>
  <c r="T421" i="42"/>
  <c r="T422" i="42"/>
  <c r="I279" i="4"/>
  <c r="I3" i="40"/>
  <c r="I5" i="40" s="1"/>
  <c r="CA6" i="51"/>
  <c r="DS6" i="51" s="1"/>
  <c r="Z432" i="1"/>
  <c r="Z427" i="1" s="1"/>
  <c r="AA427" i="1" s="1"/>
  <c r="AB427" i="1" s="1"/>
  <c r="AC427" i="1" s="1"/>
  <c r="AD427" i="1" s="1"/>
  <c r="AE427" i="1" s="1"/>
  <c r="AF427" i="1" s="1"/>
  <c r="AG427" i="1" s="1"/>
  <c r="AH427" i="1" s="1"/>
  <c r="AI427" i="1" s="1"/>
  <c r="AJ427" i="1" s="1"/>
  <c r="AK427" i="1" s="1"/>
  <c r="AL427" i="1" s="1"/>
  <c r="AM427" i="1" s="1"/>
  <c r="AN427" i="1" s="1"/>
  <c r="Z307" i="1"/>
  <c r="T81" i="42"/>
  <c r="T432" i="42" s="1" a="1"/>
  <c r="T432" i="42" s="1"/>
  <c r="I104" i="4"/>
  <c r="S78" i="42"/>
  <c r="AR357" i="42"/>
  <c r="AR358" i="42"/>
  <c r="J60" i="4"/>
  <c r="T115" i="49"/>
  <c r="U59" i="42"/>
  <c r="I64" i="4"/>
  <c r="K143" i="7" s="1"/>
  <c r="S60" i="42"/>
  <c r="S340" i="42" a="1"/>
  <c r="S340" i="42" s="1"/>
  <c r="AR56" i="42"/>
  <c r="AR340" i="42" s="1" a="1"/>
  <c r="AR340" i="42" s="1"/>
  <c r="K262" i="7"/>
  <c r="T52" i="49"/>
  <c r="AN34" i="49"/>
  <c r="AN52" i="49" s="1"/>
  <c r="L196" i="7"/>
  <c r="S358" i="42"/>
  <c r="S357" i="42"/>
  <c r="Y320" i="1"/>
  <c r="Y596" i="1"/>
  <c r="Y312" i="1"/>
  <c r="AA663" i="1"/>
  <c r="V334" i="42"/>
  <c r="V333" i="42"/>
  <c r="Z674" i="1"/>
  <c r="AA416" i="1"/>
  <c r="Z423" i="1"/>
  <c r="AS24" i="42"/>
  <c r="AS228" i="42" s="1" a="1"/>
  <c r="AS228" i="42" s="1"/>
  <c r="U228" i="42" a="1"/>
  <c r="U228" i="42" s="1"/>
  <c r="Z12" i="49"/>
  <c r="AA14" i="42"/>
  <c r="AG176" i="1"/>
  <c r="AG141" i="1"/>
  <c r="S334" i="42"/>
  <c r="S333" i="42"/>
  <c r="AS27" i="42"/>
  <c r="AS240" i="42" s="1" a="1"/>
  <c r="AS240" i="42" s="1"/>
  <c r="U240" i="42" a="1"/>
  <c r="U240" i="42" s="1"/>
  <c r="L223" i="4"/>
  <c r="AE182" i="1"/>
  <c r="AH117" i="1"/>
  <c r="AH118" i="1" s="1"/>
  <c r="AH115" i="1"/>
  <c r="AN31" i="49"/>
  <c r="AN49" i="49" s="1"/>
  <c r="T49" i="49"/>
  <c r="V56" i="42"/>
  <c r="V340" i="42" s="1" a="1"/>
  <c r="V340" i="42" s="1"/>
  <c r="AB297" i="1"/>
  <c r="AB592" i="1"/>
  <c r="U102" i="49"/>
  <c r="U112" i="49" s="1"/>
  <c r="AB296" i="1"/>
  <c r="J13" i="4"/>
  <c r="AA277" i="1"/>
  <c r="AR333" i="42"/>
  <c r="AR334" i="42"/>
  <c r="J30" i="4"/>
  <c r="U54" i="42"/>
  <c r="T100" i="49"/>
  <c r="AA295" i="1"/>
  <c r="S349" i="42"/>
  <c r="S457" i="42" s="1"/>
  <c r="S350" i="42"/>
  <c r="S458" i="42" s="1"/>
  <c r="S456" i="42"/>
  <c r="L221" i="4"/>
  <c r="I46" i="4"/>
  <c r="I43" i="4" s="1"/>
  <c r="CA31" i="51"/>
  <c r="I35" i="4"/>
  <c r="P24" i="50"/>
  <c r="K149" i="7"/>
  <c r="X233" i="42"/>
  <c r="X234" i="42"/>
  <c r="AR349" i="42"/>
  <c r="AR457" i="42" s="1"/>
  <c r="AR350" i="42"/>
  <c r="AR458" i="42" s="1"/>
  <c r="AR456" i="42"/>
  <c r="U317" i="42"/>
  <c r="U318" i="42"/>
  <c r="V353" i="42"/>
  <c r="V354" i="42"/>
  <c r="R112" i="49"/>
  <c r="AM102" i="49"/>
  <c r="AM112" i="49" s="1"/>
  <c r="J21" i="4"/>
  <c r="CB23" i="51" s="1"/>
  <c r="AA283" i="1"/>
  <c r="AA589" i="1"/>
  <c r="U61" i="42" s="1"/>
  <c r="AD211" i="1"/>
  <c r="AD212" i="1"/>
  <c r="AD292" i="1"/>
  <c r="W34" i="49"/>
  <c r="W52" i="49" s="1"/>
  <c r="X27" i="42"/>
  <c r="X240" i="42" s="1" a="1"/>
  <c r="X240" i="42" s="1"/>
  <c r="AS318" i="42"/>
  <c r="AS317" i="42"/>
  <c r="AD589" i="1"/>
  <c r="X61" i="42" s="1"/>
  <c r="X356" i="42" s="1" a="1"/>
  <c r="X356" i="42" s="1"/>
  <c r="AD283" i="1"/>
  <c r="AS51" i="42"/>
  <c r="AS324" i="42" s="1" a="1"/>
  <c r="AS324" i="42" s="1"/>
  <c r="U324" i="42" a="1"/>
  <c r="U324" i="42" s="1"/>
  <c r="I196" i="4"/>
  <c r="AO30" i="49"/>
  <c r="AO48" i="49" s="1"/>
  <c r="V48" i="49"/>
  <c r="AU14" i="42"/>
  <c r="AU196" i="42" s="1" a="1"/>
  <c r="AU196" i="42" s="1"/>
  <c r="L217" i="7"/>
  <c r="CB42" i="51"/>
  <c r="S432" i="42" a="1"/>
  <c r="S432" i="42" s="1"/>
  <c r="Y198" i="42"/>
  <c r="Y197" i="42"/>
  <c r="U234" i="42"/>
  <c r="U233" i="42"/>
  <c r="I67" i="4"/>
  <c r="Y624" i="1"/>
  <c r="S63" i="42"/>
  <c r="R116" i="49"/>
  <c r="X318" i="42"/>
  <c r="X317" i="42"/>
  <c r="AD274" i="1"/>
  <c r="AD277" i="1" s="1"/>
  <c r="X24" i="42"/>
  <c r="X228" i="42" s="1" a="1"/>
  <c r="X228" i="42" s="1"/>
  <c r="W31" i="49"/>
  <c r="W49" i="49" s="1"/>
  <c r="AD186" i="1"/>
  <c r="Y262" i="7"/>
  <c r="Y149" i="7"/>
  <c r="Z217" i="7"/>
  <c r="Y143" i="7"/>
  <c r="Y142" i="7"/>
  <c r="Z196" i="7"/>
  <c r="Y154" i="7"/>
  <c r="Y384" i="7"/>
  <c r="M253" i="4" l="1"/>
  <c r="M258" i="4" s="1"/>
  <c r="CA48" i="51"/>
  <c r="DS31" i="51"/>
  <c r="CB44" i="51"/>
  <c r="DT23" i="51"/>
  <c r="AR81" i="42"/>
  <c r="AR432" i="42" s="1" a="1"/>
  <c r="AR432" i="42" s="1"/>
  <c r="AR433" i="42" s="1"/>
  <c r="CB29" i="51"/>
  <c r="L350" i="7"/>
  <c r="J63" i="4"/>
  <c r="L140" i="7"/>
  <c r="Y521" i="1"/>
  <c r="Y631" i="1" s="1"/>
  <c r="Z521" i="1"/>
  <c r="Z631" i="1" s="1"/>
  <c r="X241" i="42"/>
  <c r="X242" i="42"/>
  <c r="X54" i="42"/>
  <c r="X332" i="42" s="1" a="1"/>
  <c r="X332" i="42" s="1"/>
  <c r="AD295" i="1"/>
  <c r="W100" i="49"/>
  <c r="W110" i="49" s="1"/>
  <c r="AS229" i="42"/>
  <c r="AS230" i="42"/>
  <c r="AR78" i="42"/>
  <c r="AR420" i="42" s="1" a="1"/>
  <c r="AR420" i="42" s="1"/>
  <c r="S420" i="42" a="1"/>
  <c r="S420" i="42" s="1"/>
  <c r="AJ113" i="1"/>
  <c r="AK114" i="1"/>
  <c r="W115" i="49"/>
  <c r="W145" i="49" s="1"/>
  <c r="X59" i="42"/>
  <c r="X348" i="42" s="1" a="1"/>
  <c r="X348" i="42" s="1"/>
  <c r="AC274" i="1"/>
  <c r="AC186" i="1"/>
  <c r="W24" i="42"/>
  <c r="V31" i="49"/>
  <c r="AU198" i="42"/>
  <c r="AU197" i="42"/>
  <c r="P41" i="50"/>
  <c r="K263" i="7"/>
  <c r="I288" i="4"/>
  <c r="I124" i="4"/>
  <c r="AI115" i="1"/>
  <c r="AI117" i="1"/>
  <c r="AC212" i="1"/>
  <c r="V34" i="49"/>
  <c r="AC292" i="1"/>
  <c r="AD5" i="1" s="1"/>
  <c r="AD6" i="1" s="1"/>
  <c r="AC211" i="1"/>
  <c r="W27" i="42"/>
  <c r="AA196" i="42" a="1"/>
  <c r="AA196" i="42" s="1"/>
  <c r="AN115" i="49"/>
  <c r="AN145" i="49" s="1"/>
  <c r="T145" i="49"/>
  <c r="U229" i="42"/>
  <c r="U230" i="42"/>
  <c r="T433" i="42"/>
  <c r="T434" i="42"/>
  <c r="AO32" i="49"/>
  <c r="AO50" i="49" s="1"/>
  <c r="V50" i="49"/>
  <c r="X326" i="42"/>
  <c r="X325" i="42"/>
  <c r="AA507" i="1"/>
  <c r="AA513" i="1" s="1"/>
  <c r="AA514" i="1" s="1"/>
  <c r="AA587" i="1"/>
  <c r="J16" i="4"/>
  <c r="K122" i="7"/>
  <c r="K334" i="7"/>
  <c r="AH141" i="1"/>
  <c r="AA12" i="49"/>
  <c r="AQ12" i="49" s="1"/>
  <c r="AB14" i="42"/>
  <c r="AB196" i="42" s="1" a="1"/>
  <c r="AB196" i="42" s="1"/>
  <c r="AH176" i="1"/>
  <c r="AH178" i="1" s="1"/>
  <c r="AH182" i="1" s="1"/>
  <c r="AE193" i="1"/>
  <c r="L226" i="4"/>
  <c r="AE183" i="1"/>
  <c r="Y23" i="42"/>
  <c r="AE268" i="1"/>
  <c r="AE203" i="1"/>
  <c r="X30" i="49"/>
  <c r="AA594" i="1"/>
  <c r="K332" i="7"/>
  <c r="AD663" i="1"/>
  <c r="K130" i="4" s="1"/>
  <c r="M183" i="7" s="1"/>
  <c r="K18" i="4"/>
  <c r="CC21" i="51" s="1"/>
  <c r="DU21" i="51" s="1"/>
  <c r="AC282" i="1"/>
  <c r="I138" i="4"/>
  <c r="Z675" i="1"/>
  <c r="I139" i="4" s="1"/>
  <c r="K190" i="7" s="1"/>
  <c r="AA428" i="1"/>
  <c r="AA432" i="1" s="1"/>
  <c r="S433" i="42"/>
  <c r="S434" i="42"/>
  <c r="AR341" i="42"/>
  <c r="AR342" i="42"/>
  <c r="Y322" i="1"/>
  <c r="Y602" i="1"/>
  <c r="S364" i="42" a="1"/>
  <c r="S364" i="42" s="1"/>
  <c r="AR63" i="42"/>
  <c r="AR364" i="42" s="1" a="1"/>
  <c r="AR364" i="42" s="1"/>
  <c r="S341" i="42"/>
  <c r="S342" i="42"/>
  <c r="X230" i="42"/>
  <c r="X229" i="42"/>
  <c r="AS242" i="42"/>
  <c r="AS241" i="42"/>
  <c r="Z226" i="42"/>
  <c r="Z225" i="42"/>
  <c r="AO84" i="49"/>
  <c r="AO94" i="49" s="1"/>
  <c r="V94" i="49"/>
  <c r="AB624" i="1"/>
  <c r="V63" i="42"/>
  <c r="V364" i="42" s="1" a="1"/>
  <c r="V364" i="42" s="1"/>
  <c r="U116" i="49"/>
  <c r="U146" i="49" s="1"/>
  <c r="CA7" i="51"/>
  <c r="DS7" i="51" s="1"/>
  <c r="I280" i="4"/>
  <c r="I6" i="40"/>
  <c r="I8" i="40" s="1"/>
  <c r="AR60" i="42"/>
  <c r="AR352" i="42" s="1" a="1"/>
  <c r="AR352" i="42" s="1"/>
  <c r="S352" i="42" a="1"/>
  <c r="S352" i="42" s="1"/>
  <c r="Z49" i="42"/>
  <c r="Z316" i="42" s="1" a="1"/>
  <c r="Z316" i="42" s="1"/>
  <c r="AF271" i="1"/>
  <c r="Y84" i="49"/>
  <c r="Y94" i="49" s="1"/>
  <c r="AT49" i="42"/>
  <c r="AT316" i="42" s="1" a="1"/>
  <c r="AT316" i="42" s="1"/>
  <c r="W316" i="42" a="1"/>
  <c r="W316" i="42" s="1"/>
  <c r="AT225" i="42"/>
  <c r="AT226" i="42"/>
  <c r="I195" i="4"/>
  <c r="CA35" i="51"/>
  <c r="U356" i="42" a="1"/>
  <c r="U356" i="42" s="1"/>
  <c r="AS61" i="42"/>
  <c r="AS356" i="42" s="1" a="1"/>
  <c r="AS356" i="42" s="1"/>
  <c r="AS325" i="42"/>
  <c r="AS326" i="42"/>
  <c r="K11" i="4"/>
  <c r="AC502" i="1"/>
  <c r="AC503" i="1" s="1"/>
  <c r="AC429" i="1"/>
  <c r="AC635" i="1" s="1"/>
  <c r="V86" i="49"/>
  <c r="W51" i="42"/>
  <c r="AC272" i="1"/>
  <c r="AC585" i="1"/>
  <c r="AC289" i="1"/>
  <c r="AD4" i="1" s="1"/>
  <c r="AC386" i="1"/>
  <c r="W226" i="42"/>
  <c r="W225" i="42"/>
  <c r="R146" i="49"/>
  <c r="AM116" i="49"/>
  <c r="AM146" i="49" s="1"/>
  <c r="U242" i="42"/>
  <c r="U241" i="42"/>
  <c r="I88" i="4"/>
  <c r="K242" i="7" s="1"/>
  <c r="V341" i="42"/>
  <c r="V342" i="42"/>
  <c r="J33" i="4"/>
  <c r="U56" i="42"/>
  <c r="AA592" i="1"/>
  <c r="Z570" i="1"/>
  <c r="AB572" i="1"/>
  <c r="AA297" i="1"/>
  <c r="AA296" i="1"/>
  <c r="T102" i="49"/>
  <c r="Y570" i="1"/>
  <c r="AA572" i="1"/>
  <c r="AN100" i="49"/>
  <c r="AN110" i="49" s="1"/>
  <c r="T110" i="49"/>
  <c r="S65" i="42"/>
  <c r="Y593" i="1"/>
  <c r="R118" i="49"/>
  <c r="AS59" i="42"/>
  <c r="AS348" i="42" s="1" a="1"/>
  <c r="AS348" i="42" s="1"/>
  <c r="U348" i="42" a="1"/>
  <c r="U348" i="42" s="1"/>
  <c r="AF279" i="1"/>
  <c r="Z25" i="42"/>
  <c r="Z232" i="42" s="1" a="1"/>
  <c r="Z232" i="42" s="1"/>
  <c r="Y32" i="49"/>
  <c r="Y50" i="49" s="1"/>
  <c r="AF185" i="1"/>
  <c r="AF210" i="1"/>
  <c r="M339" i="7"/>
  <c r="CC17" i="51"/>
  <c r="DU17" i="51" s="1"/>
  <c r="AT25" i="42"/>
  <c r="AT232" i="42" s="1" a="1"/>
  <c r="AT232" i="42" s="1"/>
  <c r="W232" i="42" a="1"/>
  <c r="W232" i="42" s="1"/>
  <c r="K314" i="7"/>
  <c r="K123" i="7"/>
  <c r="AD507" i="1"/>
  <c r="AD513" i="1" s="1"/>
  <c r="AD514" i="1" s="1"/>
  <c r="AD685" i="1" s="1"/>
  <c r="K148" i="4" s="1"/>
  <c r="M203" i="7" s="1"/>
  <c r="AD587" i="1"/>
  <c r="X60" i="42" s="1"/>
  <c r="X352" i="42" s="1" a="1"/>
  <c r="X352" i="42" s="1"/>
  <c r="U326" i="42"/>
  <c r="U325" i="42"/>
  <c r="X357" i="42"/>
  <c r="X358" i="42"/>
  <c r="U332" i="42" a="1"/>
  <c r="U332" i="42" s="1"/>
  <c r="AS54" i="42"/>
  <c r="AS332" i="42" s="1" a="1"/>
  <c r="AS332" i="42" s="1"/>
  <c r="AG178" i="1"/>
  <c r="CA39" i="51"/>
  <c r="P34" i="50"/>
  <c r="Z596" i="1"/>
  <c r="Z312" i="1"/>
  <c r="Y123" i="7"/>
  <c r="Z350" i="7"/>
  <c r="Y190" i="7"/>
  <c r="Y334" i="7"/>
  <c r="AA203" i="7"/>
  <c r="Y242" i="7"/>
  <c r="AA183" i="7"/>
  <c r="AA339" i="7"/>
  <c r="Y122" i="7"/>
  <c r="Z140" i="7"/>
  <c r="Y314" i="7"/>
  <c r="Y332" i="7"/>
  <c r="Y328" i="1" l="1"/>
  <c r="Y605" i="1" s="1"/>
  <c r="Y325" i="1"/>
  <c r="Y326" i="1" s="1"/>
  <c r="AF282" i="1"/>
  <c r="AR434" i="42"/>
  <c r="CB46" i="51"/>
  <c r="DT29" i="51"/>
  <c r="I95" i="4"/>
  <c r="K244" i="7" s="1"/>
  <c r="M221" i="4"/>
  <c r="CC42" i="51"/>
  <c r="AV14" i="42"/>
  <c r="AV196" i="42" s="1" a="1"/>
  <c r="AV196" i="42" s="1"/>
  <c r="AV198" i="42" s="1"/>
  <c r="AB428" i="1"/>
  <c r="AB432" i="1" s="1"/>
  <c r="AA675" i="1"/>
  <c r="AR422" i="42"/>
  <c r="AR421" i="42"/>
  <c r="M196" i="7"/>
  <c r="T65" i="42"/>
  <c r="T372" i="42" s="1" a="1"/>
  <c r="T372" i="42" s="1"/>
  <c r="Z593" i="1"/>
  <c r="I68" i="4" s="1"/>
  <c r="S118" i="49"/>
  <c r="S148" i="49" s="1"/>
  <c r="Y603" i="1"/>
  <c r="AD520" i="1"/>
  <c r="K134" i="7" a="1"/>
  <c r="K134" i="7" s="1"/>
  <c r="AT27" i="42"/>
  <c r="AT240" i="42" s="1" a="1"/>
  <c r="AT240" i="42" s="1"/>
  <c r="W240" i="42" a="1"/>
  <c r="W240" i="42" s="1"/>
  <c r="M217" i="7"/>
  <c r="AF589" i="1"/>
  <c r="Z61" i="42" s="1"/>
  <c r="Z356" i="42" s="1" a="1"/>
  <c r="Z356" i="42" s="1"/>
  <c r="AF283" i="1"/>
  <c r="J67" i="4"/>
  <c r="AA624" i="1"/>
  <c r="T116" i="49"/>
  <c r="U63" i="42"/>
  <c r="K60" i="4"/>
  <c r="V115" i="49"/>
  <c r="W59" i="42"/>
  <c r="Y329" i="1"/>
  <c r="X56" i="42"/>
  <c r="X340" i="42" s="1" a="1"/>
  <c r="X340" i="42" s="1"/>
  <c r="AD592" i="1"/>
  <c r="AD297" i="1"/>
  <c r="AD296" i="1"/>
  <c r="W102" i="49"/>
  <c r="W112" i="49" s="1"/>
  <c r="V365" i="42"/>
  <c r="V461" i="42" s="1"/>
  <c r="V460" i="42"/>
  <c r="V366" i="42"/>
  <c r="V462" i="42" s="1"/>
  <c r="W317" i="42"/>
  <c r="W318" i="42"/>
  <c r="J64" i="4"/>
  <c r="L143" i="7" s="1"/>
  <c r="U60" i="42"/>
  <c r="K30" i="4"/>
  <c r="W54" i="42"/>
  <c r="AC295" i="1"/>
  <c r="V100" i="49"/>
  <c r="X333" i="42"/>
  <c r="X334" i="42"/>
  <c r="Z234" i="42"/>
  <c r="Z233" i="42"/>
  <c r="K135" i="7" a="1"/>
  <c r="K135" i="7" s="1"/>
  <c r="AT317" i="42"/>
  <c r="AT318" i="42"/>
  <c r="AA301" i="1"/>
  <c r="AA685" i="1"/>
  <c r="AA520" i="1"/>
  <c r="AO34" i="49"/>
  <c r="AO52" i="49" s="1"/>
  <c r="V52" i="49"/>
  <c r="AO31" i="49"/>
  <c r="AO49" i="49" s="1"/>
  <c r="V49" i="49"/>
  <c r="AS349" i="42"/>
  <c r="AS457" i="42" s="1"/>
  <c r="AS350" i="42"/>
  <c r="AS458" i="42" s="1"/>
  <c r="AS456" i="42"/>
  <c r="R148" i="49"/>
  <c r="V96" i="49"/>
  <c r="AO86" i="49"/>
  <c r="AO96" i="49" s="1"/>
  <c r="AP30" i="49"/>
  <c r="AP48" i="49" s="1"/>
  <c r="X48" i="49"/>
  <c r="W228" i="42" a="1"/>
  <c r="W228" i="42" s="1"/>
  <c r="AT24" i="42"/>
  <c r="AT228" i="42" s="1" a="1"/>
  <c r="AT228" i="42" s="1"/>
  <c r="U350" i="42"/>
  <c r="U458" i="42" s="1"/>
  <c r="U349" i="42"/>
  <c r="U457" i="42" s="1"/>
  <c r="U456" i="42"/>
  <c r="U340" i="42" a="1"/>
  <c r="U340" i="42" s="1"/>
  <c r="AS56" i="42"/>
  <c r="AS340" i="42" s="1" a="1"/>
  <c r="AS340" i="42" s="1"/>
  <c r="J46" i="4"/>
  <c r="J43" i="4" s="1"/>
  <c r="CB31" i="51"/>
  <c r="J35" i="4"/>
  <c r="L149" i="7"/>
  <c r="AT51" i="42"/>
  <c r="AT324" i="42" s="1" a="1"/>
  <c r="AT324" i="42" s="1"/>
  <c r="W324" i="42" a="1"/>
  <c r="W324" i="42" s="1"/>
  <c r="M223" i="4"/>
  <c r="AG182" i="1"/>
  <c r="S64" i="42"/>
  <c r="R117" i="49"/>
  <c r="AF502" i="1"/>
  <c r="AF503" i="1" s="1"/>
  <c r="AF429" i="1"/>
  <c r="AF635" i="1" s="1"/>
  <c r="Z51" i="42"/>
  <c r="Z324" i="42" s="1" a="1"/>
  <c r="Z324" i="42" s="1"/>
  <c r="AF272" i="1"/>
  <c r="AF585" i="1"/>
  <c r="Y86" i="49"/>
  <c r="Y96" i="49" s="1"/>
  <c r="AF289" i="1"/>
  <c r="AF386" i="1"/>
  <c r="Z27" i="42"/>
  <c r="Z240" i="42" s="1" a="1"/>
  <c r="Z240" i="42" s="1"/>
  <c r="AF292" i="1"/>
  <c r="AF212" i="1"/>
  <c r="Y34" i="49"/>
  <c r="Y52" i="49" s="1"/>
  <c r="AF211" i="1"/>
  <c r="Z318" i="42"/>
  <c r="Z317" i="42"/>
  <c r="L8" i="4"/>
  <c r="N339" i="7" s="1"/>
  <c r="Y49" i="42"/>
  <c r="X84" i="49"/>
  <c r="AE271" i="1"/>
  <c r="AI176" i="1"/>
  <c r="AI141" i="1"/>
  <c r="AB12" i="49"/>
  <c r="AC14" i="42"/>
  <c r="K13" i="4"/>
  <c r="AC277" i="1"/>
  <c r="K21" i="4"/>
  <c r="CC23" i="51" s="1"/>
  <c r="DU23" i="51" s="1"/>
  <c r="AC283" i="1"/>
  <c r="AC589" i="1"/>
  <c r="W61" i="42" s="1"/>
  <c r="AT233" i="42"/>
  <c r="AT234" i="42"/>
  <c r="I71" i="4"/>
  <c r="K246" i="7"/>
  <c r="K39" i="4"/>
  <c r="K42" i="4" s="1"/>
  <c r="CC19" i="51"/>
  <c r="DU19" i="51" s="1"/>
  <c r="S353" i="42"/>
  <c r="S354" i="42"/>
  <c r="AU23" i="42"/>
  <c r="AU224" i="42" s="1" a="1"/>
  <c r="AU224" i="42" s="1"/>
  <c r="Y224" i="42" a="1"/>
  <c r="Y224" i="42" s="1"/>
  <c r="L142" i="7"/>
  <c r="AA197" i="42"/>
  <c r="AA198" i="42"/>
  <c r="X354" i="42"/>
  <c r="X353" i="42"/>
  <c r="AR354" i="42"/>
  <c r="AR353" i="42"/>
  <c r="AI118" i="1"/>
  <c r="X349" i="42"/>
  <c r="X457" i="42" s="1"/>
  <c r="X350" i="42"/>
  <c r="X458" i="42" s="1"/>
  <c r="X456" i="42"/>
  <c r="CB6" i="51"/>
  <c r="DT6" i="51" s="1"/>
  <c r="J279" i="4"/>
  <c r="J3" i="40"/>
  <c r="J5" i="40" s="1"/>
  <c r="S372" i="42" a="1"/>
  <c r="S372" i="42" s="1"/>
  <c r="AC663" i="1"/>
  <c r="AR366" i="42"/>
  <c r="AR462" i="42" s="1"/>
  <c r="AR365" i="42"/>
  <c r="AR461" i="42" s="1"/>
  <c r="AR460" i="42"/>
  <c r="I144" i="4"/>
  <c r="K193" i="7"/>
  <c r="AS334" i="42"/>
  <c r="AS333" i="42"/>
  <c r="S366" i="42"/>
  <c r="S462" i="42" s="1"/>
  <c r="S365" i="42"/>
  <c r="S461" i="42" s="1"/>
  <c r="S460" i="42"/>
  <c r="Z681" i="1"/>
  <c r="AE279" i="1"/>
  <c r="AF3" i="1" s="1"/>
  <c r="AE210" i="1"/>
  <c r="X32" i="49"/>
  <c r="AE185" i="1"/>
  <c r="Y25" i="42"/>
  <c r="AL114" i="1"/>
  <c r="AK113" i="1"/>
  <c r="Z24" i="42"/>
  <c r="Z228" i="42" s="1" a="1"/>
  <c r="Z228" i="42" s="1"/>
  <c r="Y31" i="49"/>
  <c r="Y49" i="49" s="1"/>
  <c r="AF274" i="1"/>
  <c r="AF277" i="1" s="1"/>
  <c r="AF186" i="1"/>
  <c r="R121" i="49"/>
  <c r="S68" i="42"/>
  <c r="U334" i="42"/>
  <c r="U333" i="42"/>
  <c r="AS358" i="42"/>
  <c r="AS357" i="42"/>
  <c r="AB23" i="42"/>
  <c r="AB224" i="42" s="1" a="1"/>
  <c r="AB224" i="42" s="1"/>
  <c r="AA30" i="49"/>
  <c r="AA48" i="49" s="1"/>
  <c r="AH268" i="1"/>
  <c r="AH193" i="1"/>
  <c r="AH183" i="1"/>
  <c r="AH203" i="1"/>
  <c r="AJ117" i="1"/>
  <c r="AJ115" i="1"/>
  <c r="W234" i="42"/>
  <c r="W233" i="42"/>
  <c r="T112" i="49"/>
  <c r="AN102" i="49"/>
  <c r="AN112" i="49" s="1"/>
  <c r="U358" i="42"/>
  <c r="U357" i="42"/>
  <c r="AB197" i="42"/>
  <c r="AB198" i="42"/>
  <c r="S422" i="42"/>
  <c r="S421" i="42"/>
  <c r="Z149" i="7"/>
  <c r="Y246" i="7"/>
  <c r="Y150" i="7"/>
  <c r="AB339" i="7"/>
  <c r="Z143" i="7"/>
  <c r="Z142" i="7"/>
  <c r="Y134" i="7"/>
  <c r="Y135" i="7"/>
  <c r="Y244" i="7"/>
  <c r="AA217" i="7"/>
  <c r="AA196" i="7"/>
  <c r="Y193" i="7"/>
  <c r="AV197" i="42" l="1"/>
  <c r="AR65" i="42"/>
  <c r="AR372" i="42" s="1" a="1"/>
  <c r="AR372" i="42" s="1"/>
  <c r="AR374" i="42" s="1"/>
  <c r="AR466" i="42" s="1"/>
  <c r="CB48" i="51"/>
  <c r="DT31" i="51"/>
  <c r="AM118" i="49"/>
  <c r="AM148" i="49" s="1"/>
  <c r="CC44" i="51"/>
  <c r="AB675" i="1"/>
  <c r="J139" i="4" s="1"/>
  <c r="L190" i="7" s="1"/>
  <c r="AC428" i="1"/>
  <c r="AC432" i="1" s="1"/>
  <c r="AJ176" i="1"/>
  <c r="AJ178" i="1" s="1"/>
  <c r="AJ182" i="1" s="1"/>
  <c r="AJ141" i="1"/>
  <c r="AC12" i="49"/>
  <c r="AR12" i="49" s="1"/>
  <c r="AD14" i="42"/>
  <c r="AD196" i="42" s="1" a="1"/>
  <c r="AD196" i="42" s="1"/>
  <c r="W229" i="42"/>
  <c r="W230" i="42"/>
  <c r="Y608" i="1"/>
  <c r="R123" i="49"/>
  <c r="S70" i="42"/>
  <c r="AC507" i="1"/>
  <c r="AC513" i="1" s="1"/>
  <c r="AC514" i="1" s="1"/>
  <c r="K16" i="4"/>
  <c r="AC587" i="1"/>
  <c r="Z54" i="42"/>
  <c r="Z332" i="42" s="1" a="1"/>
  <c r="Z332" i="42" s="1"/>
  <c r="Y100" i="49"/>
  <c r="Y110" i="49" s="1"/>
  <c r="AF295" i="1"/>
  <c r="AG268" i="1"/>
  <c r="Z30" i="49"/>
  <c r="AG193" i="1"/>
  <c r="M226" i="4"/>
  <c r="AG203" i="1"/>
  <c r="AG183" i="1"/>
  <c r="AA23" i="42"/>
  <c r="AA433" i="1"/>
  <c r="AA302" i="1"/>
  <c r="AA311" i="1"/>
  <c r="X341" i="42"/>
  <c r="X342" i="42"/>
  <c r="U352" i="42" a="1"/>
  <c r="U352" i="42" s="1"/>
  <c r="AS60" i="42"/>
  <c r="AS352" i="42" s="1" a="1"/>
  <c r="AS352" i="42" s="1"/>
  <c r="Z241" i="42"/>
  <c r="Z242" i="42"/>
  <c r="Z229" i="42"/>
  <c r="Z230" i="42"/>
  <c r="L122" i="7"/>
  <c r="L334" i="7"/>
  <c r="W326" i="42"/>
  <c r="W325" i="42"/>
  <c r="AT59" i="42"/>
  <c r="AT348" i="42" s="1" a="1"/>
  <c r="AT348" i="42" s="1"/>
  <c r="W348" i="42" a="1"/>
  <c r="W348" i="42" s="1"/>
  <c r="Y493" i="1"/>
  <c r="Y494" i="1" s="1"/>
  <c r="Y627" i="1" s="1"/>
  <c r="S69" i="42"/>
  <c r="R122" i="49"/>
  <c r="R147" i="49"/>
  <c r="S368" i="42" a="1"/>
  <c r="S368" i="42" s="1"/>
  <c r="AF507" i="1"/>
  <c r="AF513" i="1" s="1"/>
  <c r="AF514" i="1" s="1"/>
  <c r="AF685" i="1" s="1"/>
  <c r="L148" i="4" s="1"/>
  <c r="N203" i="7" s="1"/>
  <c r="AF587" i="1"/>
  <c r="Z60" i="42" s="1"/>
  <c r="Z352" i="42" s="1" a="1"/>
  <c r="Z352" i="42" s="1"/>
  <c r="AT326" i="42"/>
  <c r="AT325" i="42"/>
  <c r="AO115" i="49"/>
  <c r="AO145" i="49" s="1"/>
  <c r="V145" i="49"/>
  <c r="AB521" i="1"/>
  <c r="AB631" i="1" s="1"/>
  <c r="AA521" i="1"/>
  <c r="AA631" i="1" s="1"/>
  <c r="AH210" i="1"/>
  <c r="AA32" i="49"/>
  <c r="AA50" i="49" s="1"/>
  <c r="AB25" i="42"/>
  <c r="AB232" i="42" s="1" a="1"/>
  <c r="AB232" i="42" s="1"/>
  <c r="AH185" i="1"/>
  <c r="AH279" i="1"/>
  <c r="AH282" i="1" s="1"/>
  <c r="L314" i="7"/>
  <c r="L123" i="7"/>
  <c r="K63" i="4"/>
  <c r="M140" i="7"/>
  <c r="T64" i="42"/>
  <c r="T368" i="42" s="1" a="1"/>
  <c r="T368" i="42" s="1"/>
  <c r="S117" i="49"/>
  <c r="S147" i="49" s="1"/>
  <c r="W242" i="42"/>
  <c r="W241" i="42"/>
  <c r="AS63" i="42"/>
  <c r="AS364" i="42" s="1" a="1"/>
  <c r="AS364" i="42" s="1"/>
  <c r="U364" i="42" a="1"/>
  <c r="U364" i="42" s="1"/>
  <c r="T373" i="42"/>
  <c r="T465" i="42" s="1"/>
  <c r="T374" i="42"/>
  <c r="T466" i="42" s="1"/>
  <c r="T464" i="42"/>
  <c r="AM114" i="1"/>
  <c r="AL113" i="1"/>
  <c r="Y115" i="49"/>
  <c r="Y145" i="49" s="1"/>
  <c r="Z59" i="42"/>
  <c r="Z348" i="42" s="1" a="1"/>
  <c r="Z348" i="42" s="1"/>
  <c r="Y24" i="42"/>
  <c r="AE274" i="1"/>
  <c r="AE186" i="1"/>
  <c r="X31" i="49"/>
  <c r="N253" i="4"/>
  <c r="N258" i="4" s="1"/>
  <c r="AN116" i="49"/>
  <c r="AN146" i="49" s="1"/>
  <c r="T146" i="49"/>
  <c r="S384" i="42" a="1"/>
  <c r="S384" i="42" s="1"/>
  <c r="W356" i="42" a="1"/>
  <c r="W356" i="42" s="1"/>
  <c r="AT61" i="42"/>
  <c r="AT356" i="42" s="1" a="1"/>
  <c r="AT356" i="42" s="1"/>
  <c r="AP32" i="49"/>
  <c r="AP50" i="49" s="1"/>
  <c r="X50" i="49"/>
  <c r="L11" i="4"/>
  <c r="L39" i="4" s="1"/>
  <c r="L42" i="4" s="1"/>
  <c r="AE502" i="1"/>
  <c r="AE503" i="1" s="1"/>
  <c r="AE429" i="1"/>
  <c r="AE635" i="1" s="1"/>
  <c r="AE272" i="1"/>
  <c r="AE585" i="1"/>
  <c r="X86" i="49"/>
  <c r="AE386" i="1"/>
  <c r="Y51" i="42"/>
  <c r="AE289" i="1"/>
  <c r="AF4" i="1" s="1"/>
  <c r="Z326" i="42"/>
  <c r="Z325" i="42"/>
  <c r="J88" i="4"/>
  <c r="L242" i="7" s="1"/>
  <c r="AT241" i="42"/>
  <c r="AT242" i="42"/>
  <c r="AI178" i="1"/>
  <c r="AE292" i="1"/>
  <c r="AF5" i="1" s="1"/>
  <c r="AF6" i="1" s="1"/>
  <c r="X34" i="49"/>
  <c r="AE212" i="1"/>
  <c r="AE211" i="1"/>
  <c r="Y27" i="42"/>
  <c r="AS341" i="42"/>
  <c r="AS342" i="42"/>
  <c r="AO100" i="49"/>
  <c r="AO110" i="49" s="1"/>
  <c r="V110" i="49"/>
  <c r="CB7" i="51"/>
  <c r="DT7" i="51" s="1"/>
  <c r="J280" i="4"/>
  <c r="J6" i="40"/>
  <c r="J8" i="40" s="1"/>
  <c r="AT229" i="42"/>
  <c r="AT230" i="42"/>
  <c r="AB225" i="42"/>
  <c r="AB226" i="42"/>
  <c r="AC196" i="42" a="1"/>
  <c r="AC196" i="42" s="1"/>
  <c r="AK117" i="1"/>
  <c r="AK115" i="1"/>
  <c r="AP84" i="49"/>
  <c r="AP94" i="49" s="1"/>
  <c r="X94" i="49"/>
  <c r="L18" i="4"/>
  <c r="AE282" i="1"/>
  <c r="K331" i="7"/>
  <c r="Y316" i="42" a="1"/>
  <c r="Y316" i="42" s="1"/>
  <c r="AU49" i="42"/>
  <c r="AU316" i="42" s="1" a="1"/>
  <c r="AU316" i="42" s="1"/>
  <c r="AF663" i="1"/>
  <c r="L130" i="4" s="1"/>
  <c r="N183" i="7" s="1"/>
  <c r="U342" i="42"/>
  <c r="U341" i="42"/>
  <c r="K33" i="4"/>
  <c r="AC592" i="1"/>
  <c r="W56" i="42"/>
  <c r="AB570" i="1"/>
  <c r="AD572" i="1"/>
  <c r="V102" i="49"/>
  <c r="AC297" i="1"/>
  <c r="AC296" i="1"/>
  <c r="AC572" i="1"/>
  <c r="AA570" i="1"/>
  <c r="AU225" i="42"/>
  <c r="AU226" i="42"/>
  <c r="K195" i="7"/>
  <c r="CA8" i="51"/>
  <c r="DS8" i="51" s="1"/>
  <c r="AT54" i="42"/>
  <c r="AT332" i="42" s="1" a="1"/>
  <c r="AT332" i="42" s="1"/>
  <c r="W332" i="42" a="1"/>
  <c r="W332" i="42" s="1"/>
  <c r="Z358" i="42"/>
  <c r="Z357" i="42"/>
  <c r="R151" i="49"/>
  <c r="S464" i="42"/>
  <c r="S373" i="42"/>
  <c r="S465" i="42" s="1"/>
  <c r="S374" i="42"/>
  <c r="S466" i="42" s="1"/>
  <c r="AA84" i="49"/>
  <c r="AA94" i="49" s="1"/>
  <c r="AH271" i="1"/>
  <c r="AB49" i="42"/>
  <c r="AB316" i="42" s="1" a="1"/>
  <c r="AB316" i="42" s="1"/>
  <c r="Y226" i="42"/>
  <c r="Y225" i="42"/>
  <c r="AU25" i="42"/>
  <c r="AU232" i="42" s="1" a="1"/>
  <c r="AU232" i="42" s="1"/>
  <c r="Y232" i="42" a="1"/>
  <c r="Y232" i="42" s="1"/>
  <c r="AJ118" i="1"/>
  <c r="CC29" i="51"/>
  <c r="M350" i="7"/>
  <c r="AD624" i="1"/>
  <c r="W116" i="49"/>
  <c r="W146" i="49" s="1"/>
  <c r="X63" i="42"/>
  <c r="X364" i="42" s="1" a="1"/>
  <c r="X364" i="42" s="1"/>
  <c r="Z123" i="7"/>
  <c r="Z190" i="7"/>
  <c r="AB183" i="7"/>
  <c r="Y331" i="7"/>
  <c r="Y195" i="7"/>
  <c r="Z242" i="7"/>
  <c r="AB203" i="7"/>
  <c r="AA350" i="7"/>
  <c r="AA140" i="7"/>
  <c r="Z334" i="7"/>
  <c r="Z314" i="7"/>
  <c r="Z122" i="7"/>
  <c r="N221" i="4" l="1"/>
  <c r="AR373" i="42"/>
  <c r="AR465" i="42" s="1"/>
  <c r="AR464" i="42"/>
  <c r="AW14" i="42"/>
  <c r="AW196" i="42" s="1" a="1"/>
  <c r="AW196" i="42" s="1"/>
  <c r="AW198" i="42" s="1"/>
  <c r="CC46" i="51"/>
  <c r="DU29" i="51"/>
  <c r="AF520" i="1"/>
  <c r="AD428" i="1"/>
  <c r="AD432" i="1" s="1"/>
  <c r="AC675" i="1"/>
  <c r="AT358" i="42"/>
  <c r="AT357" i="42"/>
  <c r="W357" i="42"/>
  <c r="W358" i="42"/>
  <c r="Z456" i="42"/>
  <c r="Z350" i="42"/>
  <c r="Z458" i="42" s="1"/>
  <c r="Z349" i="42"/>
  <c r="Z457" i="42" s="1"/>
  <c r="CC6" i="51"/>
  <c r="DU6" i="51" s="1"/>
  <c r="K3" i="40"/>
  <c r="K5" i="40" s="1"/>
  <c r="K279" i="4"/>
  <c r="Z354" i="42"/>
  <c r="Z353" i="42"/>
  <c r="Y613" i="1"/>
  <c r="Y614" i="1" s="1"/>
  <c r="Y611" i="1"/>
  <c r="Y621" i="1"/>
  <c r="Y533" i="1" s="1"/>
  <c r="AP86" i="49"/>
  <c r="AP96" i="49" s="1"/>
  <c r="X96" i="49"/>
  <c r="L134" i="7" a="1"/>
  <c r="L134" i="7" s="1"/>
  <c r="K67" i="4"/>
  <c r="AC624" i="1"/>
  <c r="V116" i="49"/>
  <c r="W63" i="42"/>
  <c r="AP34" i="49"/>
  <c r="AP52" i="49" s="1"/>
  <c r="X52" i="49"/>
  <c r="S385" i="42"/>
  <c r="S386" i="42"/>
  <c r="L135" i="7" a="1"/>
  <c r="L135" i="7" s="1"/>
  <c r="N217" i="7"/>
  <c r="Y233" i="42"/>
  <c r="Y234" i="42"/>
  <c r="T369" i="42"/>
  <c r="T370" i="42"/>
  <c r="AC198" i="42"/>
  <c r="AC197" i="42"/>
  <c r="L30" i="4"/>
  <c r="N350" i="7" s="1"/>
  <c r="Y54" i="42"/>
  <c r="X100" i="49"/>
  <c r="AE295" i="1"/>
  <c r="AL115" i="1"/>
  <c r="AL117" i="1"/>
  <c r="O253" i="4" s="1"/>
  <c r="O258" i="4" s="1"/>
  <c r="S369" i="42"/>
  <c r="S370" i="42"/>
  <c r="AG279" i="1"/>
  <c r="Z32" i="49"/>
  <c r="AA25" i="42"/>
  <c r="AG210" i="1"/>
  <c r="AG185" i="1"/>
  <c r="AK176" i="1"/>
  <c r="AK141" i="1"/>
  <c r="AE14" i="42"/>
  <c r="AD12" i="49"/>
  <c r="AE663" i="1"/>
  <c r="AM113" i="1"/>
  <c r="AN114" i="1"/>
  <c r="AN113" i="1" s="1"/>
  <c r="AR64" i="42"/>
  <c r="AR368" i="42" s="1" a="1"/>
  <c r="AR368" i="42" s="1"/>
  <c r="Z48" i="49"/>
  <c r="AQ30" i="49"/>
  <c r="AQ48" i="49" s="1"/>
  <c r="K335" i="7"/>
  <c r="K333" i="7"/>
  <c r="K156" i="7"/>
  <c r="AM117" i="49"/>
  <c r="AM147" i="49" s="1"/>
  <c r="AS354" i="42"/>
  <c r="AS353" i="42"/>
  <c r="M8" i="4"/>
  <c r="O339" i="7" s="1"/>
  <c r="AA49" i="42"/>
  <c r="AG271" i="1"/>
  <c r="Z84" i="49"/>
  <c r="X366" i="42"/>
  <c r="X462" i="42" s="1"/>
  <c r="X460" i="42"/>
  <c r="X365" i="42"/>
  <c r="X461" i="42" s="1"/>
  <c r="AB318" i="42"/>
  <c r="AB317" i="42"/>
  <c r="AH589" i="1"/>
  <c r="AB61" i="42" s="1"/>
  <c r="AB356" i="42" s="1" a="1"/>
  <c r="AB356" i="42" s="1"/>
  <c r="AH283" i="1"/>
  <c r="U353" i="42"/>
  <c r="U354" i="42"/>
  <c r="AF592" i="1"/>
  <c r="Z56" i="42"/>
  <c r="Z340" i="42" s="1" a="1"/>
  <c r="Z340" i="42" s="1"/>
  <c r="AF297" i="1"/>
  <c r="AF296" i="1"/>
  <c r="Y102" i="49"/>
  <c r="Y112" i="49" s="1"/>
  <c r="W334" i="42"/>
  <c r="W333" i="42"/>
  <c r="R153" i="49"/>
  <c r="AB24" i="42"/>
  <c r="AB228" i="42" s="1" a="1"/>
  <c r="AB228" i="42" s="1"/>
  <c r="AA31" i="49"/>
  <c r="AA49" i="49" s="1"/>
  <c r="AH274" i="1"/>
  <c r="AH277" i="1" s="1"/>
  <c r="AH186" i="1"/>
  <c r="R152" i="49"/>
  <c r="AD197" i="42"/>
  <c r="AD198" i="42"/>
  <c r="AP31" i="49"/>
  <c r="AP49" i="49" s="1"/>
  <c r="X49" i="49"/>
  <c r="AB234" i="42"/>
  <c r="AB233" i="42"/>
  <c r="S388" i="42" a="1"/>
  <c r="S388" i="42" s="1"/>
  <c r="Z333" i="42"/>
  <c r="Z334" i="42"/>
  <c r="AT56" i="42"/>
  <c r="AT340" i="42" s="1" a="1"/>
  <c r="AT340" i="42" s="1"/>
  <c r="W340" i="42" a="1"/>
  <c r="W340" i="42" s="1"/>
  <c r="N196" i="7"/>
  <c r="U365" i="42"/>
  <c r="U461" i="42" s="1"/>
  <c r="U460" i="42"/>
  <c r="U366" i="42"/>
  <c r="U462" i="42" s="1"/>
  <c r="K64" i="4"/>
  <c r="M143" i="7" s="1"/>
  <c r="W60" i="42"/>
  <c r="S392" i="42" a="1"/>
  <c r="S392" i="42" s="1"/>
  <c r="AH502" i="1"/>
  <c r="AH503" i="1" s="1"/>
  <c r="AB51" i="42"/>
  <c r="AB324" i="42" s="1" a="1"/>
  <c r="AB324" i="42" s="1"/>
  <c r="AH272" i="1"/>
  <c r="AA86" i="49"/>
  <c r="AA96" i="49" s="1"/>
  <c r="AH386" i="1"/>
  <c r="AH429" i="1"/>
  <c r="AH635" i="1" s="1"/>
  <c r="AH289" i="1"/>
  <c r="AH585" i="1"/>
  <c r="L13" i="4"/>
  <c r="AE277" i="1"/>
  <c r="AS366" i="42"/>
  <c r="AS462" i="42" s="1"/>
  <c r="AS460" i="42"/>
  <c r="AS365" i="42"/>
  <c r="AS461" i="42" s="1"/>
  <c r="AH292" i="1"/>
  <c r="AH212" i="1"/>
  <c r="AB27" i="42"/>
  <c r="AB240" i="42" s="1" a="1"/>
  <c r="AB240" i="42" s="1"/>
  <c r="AH211" i="1"/>
  <c r="AA34" i="49"/>
  <c r="AA52" i="49" s="1"/>
  <c r="Y630" i="1"/>
  <c r="AA596" i="1"/>
  <c r="AA312" i="1"/>
  <c r="AJ193" i="1"/>
  <c r="AJ268" i="1"/>
  <c r="AD23" i="42"/>
  <c r="AD224" i="42" s="1" a="1"/>
  <c r="AD224" i="42" s="1"/>
  <c r="AJ203" i="1"/>
  <c r="AJ183" i="1"/>
  <c r="AC30" i="49"/>
  <c r="AC48" i="49" s="1"/>
  <c r="AO102" i="49"/>
  <c r="AO112" i="49" s="1"/>
  <c r="V112" i="49"/>
  <c r="Y324" i="42" a="1"/>
  <c r="Y324" i="42" s="1"/>
  <c r="AU51" i="42"/>
  <c r="AU324" i="42" s="1" a="1"/>
  <c r="AU324" i="42" s="1"/>
  <c r="AK118" i="1"/>
  <c r="AV23" i="42"/>
  <c r="AV224" i="42" s="1" a="1"/>
  <c r="AV224" i="42" s="1"/>
  <c r="AA224" i="42" a="1"/>
  <c r="AA224" i="42" s="1"/>
  <c r="L60" i="4"/>
  <c r="Y59" i="42"/>
  <c r="X115" i="49"/>
  <c r="CC31" i="51"/>
  <c r="K46" i="4"/>
  <c r="K43" i="4" s="1"/>
  <c r="K35" i="4"/>
  <c r="M149" i="7"/>
  <c r="N223" i="4"/>
  <c r="AI182" i="1"/>
  <c r="AU318" i="42"/>
  <c r="AU317" i="42"/>
  <c r="AU24" i="42"/>
  <c r="AU228" i="42" s="1" a="1"/>
  <c r="AU228" i="42" s="1"/>
  <c r="Y228" i="42" a="1"/>
  <c r="Y228" i="42" s="1"/>
  <c r="J95" i="4"/>
  <c r="L244" i="7" s="1"/>
  <c r="W456" i="42"/>
  <c r="W349" i="42"/>
  <c r="W457" i="42" s="1"/>
  <c r="W350" i="42"/>
  <c r="W458" i="42" s="1"/>
  <c r="AC685" i="1"/>
  <c r="AC520" i="1"/>
  <c r="AT334" i="42"/>
  <c r="AT333" i="42"/>
  <c r="Y240" i="42" a="1"/>
  <c r="Y240" i="42" s="1"/>
  <c r="AU27" i="42"/>
  <c r="AU240" i="42" s="1" a="1"/>
  <c r="AU240" i="42" s="1"/>
  <c r="AT350" i="42"/>
  <c r="AT458" i="42" s="1"/>
  <c r="AT456" i="42"/>
  <c r="AT349" i="42"/>
  <c r="AT457" i="42" s="1"/>
  <c r="AU234" i="42"/>
  <c r="AU233" i="42"/>
  <c r="M142" i="7"/>
  <c r="Y317" i="42"/>
  <c r="Y318" i="42"/>
  <c r="AE589" i="1"/>
  <c r="Y61" i="42" s="1"/>
  <c r="AE283" i="1"/>
  <c r="L21" i="4"/>
  <c r="AB196" i="7"/>
  <c r="AA149" i="7"/>
  <c r="AB217" i="7"/>
  <c r="AC339" i="7"/>
  <c r="Z134" i="7"/>
  <c r="AB350" i="7"/>
  <c r="Y156" i="7"/>
  <c r="AA143" i="7"/>
  <c r="Z135" i="7"/>
  <c r="Y333" i="7"/>
  <c r="Y335" i="7"/>
  <c r="AA142" i="7"/>
  <c r="Z244" i="7"/>
  <c r="L246" i="7" l="1"/>
  <c r="AW197" i="42"/>
  <c r="Y528" i="1"/>
  <c r="Y534" i="1"/>
  <c r="Y530" i="1"/>
  <c r="CC48" i="51"/>
  <c r="DU31" i="51"/>
  <c r="AD675" i="1"/>
  <c r="K139" i="4" s="1"/>
  <c r="M190" i="7" s="1"/>
  <c r="AE428" i="1"/>
  <c r="AE432" i="1" s="1"/>
  <c r="AB358" i="42"/>
  <c r="AB357" i="42"/>
  <c r="AE196" i="42" a="1"/>
  <c r="AE196" i="42" s="1"/>
  <c r="AL118" i="1"/>
  <c r="AP115" i="49"/>
  <c r="AP145" i="49" s="1"/>
  <c r="X145" i="49"/>
  <c r="AD49" i="42"/>
  <c r="AD316" i="42" s="1" a="1"/>
  <c r="AD316" i="42" s="1"/>
  <c r="AJ271" i="1"/>
  <c r="AC84" i="49"/>
  <c r="AC94" i="49" s="1"/>
  <c r="AE507" i="1"/>
  <c r="AE513" i="1" s="1"/>
  <c r="AE514" i="1" s="1"/>
  <c r="AE587" i="1"/>
  <c r="L16" i="4"/>
  <c r="AB326" i="42"/>
  <c r="AB325" i="42"/>
  <c r="Y229" i="42"/>
  <c r="Y230" i="42"/>
  <c r="AU59" i="42"/>
  <c r="AU348" i="42" s="1" a="1"/>
  <c r="AU348" i="42" s="1"/>
  <c r="Y348" i="42" a="1"/>
  <c r="Y348" i="42" s="1"/>
  <c r="AJ279" i="1"/>
  <c r="AJ282" i="1" s="1"/>
  <c r="AD25" i="42"/>
  <c r="AD232" i="42" s="1" a="1"/>
  <c r="AD232" i="42" s="1"/>
  <c r="AC32" i="49"/>
  <c r="AC50" i="49" s="1"/>
  <c r="AJ210" i="1"/>
  <c r="AJ185" i="1"/>
  <c r="AH663" i="1"/>
  <c r="M130" i="4" s="1"/>
  <c r="O183" i="7" s="1"/>
  <c r="K377" i="7"/>
  <c r="K315" i="7"/>
  <c r="K328" i="7"/>
  <c r="Y531" i="1"/>
  <c r="S74" i="42"/>
  <c r="R127" i="49"/>
  <c r="L33" i="4"/>
  <c r="AD570" i="1"/>
  <c r="X102" i="49"/>
  <c r="AE296" i="1"/>
  <c r="Y56" i="42"/>
  <c r="AE297" i="1"/>
  <c r="AE592" i="1"/>
  <c r="AF572" i="1"/>
  <c r="AC570" i="1"/>
  <c r="AE572" i="1"/>
  <c r="AT63" i="42"/>
  <c r="AT364" i="42" s="1" a="1"/>
  <c r="AT364" i="42" s="1"/>
  <c r="W364" i="42" a="1"/>
  <c r="W364" i="42" s="1"/>
  <c r="W342" i="42"/>
  <c r="W341" i="42"/>
  <c r="AQ84" i="49"/>
  <c r="AQ94" i="49" s="1"/>
  <c r="Z94" i="49"/>
  <c r="AP100" i="49"/>
  <c r="AP110" i="49" s="1"/>
  <c r="X110" i="49"/>
  <c r="AO116" i="49"/>
  <c r="AO146" i="49" s="1"/>
  <c r="V146" i="49"/>
  <c r="L331" i="7"/>
  <c r="AT341" i="42"/>
  <c r="AT342" i="42"/>
  <c r="M11" i="4"/>
  <c r="M39" i="4" s="1"/>
  <c r="M42" i="4" s="1"/>
  <c r="AG429" i="1"/>
  <c r="AG635" i="1" s="1"/>
  <c r="AG502" i="1"/>
  <c r="AG503" i="1" s="1"/>
  <c r="Z86" i="49"/>
  <c r="AA51" i="42"/>
  <c r="AG272" i="1"/>
  <c r="AG289" i="1"/>
  <c r="AG585" i="1"/>
  <c r="AG386" i="1"/>
  <c r="AU54" i="42"/>
  <c r="AU332" i="42" s="1" a="1"/>
  <c r="AU332" i="42" s="1"/>
  <c r="Y332" i="42" a="1"/>
  <c r="Y332" i="42" s="1"/>
  <c r="K88" i="4"/>
  <c r="M242" i="7" s="1"/>
  <c r="AU230" i="42"/>
  <c r="AU229" i="42"/>
  <c r="AA225" i="42"/>
  <c r="AA226" i="42"/>
  <c r="AA316" i="42" a="1"/>
  <c r="AA316" i="42" s="1"/>
  <c r="AV49" i="42"/>
  <c r="AV316" i="42" s="1" a="1"/>
  <c r="AV316" i="42" s="1"/>
  <c r="CC7" i="51"/>
  <c r="DU7" i="51" s="1"/>
  <c r="K6" i="40"/>
  <c r="K8" i="40" s="1"/>
  <c r="K280" i="4"/>
  <c r="S393" i="42"/>
  <c r="S469" i="42" s="1"/>
  <c r="S468" i="42"/>
  <c r="S394" i="42"/>
  <c r="S470" i="42" s="1"/>
  <c r="AH507" i="1"/>
  <c r="AH513" i="1" s="1"/>
  <c r="AH514" i="1" s="1"/>
  <c r="AH685" i="1" s="1"/>
  <c r="M148" i="4" s="1"/>
  <c r="O203" i="7" s="1"/>
  <c r="AH587" i="1"/>
  <c r="AB60" i="42" s="1"/>
  <c r="AB352" i="42" s="1" a="1"/>
  <c r="AB352" i="42" s="1"/>
  <c r="Z31" i="49"/>
  <c r="AG274" i="1"/>
  <c r="AG186" i="1"/>
  <c r="AA24" i="42"/>
  <c r="AT60" i="42"/>
  <c r="AT352" i="42" s="1" a="1"/>
  <c r="AT352" i="42" s="1"/>
  <c r="W352" i="42" a="1"/>
  <c r="W352" i="42" s="1"/>
  <c r="Z342" i="42"/>
  <c r="Z341" i="42"/>
  <c r="AR370" i="42"/>
  <c r="AR369" i="42"/>
  <c r="AG292" i="1"/>
  <c r="AA27" i="42"/>
  <c r="AG212" i="1"/>
  <c r="AG211" i="1"/>
  <c r="Z34" i="49"/>
  <c r="AU241" i="42"/>
  <c r="AU242" i="42"/>
  <c r="U65" i="42"/>
  <c r="AA593" i="1"/>
  <c r="T118" i="49"/>
  <c r="AU325" i="42"/>
  <c r="AU326" i="42"/>
  <c r="AB230" i="42"/>
  <c r="AB229" i="42"/>
  <c r="AF624" i="1"/>
  <c r="Y116" i="49"/>
  <c r="Y146" i="49" s="1"/>
  <c r="Z63" i="42"/>
  <c r="Z364" i="42" s="1" a="1"/>
  <c r="Z364" i="42" s="1"/>
  <c r="AN117" i="1"/>
  <c r="AN115" i="1"/>
  <c r="AA232" i="42" a="1"/>
  <c r="AA232" i="42" s="1"/>
  <c r="AV25" i="42"/>
  <c r="AV232" i="42" s="1" a="1"/>
  <c r="AV232" i="42" s="1"/>
  <c r="M314" i="7"/>
  <c r="M123" i="7"/>
  <c r="AL176" i="1"/>
  <c r="AL178" i="1" s="1"/>
  <c r="AL182" i="1" s="1"/>
  <c r="AL141" i="1"/>
  <c r="AE12" i="49"/>
  <c r="AS12" i="49" s="1"/>
  <c r="AF14" i="42"/>
  <c r="AF196" i="42" s="1" a="1"/>
  <c r="AF196" i="42" s="1"/>
  <c r="Y242" i="42"/>
  <c r="Y241" i="42"/>
  <c r="AD521" i="1"/>
  <c r="AD631" i="1" s="1"/>
  <c r="AC521" i="1"/>
  <c r="AC631" i="1" s="1"/>
  <c r="AC23" i="42"/>
  <c r="N226" i="4"/>
  <c r="AI203" i="1"/>
  <c r="AI268" i="1"/>
  <c r="AB30" i="49"/>
  <c r="AI183" i="1"/>
  <c r="AI193" i="1"/>
  <c r="Y326" i="42"/>
  <c r="Y325" i="42"/>
  <c r="S390" i="42"/>
  <c r="S389" i="42"/>
  <c r="AM115" i="1"/>
  <c r="AM117" i="1"/>
  <c r="AM118" i="1" s="1"/>
  <c r="AQ32" i="49"/>
  <c r="AQ50" i="49" s="1"/>
  <c r="Z50" i="49"/>
  <c r="R126" i="49"/>
  <c r="S73" i="42"/>
  <c r="AD225" i="42"/>
  <c r="AD226" i="42"/>
  <c r="AK178" i="1"/>
  <c r="Y356" i="42" a="1"/>
  <c r="Y356" i="42" s="1"/>
  <c r="AU61" i="42"/>
  <c r="AU356" i="42" s="1" a="1"/>
  <c r="AU356" i="42" s="1"/>
  <c r="AV225" i="42"/>
  <c r="AV226" i="42"/>
  <c r="M122" i="7"/>
  <c r="M334" i="7"/>
  <c r="AB241" i="42"/>
  <c r="AB242" i="42"/>
  <c r="M18" i="4"/>
  <c r="AG282" i="1"/>
  <c r="R124" i="49"/>
  <c r="S71" i="42"/>
  <c r="Y618" i="1"/>
  <c r="Y615" i="1"/>
  <c r="AB54" i="42"/>
  <c r="AB332" i="42" s="1" a="1"/>
  <c r="AB332" i="42" s="1"/>
  <c r="AA100" i="49"/>
  <c r="AA110" i="49" s="1"/>
  <c r="AH295" i="1"/>
  <c r="L63" i="4"/>
  <c r="N140" i="7"/>
  <c r="Y633" i="1"/>
  <c r="AB59" i="42"/>
  <c r="AB348" i="42" s="1" a="1"/>
  <c r="AB348" i="42" s="1"/>
  <c r="AA115" i="49"/>
  <c r="AA145" i="49" s="1"/>
  <c r="AA122" i="7"/>
  <c r="Y315" i="7"/>
  <c r="Y328" i="7"/>
  <c r="AA334" i="7"/>
  <c r="AB140" i="7"/>
  <c r="Y377" i="7"/>
  <c r="Z331" i="7"/>
  <c r="AA123" i="7"/>
  <c r="AA190" i="7"/>
  <c r="AA242" i="7"/>
  <c r="AC203" i="7"/>
  <c r="AC183" i="7"/>
  <c r="Z246" i="7"/>
  <c r="AA314" i="7"/>
  <c r="Y529" i="1" l="1"/>
  <c r="Y395" i="1" s="1"/>
  <c r="Y646" i="1"/>
  <c r="Y544" i="1"/>
  <c r="O221" i="4"/>
  <c r="K95" i="4"/>
  <c r="M244" i="7" s="1"/>
  <c r="AH520" i="1"/>
  <c r="AF428" i="1"/>
  <c r="AF432" i="1" s="1"/>
  <c r="AE675" i="1"/>
  <c r="U64" i="42"/>
  <c r="T117" i="49"/>
  <c r="L67" i="4"/>
  <c r="AE624" i="1"/>
  <c r="Y63" i="42"/>
  <c r="X116" i="49"/>
  <c r="M60" i="4"/>
  <c r="AA59" i="42"/>
  <c r="Z115" i="49"/>
  <c r="AP102" i="49"/>
  <c r="AP112" i="49" s="1"/>
  <c r="X112" i="49"/>
  <c r="AJ274" i="1"/>
  <c r="AJ277" i="1" s="1"/>
  <c r="AD24" i="42"/>
  <c r="AD228" i="42" s="1" a="1"/>
  <c r="AD228" i="42" s="1"/>
  <c r="AC31" i="49"/>
  <c r="AC49" i="49" s="1"/>
  <c r="AJ186" i="1"/>
  <c r="Y333" i="42"/>
  <c r="Y334" i="42"/>
  <c r="AU56" i="42"/>
  <c r="AU340" i="42" s="1" a="1"/>
  <c r="AU340" i="42" s="1"/>
  <c r="Y340" i="42" a="1"/>
  <c r="Y340" i="42" s="1"/>
  <c r="AN176" i="1"/>
  <c r="AN178" i="1" s="1"/>
  <c r="AN182" i="1" s="1"/>
  <c r="AN141" i="1"/>
  <c r="AQ34" i="49"/>
  <c r="AQ52" i="49" s="1"/>
  <c r="Z52" i="49"/>
  <c r="AC34" i="49"/>
  <c r="AC52" i="49" s="1"/>
  <c r="AJ212" i="1"/>
  <c r="AJ292" i="1"/>
  <c r="AD27" i="42"/>
  <c r="AD240" i="42" s="1" a="1"/>
  <c r="AD240" i="42" s="1"/>
  <c r="AJ211" i="1"/>
  <c r="AE197" i="42"/>
  <c r="AE198" i="42"/>
  <c r="N8" i="4"/>
  <c r="P339" i="7" s="1"/>
  <c r="AC49" i="42"/>
  <c r="AB84" i="49"/>
  <c r="AI271" i="1"/>
  <c r="U372" i="42" a="1"/>
  <c r="U372" i="42" s="1"/>
  <c r="Y357" i="42"/>
  <c r="Y358" i="42"/>
  <c r="AN118" i="1"/>
  <c r="L46" i="4"/>
  <c r="L43" i="4" s="1"/>
  <c r="L35" i="4"/>
  <c r="N149" i="7"/>
  <c r="AX14" i="42"/>
  <c r="AX196" i="42" s="1" a="1"/>
  <c r="AX196" i="42" s="1"/>
  <c r="AB56" i="42"/>
  <c r="AB340" i="42" s="1" a="1"/>
  <c r="AB340" i="42" s="1"/>
  <c r="AA102" i="49"/>
  <c r="AA112" i="49" s="1"/>
  <c r="AH592" i="1"/>
  <c r="AH297" i="1"/>
  <c r="AH296" i="1"/>
  <c r="T148" i="49"/>
  <c r="AA234" i="42"/>
  <c r="AA233" i="42"/>
  <c r="S396" i="42" a="1"/>
  <c r="S396" i="42" s="1"/>
  <c r="Z366" i="42"/>
  <c r="Z462" i="42" s="1"/>
  <c r="Z365" i="42"/>
  <c r="Z461" i="42" s="1"/>
  <c r="Z460" i="42"/>
  <c r="AV24" i="42"/>
  <c r="AV228" i="42" s="1" a="1"/>
  <c r="AV228" i="42" s="1"/>
  <c r="AA228" i="42" a="1"/>
  <c r="AA228" i="42" s="1"/>
  <c r="AV51" i="42"/>
  <c r="AV324" i="42" s="1" a="1"/>
  <c r="AV324" i="42" s="1"/>
  <c r="AA324" i="42" a="1"/>
  <c r="AA324" i="42" s="1"/>
  <c r="AD233" i="42"/>
  <c r="AD234" i="42"/>
  <c r="AV234" i="42"/>
  <c r="AV233" i="42"/>
  <c r="AV318" i="42"/>
  <c r="AV317" i="42"/>
  <c r="AQ86" i="49"/>
  <c r="AQ96" i="49" s="1"/>
  <c r="Z96" i="49"/>
  <c r="R157" i="49"/>
  <c r="AJ589" i="1"/>
  <c r="AD61" i="42" s="1"/>
  <c r="AD356" i="42" s="1" a="1"/>
  <c r="AD356" i="42" s="1"/>
  <c r="AJ283" i="1"/>
  <c r="L64" i="4"/>
  <c r="N143" i="7" s="1"/>
  <c r="Y60" i="42"/>
  <c r="R154" i="49"/>
  <c r="AA318" i="42"/>
  <c r="AA317" i="42"/>
  <c r="AG663" i="1"/>
  <c r="S408" i="42" a="1"/>
  <c r="S408" i="42" s="1"/>
  <c r="Y350" i="42"/>
  <c r="Y458" i="42" s="1"/>
  <c r="Y456" i="42"/>
  <c r="Y349" i="42"/>
  <c r="Y457" i="42" s="1"/>
  <c r="AE685" i="1"/>
  <c r="AE520" i="1"/>
  <c r="AT353" i="42"/>
  <c r="AT354" i="42"/>
  <c r="O196" i="7"/>
  <c r="AB350" i="42"/>
  <c r="AB458" i="42" s="1"/>
  <c r="AB349" i="42"/>
  <c r="AB457" i="42" s="1"/>
  <c r="AB456" i="42"/>
  <c r="M30" i="4"/>
  <c r="O350" i="7" s="1"/>
  <c r="AG295" i="1"/>
  <c r="AA54" i="42"/>
  <c r="Z100" i="49"/>
  <c r="AF197" i="42"/>
  <c r="AF198" i="42"/>
  <c r="AQ31" i="49"/>
  <c r="AQ49" i="49" s="1"/>
  <c r="Z49" i="49"/>
  <c r="AU456" i="42"/>
  <c r="AU350" i="42"/>
  <c r="AU458" i="42" s="1"/>
  <c r="AU349" i="42"/>
  <c r="AU457" i="42" s="1"/>
  <c r="AB333" i="42"/>
  <c r="AB334" i="42"/>
  <c r="AM176" i="1"/>
  <c r="AM178" i="1" s="1"/>
  <c r="AM182" i="1" s="1"/>
  <c r="AM141" i="1"/>
  <c r="AB354" i="42"/>
  <c r="AB353" i="42"/>
  <c r="W366" i="42"/>
  <c r="W462" i="42" s="1"/>
  <c r="W365" i="42"/>
  <c r="W461" i="42" s="1"/>
  <c r="W460" i="42"/>
  <c r="AJ502" i="1"/>
  <c r="AJ503" i="1" s="1"/>
  <c r="AJ429" i="1"/>
  <c r="AJ635" i="1" s="1"/>
  <c r="AJ585" i="1"/>
  <c r="AJ272" i="1"/>
  <c r="AC86" i="49"/>
  <c r="AC96" i="49" s="1"/>
  <c r="AD51" i="42"/>
  <c r="AD324" i="42" s="1" a="1"/>
  <c r="AD324" i="42" s="1"/>
  <c r="AJ386" i="1"/>
  <c r="AJ289" i="1"/>
  <c r="AU357" i="42"/>
  <c r="AU358" i="42"/>
  <c r="O223" i="4"/>
  <c r="AK182" i="1"/>
  <c r="AT460" i="42"/>
  <c r="AT365" i="42"/>
  <c r="AT461" i="42" s="1"/>
  <c r="AT366" i="42"/>
  <c r="AT462" i="42" s="1"/>
  <c r="AD318" i="42"/>
  <c r="AD317" i="42"/>
  <c r="M246" i="7"/>
  <c r="AW23" i="42"/>
  <c r="AW224" i="42" s="1" a="1"/>
  <c r="AW224" i="42" s="1"/>
  <c r="AC224" i="42" a="1"/>
  <c r="AC224" i="42" s="1"/>
  <c r="M13" i="4"/>
  <c r="AG277" i="1"/>
  <c r="Y736" i="1"/>
  <c r="Y737" i="1" s="1"/>
  <c r="S77" i="42"/>
  <c r="S404" i="42" a="1"/>
  <c r="S404" i="42" s="1"/>
  <c r="AC25" i="42"/>
  <c r="AI210" i="1"/>
  <c r="AI185" i="1"/>
  <c r="AB32" i="49"/>
  <c r="AI279" i="1"/>
  <c r="O217" i="7"/>
  <c r="N142" i="7"/>
  <c r="R156" i="49"/>
  <c r="AF23" i="42"/>
  <c r="AF224" i="42" s="1" a="1"/>
  <c r="AF224" i="42" s="1"/>
  <c r="AL183" i="1"/>
  <c r="AL203" i="1"/>
  <c r="AE30" i="49"/>
  <c r="AE48" i="49" s="1"/>
  <c r="AL193" i="1"/>
  <c r="AL268" i="1"/>
  <c r="AU333" i="42"/>
  <c r="AU334" i="42"/>
  <c r="R125" i="49"/>
  <c r="S72" i="42"/>
  <c r="AG589" i="1"/>
  <c r="AA61" i="42" s="1"/>
  <c r="AG283" i="1"/>
  <c r="M21" i="4"/>
  <c r="AA240" i="42" a="1"/>
  <c r="AA240" i="42" s="1"/>
  <c r="AV27" i="42"/>
  <c r="AV240" i="42" s="1" a="1"/>
  <c r="AV240" i="42" s="1"/>
  <c r="L279" i="4"/>
  <c r="L3" i="40"/>
  <c r="L5" i="40" s="1"/>
  <c r="M134" i="7" a="1"/>
  <c r="M134" i="7" s="1"/>
  <c r="AR30" i="49"/>
  <c r="AR48" i="49" s="1"/>
  <c r="AB48" i="49"/>
  <c r="M135" i="7" a="1"/>
  <c r="M135" i="7" s="1"/>
  <c r="W354" i="42"/>
  <c r="W353" i="42"/>
  <c r="AA135" i="7"/>
  <c r="AA246" i="7"/>
  <c r="AC350" i="7"/>
  <c r="AA244" i="7"/>
  <c r="AB143" i="7"/>
  <c r="AC196" i="7"/>
  <c r="AD339" i="7"/>
  <c r="AC217" i="7"/>
  <c r="AA134" i="7"/>
  <c r="AB142" i="7"/>
  <c r="AB149" i="7"/>
  <c r="Y705" i="1" l="1"/>
  <c r="Y709" i="1" s="1"/>
  <c r="Y652" i="1"/>
  <c r="AF675" i="1"/>
  <c r="L139" i="4" s="1"/>
  <c r="N190" i="7" s="1"/>
  <c r="AG428" i="1"/>
  <c r="AG432" i="1" s="1"/>
  <c r="AA332" i="42" a="1"/>
  <c r="AA332" i="42" s="1"/>
  <c r="AV54" i="42"/>
  <c r="AV332" i="42" s="1" a="1"/>
  <c r="AV332" i="42" s="1"/>
  <c r="N314" i="7"/>
  <c r="N123" i="7"/>
  <c r="AV241" i="42"/>
  <c r="AV242" i="42"/>
  <c r="AM203" i="1"/>
  <c r="AM183" i="1"/>
  <c r="AM268" i="1"/>
  <c r="AM271" i="1" s="1"/>
  <c r="AM193" i="1"/>
  <c r="AD230" i="42"/>
  <c r="AD229" i="42"/>
  <c r="S410" i="42"/>
  <c r="S409" i="42"/>
  <c r="AU60" i="42"/>
  <c r="AU352" i="42" s="1" a="1"/>
  <c r="AU352" i="42" s="1"/>
  <c r="Y352" i="42" a="1"/>
  <c r="Y352" i="42" s="1"/>
  <c r="AD241" i="42"/>
  <c r="AD242" i="42"/>
  <c r="AJ507" i="1"/>
  <c r="AJ513" i="1" s="1"/>
  <c r="AJ514" i="1" s="1"/>
  <c r="AJ685" i="1" s="1"/>
  <c r="N148" i="4" s="1"/>
  <c r="P203" i="7" s="1"/>
  <c r="AJ587" i="1"/>
  <c r="AD60" i="42" s="1"/>
  <c r="AD352" i="42" s="1" a="1"/>
  <c r="AD352" i="42" s="1"/>
  <c r="AP116" i="49"/>
  <c r="AP146" i="49" s="1"/>
  <c r="X146" i="49"/>
  <c r="AF225" i="42"/>
  <c r="AF226" i="42"/>
  <c r="AD54" i="42"/>
  <c r="AD332" i="42" s="1" a="1"/>
  <c r="AD332" i="42" s="1"/>
  <c r="AJ295" i="1"/>
  <c r="AC100" i="49"/>
  <c r="AC110" i="49" s="1"/>
  <c r="Y364" i="42" a="1"/>
  <c r="Y364" i="42" s="1"/>
  <c r="AU63" i="42"/>
  <c r="AU364" i="42" s="1" a="1"/>
  <c r="AU364" i="42" s="1"/>
  <c r="AQ100" i="49"/>
  <c r="AQ110" i="49" s="1"/>
  <c r="Z110" i="49"/>
  <c r="AK193" i="1"/>
  <c r="AK183" i="1"/>
  <c r="AK268" i="1"/>
  <c r="AE23" i="42"/>
  <c r="AD30" i="49"/>
  <c r="O226" i="4"/>
  <c r="AK203" i="1"/>
  <c r="AA326" i="42"/>
  <c r="AA325" i="42"/>
  <c r="L88" i="4"/>
  <c r="N242" i="7" s="1"/>
  <c r="M33" i="4"/>
  <c r="AA56" i="42"/>
  <c r="AG592" i="1"/>
  <c r="AG297" i="1"/>
  <c r="Z102" i="49"/>
  <c r="AF570" i="1"/>
  <c r="AH572" i="1"/>
  <c r="AG296" i="1"/>
  <c r="AE570" i="1"/>
  <c r="AG572" i="1"/>
  <c r="AD357" i="42"/>
  <c r="AD358" i="42"/>
  <c r="AV325" i="42"/>
  <c r="AV326" i="42"/>
  <c r="L280" i="4"/>
  <c r="L6" i="40"/>
  <c r="L8" i="40" s="1"/>
  <c r="AC115" i="49"/>
  <c r="AC145" i="49" s="1"/>
  <c r="AD59" i="42"/>
  <c r="AD348" i="42" s="1" a="1"/>
  <c r="AD348" i="42" s="1"/>
  <c r="N122" i="7"/>
  <c r="N334" i="7"/>
  <c r="AA229" i="42"/>
  <c r="AA230" i="42"/>
  <c r="U464" i="42"/>
  <c r="U373" i="42"/>
  <c r="U465" i="42" s="1"/>
  <c r="U374" i="42"/>
  <c r="U466" i="42" s="1"/>
  <c r="AX197" i="42"/>
  <c r="AX198" i="42"/>
  <c r="AG507" i="1"/>
  <c r="AG513" i="1" s="1"/>
  <c r="AG514" i="1" s="1"/>
  <c r="AG587" i="1"/>
  <c r="M16" i="4"/>
  <c r="R155" i="49"/>
  <c r="T147" i="49"/>
  <c r="AV230" i="42"/>
  <c r="AV229" i="42"/>
  <c r="AH624" i="1"/>
  <c r="AB63" i="42"/>
  <c r="AB364" i="42" s="1" a="1"/>
  <c r="AB364" i="42" s="1"/>
  <c r="AA116" i="49"/>
  <c r="AA146" i="49" s="1"/>
  <c r="N11" i="4"/>
  <c r="N39" i="4" s="1"/>
  <c r="N42" i="4" s="1"/>
  <c r="AI429" i="1"/>
  <c r="AI635" i="1" s="1"/>
  <c r="AC51" i="42"/>
  <c r="AI502" i="1"/>
  <c r="AI503" i="1" s="1"/>
  <c r="AB86" i="49"/>
  <c r="AI585" i="1"/>
  <c r="AI289" i="1"/>
  <c r="AI272" i="1"/>
  <c r="AI386" i="1"/>
  <c r="AQ115" i="49"/>
  <c r="AQ145" i="49" s="1"/>
  <c r="Z145" i="49"/>
  <c r="S405" i="42"/>
  <c r="S406" i="42"/>
  <c r="AF49" i="42"/>
  <c r="AF316" i="42" s="1" a="1"/>
  <c r="AF316" i="42" s="1"/>
  <c r="AE84" i="49"/>
  <c r="AE94" i="49" s="1"/>
  <c r="AL271" i="1"/>
  <c r="AB50" i="49"/>
  <c r="AR32" i="49"/>
  <c r="AR50" i="49" s="1"/>
  <c r="AC226" i="42"/>
  <c r="AC225" i="42"/>
  <c r="AR84" i="49"/>
  <c r="AR94" i="49" s="1"/>
  <c r="AB94" i="49"/>
  <c r="AN203" i="1"/>
  <c r="AN268" i="1"/>
  <c r="AN271" i="1" s="1"/>
  <c r="AN183" i="1"/>
  <c r="AN193" i="1"/>
  <c r="AV59" i="42"/>
  <c r="AV348" i="42" s="1" a="1"/>
  <c r="AV348" i="42" s="1"/>
  <c r="AA348" i="42" a="1"/>
  <c r="AA348" i="42" s="1"/>
  <c r="U368" i="42" a="1"/>
  <c r="U368" i="42" s="1"/>
  <c r="AL210" i="1"/>
  <c r="AL185" i="1"/>
  <c r="AL279" i="1"/>
  <c r="AL282" i="1" s="1"/>
  <c r="AF25" i="42"/>
  <c r="AF232" i="42" s="1" a="1"/>
  <c r="AF232" i="42" s="1"/>
  <c r="AE32" i="49"/>
  <c r="AE50" i="49" s="1"/>
  <c r="S400" i="42" a="1"/>
  <c r="S400" i="42" s="1"/>
  <c r="AW226" i="42"/>
  <c r="AW225" i="42"/>
  <c r="AD326" i="42"/>
  <c r="AD325" i="42"/>
  <c r="AW49" i="42"/>
  <c r="AW316" i="42" s="1" a="1"/>
  <c r="AW316" i="42" s="1"/>
  <c r="AC316" i="42" a="1"/>
  <c r="AC316" i="42" s="1"/>
  <c r="Y342" i="42"/>
  <c r="Y341" i="42"/>
  <c r="AF521" i="1"/>
  <c r="AF631" i="1" s="1"/>
  <c r="AE521" i="1"/>
  <c r="AE631" i="1" s="1"/>
  <c r="AJ663" i="1"/>
  <c r="N130" i="4" s="1"/>
  <c r="P183" i="7" s="1"/>
  <c r="AA241" i="42"/>
  <c r="AA242" i="42"/>
  <c r="AV61" i="42"/>
  <c r="AV356" i="42" s="1" a="1"/>
  <c r="AV356" i="42" s="1"/>
  <c r="AA356" i="42" a="1"/>
  <c r="AA356" i="42" s="1"/>
  <c r="AB341" i="42"/>
  <c r="AB342" i="42"/>
  <c r="AU342" i="42"/>
  <c r="AU341" i="42"/>
  <c r="M63" i="4"/>
  <c r="O140" i="7"/>
  <c r="S416" i="42" a="1"/>
  <c r="S416" i="42" s="1"/>
  <c r="N18" i="4"/>
  <c r="AI282" i="1"/>
  <c r="AC24" i="42"/>
  <c r="AB31" i="49"/>
  <c r="AI186" i="1"/>
  <c r="AI274" i="1"/>
  <c r="AC27" i="42"/>
  <c r="AB34" i="49"/>
  <c r="AI292" i="1"/>
  <c r="AI212" i="1"/>
  <c r="AI211" i="1"/>
  <c r="S397" i="42"/>
  <c r="S398" i="42"/>
  <c r="AC232" i="42" a="1"/>
  <c r="AC232" i="42" s="1"/>
  <c r="AW25" i="42"/>
  <c r="AW232" i="42" s="1" a="1"/>
  <c r="AW232" i="42" s="1"/>
  <c r="M331" i="7"/>
  <c r="AD203" i="7"/>
  <c r="AC140" i="7"/>
  <c r="AB123" i="7"/>
  <c r="AB334" i="7"/>
  <c r="AB122" i="7"/>
  <c r="AA331" i="7"/>
  <c r="AD183" i="7"/>
  <c r="AB314" i="7"/>
  <c r="AB190" i="7"/>
  <c r="AB242" i="7"/>
  <c r="S79" i="42" l="1"/>
  <c r="S424" i="42" s="1" a="1"/>
  <c r="S424" i="42" s="1"/>
  <c r="Y655" i="1"/>
  <c r="L95" i="4"/>
  <c r="N244" i="7" s="1"/>
  <c r="AH428" i="1"/>
  <c r="AH432" i="1" s="1"/>
  <c r="AG675" i="1"/>
  <c r="U369" i="42"/>
  <c r="U370" i="42"/>
  <c r="AX23" i="42"/>
  <c r="AX224" i="42" s="1" a="1"/>
  <c r="AX224" i="42" s="1"/>
  <c r="AE224" i="42" a="1"/>
  <c r="AE224" i="42" s="1"/>
  <c r="P217" i="7"/>
  <c r="AD456" i="42"/>
  <c r="AD350" i="42"/>
  <c r="AD458" i="42" s="1"/>
  <c r="AD349" i="42"/>
  <c r="AD457" i="42" s="1"/>
  <c r="AA349" i="42"/>
  <c r="AA457" i="42" s="1"/>
  <c r="AA456" i="42"/>
  <c r="AA350" i="42"/>
  <c r="AA458" i="42" s="1"/>
  <c r="AC318" i="42"/>
  <c r="AC317" i="42"/>
  <c r="AV349" i="42"/>
  <c r="AV457" i="42" s="1"/>
  <c r="AV456" i="42"/>
  <c r="AV350" i="42"/>
  <c r="AV458" i="42" s="1"/>
  <c r="Z112" i="49"/>
  <c r="AQ102" i="49"/>
  <c r="AQ112" i="49" s="1"/>
  <c r="AD32" i="49"/>
  <c r="AK210" i="1"/>
  <c r="AK279" i="1"/>
  <c r="AK185" i="1"/>
  <c r="AE25" i="42"/>
  <c r="AD353" i="42"/>
  <c r="AD354" i="42"/>
  <c r="AG685" i="1"/>
  <c r="AG520" i="1"/>
  <c r="O8" i="4"/>
  <c r="Q339" i="7" s="1"/>
  <c r="AE49" i="42"/>
  <c r="AD84" i="49"/>
  <c r="AK271" i="1"/>
  <c r="AN279" i="1"/>
  <c r="AN282" i="1" s="1"/>
  <c r="AN210" i="1"/>
  <c r="AN185" i="1"/>
  <c r="AB96" i="49"/>
  <c r="AR86" i="49"/>
  <c r="AR96" i="49" s="1"/>
  <c r="S426" i="42"/>
  <c r="S425" i="42"/>
  <c r="M67" i="4"/>
  <c r="AG624" i="1"/>
  <c r="AA63" i="42"/>
  <c r="Z116" i="49"/>
  <c r="AS30" i="49"/>
  <c r="AS48" i="49" s="1"/>
  <c r="AD48" i="49"/>
  <c r="M279" i="4"/>
  <c r="M3" i="40"/>
  <c r="M5" i="40" s="1"/>
  <c r="AI663" i="1"/>
  <c r="AA340" i="42" a="1"/>
  <c r="AA340" i="42" s="1"/>
  <c r="AV56" i="42"/>
  <c r="AV340" i="42" s="1" a="1"/>
  <c r="AV340" i="42" s="1"/>
  <c r="AU365" i="42"/>
  <c r="AU461" i="42" s="1"/>
  <c r="AU460" i="42"/>
  <c r="AU366" i="42"/>
  <c r="AU462" i="42" s="1"/>
  <c r="AW318" i="42"/>
  <c r="AW317" i="42"/>
  <c r="AR34" i="49"/>
  <c r="AR52" i="49" s="1"/>
  <c r="AB52" i="49"/>
  <c r="AC324" i="42" a="1"/>
  <c r="AC324" i="42" s="1"/>
  <c r="AW51" i="42"/>
  <c r="AW324" i="42" s="1" a="1"/>
  <c r="AW324" i="42" s="1"/>
  <c r="M46" i="4"/>
  <c r="M43" i="4" s="1"/>
  <c r="M35" i="4"/>
  <c r="O149" i="7"/>
  <c r="Y460" i="42"/>
  <c r="Y366" i="42"/>
  <c r="Y462" i="42" s="1"/>
  <c r="Y365" i="42"/>
  <c r="Y461" i="42" s="1"/>
  <c r="N60" i="4"/>
  <c r="AC59" i="42"/>
  <c r="AB115" i="49"/>
  <c r="N13" i="4"/>
  <c r="AI277" i="1"/>
  <c r="AM185" i="1"/>
  <c r="AM210" i="1"/>
  <c r="AM279" i="1"/>
  <c r="AM282" i="1" s="1"/>
  <c r="AV333" i="42"/>
  <c r="AV334" i="42"/>
  <c r="AA358" i="42"/>
  <c r="AA357" i="42"/>
  <c r="AD56" i="42"/>
  <c r="AD340" i="42" s="1" a="1"/>
  <c r="AD340" i="42" s="1"/>
  <c r="AC102" i="49"/>
  <c r="AC112" i="49" s="1"/>
  <c r="AJ296" i="1"/>
  <c r="AJ297" i="1"/>
  <c r="AJ592" i="1"/>
  <c r="Y353" i="42"/>
  <c r="Y354" i="42"/>
  <c r="AM585" i="1"/>
  <c r="AM502" i="1"/>
  <c r="AM503" i="1" s="1"/>
  <c r="AM289" i="1"/>
  <c r="AM429" i="1"/>
  <c r="AM272" i="1"/>
  <c r="AM386" i="1"/>
  <c r="AA334" i="42"/>
  <c r="AA333" i="42"/>
  <c r="AN585" i="1"/>
  <c r="AN502" i="1"/>
  <c r="AN503" i="1" s="1"/>
  <c r="AN289" i="1"/>
  <c r="AN272" i="1"/>
  <c r="AN386" i="1"/>
  <c r="AN429" i="1"/>
  <c r="AD333" i="42"/>
  <c r="AD334" i="42"/>
  <c r="AU354" i="42"/>
  <c r="AU353" i="42"/>
  <c r="S401" i="42"/>
  <c r="S402" i="42"/>
  <c r="AL502" i="1"/>
  <c r="AL503" i="1" s="1"/>
  <c r="AF51" i="42"/>
  <c r="AF324" i="42" s="1" a="1"/>
  <c r="AF324" i="42" s="1"/>
  <c r="AL429" i="1"/>
  <c r="AL635" i="1" s="1"/>
  <c r="AL585" i="1"/>
  <c r="AL289" i="1"/>
  <c r="AL272" i="1"/>
  <c r="AE86" i="49"/>
  <c r="AE96" i="49" s="1"/>
  <c r="AL386" i="1"/>
  <c r="AI589" i="1"/>
  <c r="AC61" i="42" s="1"/>
  <c r="AI283" i="1"/>
  <c r="N21" i="4"/>
  <c r="AF317" i="42"/>
  <c r="AF318" i="42"/>
  <c r="AB366" i="42"/>
  <c r="AB462" i="42" s="1"/>
  <c r="AB365" i="42"/>
  <c r="AB461" i="42" s="1"/>
  <c r="AB460" i="42"/>
  <c r="N30" i="4"/>
  <c r="P350" i="7" s="1"/>
  <c r="AC54" i="42"/>
  <c r="AB100" i="49"/>
  <c r="AI295" i="1"/>
  <c r="AR31" i="49"/>
  <c r="AR49" i="49" s="1"/>
  <c r="AB49" i="49"/>
  <c r="AF234" i="42"/>
  <c r="AF233" i="42"/>
  <c r="O142" i="7"/>
  <c r="M64" i="4"/>
  <c r="O143" i="7" s="1"/>
  <c r="AA60" i="42"/>
  <c r="AC240" i="42" a="1"/>
  <c r="AC240" i="42" s="1"/>
  <c r="AW27" i="42"/>
  <c r="AW240" i="42" s="1" a="1"/>
  <c r="AW240" i="42" s="1"/>
  <c r="AV358" i="42"/>
  <c r="AV357" i="42"/>
  <c r="S418" i="42"/>
  <c r="S417" i="42"/>
  <c r="P196" i="7"/>
  <c r="AL589" i="1"/>
  <c r="AF61" i="42" s="1"/>
  <c r="AF356" i="42" s="1" a="1"/>
  <c r="AF356" i="42" s="1"/>
  <c r="AL283" i="1"/>
  <c r="AL292" i="1"/>
  <c r="AL211" i="1"/>
  <c r="AF27" i="42"/>
  <c r="AF240" i="42" s="1" a="1"/>
  <c r="AF240" i="42" s="1"/>
  <c r="AE34" i="49"/>
  <c r="AE52" i="49" s="1"/>
  <c r="AL212" i="1"/>
  <c r="N135" i="7" a="1"/>
  <c r="N135" i="7" s="1"/>
  <c r="AC228" i="42" a="1"/>
  <c r="AC228" i="42" s="1"/>
  <c r="AW24" i="42"/>
  <c r="AW228" i="42" s="1" a="1"/>
  <c r="AW228" i="42" s="1"/>
  <c r="AW233" i="42"/>
  <c r="AW234" i="42"/>
  <c r="AC234" i="42"/>
  <c r="AC233" i="42"/>
  <c r="AJ520" i="1"/>
  <c r="AL186" i="1"/>
  <c r="AF24" i="42"/>
  <c r="AF228" i="42" s="1" a="1"/>
  <c r="AF228" i="42" s="1"/>
  <c r="AL274" i="1"/>
  <c r="AL277" i="1" s="1"/>
  <c r="AE31" i="49"/>
  <c r="AE49" i="49" s="1"/>
  <c r="N134" i="7" a="1"/>
  <c r="N134" i="7" s="1"/>
  <c r="AC142" i="7"/>
  <c r="AD350" i="7"/>
  <c r="AC149" i="7"/>
  <c r="AB135" i="7"/>
  <c r="AE339" i="7"/>
  <c r="AB244" i="7"/>
  <c r="AB134" i="7"/>
  <c r="AC143" i="7"/>
  <c r="AD196" i="7"/>
  <c r="AD217" i="7"/>
  <c r="N246" i="7" l="1"/>
  <c r="S80" i="42"/>
  <c r="S428" i="42" s="1" a="1"/>
  <c r="S428" i="42" s="1"/>
  <c r="S429" i="42" s="1"/>
  <c r="Y658" i="1"/>
  <c r="AH521" i="1"/>
  <c r="AH631" i="1" s="1"/>
  <c r="AG521" i="1"/>
  <c r="AG631" i="1" s="1"/>
  <c r="O123" i="7"/>
  <c r="O314" i="7"/>
  <c r="AQ116" i="49"/>
  <c r="AQ146" i="49" s="1"/>
  <c r="Z146" i="49"/>
  <c r="AS84" i="49"/>
  <c r="AS94" i="49" s="1"/>
  <c r="AD94" i="49"/>
  <c r="AW54" i="42"/>
  <c r="AW332" i="42" s="1" a="1"/>
  <c r="AW332" i="42" s="1"/>
  <c r="AC332" i="42" a="1"/>
  <c r="AC332" i="42" s="1"/>
  <c r="O122" i="7"/>
  <c r="O334" i="7"/>
  <c r="AF325" i="42"/>
  <c r="AF326" i="42"/>
  <c r="N331" i="7"/>
  <c r="AI507" i="1"/>
  <c r="AI513" i="1" s="1"/>
  <c r="AI514" i="1" s="1"/>
  <c r="N16" i="4"/>
  <c r="AI587" i="1"/>
  <c r="AA364" i="42" a="1"/>
  <c r="AA364" i="42" s="1"/>
  <c r="AV63" i="42"/>
  <c r="AV364" i="42" s="1" a="1"/>
  <c r="AV364" i="42" s="1"/>
  <c r="AX49" i="42"/>
  <c r="AX316" i="42" s="1" a="1"/>
  <c r="AX316" i="42" s="1"/>
  <c r="AE316" i="42" a="1"/>
  <c r="AE316" i="42" s="1"/>
  <c r="AV342" i="42"/>
  <c r="AV341" i="42"/>
  <c r="M88" i="4"/>
  <c r="O242" i="7" s="1"/>
  <c r="AW326" i="42"/>
  <c r="AW325" i="42"/>
  <c r="AA341" i="42"/>
  <c r="AA342" i="42"/>
  <c r="M6" i="40"/>
  <c r="M8" i="40" s="1"/>
  <c r="M280" i="4"/>
  <c r="AE232" i="42" a="1"/>
  <c r="AE232" i="42" s="1"/>
  <c r="AX25" i="42"/>
  <c r="AX232" i="42" s="1" a="1"/>
  <c r="AX232" i="42" s="1"/>
  <c r="AW229" i="42"/>
  <c r="AW230" i="42"/>
  <c r="AM428" i="1"/>
  <c r="AM635" i="1"/>
  <c r="AC326" i="42"/>
  <c r="AC325" i="42"/>
  <c r="S430" i="42"/>
  <c r="AE24" i="42"/>
  <c r="AD31" i="49"/>
  <c r="AK186" i="1"/>
  <c r="AK274" i="1"/>
  <c r="AN663" i="1"/>
  <c r="AB145" i="49"/>
  <c r="AR115" i="49"/>
  <c r="AR145" i="49" s="1"/>
  <c r="AM663" i="1"/>
  <c r="AC348" i="42" a="1"/>
  <c r="AC348" i="42" s="1"/>
  <c r="AW59" i="42"/>
  <c r="AW348" i="42" s="1" a="1"/>
  <c r="AW348" i="42" s="1"/>
  <c r="O18" i="4"/>
  <c r="AK282" i="1"/>
  <c r="AF358" i="42"/>
  <c r="AF357" i="42"/>
  <c r="N63" i="4"/>
  <c r="P140" i="7"/>
  <c r="AK212" i="1"/>
  <c r="AK292" i="1"/>
  <c r="AK211" i="1"/>
  <c r="AE27" i="42"/>
  <c r="AD34" i="49"/>
  <c r="AE226" i="42"/>
  <c r="AE225" i="42"/>
  <c r="O11" i="4"/>
  <c r="O39" i="4" s="1"/>
  <c r="O42" i="4" s="1"/>
  <c r="AK502" i="1"/>
  <c r="AK503" i="1" s="1"/>
  <c r="AK386" i="1"/>
  <c r="AK289" i="1"/>
  <c r="AD86" i="49"/>
  <c r="AK272" i="1"/>
  <c r="AE51" i="42"/>
  <c r="AK429" i="1"/>
  <c r="AK635" i="1" s="1"/>
  <c r="AK585" i="1"/>
  <c r="AC230" i="42"/>
  <c r="AC229" i="42"/>
  <c r="AD50" i="49"/>
  <c r="AS32" i="49"/>
  <c r="AS50" i="49" s="1"/>
  <c r="AX225" i="42"/>
  <c r="AX226" i="42"/>
  <c r="N33" i="4"/>
  <c r="AC56" i="42"/>
  <c r="AJ572" i="1"/>
  <c r="AI296" i="1"/>
  <c r="AI592" i="1"/>
  <c r="AB102" i="49"/>
  <c r="AH570" i="1"/>
  <c r="AI297" i="1"/>
  <c r="AI572" i="1"/>
  <c r="AG570" i="1"/>
  <c r="AN283" i="1"/>
  <c r="AN589" i="1"/>
  <c r="AV60" i="42"/>
  <c r="AV352" i="42" s="1" a="1"/>
  <c r="AV352" i="42" s="1"/>
  <c r="AA352" i="42" a="1"/>
  <c r="AA352" i="42" s="1"/>
  <c r="AW241" i="42"/>
  <c r="AW242" i="42"/>
  <c r="AR100" i="49"/>
  <c r="AR110" i="49" s="1"/>
  <c r="AB110" i="49"/>
  <c r="AC241" i="42"/>
  <c r="AC242" i="42"/>
  <c r="AN635" i="1"/>
  <c r="AN428" i="1"/>
  <c r="AM292" i="1"/>
  <c r="AM295" i="1" s="1"/>
  <c r="AM211" i="1"/>
  <c r="AM212" i="1"/>
  <c r="AD341" i="42"/>
  <c r="AD342" i="42"/>
  <c r="AM283" i="1"/>
  <c r="AM589" i="1"/>
  <c r="AL507" i="1"/>
  <c r="AL513" i="1" s="1"/>
  <c r="AL514" i="1" s="1"/>
  <c r="AL685" i="1" s="1"/>
  <c r="O148" i="4" s="1"/>
  <c r="Q203" i="7" s="1"/>
  <c r="AL587" i="1"/>
  <c r="AF60" i="42" s="1"/>
  <c r="AF352" i="42" s="1" a="1"/>
  <c r="AF352" i="42" s="1"/>
  <c r="AW61" i="42"/>
  <c r="AW356" i="42" s="1" a="1"/>
  <c r="AW356" i="42" s="1"/>
  <c r="AC356" i="42" a="1"/>
  <c r="AC356" i="42" s="1"/>
  <c r="AJ624" i="1"/>
  <c r="AD63" i="42"/>
  <c r="AD364" i="42" s="1" a="1"/>
  <c r="AD364" i="42" s="1"/>
  <c r="AC116" i="49"/>
  <c r="AC146" i="49" s="1"/>
  <c r="AM186" i="1"/>
  <c r="AM274" i="1"/>
  <c r="AM277" i="1" s="1"/>
  <c r="AH675" i="1"/>
  <c r="M139" i="4" s="1"/>
  <c r="O190" i="7" s="1"/>
  <c r="AI428" i="1"/>
  <c r="AI432" i="1" s="1"/>
  <c r="AN292" i="1"/>
  <c r="AN295" i="1" s="1"/>
  <c r="AN211" i="1"/>
  <c r="AN212" i="1"/>
  <c r="AF59" i="42"/>
  <c r="AF348" i="42" s="1" a="1"/>
  <c r="AF348" i="42" s="1"/>
  <c r="AE115" i="49"/>
  <c r="AE145" i="49" s="1"/>
  <c r="AL663" i="1"/>
  <c r="O130" i="4" s="1"/>
  <c r="Q183" i="7" s="1"/>
  <c r="AF242" i="42"/>
  <c r="AF241" i="42"/>
  <c r="AF54" i="42"/>
  <c r="AF332" i="42" s="1" a="1"/>
  <c r="AF332" i="42" s="1"/>
  <c r="AE100" i="49"/>
  <c r="AE110" i="49" s="1"/>
  <c r="AL295" i="1"/>
  <c r="AF230" i="42"/>
  <c r="AF229" i="42"/>
  <c r="AN274" i="1"/>
  <c r="AN277" i="1" s="1"/>
  <c r="AN186" i="1"/>
  <c r="AD140" i="7"/>
  <c r="AC122" i="7"/>
  <c r="AE183" i="7"/>
  <c r="AE203" i="7"/>
  <c r="AC334" i="7"/>
  <c r="AB246" i="7"/>
  <c r="AC123" i="7"/>
  <c r="AC314" i="7"/>
  <c r="AB331" i="7"/>
  <c r="AC190" i="7"/>
  <c r="AC242" i="7"/>
  <c r="Z654" i="1" l="1"/>
  <c r="Y564" i="1"/>
  <c r="Y567" i="1" s="1"/>
  <c r="Y659" i="1"/>
  <c r="Y464" i="1"/>
  <c r="Y684" i="1"/>
  <c r="Y662" i="1"/>
  <c r="Y670" i="1" s="1"/>
  <c r="Y682" i="1" s="1"/>
  <c r="S82" i="42"/>
  <c r="S436" i="42" s="1" a="1"/>
  <c r="S436" i="42" s="1"/>
  <c r="M95" i="4"/>
  <c r="O244" i="7" s="1"/>
  <c r="AL520" i="1"/>
  <c r="AI675" i="1"/>
  <c r="AJ428" i="1"/>
  <c r="AJ432" i="1" s="1"/>
  <c r="AE234" i="42"/>
  <c r="AE233" i="42"/>
  <c r="AA366" i="42"/>
  <c r="AA462" i="42" s="1"/>
  <c r="AA365" i="42"/>
  <c r="AA461" i="42" s="1"/>
  <c r="AA460" i="42"/>
  <c r="AX233" i="42"/>
  <c r="AX234" i="42"/>
  <c r="O30" i="4"/>
  <c r="Q350" i="7" s="1"/>
  <c r="AD100" i="49"/>
  <c r="AE54" i="42"/>
  <c r="AK295" i="1"/>
  <c r="N64" i="4"/>
  <c r="P143" i="7" s="1"/>
  <c r="AC60" i="42"/>
  <c r="O60" i="4"/>
  <c r="AE59" i="42"/>
  <c r="AD115" i="49"/>
  <c r="AV354" i="42"/>
  <c r="AV353" i="42"/>
  <c r="O13" i="4"/>
  <c r="AK277" i="1"/>
  <c r="AI685" i="1"/>
  <c r="AI520" i="1"/>
  <c r="AE318" i="42"/>
  <c r="AE317" i="42"/>
  <c r="AX51" i="42"/>
  <c r="AX324" i="42" s="1" a="1"/>
  <c r="AX324" i="42" s="1"/>
  <c r="AE324" i="42" a="1"/>
  <c r="AE324" i="42" s="1"/>
  <c r="AR102" i="49"/>
  <c r="AR112" i="49" s="1"/>
  <c r="AB112" i="49"/>
  <c r="AK589" i="1"/>
  <c r="AE61" i="42" s="1"/>
  <c r="AK283" i="1"/>
  <c r="O21" i="4"/>
  <c r="AS31" i="49"/>
  <c r="AS49" i="49" s="1"/>
  <c r="AD49" i="49"/>
  <c r="O135" i="7" a="1"/>
  <c r="O135" i="7" s="1"/>
  <c r="AX317" i="42"/>
  <c r="AX318" i="42"/>
  <c r="AD460" i="42"/>
  <c r="AD366" i="42"/>
  <c r="AD462" i="42" s="1"/>
  <c r="AD365" i="42"/>
  <c r="AD461" i="42" s="1"/>
  <c r="N67" i="4"/>
  <c r="AI624" i="1"/>
  <c r="AC63" i="42"/>
  <c r="AB116" i="49"/>
  <c r="AS86" i="49"/>
  <c r="AS96" i="49" s="1"/>
  <c r="AD96" i="49"/>
  <c r="AX24" i="42"/>
  <c r="AX228" i="42" s="1" a="1"/>
  <c r="AX228" i="42" s="1"/>
  <c r="AE228" i="42" a="1"/>
  <c r="AE228" i="42" s="1"/>
  <c r="AV366" i="42"/>
  <c r="AV462" i="42" s="1"/>
  <c r="AV365" i="42"/>
  <c r="AV461" i="42" s="1"/>
  <c r="AV460" i="42"/>
  <c r="AN592" i="1"/>
  <c r="AN624" i="1" s="1"/>
  <c r="AN297" i="1"/>
  <c r="AN296" i="1"/>
  <c r="Q196" i="7"/>
  <c r="AW333" i="42"/>
  <c r="AW334" i="42"/>
  <c r="AC358" i="42"/>
  <c r="AC357" i="42"/>
  <c r="AW349" i="42"/>
  <c r="AW457" i="42" s="1"/>
  <c r="AW350" i="42"/>
  <c r="AW458" i="42" s="1"/>
  <c r="AW456" i="42"/>
  <c r="AA353" i="42"/>
  <c r="AA354" i="42"/>
  <c r="AM507" i="1"/>
  <c r="AM513" i="1" s="1"/>
  <c r="AM514" i="1" s="1"/>
  <c r="AM587" i="1"/>
  <c r="AW358" i="42"/>
  <c r="AW357" i="42"/>
  <c r="AC340" i="42" a="1"/>
  <c r="AC340" i="42" s="1"/>
  <c r="AW56" i="42"/>
  <c r="AW340" i="42" s="1" a="1"/>
  <c r="AW340" i="42" s="1"/>
  <c r="AK663" i="1"/>
  <c r="AC456" i="42"/>
  <c r="AC350" i="42"/>
  <c r="AC458" i="42" s="1"/>
  <c r="AC349" i="42"/>
  <c r="AC457" i="42" s="1"/>
  <c r="O134" i="7" a="1"/>
  <c r="O134" i="7" s="1"/>
  <c r="AF353" i="42"/>
  <c r="AF354" i="42"/>
  <c r="N46" i="4"/>
  <c r="N43" i="4" s="1"/>
  <c r="N35" i="4"/>
  <c r="P149" i="7"/>
  <c r="P142" i="7"/>
  <c r="AF333" i="42"/>
  <c r="AF334" i="42"/>
  <c r="Q217" i="7"/>
  <c r="AM592" i="1"/>
  <c r="AM624" i="1" s="1"/>
  <c r="AM296" i="1"/>
  <c r="AM297" i="1"/>
  <c r="AN572" i="1"/>
  <c r="N279" i="4"/>
  <c r="N3" i="40"/>
  <c r="N5" i="40" s="1"/>
  <c r="AN507" i="1"/>
  <c r="AN513" i="1" s="1"/>
  <c r="AN514" i="1" s="1"/>
  <c r="AN587" i="1"/>
  <c r="AS34" i="49"/>
  <c r="AS52" i="49" s="1"/>
  <c r="AD52" i="49"/>
  <c r="AE240" i="42" a="1"/>
  <c r="AE240" i="42" s="1"/>
  <c r="AX27" i="42"/>
  <c r="AX240" i="42" s="1" a="1"/>
  <c r="AX240" i="42" s="1"/>
  <c r="AF56" i="42"/>
  <c r="AF340" i="42" s="1" a="1"/>
  <c r="AF340" i="42" s="1"/>
  <c r="AL297" i="1"/>
  <c r="AL296" i="1"/>
  <c r="AE102" i="49"/>
  <c r="AE112" i="49" s="1"/>
  <c r="AM572" i="1"/>
  <c r="AL592" i="1"/>
  <c r="AF456" i="42"/>
  <c r="AF349" i="42"/>
  <c r="AF457" i="42" s="1"/>
  <c r="AF350" i="42"/>
  <c r="AF458" i="42" s="1"/>
  <c r="AC334" i="42"/>
  <c r="AC333" i="42"/>
  <c r="AE196" i="7"/>
  <c r="AC134" i="7"/>
  <c r="AC135" i="7"/>
  <c r="AE350" i="7"/>
  <c r="AD143" i="7"/>
  <c r="AC244" i="7"/>
  <c r="AE217" i="7"/>
  <c r="AD142" i="7"/>
  <c r="AD149" i="7"/>
  <c r="O246" i="7" l="1"/>
  <c r="S438" i="42"/>
  <c r="S437" i="42"/>
  <c r="Y691" i="1"/>
  <c r="Y702" i="1" s="1"/>
  <c r="Y710" i="1" s="1"/>
  <c r="Y8" i="1" s="1"/>
  <c r="Y463" i="1"/>
  <c r="Z465" i="1" s="1"/>
  <c r="Y573" i="1"/>
  <c r="Y577" i="1"/>
  <c r="Y579" i="1"/>
  <c r="Y571" i="1"/>
  <c r="AJ675" i="1"/>
  <c r="N139" i="4" s="1"/>
  <c r="P190" i="7" s="1"/>
  <c r="AK428" i="1"/>
  <c r="AK432" i="1" s="1"/>
  <c r="AX229" i="42"/>
  <c r="AX230" i="42"/>
  <c r="AS115" i="49"/>
  <c r="AS145" i="49" s="1"/>
  <c r="AD145" i="49"/>
  <c r="P122" i="7"/>
  <c r="P334" i="7"/>
  <c r="AR116" i="49"/>
  <c r="AR146" i="49" s="1"/>
  <c r="AB146" i="49"/>
  <c r="AX61" i="42"/>
  <c r="AX356" i="42" s="1" a="1"/>
  <c r="AX356" i="42" s="1"/>
  <c r="AE356" i="42" a="1"/>
  <c r="AE356" i="42" s="1"/>
  <c r="AX59" i="42"/>
  <c r="AX348" i="42" s="1" a="1"/>
  <c r="AX348" i="42" s="1"/>
  <c r="AE348" i="42" a="1"/>
  <c r="AE348" i="42" s="1"/>
  <c r="AX326" i="42"/>
  <c r="AX325" i="42"/>
  <c r="P314" i="7"/>
  <c r="P123" i="7"/>
  <c r="AC364" i="42" a="1"/>
  <c r="AC364" i="42" s="1"/>
  <c r="AW63" i="42"/>
  <c r="AW364" i="42" s="1" a="1"/>
  <c r="AW364" i="42" s="1"/>
  <c r="O63" i="4"/>
  <c r="Q140" i="7"/>
  <c r="N88" i="4"/>
  <c r="P242" i="7" s="1"/>
  <c r="AX242" i="42"/>
  <c r="AX241" i="42"/>
  <c r="AN685" i="1"/>
  <c r="AN520" i="1"/>
  <c r="AL624" i="1"/>
  <c r="AE116" i="49"/>
  <c r="AE146" i="49" s="1"/>
  <c r="AF63" i="42"/>
  <c r="AF364" i="42" s="1" a="1"/>
  <c r="AF364" i="42" s="1"/>
  <c r="AE326" i="42"/>
  <c r="AE325" i="42"/>
  <c r="O331" i="7"/>
  <c r="AM685" i="1"/>
  <c r="AM520" i="1"/>
  <c r="N280" i="4"/>
  <c r="N6" i="40"/>
  <c r="N8" i="40" s="1"/>
  <c r="AK507" i="1"/>
  <c r="AK513" i="1" s="1"/>
  <c r="AK514" i="1" s="1"/>
  <c r="AK587" i="1"/>
  <c r="O16" i="4"/>
  <c r="AW342" i="42"/>
  <c r="AW341" i="42"/>
  <c r="AJ521" i="1"/>
  <c r="AJ631" i="1" s="1"/>
  <c r="AI521" i="1"/>
  <c r="AI631" i="1" s="1"/>
  <c r="AC352" i="42" a="1"/>
  <c r="AC352" i="42" s="1"/>
  <c r="AW60" i="42"/>
  <c r="AW352" i="42" s="1" a="1"/>
  <c r="AW352" i="42" s="1"/>
  <c r="AE242" i="42"/>
  <c r="AE241" i="42"/>
  <c r="AS100" i="49"/>
  <c r="AS110" i="49" s="1"/>
  <c r="AD110" i="49"/>
  <c r="AC342" i="42"/>
  <c r="AC341" i="42"/>
  <c r="O33" i="4"/>
  <c r="AD102" i="49"/>
  <c r="AJ570" i="1"/>
  <c r="AL572" i="1"/>
  <c r="AK296" i="1"/>
  <c r="AE56" i="42"/>
  <c r="AK297" i="1"/>
  <c r="AK592" i="1"/>
  <c r="AK572" i="1"/>
  <c r="AI570" i="1"/>
  <c r="AF341" i="42"/>
  <c r="AF342" i="42"/>
  <c r="AE230" i="42"/>
  <c r="AE229" i="42"/>
  <c r="AX54" i="42"/>
  <c r="AX332" i="42" s="1" a="1"/>
  <c r="AX332" i="42" s="1"/>
  <c r="AE332" i="42" a="1"/>
  <c r="AE332" i="42" s="1"/>
  <c r="AD122" i="7"/>
  <c r="AD314" i="7"/>
  <c r="AD242" i="7"/>
  <c r="AD190" i="7"/>
  <c r="AD123" i="7"/>
  <c r="AC331" i="7"/>
  <c r="AE140" i="7"/>
  <c r="AC246" i="7"/>
  <c r="AD334" i="7"/>
  <c r="S83" i="42" l="1"/>
  <c r="S440" i="42" s="1" a="1"/>
  <c r="S440" i="42" s="1"/>
  <c r="Y134" i="1"/>
  <c r="S84" i="42"/>
  <c r="S444" i="42" s="1" a="1"/>
  <c r="S444" i="42" s="1"/>
  <c r="Y135" i="1"/>
  <c r="Z625" i="1"/>
  <c r="Z470" i="1"/>
  <c r="N95" i="4"/>
  <c r="P244" i="7" s="1"/>
  <c r="AL428" i="1"/>
  <c r="AL432" i="1" s="1"/>
  <c r="AK675" i="1"/>
  <c r="AN521" i="1"/>
  <c r="AN631" i="1" s="1"/>
  <c r="AM521" i="1"/>
  <c r="AM631" i="1" s="1"/>
  <c r="AE349" i="42"/>
  <c r="AE457" i="42" s="1"/>
  <c r="AE456" i="42"/>
  <c r="AE350" i="42"/>
  <c r="AE458" i="42" s="1"/>
  <c r="AX456" i="42"/>
  <c r="AX350" i="42"/>
  <c r="AX458" i="42" s="1"/>
  <c r="AX349" i="42"/>
  <c r="AX457" i="42" s="1"/>
  <c r="AE357" i="42"/>
  <c r="AE358" i="42"/>
  <c r="AX357" i="42"/>
  <c r="AX358" i="42"/>
  <c r="AC353" i="42"/>
  <c r="AC354" i="42"/>
  <c r="Q142" i="7"/>
  <c r="O279" i="4"/>
  <c r="O3" i="40"/>
  <c r="O5" i="40" s="1"/>
  <c r="AW460" i="42"/>
  <c r="AW366" i="42"/>
  <c r="AW462" i="42" s="1"/>
  <c r="AW365" i="42"/>
  <c r="AW461" i="42" s="1"/>
  <c r="AD112" i="49"/>
  <c r="AS102" i="49"/>
  <c r="AS112" i="49" s="1"/>
  <c r="AC460" i="42"/>
  <c r="AC366" i="42"/>
  <c r="AC462" i="42" s="1"/>
  <c r="AC365" i="42"/>
  <c r="AC461" i="42" s="1"/>
  <c r="O46" i="4"/>
  <c r="O43" i="4" s="1"/>
  <c r="O35" i="4"/>
  <c r="Q149" i="7"/>
  <c r="AX334" i="42"/>
  <c r="AX333" i="42"/>
  <c r="AX56" i="42"/>
  <c r="AX340" i="42" s="1" a="1"/>
  <c r="AX340" i="42" s="1"/>
  <c r="AE340" i="42" a="1"/>
  <c r="AE340" i="42" s="1"/>
  <c r="AK685" i="1"/>
  <c r="AK520" i="1"/>
  <c r="AE333" i="42"/>
  <c r="AE334" i="42"/>
  <c r="P135" i="7" a="1"/>
  <c r="P135" i="7" s="1"/>
  <c r="P134" i="7" a="1"/>
  <c r="P134" i="7" s="1"/>
  <c r="AF460" i="42"/>
  <c r="AF366" i="42"/>
  <c r="AF462" i="42" s="1"/>
  <c r="AF365" i="42"/>
  <c r="AF461" i="42" s="1"/>
  <c r="O67" i="4"/>
  <c r="AK624" i="1"/>
  <c r="AE63" i="42"/>
  <c r="AD116" i="49"/>
  <c r="AW353" i="42"/>
  <c r="AW354" i="42"/>
  <c r="O64" i="4"/>
  <c r="Q143" i="7" s="1"/>
  <c r="AE60" i="42"/>
  <c r="AD244" i="7"/>
  <c r="AE149" i="7"/>
  <c r="AE143" i="7"/>
  <c r="AE142" i="7"/>
  <c r="AD135" i="7"/>
  <c r="AD134" i="7"/>
  <c r="P246" i="7" l="1"/>
  <c r="I193" i="4"/>
  <c r="I89" i="4"/>
  <c r="K247" i="7" s="1"/>
  <c r="S446" i="42"/>
  <c r="S445" i="42"/>
  <c r="Z473" i="1"/>
  <c r="Z597" i="1"/>
  <c r="S441" i="42"/>
  <c r="S442" i="42"/>
  <c r="AL675" i="1"/>
  <c r="O139" i="4" s="1"/>
  <c r="Q190" i="7" s="1"/>
  <c r="AM432" i="1"/>
  <c r="P331" i="7"/>
  <c r="Q123" i="7"/>
  <c r="Q314" i="7"/>
  <c r="AE364" i="42" a="1"/>
  <c r="AE364" i="42" s="1"/>
  <c r="AX63" i="42"/>
  <c r="AX364" i="42" s="1" a="1"/>
  <c r="AX364" i="42" s="1"/>
  <c r="AE352" i="42" a="1"/>
  <c r="AE352" i="42" s="1"/>
  <c r="AX60" i="42"/>
  <c r="AX352" i="42" s="1" a="1"/>
  <c r="AX352" i="42" s="1"/>
  <c r="O88" i="4"/>
  <c r="Q242" i="7" s="1"/>
  <c r="AL521" i="1"/>
  <c r="AL631" i="1" s="1"/>
  <c r="AK521" i="1"/>
  <c r="AK631" i="1" s="1"/>
  <c r="O6" i="40"/>
  <c r="O8" i="40" s="1"/>
  <c r="O280" i="4"/>
  <c r="AS116" i="49"/>
  <c r="AS146" i="49" s="1"/>
  <c r="AD146" i="49"/>
  <c r="AE342" i="42"/>
  <c r="AE341" i="42"/>
  <c r="AX341" i="42"/>
  <c r="AX342" i="42"/>
  <c r="Q122" i="7"/>
  <c r="Q334" i="7"/>
  <c r="AE122" i="7"/>
  <c r="Y247" i="7"/>
  <c r="AE242" i="7"/>
  <c r="AE190" i="7"/>
  <c r="AE314" i="7"/>
  <c r="AE334" i="7"/>
  <c r="AD246" i="7"/>
  <c r="AE123" i="7"/>
  <c r="AD331" i="7"/>
  <c r="Z474" i="1" l="1"/>
  <c r="Z318" i="1"/>
  <c r="I72" i="4"/>
  <c r="S120" i="49"/>
  <c r="T67" i="42"/>
  <c r="O95" i="4"/>
  <c r="Q244" i="7" s="1"/>
  <c r="Q134" i="7" a="1"/>
  <c r="Q134" i="7" s="1"/>
  <c r="AE365" i="42"/>
  <c r="AE461" i="42" s="1"/>
  <c r="AE366" i="42"/>
  <c r="AE462" i="42" s="1"/>
  <c r="AE460" i="42"/>
  <c r="AX365" i="42"/>
  <c r="AX461" i="42" s="1"/>
  <c r="AX366" i="42"/>
  <c r="AX462" i="42" s="1"/>
  <c r="AX460" i="42"/>
  <c r="Q135" i="7" a="1"/>
  <c r="Q135" i="7" s="1"/>
  <c r="AX353" i="42"/>
  <c r="AX354" i="42"/>
  <c r="AN432" i="1"/>
  <c r="AN675" i="1" s="1"/>
  <c r="AM675" i="1"/>
  <c r="AE353" i="42"/>
  <c r="AE354" i="42"/>
  <c r="AE244" i="7"/>
  <c r="AE135" i="7"/>
  <c r="AE134" i="7"/>
  <c r="Q246" i="7" l="1"/>
  <c r="T380" i="42" a="1"/>
  <c r="T380" i="42" s="1"/>
  <c r="AR67" i="42"/>
  <c r="AR380" i="42" s="1" a="1"/>
  <c r="AR380" i="42" s="1"/>
  <c r="AM120" i="49"/>
  <c r="AM150" i="49" s="1"/>
  <c r="S150" i="49"/>
  <c r="I50" i="4"/>
  <c r="Z320" i="1"/>
  <c r="Q331" i="7"/>
  <c r="AE331" i="7"/>
  <c r="Y157" i="7"/>
  <c r="AE246" i="7"/>
  <c r="P36" i="50" l="1"/>
  <c r="K159" i="7"/>
  <c r="Z322" i="1"/>
  <c r="Z602" i="1"/>
  <c r="I53" i="4"/>
  <c r="AR382" i="42"/>
  <c r="AR381" i="42"/>
  <c r="T381" i="42"/>
  <c r="T382" i="42"/>
  <c r="Y159" i="7"/>
  <c r="I77" i="4" l="1"/>
  <c r="T68" i="42"/>
  <c r="S121" i="49"/>
  <c r="Z603" i="1"/>
  <c r="I54" i="4"/>
  <c r="Z328" i="1"/>
  <c r="Z325" i="1"/>
  <c r="Z326" i="1" s="1"/>
  <c r="K162" i="7"/>
  <c r="Y162" i="7"/>
  <c r="P37" i="50" l="1"/>
  <c r="K163" i="7"/>
  <c r="I78" i="4"/>
  <c r="T69" i="42"/>
  <c r="S122" i="49"/>
  <c r="Z493" i="1"/>
  <c r="Z494" i="1" s="1"/>
  <c r="Z627" i="1" s="1"/>
  <c r="AM121" i="49"/>
  <c r="AM151" i="49" s="1"/>
  <c r="S151" i="49"/>
  <c r="AR68" i="42"/>
  <c r="AR384" i="42" s="1" a="1"/>
  <c r="AR384" i="42" s="1"/>
  <c r="T384" i="42" a="1"/>
  <c r="T384" i="42" s="1"/>
  <c r="Z605" i="1"/>
  <c r="I55" i="4"/>
  <c r="Z329" i="1"/>
  <c r="Z528" i="1"/>
  <c r="Z646" i="1" s="1"/>
  <c r="T74" i="42"/>
  <c r="S127" i="49"/>
  <c r="Z531" i="1"/>
  <c r="I186" i="4"/>
  <c r="Y163" i="7"/>
  <c r="Z529" i="1" l="1"/>
  <c r="Z395" i="1" s="1"/>
  <c r="Z544" i="1"/>
  <c r="Z652" i="1"/>
  <c r="I56" i="4"/>
  <c r="P38" i="50"/>
  <c r="T70" i="42"/>
  <c r="I188" i="4"/>
  <c r="S123" i="49"/>
  <c r="Z608" i="1"/>
  <c r="I108" i="4"/>
  <c r="K269" i="7" s="1"/>
  <c r="S152" i="49"/>
  <c r="AM122" i="49"/>
  <c r="AM152" i="49" s="1"/>
  <c r="T385" i="42"/>
  <c r="T386" i="42"/>
  <c r="I187" i="4"/>
  <c r="T388" i="42" a="1"/>
  <c r="T388" i="42" s="1"/>
  <c r="AR69" i="42"/>
  <c r="AR388" i="42" s="1" a="1"/>
  <c r="AR388" i="42" s="1"/>
  <c r="AR385" i="42"/>
  <c r="AR386" i="42"/>
  <c r="I91" i="4"/>
  <c r="K248" i="7" s="1"/>
  <c r="Z630" i="1"/>
  <c r="I79" i="4"/>
  <c r="K302" i="7"/>
  <c r="CA11" i="51"/>
  <c r="DS11" i="51" s="1"/>
  <c r="T79" i="42"/>
  <c r="I115" i="4"/>
  <c r="S157" i="49"/>
  <c r="AM127" i="49"/>
  <c r="AM157" i="49" s="1"/>
  <c r="T408" i="42" a="1"/>
  <c r="T408" i="42" s="1"/>
  <c r="AR74" i="42"/>
  <c r="AR408" i="42" s="1" a="1"/>
  <c r="AR408" i="42" s="1"/>
  <c r="Y269" i="7"/>
  <c r="Y302" i="7"/>
  <c r="Y248" i="7"/>
  <c r="K272" i="7" l="1"/>
  <c r="K165" i="7"/>
  <c r="K306" i="7"/>
  <c r="S153" i="49"/>
  <c r="AM123" i="49"/>
  <c r="AM153" i="49" s="1"/>
  <c r="T389" i="42"/>
  <c r="T390" i="42"/>
  <c r="Z621" i="1"/>
  <c r="Z611" i="1"/>
  <c r="I81" i="4"/>
  <c r="Z613" i="1"/>
  <c r="T392" i="42" a="1"/>
  <c r="T392" i="42" s="1"/>
  <c r="AR70" i="42"/>
  <c r="AR392" i="42" s="1" a="1"/>
  <c r="AR392" i="42" s="1"/>
  <c r="I94" i="4"/>
  <c r="Z633" i="1"/>
  <c r="I202" i="4"/>
  <c r="K249" i="7"/>
  <c r="AR390" i="42"/>
  <c r="AR389" i="42"/>
  <c r="K273" i="7"/>
  <c r="I125" i="4"/>
  <c r="I289" i="4"/>
  <c r="K282" i="7"/>
  <c r="K125" i="7"/>
  <c r="K303" i="7"/>
  <c r="T424" i="42" a="1"/>
  <c r="T424" i="42" s="1"/>
  <c r="AR79" i="42"/>
  <c r="AR424" i="42" s="1" a="1"/>
  <c r="AR424" i="42" s="1"/>
  <c r="AR409" i="42"/>
  <c r="AR410" i="42"/>
  <c r="T410" i="42"/>
  <c r="T409" i="42"/>
  <c r="Y249" i="7"/>
  <c r="Y125" i="7"/>
  <c r="Y165" i="7"/>
  <c r="Y306" i="7"/>
  <c r="Y303" i="7"/>
  <c r="Y272" i="7"/>
  <c r="T468" i="42" l="1"/>
  <c r="T393" i="42"/>
  <c r="T469" i="42" s="1"/>
  <c r="T394" i="42"/>
  <c r="T470" i="42" s="1"/>
  <c r="I292" i="4"/>
  <c r="I203" i="4"/>
  <c r="T77" i="42"/>
  <c r="Z736" i="1"/>
  <c r="Z737" i="1" s="1"/>
  <c r="I96" i="4"/>
  <c r="Z655" i="1"/>
  <c r="T71" i="42"/>
  <c r="Z615" i="1"/>
  <c r="Z618" i="1"/>
  <c r="S124" i="49"/>
  <c r="Z530" i="1"/>
  <c r="K278" i="7"/>
  <c r="AR394" i="42"/>
  <c r="AR470" i="42" s="1"/>
  <c r="AR393" i="42"/>
  <c r="AR469" i="42" s="1"/>
  <c r="AR468" i="42"/>
  <c r="Z614" i="1"/>
  <c r="Z705" i="1"/>
  <c r="K276" i="7"/>
  <c r="CA9" i="51"/>
  <c r="DS9" i="51" s="1"/>
  <c r="I9" i="40"/>
  <c r="I11" i="40" s="1"/>
  <c r="I281" i="4"/>
  <c r="I85" i="4"/>
  <c r="I83" i="4"/>
  <c r="Z533" i="1"/>
  <c r="Z534" i="1" s="1"/>
  <c r="S126" i="49"/>
  <c r="T73" i="42"/>
  <c r="I183" i="4"/>
  <c r="I189" i="4" s="1"/>
  <c r="K167" i="7"/>
  <c r="AR425" i="42"/>
  <c r="AR426" i="42"/>
  <c r="K137" i="7" a="1"/>
  <c r="K137" i="7" s="1"/>
  <c r="T426" i="42"/>
  <c r="T425" i="42"/>
  <c r="Y137" i="7"/>
  <c r="Y167" i="7"/>
  <c r="Y276" i="7"/>
  <c r="Y278" i="7"/>
  <c r="K169" i="7" l="1"/>
  <c r="K307" i="7"/>
  <c r="S154" i="49"/>
  <c r="AM124" i="49"/>
  <c r="AM154" i="49" s="1"/>
  <c r="T72" i="42"/>
  <c r="I184" i="4"/>
  <c r="K297" i="7" s="1"/>
  <c r="S125" i="49"/>
  <c r="CA10" i="51"/>
  <c r="DS10" i="51" s="1"/>
  <c r="I282" i="4"/>
  <c r="T80" i="42"/>
  <c r="I117" i="4"/>
  <c r="I119" i="4" s="1"/>
  <c r="Z658" i="1"/>
  <c r="Z709" i="1"/>
  <c r="I163" i="4"/>
  <c r="AM126" i="49"/>
  <c r="AM156" i="49" s="1"/>
  <c r="S156" i="49"/>
  <c r="P40" i="50"/>
  <c r="I287" i="4"/>
  <c r="I123" i="4"/>
  <c r="K250" i="7"/>
  <c r="T404" i="42" a="1"/>
  <c r="T404" i="42" s="1"/>
  <c r="AR73" i="42"/>
  <c r="AR404" i="42" s="1" a="1"/>
  <c r="AR404" i="42" s="1"/>
  <c r="T396" i="42" a="1"/>
  <c r="T396" i="42" s="1"/>
  <c r="AR71" i="42"/>
  <c r="AR396" i="42" s="1" a="1"/>
  <c r="AR396" i="42" s="1"/>
  <c r="AR77" i="42"/>
  <c r="AR416" i="42" s="1" a="1"/>
  <c r="AR416" i="42" s="1"/>
  <c r="T416" i="42" a="1"/>
  <c r="T416" i="42" s="1"/>
  <c r="Y297" i="7"/>
  <c r="Y307" i="7"/>
  <c r="Y169" i="7"/>
  <c r="K224" i="7" l="1"/>
  <c r="I166" i="4"/>
  <c r="T418" i="42"/>
  <c r="T417" i="42"/>
  <c r="AR80" i="42"/>
  <c r="AR428" i="42" s="1" a="1"/>
  <c r="AR428" i="42" s="1"/>
  <c r="T428" i="42" a="1"/>
  <c r="T428" i="42" s="1"/>
  <c r="AR417" i="42"/>
  <c r="AR418" i="42"/>
  <c r="AR406" i="42"/>
  <c r="AR405" i="42"/>
  <c r="S155" i="49"/>
  <c r="AM125" i="49"/>
  <c r="AM155" i="49" s="1"/>
  <c r="AR397" i="42"/>
  <c r="AR398" i="42"/>
  <c r="T398" i="42"/>
  <c r="T397" i="42"/>
  <c r="Z564" i="1"/>
  <c r="Z567" i="1" s="1"/>
  <c r="AA654" i="1"/>
  <c r="I121" i="4"/>
  <c r="T82" i="42"/>
  <c r="Z464" i="1"/>
  <c r="Z684" i="1"/>
  <c r="Z662" i="1"/>
  <c r="Z659" i="1"/>
  <c r="T405" i="42"/>
  <c r="T406" i="42"/>
  <c r="T400" i="42" a="1"/>
  <c r="T400" i="42" s="1"/>
  <c r="AR72" i="42"/>
  <c r="AR400" i="42" s="1" a="1"/>
  <c r="AR400" i="42" s="1"/>
  <c r="K296" i="7"/>
  <c r="K172" i="7"/>
  <c r="K316" i="7"/>
  <c r="Y316" i="7"/>
  <c r="Y172" i="7"/>
  <c r="Y296" i="7"/>
  <c r="Y224" i="7"/>
  <c r="K176" i="7" l="1"/>
  <c r="K177" i="7"/>
  <c r="Z670" i="1"/>
  <c r="Z682" i="1" s="1"/>
  <c r="I129" i="4"/>
  <c r="AR82" i="42"/>
  <c r="AR436" i="42" s="1" a="1"/>
  <c r="AR436" i="42" s="1"/>
  <c r="T436" i="42" a="1"/>
  <c r="T436" i="42" s="1"/>
  <c r="AR401" i="42"/>
  <c r="AR402" i="42"/>
  <c r="T401" i="42"/>
  <c r="T402" i="42"/>
  <c r="I147" i="4"/>
  <c r="Z691" i="1"/>
  <c r="Z702" i="1" s="1"/>
  <c r="Z710" i="1" s="1"/>
  <c r="Z8" i="1" s="1"/>
  <c r="T430" i="42"/>
  <c r="T429" i="42"/>
  <c r="Z577" i="1"/>
  <c r="Z573" i="1"/>
  <c r="Z579" i="1"/>
  <c r="Z571" i="1"/>
  <c r="K226" i="7"/>
  <c r="AR429" i="42"/>
  <c r="AR430" i="42"/>
  <c r="I126" i="4"/>
  <c r="I290" i="4"/>
  <c r="J120" i="4"/>
  <c r="Z463" i="1"/>
  <c r="AA465" i="1" s="1"/>
  <c r="Y226" i="7"/>
  <c r="Y176" i="7"/>
  <c r="I151" i="4" l="1"/>
  <c r="I159" i="4" s="1"/>
  <c r="K202" i="7"/>
  <c r="T83" i="42"/>
  <c r="I174" i="4"/>
  <c r="Z134" i="1"/>
  <c r="AA470" i="1"/>
  <c r="AA625" i="1"/>
  <c r="T437" i="42"/>
  <c r="T438" i="42"/>
  <c r="AR438" i="42"/>
  <c r="AR437" i="42"/>
  <c r="I134" i="4"/>
  <c r="I145" i="4" s="1"/>
  <c r="I168" i="4" s="1"/>
  <c r="K182" i="7"/>
  <c r="K228" i="7"/>
  <c r="T84" i="42"/>
  <c r="Z135" i="1"/>
  <c r="I175" i="4"/>
  <c r="K298" i="7"/>
  <c r="Y228" i="7"/>
  <c r="Y202" i="7"/>
  <c r="Y182" i="7"/>
  <c r="Y298" i="7"/>
  <c r="I296" i="4" l="1"/>
  <c r="K327" i="7"/>
  <c r="K187" i="7"/>
  <c r="K281" i="7"/>
  <c r="K232" i="7"/>
  <c r="T440" i="42" a="1"/>
  <c r="T440" i="42" s="1"/>
  <c r="AR83" i="42"/>
  <c r="AR440" i="42" s="1" a="1"/>
  <c r="AR440" i="42" s="1"/>
  <c r="T444" i="42" a="1"/>
  <c r="T444" i="42" s="1"/>
  <c r="AR84" i="42"/>
  <c r="AR444" i="42" s="1" a="1"/>
  <c r="AR444" i="42" s="1"/>
  <c r="K237" i="7"/>
  <c r="K234" i="7"/>
  <c r="K322" i="7"/>
  <c r="K233" i="7"/>
  <c r="K308" i="7"/>
  <c r="AA597" i="1"/>
  <c r="AA473" i="1"/>
  <c r="P42" i="50"/>
  <c r="K299" i="7"/>
  <c r="K124" i="7"/>
  <c r="K300" i="7"/>
  <c r="K208" i="7"/>
  <c r="K381" i="7"/>
  <c r="Y124" i="7"/>
  <c r="Y381" i="7"/>
  <c r="Y327" i="7"/>
  <c r="Y281" i="7"/>
  <c r="Y234" i="7"/>
  <c r="Y299" i="7"/>
  <c r="Y208" i="7"/>
  <c r="Y233" i="7"/>
  <c r="Y300" i="7"/>
  <c r="Y237" i="7"/>
  <c r="Y308" i="7"/>
  <c r="Y187" i="7"/>
  <c r="Y322" i="7"/>
  <c r="Y232" i="7"/>
  <c r="U67" i="42" l="1"/>
  <c r="U380" i="42" s="1" a="1"/>
  <c r="U380" i="42" s="1"/>
  <c r="U381" i="42" s="1"/>
  <c r="T120" i="49"/>
  <c r="T150" i="49" s="1"/>
  <c r="AA474" i="1"/>
  <c r="AA318" i="1"/>
  <c r="AA320" i="1" s="1"/>
  <c r="AA602" i="1" s="1"/>
  <c r="K309" i="7"/>
  <c r="T445" i="42"/>
  <c r="T446" i="42"/>
  <c r="AR446" i="42"/>
  <c r="AR445" i="42"/>
  <c r="T442" i="42"/>
  <c r="T441" i="42"/>
  <c r="K136" i="7" a="1"/>
  <c r="K136" i="7" s="1"/>
  <c r="L280" i="7"/>
  <c r="AR441" i="42"/>
  <c r="AR442" i="42"/>
  <c r="K218" i="7"/>
  <c r="K301" i="7"/>
  <c r="K326" i="7"/>
  <c r="K336" i="7"/>
  <c r="K325" i="7"/>
  <c r="K197" i="7"/>
  <c r="Y326" i="7"/>
  <c r="Y336" i="7"/>
  <c r="Y136" i="7"/>
  <c r="Y309" i="7"/>
  <c r="Y301" i="7"/>
  <c r="Z280" i="7"/>
  <c r="Y197" i="7"/>
  <c r="Y218" i="7"/>
  <c r="Y325" i="7"/>
  <c r="AA322" i="1" l="1"/>
  <c r="U382" i="42"/>
  <c r="K198" i="7"/>
  <c r="K236" i="7"/>
  <c r="K231" i="7"/>
  <c r="K229" i="7"/>
  <c r="K323" i="7"/>
  <c r="K219" i="7"/>
  <c r="AA328" i="1"/>
  <c r="AA605" i="1" s="1"/>
  <c r="AA325" i="1"/>
  <c r="AA326" i="1" s="1"/>
  <c r="AA603" i="1"/>
  <c r="U68" i="42"/>
  <c r="T121" i="49"/>
  <c r="Y231" i="7"/>
  <c r="Y236" i="7"/>
  <c r="Y323" i="7"/>
  <c r="K319" i="7" l="1"/>
  <c r="AA329" i="1"/>
  <c r="U384" i="42" a="1"/>
  <c r="U384" i="42" s="1"/>
  <c r="T151" i="49"/>
  <c r="AA493" i="1"/>
  <c r="AA494" i="1" s="1"/>
  <c r="AA627" i="1" s="1"/>
  <c r="U69" i="42"/>
  <c r="T122" i="49"/>
  <c r="T123" i="49"/>
  <c r="AA608" i="1"/>
  <c r="U70" i="42"/>
  <c r="Y319" i="7"/>
  <c r="K320" i="7" l="1"/>
  <c r="K321" i="7"/>
  <c r="AA621" i="1"/>
  <c r="AA533" i="1" s="1"/>
  <c r="AA527" i="1" s="1"/>
  <c r="AA528" i="1" s="1"/>
  <c r="AA529" i="1" s="1"/>
  <c r="AA395" i="1" s="1"/>
  <c r="AA611" i="1"/>
  <c r="AA613" i="1"/>
  <c r="AA614" i="1" s="1"/>
  <c r="U392" i="42" a="1"/>
  <c r="U392" i="42" s="1"/>
  <c r="T153" i="49"/>
  <c r="T152" i="49"/>
  <c r="U388" i="42" a="1"/>
  <c r="U388" i="42" s="1"/>
  <c r="AA630" i="1"/>
  <c r="U386" i="42"/>
  <c r="U385" i="42"/>
  <c r="AA646" i="1"/>
  <c r="Y320" i="7"/>
  <c r="Y321" i="7"/>
  <c r="AA544" i="1" l="1"/>
  <c r="AA530" i="1"/>
  <c r="U390" i="42"/>
  <c r="U389" i="42"/>
  <c r="AA633" i="1"/>
  <c r="AA618" i="1"/>
  <c r="T124" i="49"/>
  <c r="U71" i="42"/>
  <c r="AA615" i="1"/>
  <c r="U393" i="42"/>
  <c r="U469" i="42" s="1"/>
  <c r="U394" i="42"/>
  <c r="U470" i="42" s="1"/>
  <c r="U468" i="42"/>
  <c r="AA652" i="1"/>
  <c r="AA705" i="1"/>
  <c r="U73" i="42"/>
  <c r="T126" i="49"/>
  <c r="T127" i="49"/>
  <c r="AA531" i="1"/>
  <c r="U74" i="42"/>
  <c r="U79" i="42" l="1"/>
  <c r="T154" i="49"/>
  <c r="U408" i="42" a="1"/>
  <c r="U408" i="42" s="1"/>
  <c r="AA709" i="1"/>
  <c r="U396" i="42" a="1"/>
  <c r="U396" i="42" s="1"/>
  <c r="U72" i="42"/>
  <c r="T125" i="49"/>
  <c r="T156" i="49"/>
  <c r="T157" i="49"/>
  <c r="U77" i="42"/>
  <c r="U404" i="42" a="1"/>
  <c r="U404" i="42" s="1"/>
  <c r="U398" i="42" l="1"/>
  <c r="U397" i="42"/>
  <c r="T155" i="49"/>
  <c r="U410" i="42"/>
  <c r="U409" i="42"/>
  <c r="U424" i="42" a="1"/>
  <c r="U424" i="42" s="1"/>
  <c r="U400" i="42" a="1"/>
  <c r="U400" i="42" s="1"/>
  <c r="U416" i="42" a="1"/>
  <c r="U416" i="42" s="1"/>
  <c r="U406" i="42"/>
  <c r="U405" i="42"/>
  <c r="U402" i="42" l="1"/>
  <c r="U401" i="42"/>
  <c r="U426" i="42"/>
  <c r="U425" i="42"/>
  <c r="U418" i="42"/>
  <c r="U417" i="42"/>
  <c r="AA421" i="1" l="1"/>
  <c r="AA674" i="1" s="1"/>
  <c r="AA681" i="1" s="1"/>
  <c r="AA449" i="1"/>
  <c r="U81" i="42" s="1"/>
  <c r="U432" i="42" a="1"/>
  <c r="U432" i="42" s="1"/>
  <c r="AA642" i="1"/>
  <c r="AA423" i="1" l="1"/>
  <c r="AB416" i="1"/>
  <c r="AB301" i="1" s="1"/>
  <c r="AA307" i="1"/>
  <c r="AB449" i="1"/>
  <c r="AB594" i="1"/>
  <c r="J69" i="4" s="1"/>
  <c r="AB421" i="1"/>
  <c r="AA736" i="1"/>
  <c r="AA737" i="1" s="1"/>
  <c r="AA655" i="1"/>
  <c r="U78" i="42"/>
  <c r="U434" i="42"/>
  <c r="U433" i="42"/>
  <c r="Z153" i="7"/>
  <c r="U420" i="42" l="1" a="1"/>
  <c r="U420" i="42" s="1"/>
  <c r="AA658" i="1"/>
  <c r="U80" i="42"/>
  <c r="AB674" i="1"/>
  <c r="AC416" i="1"/>
  <c r="AB423" i="1"/>
  <c r="J47" i="4"/>
  <c r="L154" i="7" s="1"/>
  <c r="AB311" i="1"/>
  <c r="AB302" i="1"/>
  <c r="AB433" i="1"/>
  <c r="V81" i="42"/>
  <c r="AB307" i="1"/>
  <c r="J196" i="4"/>
  <c r="AB642" i="1"/>
  <c r="Z154" i="7"/>
  <c r="CB35" i="51" l="1"/>
  <c r="J195" i="4"/>
  <c r="U428" i="42" a="1"/>
  <c r="U428" i="42" s="1"/>
  <c r="AB596" i="1"/>
  <c r="J49" i="4"/>
  <c r="CB39" i="51" s="1"/>
  <c r="AB312" i="1"/>
  <c r="L332" i="7"/>
  <c r="L384" i="7"/>
  <c r="L262" i="7"/>
  <c r="V78" i="42"/>
  <c r="J104" i="4"/>
  <c r="AA684" i="1"/>
  <c r="AA691" i="1" s="1"/>
  <c r="AA702" i="1" s="1"/>
  <c r="AB654" i="1"/>
  <c r="AA659" i="1"/>
  <c r="AA464" i="1"/>
  <c r="AA662" i="1"/>
  <c r="AA670" i="1" s="1"/>
  <c r="AA682" i="1" s="1"/>
  <c r="AA564" i="1"/>
  <c r="AA567" i="1" s="1"/>
  <c r="U82" i="42"/>
  <c r="U436" i="42" s="1" a="1"/>
  <c r="U436" i="42" s="1"/>
  <c r="U422" i="42"/>
  <c r="U421" i="42"/>
  <c r="AC594" i="1"/>
  <c r="AC301" i="1"/>
  <c r="AB681" i="1"/>
  <c r="J138" i="4"/>
  <c r="V432" i="42" a="1"/>
  <c r="V432" i="42" s="1"/>
  <c r="AS81" i="42"/>
  <c r="AS432" i="42" s="1" a="1"/>
  <c r="AS432" i="42" s="1"/>
  <c r="Z262" i="7"/>
  <c r="Z332" i="7"/>
  <c r="Z384" i="7"/>
  <c r="AA463" i="1" l="1"/>
  <c r="AB465" i="1" s="1"/>
  <c r="U438" i="42"/>
  <c r="U437" i="42"/>
  <c r="AA577" i="1"/>
  <c r="AA579" i="1"/>
  <c r="AA573" i="1"/>
  <c r="AA571" i="1"/>
  <c r="V65" i="42"/>
  <c r="AB593" i="1"/>
  <c r="U118" i="49"/>
  <c r="J71" i="4"/>
  <c r="J144" i="4"/>
  <c r="L193" i="7"/>
  <c r="V434" i="42"/>
  <c r="V433" i="42"/>
  <c r="L263" i="7"/>
  <c r="J288" i="4"/>
  <c r="J124" i="4"/>
  <c r="AS434" i="42"/>
  <c r="AS433" i="42"/>
  <c r="U429" i="42"/>
  <c r="U430" i="42"/>
  <c r="AB470" i="1"/>
  <c r="AB625" i="1"/>
  <c r="AA710" i="1"/>
  <c r="AA8" i="1" s="1"/>
  <c r="AC311" i="1"/>
  <c r="AC433" i="1"/>
  <c r="AC302" i="1"/>
  <c r="V420" i="42" a="1"/>
  <c r="V420" i="42" s="1"/>
  <c r="AS78" i="42"/>
  <c r="AS420" i="42" s="1" a="1"/>
  <c r="AS420" i="42" s="1"/>
  <c r="Z193" i="7"/>
  <c r="CB8" i="51" l="1"/>
  <c r="DT8" i="51" s="1"/>
  <c r="AS65" i="42"/>
  <c r="AS372" i="42" s="1" a="1"/>
  <c r="AS372" i="42" s="1"/>
  <c r="V372" i="42" a="1"/>
  <c r="V372" i="42" s="1"/>
  <c r="V64" i="42"/>
  <c r="U117" i="49"/>
  <c r="J68" i="4"/>
  <c r="J89" i="4"/>
  <c r="L247" i="7" s="1"/>
  <c r="J193" i="4"/>
  <c r="AB597" i="1"/>
  <c r="AB473" i="1"/>
  <c r="AS422" i="42"/>
  <c r="AS421" i="42"/>
  <c r="U83" i="42"/>
  <c r="U440" i="42" s="1" a="1"/>
  <c r="U440" i="42" s="1"/>
  <c r="AA134" i="1"/>
  <c r="L195" i="7"/>
  <c r="U84" i="42"/>
  <c r="U444" i="42" s="1" a="1"/>
  <c r="U444" i="42" s="1"/>
  <c r="AA135" i="1"/>
  <c r="V422" i="42"/>
  <c r="V421" i="42"/>
  <c r="AC596" i="1"/>
  <c r="AC312" i="1"/>
  <c r="AN118" i="49"/>
  <c r="AN148" i="49" s="1"/>
  <c r="U148" i="49"/>
  <c r="Z247" i="7"/>
  <c r="Z195" i="7"/>
  <c r="Z150" i="7"/>
  <c r="AB318" i="1" l="1"/>
  <c r="AB474" i="1"/>
  <c r="U445" i="42"/>
  <c r="U446" i="42"/>
  <c r="V67" i="42"/>
  <c r="U120" i="49"/>
  <c r="J72" i="4"/>
  <c r="U442" i="42"/>
  <c r="U441" i="42"/>
  <c r="AN117" i="49"/>
  <c r="AN147" i="49" s="1"/>
  <c r="U147" i="49"/>
  <c r="AS64" i="42"/>
  <c r="AS368" i="42" s="1" a="1"/>
  <c r="AS368" i="42" s="1"/>
  <c r="V368" i="42" a="1"/>
  <c r="V368" i="42" s="1"/>
  <c r="V374" i="42"/>
  <c r="V466" i="42" s="1"/>
  <c r="V464" i="42"/>
  <c r="V373" i="42"/>
  <c r="V465" i="42" s="1"/>
  <c r="W65" i="42"/>
  <c r="AC593" i="1"/>
  <c r="V118" i="49"/>
  <c r="AS373" i="42"/>
  <c r="AS465" i="42" s="1"/>
  <c r="AS464" i="42"/>
  <c r="AS374" i="42"/>
  <c r="AS466" i="42" s="1"/>
  <c r="Z157" i="7"/>
  <c r="AN120" i="49" l="1"/>
  <c r="AN150" i="49" s="1"/>
  <c r="U150" i="49"/>
  <c r="V380" i="42" a="1"/>
  <c r="V380" i="42" s="1"/>
  <c r="AS67" i="42"/>
  <c r="AS380" i="42" s="1" a="1"/>
  <c r="AS380" i="42" s="1"/>
  <c r="L156" i="7"/>
  <c r="L335" i="7"/>
  <c r="L333" i="7"/>
  <c r="J50" i="4"/>
  <c r="L159" i="7" s="1"/>
  <c r="AB320" i="1"/>
  <c r="AS370" i="42"/>
  <c r="AS369" i="42"/>
  <c r="V370" i="42"/>
  <c r="V369" i="42"/>
  <c r="V148" i="49"/>
  <c r="W372" i="42" a="1"/>
  <c r="W372" i="42" s="1"/>
  <c r="W64" i="42"/>
  <c r="V117" i="49"/>
  <c r="Z333" i="7"/>
  <c r="Z156" i="7"/>
  <c r="Z335" i="7"/>
  <c r="Z159" i="7"/>
  <c r="W373" i="42" l="1"/>
  <c r="W465" i="42" s="1"/>
  <c r="W464" i="42"/>
  <c r="W374" i="42"/>
  <c r="W466" i="42" s="1"/>
  <c r="V147" i="49"/>
  <c r="W368" i="42" a="1"/>
  <c r="W368" i="42" s="1"/>
  <c r="L162" i="7"/>
  <c r="L377" i="7"/>
  <c r="L315" i="7"/>
  <c r="L328" i="7"/>
  <c r="AB602" i="1"/>
  <c r="AB322" i="1"/>
  <c r="AB325" i="1" s="1"/>
  <c r="AB326" i="1" s="1"/>
  <c r="J53" i="4"/>
  <c r="AS381" i="42"/>
  <c r="AS382" i="42"/>
  <c r="V381" i="42"/>
  <c r="V382" i="42"/>
  <c r="Z162" i="7"/>
  <c r="Z315" i="7"/>
  <c r="Z377" i="7"/>
  <c r="Z328" i="7"/>
  <c r="W370" i="42" l="1"/>
  <c r="W369" i="42"/>
  <c r="J54" i="4"/>
  <c r="L163" i="7" s="1"/>
  <c r="AB603" i="1"/>
  <c r="U121" i="49"/>
  <c r="J77" i="4"/>
  <c r="V68" i="42"/>
  <c r="AB328" i="1"/>
  <c r="Z163" i="7"/>
  <c r="V384" i="42" l="1" a="1"/>
  <c r="V384" i="42" s="1"/>
  <c r="AS68" i="42"/>
  <c r="AS384" i="42" s="1" a="1"/>
  <c r="AS384" i="42" s="1"/>
  <c r="AN121" i="49"/>
  <c r="AN151" i="49" s="1"/>
  <c r="U151" i="49"/>
  <c r="AB605" i="1"/>
  <c r="J55" i="4"/>
  <c r="J56" i="4" s="1"/>
  <c r="AB329" i="1"/>
  <c r="V69" i="42"/>
  <c r="J78" i="4"/>
  <c r="AB493" i="1"/>
  <c r="AB494" i="1" s="1"/>
  <c r="AB627" i="1" s="1"/>
  <c r="U122" i="49"/>
  <c r="AN122" i="49" l="1"/>
  <c r="AN152" i="49" s="1"/>
  <c r="U152" i="49"/>
  <c r="J79" i="4"/>
  <c r="AS69" i="42"/>
  <c r="AS388" i="42" s="1" a="1"/>
  <c r="AS388" i="42" s="1"/>
  <c r="V388" i="42" a="1"/>
  <c r="V388" i="42" s="1"/>
  <c r="J91" i="4"/>
  <c r="L248" i="7" s="1"/>
  <c r="AB630" i="1"/>
  <c r="V70" i="42"/>
  <c r="U123" i="49"/>
  <c r="J188" i="4"/>
  <c r="AB608" i="1"/>
  <c r="AS386" i="42"/>
  <c r="AS385" i="42"/>
  <c r="V386" i="42"/>
  <c r="V385" i="42"/>
  <c r="Z248" i="7"/>
  <c r="L249" i="7" l="1"/>
  <c r="AB621" i="1"/>
  <c r="AB533" i="1" s="1"/>
  <c r="AB527" i="1" s="1"/>
  <c r="AB528" i="1" s="1"/>
  <c r="J187" i="4" s="1"/>
  <c r="AB611" i="1"/>
  <c r="J81" i="4"/>
  <c r="AB613" i="1"/>
  <c r="AB614" i="1" s="1"/>
  <c r="L306" i="7"/>
  <c r="L165" i="7"/>
  <c r="AN123" i="49"/>
  <c r="AN153" i="49" s="1"/>
  <c r="U153" i="49"/>
  <c r="AB633" i="1"/>
  <c r="J202" i="4"/>
  <c r="J94" i="4"/>
  <c r="AS70" i="42"/>
  <c r="AS392" i="42" s="1" a="1"/>
  <c r="AS392" i="42" s="1"/>
  <c r="V392" i="42" a="1"/>
  <c r="V392" i="42" s="1"/>
  <c r="V389" i="42"/>
  <c r="V390" i="42"/>
  <c r="AS390" i="42"/>
  <c r="AS389" i="42"/>
  <c r="Z249" i="7"/>
  <c r="Z306" i="7"/>
  <c r="Z165" i="7"/>
  <c r="AB530" i="1" l="1"/>
  <c r="AB544" i="1"/>
  <c r="AB646" i="1"/>
  <c r="J108" i="4" s="1"/>
  <c r="L269" i="7" s="1"/>
  <c r="AB529" i="1"/>
  <c r="AB395" i="1" s="1"/>
  <c r="L167" i="7"/>
  <c r="V394" i="42"/>
  <c r="V470" i="42" s="1"/>
  <c r="V468" i="42"/>
  <c r="V393" i="42"/>
  <c r="V469" i="42" s="1"/>
  <c r="V74" i="42"/>
  <c r="U127" i="49"/>
  <c r="J186" i="4"/>
  <c r="AB531" i="1"/>
  <c r="AB705" i="1"/>
  <c r="AB652" i="1"/>
  <c r="AS393" i="42"/>
  <c r="AS469" i="42" s="1"/>
  <c r="AS394" i="42"/>
  <c r="AS470" i="42" s="1"/>
  <c r="AS468" i="42"/>
  <c r="J203" i="4"/>
  <c r="J292" i="4"/>
  <c r="V77" i="42"/>
  <c r="J96" i="4"/>
  <c r="AB736" i="1"/>
  <c r="AB737" i="1" s="1"/>
  <c r="V71" i="42"/>
  <c r="AB618" i="1"/>
  <c r="U124" i="49"/>
  <c r="AB615" i="1"/>
  <c r="J83" i="4"/>
  <c r="CB9" i="51"/>
  <c r="DT9" i="51" s="1"/>
  <c r="J281" i="4"/>
  <c r="J9" i="40"/>
  <c r="J11" i="40" s="1"/>
  <c r="J85" i="4"/>
  <c r="V73" i="42"/>
  <c r="J183" i="4"/>
  <c r="U126" i="49"/>
  <c r="L278" i="7"/>
  <c r="Z278" i="7"/>
  <c r="Z269" i="7"/>
  <c r="Z167" i="7"/>
  <c r="J189" i="4" l="1"/>
  <c r="AS73" i="42"/>
  <c r="AS404" i="42" s="1" a="1"/>
  <c r="AS404" i="42" s="1"/>
  <c r="V404" i="42" a="1"/>
  <c r="V404" i="42" s="1"/>
  <c r="J282" i="4"/>
  <c r="CB10" i="51"/>
  <c r="DT10" i="51" s="1"/>
  <c r="L272" i="7"/>
  <c r="AB655" i="1"/>
  <c r="V79" i="42"/>
  <c r="J115" i="4"/>
  <c r="L302" i="7"/>
  <c r="CB11" i="51"/>
  <c r="DT11" i="51" s="1"/>
  <c r="L169" i="7"/>
  <c r="AS71" i="42"/>
  <c r="AS396" i="42" s="1" a="1"/>
  <c r="AS396" i="42" s="1"/>
  <c r="V396" i="42" a="1"/>
  <c r="V396" i="42" s="1"/>
  <c r="L307" i="7"/>
  <c r="AS74" i="42"/>
  <c r="AS408" i="42" s="1" a="1"/>
  <c r="AS408" i="42" s="1"/>
  <c r="V408" i="42" a="1"/>
  <c r="V408" i="42" s="1"/>
  <c r="J287" i="4"/>
  <c r="J123" i="4"/>
  <c r="L250" i="7"/>
  <c r="U157" i="49"/>
  <c r="AN127" i="49"/>
  <c r="AN157" i="49" s="1"/>
  <c r="AN124" i="49"/>
  <c r="AN154" i="49" s="1"/>
  <c r="U154" i="49"/>
  <c r="AN126" i="49"/>
  <c r="AN156" i="49" s="1"/>
  <c r="U156" i="49"/>
  <c r="AB709" i="1"/>
  <c r="J163" i="4"/>
  <c r="AS77" i="42"/>
  <c r="AS416" i="42" s="1" a="1"/>
  <c r="AS416" i="42" s="1"/>
  <c r="V416" i="42" a="1"/>
  <c r="V416" i="42" s="1"/>
  <c r="V72" i="42"/>
  <c r="U125" i="49"/>
  <c r="J184" i="4"/>
  <c r="L297" i="7" s="1"/>
  <c r="Z307" i="7"/>
  <c r="Z302" i="7"/>
  <c r="Z169" i="7"/>
  <c r="Z272" i="7"/>
  <c r="Z297" i="7"/>
  <c r="V418" i="42" l="1"/>
  <c r="V417" i="42"/>
  <c r="AN125" i="49"/>
  <c r="AN155" i="49" s="1"/>
  <c r="U155" i="49"/>
  <c r="V400" i="42" a="1"/>
  <c r="V400" i="42" s="1"/>
  <c r="AS72" i="42"/>
  <c r="AS400" i="42" s="1" a="1"/>
  <c r="AS400" i="42" s="1"/>
  <c r="J125" i="4"/>
  <c r="L282" i="7"/>
  <c r="J289" i="4"/>
  <c r="L273" i="7"/>
  <c r="V80" i="42"/>
  <c r="J117" i="4"/>
  <c r="J119" i="4" s="1"/>
  <c r="AB658" i="1"/>
  <c r="L224" i="7"/>
  <c r="J166" i="4"/>
  <c r="V424" i="42" a="1"/>
  <c r="V424" i="42" s="1"/>
  <c r="AS79" i="42"/>
  <c r="AS424" i="42" s="1" a="1"/>
  <c r="AS424" i="42" s="1"/>
  <c r="L276" i="7"/>
  <c r="V398" i="42"/>
  <c r="V397" i="42"/>
  <c r="AS398" i="42"/>
  <c r="AS397" i="42"/>
  <c r="AS410" i="42"/>
  <c r="AS409" i="42"/>
  <c r="L296" i="7"/>
  <c r="L316" i="7"/>
  <c r="L172" i="7"/>
  <c r="V410" i="42"/>
  <c r="V409" i="42"/>
  <c r="V406" i="42"/>
  <c r="V405" i="42"/>
  <c r="AS417" i="42"/>
  <c r="AS418" i="42"/>
  <c r="L125" i="7"/>
  <c r="L303" i="7"/>
  <c r="AS405" i="42"/>
  <c r="AS406" i="42"/>
  <c r="Z125" i="7"/>
  <c r="Z316" i="7"/>
  <c r="Z224" i="7"/>
  <c r="Z303" i="7"/>
  <c r="Z276" i="7"/>
  <c r="Z172" i="7"/>
  <c r="Z296" i="7"/>
  <c r="AS425" i="42" l="1"/>
  <c r="AS426" i="42"/>
  <c r="L137" i="7" a="1"/>
  <c r="L137" i="7" s="1"/>
  <c r="AC654" i="1"/>
  <c r="V82" i="42"/>
  <c r="J121" i="4"/>
  <c r="AB684" i="1"/>
  <c r="AB463" i="1" s="1"/>
  <c r="AC465" i="1" s="1"/>
  <c r="AB564" i="1"/>
  <c r="AB567" i="1" s="1"/>
  <c r="AB662" i="1"/>
  <c r="AB659" i="1"/>
  <c r="AB464" i="1"/>
  <c r="V426" i="42"/>
  <c r="V425" i="42"/>
  <c r="V402" i="42"/>
  <c r="V401" i="42"/>
  <c r="L226" i="7"/>
  <c r="V428" i="42" a="1"/>
  <c r="V428" i="42" s="1"/>
  <c r="AS80" i="42"/>
  <c r="AS428" i="42" s="1" a="1"/>
  <c r="AS428" i="42" s="1"/>
  <c r="AS402" i="42"/>
  <c r="AS401" i="42"/>
  <c r="L176" i="7"/>
  <c r="L177" i="7"/>
  <c r="Z176" i="7"/>
  <c r="Z137" i="7"/>
  <c r="Z226" i="7"/>
  <c r="AC625" i="1" l="1"/>
  <c r="AC470" i="1"/>
  <c r="K120" i="4"/>
  <c r="J126" i="4"/>
  <c r="J290" i="4"/>
  <c r="J147" i="4"/>
  <c r="AB691" i="1"/>
  <c r="AB702" i="1" s="1"/>
  <c r="L298" i="7"/>
  <c r="V436" i="42" a="1"/>
  <c r="V436" i="42" s="1"/>
  <c r="AS82" i="42"/>
  <c r="AS436" i="42" s="1" a="1"/>
  <c r="AS436" i="42" s="1"/>
  <c r="AB579" i="1"/>
  <c r="AB577" i="1"/>
  <c r="AB573" i="1"/>
  <c r="AB571" i="1"/>
  <c r="AS429" i="42"/>
  <c r="AS430" i="42"/>
  <c r="V430" i="42"/>
  <c r="V429" i="42"/>
  <c r="L228" i="7"/>
  <c r="J129" i="4"/>
  <c r="AB670" i="1"/>
  <c r="AB682" i="1" s="1"/>
  <c r="Z228" i="7"/>
  <c r="Z298" i="7"/>
  <c r="AB710" i="1" l="1"/>
  <c r="AB8" i="1" s="1"/>
  <c r="V438" i="42"/>
  <c r="V437" i="42"/>
  <c r="J151" i="4"/>
  <c r="J159" i="4" s="1"/>
  <c r="L202" i="7"/>
  <c r="V83" i="42"/>
  <c r="J174" i="4"/>
  <c r="AB134" i="1"/>
  <c r="L182" i="7"/>
  <c r="J134" i="4"/>
  <c r="J145" i="4" s="1"/>
  <c r="AS438" i="42"/>
  <c r="AS437" i="42"/>
  <c r="V84" i="42"/>
  <c r="AB135" i="1"/>
  <c r="J175" i="4"/>
  <c r="L299" i="7"/>
  <c r="L124" i="7"/>
  <c r="L300" i="7"/>
  <c r="AC597" i="1"/>
  <c r="AC473" i="1"/>
  <c r="L234" i="7"/>
  <c r="L237" i="7"/>
  <c r="L308" i="7"/>
  <c r="L233" i="7"/>
  <c r="L322" i="7"/>
  <c r="Z322" i="7"/>
  <c r="Z233" i="7"/>
  <c r="Z300" i="7"/>
  <c r="Z299" i="7"/>
  <c r="Z124" i="7"/>
  <c r="Z182" i="7"/>
  <c r="Z237" i="7"/>
  <c r="Z234" i="7"/>
  <c r="Z308" i="7"/>
  <c r="Z202" i="7"/>
  <c r="J296" i="4" l="1"/>
  <c r="L327" i="7"/>
  <c r="J168" i="4"/>
  <c r="L187" i="7"/>
  <c r="L232" i="7"/>
  <c r="L281" i="7"/>
  <c r="L381" i="7"/>
  <c r="L208" i="7"/>
  <c r="AC318" i="1"/>
  <c r="AC474" i="1"/>
  <c r="L301" i="7"/>
  <c r="L136" i="7" a="1"/>
  <c r="L136" i="7" s="1"/>
  <c r="L309" i="7"/>
  <c r="V440" i="42" a="1"/>
  <c r="V440" i="42" s="1"/>
  <c r="AS83" i="42"/>
  <c r="AS440" i="42" s="1" a="1"/>
  <c r="AS440" i="42" s="1"/>
  <c r="AS84" i="42"/>
  <c r="AS444" i="42" s="1" a="1"/>
  <c r="AS444" i="42" s="1"/>
  <c r="V444" i="42" a="1"/>
  <c r="V444" i="42" s="1"/>
  <c r="W67" i="42"/>
  <c r="V120" i="49"/>
  <c r="Z381" i="7"/>
  <c r="Z301" i="7"/>
  <c r="Z327" i="7"/>
  <c r="Z208" i="7"/>
  <c r="Z136" i="7"/>
  <c r="Z187" i="7"/>
  <c r="Z232" i="7"/>
  <c r="Z281" i="7"/>
  <c r="Z309" i="7"/>
  <c r="V442" i="42" l="1"/>
  <c r="V441" i="42"/>
  <c r="V150" i="49"/>
  <c r="W380" i="42" a="1"/>
  <c r="W380" i="42" s="1"/>
  <c r="AS441" i="42"/>
  <c r="AS442" i="42"/>
  <c r="AC320" i="1"/>
  <c r="AS446" i="42"/>
  <c r="AS445" i="42"/>
  <c r="L197" i="7"/>
  <c r="L218" i="7"/>
  <c r="L336" i="7"/>
  <c r="L325" i="7"/>
  <c r="L326" i="7"/>
  <c r="V445" i="42"/>
  <c r="V446" i="42"/>
  <c r="M280" i="7"/>
  <c r="Z218" i="7"/>
  <c r="Z197" i="7"/>
  <c r="AA280" i="7"/>
  <c r="Z325" i="7"/>
  <c r="Z336" i="7"/>
  <c r="Z326" i="7"/>
  <c r="W382" i="42" l="1"/>
  <c r="W381" i="42"/>
  <c r="L236" i="7"/>
  <c r="L231" i="7"/>
  <c r="L229" i="7"/>
  <c r="L323" i="7"/>
  <c r="L198" i="7"/>
  <c r="AC322" i="1"/>
  <c r="AC602" i="1"/>
  <c r="L219" i="7"/>
  <c r="Z236" i="7"/>
  <c r="Z231" i="7"/>
  <c r="Z323" i="7"/>
  <c r="AC328" i="1" l="1"/>
  <c r="AC605" i="1" s="1"/>
  <c r="AC325" i="1"/>
  <c r="AC326" i="1" s="1"/>
  <c r="L319" i="7"/>
  <c r="AC603" i="1"/>
  <c r="W68" i="42"/>
  <c r="V121" i="49"/>
  <c r="Z319" i="7"/>
  <c r="AC329" i="1" l="1"/>
  <c r="W384" i="42" a="1"/>
  <c r="W384" i="42" s="1"/>
  <c r="V151" i="49"/>
  <c r="W70" i="42"/>
  <c r="V123" i="49"/>
  <c r="AC608" i="1"/>
  <c r="AC493" i="1"/>
  <c r="AC494" i="1" s="1"/>
  <c r="AC627" i="1" s="1"/>
  <c r="W69" i="42"/>
  <c r="V122" i="49"/>
  <c r="L321" i="7"/>
  <c r="L320" i="7"/>
  <c r="Z321" i="7"/>
  <c r="Z320" i="7"/>
  <c r="W388" i="42" l="1" a="1"/>
  <c r="W388" i="42" s="1"/>
  <c r="AC630" i="1"/>
  <c r="AC611" i="1"/>
  <c r="AC621" i="1"/>
  <c r="AC533" i="1" s="1"/>
  <c r="AC527" i="1" s="1"/>
  <c r="AC528" i="1" s="1"/>
  <c r="AC613" i="1"/>
  <c r="AC614" i="1" s="1"/>
  <c r="V153" i="49"/>
  <c r="W392" i="42" a="1"/>
  <c r="W392" i="42" s="1"/>
  <c r="W386" i="42"/>
  <c r="W385" i="42"/>
  <c r="V152" i="49"/>
  <c r="AC646" i="1" l="1"/>
  <c r="AC652" i="1" s="1"/>
  <c r="AC529" i="1"/>
  <c r="AC395" i="1" s="1"/>
  <c r="AC544" i="1"/>
  <c r="W71" i="42"/>
  <c r="V124" i="49"/>
  <c r="AC618" i="1"/>
  <c r="AC615" i="1"/>
  <c r="W74" i="42"/>
  <c r="AC531" i="1"/>
  <c r="V127" i="49"/>
  <c r="AC633" i="1"/>
  <c r="W73" i="42"/>
  <c r="V126" i="49"/>
  <c r="AC530" i="1"/>
  <c r="W389" i="42"/>
  <c r="W390" i="42"/>
  <c r="W468" i="42"/>
  <c r="W394" i="42"/>
  <c r="W470" i="42" s="1"/>
  <c r="W393" i="42"/>
  <c r="W469" i="42" s="1"/>
  <c r="AC705" i="1" l="1"/>
  <c r="W404" i="42" a="1"/>
  <c r="W404" i="42" s="1"/>
  <c r="V157" i="49"/>
  <c r="W408" i="42" a="1"/>
  <c r="W408" i="42" s="1"/>
  <c r="W396" i="42" a="1"/>
  <c r="W396" i="42" s="1"/>
  <c r="AC709" i="1"/>
  <c r="V125" i="49"/>
  <c r="W72" i="42"/>
  <c r="V154" i="49"/>
  <c r="W79" i="42"/>
  <c r="W77" i="42"/>
  <c r="V156" i="49"/>
  <c r="W397" i="42" l="1"/>
  <c r="W398" i="42"/>
  <c r="W409" i="42"/>
  <c r="W410" i="42"/>
  <c r="W400" i="42" a="1"/>
  <c r="W400" i="42" s="1"/>
  <c r="W416" i="42" a="1"/>
  <c r="W416" i="42" s="1"/>
  <c r="W406" i="42"/>
  <c r="W405" i="42"/>
  <c r="V155" i="49"/>
  <c r="W424" i="42" a="1"/>
  <c r="W424" i="42" s="1"/>
  <c r="W417" i="42" l="1"/>
  <c r="W418" i="42"/>
  <c r="W426" i="42"/>
  <c r="W425" i="42"/>
  <c r="W402" i="42"/>
  <c r="W401" i="42"/>
  <c r="AC417" i="1"/>
  <c r="AC636" i="1" s="1"/>
  <c r="AC642" i="1" l="1"/>
  <c r="AC421" i="1"/>
  <c r="AC449" i="1"/>
  <c r="AC307" i="1" l="1"/>
  <c r="W81" i="42"/>
  <c r="AC423" i="1"/>
  <c r="AD416" i="1"/>
  <c r="AC674" i="1"/>
  <c r="AC681" i="1" s="1"/>
  <c r="AC736" i="1"/>
  <c r="AC737" i="1" s="1"/>
  <c r="W78" i="42"/>
  <c r="AC655" i="1"/>
  <c r="W420" i="42" l="1" a="1"/>
  <c r="W420" i="42" s="1"/>
  <c r="W80" i="42"/>
  <c r="AC658" i="1"/>
  <c r="AD301" i="1"/>
  <c r="AD594" i="1"/>
  <c r="K69" i="4" s="1"/>
  <c r="W432" i="42" a="1"/>
  <c r="W432" i="42" s="1"/>
  <c r="AA153" i="7"/>
  <c r="AD311" i="1" l="1"/>
  <c r="AD302" i="1"/>
  <c r="AD433" i="1"/>
  <c r="K47" i="4"/>
  <c r="M154" i="7" s="1"/>
  <c r="AC684" i="1"/>
  <c r="AC691" i="1" s="1"/>
  <c r="AC702" i="1" s="1"/>
  <c r="AD654" i="1"/>
  <c r="AC564" i="1"/>
  <c r="AC567" i="1" s="1"/>
  <c r="W82" i="42"/>
  <c r="W436" i="42" s="1" a="1"/>
  <c r="W436" i="42" s="1"/>
  <c r="AC662" i="1"/>
  <c r="AC670" i="1" s="1"/>
  <c r="AC682" i="1" s="1"/>
  <c r="AC659" i="1"/>
  <c r="AC464" i="1"/>
  <c r="W428" i="42" a="1"/>
  <c r="W428" i="42" s="1"/>
  <c r="W433" i="42"/>
  <c r="W434" i="42"/>
  <c r="W421" i="42"/>
  <c r="W422" i="42"/>
  <c r="AA154" i="7"/>
  <c r="AC463" i="1" l="1"/>
  <c r="AD465" i="1" s="1"/>
  <c r="AD470" i="1" s="1"/>
  <c r="W430" i="42"/>
  <c r="W429" i="42"/>
  <c r="AC573" i="1"/>
  <c r="AC571" i="1"/>
  <c r="AC577" i="1"/>
  <c r="AC579" i="1"/>
  <c r="W437" i="42"/>
  <c r="W438" i="42"/>
  <c r="AC710" i="1"/>
  <c r="AC8" i="1" s="1"/>
  <c r="CC35" i="51"/>
  <c r="K195" i="4"/>
  <c r="AD596" i="1"/>
  <c r="K49" i="4"/>
  <c r="CC39" i="51" s="1"/>
  <c r="AD312" i="1"/>
  <c r="AD625" i="1" l="1"/>
  <c r="AC135" i="1"/>
  <c r="W84" i="42"/>
  <c r="W444" i="42" s="1" a="1"/>
  <c r="W444" i="42" s="1"/>
  <c r="W83" i="42"/>
  <c r="W440" i="42" s="1" a="1"/>
  <c r="W440" i="42" s="1"/>
  <c r="AC134" i="1"/>
  <c r="K89" i="4"/>
  <c r="M247" i="7" s="1"/>
  <c r="K193" i="4"/>
  <c r="AD597" i="1"/>
  <c r="AD473" i="1"/>
  <c r="X65" i="42"/>
  <c r="AD593" i="1"/>
  <c r="W118" i="49"/>
  <c r="K71" i="4"/>
  <c r="CC8" i="51" s="1"/>
  <c r="DU8" i="51" s="1"/>
  <c r="AA247" i="7"/>
  <c r="X64" i="42" l="1"/>
  <c r="W117" i="49"/>
  <c r="K68" i="4"/>
  <c r="X372" i="42" a="1"/>
  <c r="X372" i="42" s="1"/>
  <c r="AT65" i="42"/>
  <c r="AT372" i="42" s="1" a="1"/>
  <c r="AT372" i="42" s="1"/>
  <c r="X67" i="42"/>
  <c r="W120" i="49"/>
  <c r="K72" i="4"/>
  <c r="AD318" i="1"/>
  <c r="AD474" i="1"/>
  <c r="W441" i="42"/>
  <c r="W442" i="42"/>
  <c r="W148" i="49"/>
  <c r="AO118" i="49"/>
  <c r="AO148" i="49" s="1"/>
  <c r="W446" i="42"/>
  <c r="W445" i="42"/>
  <c r="AA150" i="7"/>
  <c r="AA157" i="7"/>
  <c r="K50" i="4" l="1"/>
  <c r="M159" i="7" s="1"/>
  <c r="AD320" i="1"/>
  <c r="X373" i="42"/>
  <c r="X465" i="42" s="1"/>
  <c r="X374" i="42"/>
  <c r="X466" i="42" s="1"/>
  <c r="X464" i="42"/>
  <c r="AT464" i="42"/>
  <c r="AT373" i="42"/>
  <c r="AT465" i="42" s="1"/>
  <c r="AT374" i="42"/>
  <c r="AT466" i="42" s="1"/>
  <c r="W147" i="49"/>
  <c r="AO117" i="49"/>
  <c r="AO147" i="49" s="1"/>
  <c r="AO120" i="49"/>
  <c r="AO150" i="49" s="1"/>
  <c r="W150" i="49"/>
  <c r="AT67" i="42"/>
  <c r="AT380" i="42" s="1" a="1"/>
  <c r="AT380" i="42" s="1"/>
  <c r="X380" i="42" a="1"/>
  <c r="X380" i="42" s="1"/>
  <c r="AT64" i="42"/>
  <c r="AT368" i="42" s="1" a="1"/>
  <c r="AT368" i="42" s="1"/>
  <c r="X368" i="42" a="1"/>
  <c r="X368" i="42" s="1"/>
  <c r="AA159" i="7"/>
  <c r="AT382" i="42" l="1"/>
  <c r="AT381" i="42"/>
  <c r="X381" i="42"/>
  <c r="X382" i="42"/>
  <c r="M335" i="7"/>
  <c r="M156" i="7"/>
  <c r="X369" i="42"/>
  <c r="X370" i="42"/>
  <c r="AD322" i="1"/>
  <c r="AD602" i="1"/>
  <c r="K53" i="4"/>
  <c r="AT369" i="42"/>
  <c r="AT370" i="42"/>
  <c r="AA156" i="7"/>
  <c r="AA335" i="7"/>
  <c r="X68" i="42" l="1"/>
  <c r="W121" i="49"/>
  <c r="K77" i="4"/>
  <c r="AD603" i="1"/>
  <c r="K54" i="4"/>
  <c r="M163" i="7" s="1"/>
  <c r="AD325" i="1"/>
  <c r="AD326" i="1" s="1"/>
  <c r="AD328" i="1"/>
  <c r="M328" i="7"/>
  <c r="M377" i="7"/>
  <c r="M162" i="7"/>
  <c r="M315" i="7"/>
  <c r="AA315" i="7"/>
  <c r="AA377" i="7"/>
  <c r="AA328" i="7"/>
  <c r="AA162" i="7"/>
  <c r="AA163" i="7"/>
  <c r="AD605" i="1" l="1"/>
  <c r="AD329" i="1"/>
  <c r="K55" i="4"/>
  <c r="K56" i="4" s="1"/>
  <c r="AO121" i="49"/>
  <c r="AO151" i="49" s="1"/>
  <c r="W151" i="49"/>
  <c r="X69" i="42"/>
  <c r="AD493" i="1"/>
  <c r="AD494" i="1" s="1"/>
  <c r="AD627" i="1" s="1"/>
  <c r="K78" i="4"/>
  <c r="W122" i="49"/>
  <c r="AT68" i="42"/>
  <c r="AT384" i="42" s="1" a="1"/>
  <c r="AT384" i="42" s="1"/>
  <c r="X384" i="42" a="1"/>
  <c r="X384" i="42" s="1"/>
  <c r="X386" i="42" l="1"/>
  <c r="X385" i="42"/>
  <c r="AT385" i="42"/>
  <c r="AT386" i="42"/>
  <c r="AO122" i="49"/>
  <c r="AO152" i="49" s="1"/>
  <c r="W152" i="49"/>
  <c r="K79" i="4"/>
  <c r="AT69" i="42"/>
  <c r="AT388" i="42" s="1" a="1"/>
  <c r="AT388" i="42" s="1"/>
  <c r="X388" i="42" a="1"/>
  <c r="X388" i="42" s="1"/>
  <c r="K91" i="4"/>
  <c r="M248" i="7" s="1"/>
  <c r="AD630" i="1"/>
  <c r="X70" i="42"/>
  <c r="AD608" i="1"/>
  <c r="W123" i="49"/>
  <c r="K188" i="4"/>
  <c r="AA248" i="7"/>
  <c r="W153" i="49" l="1"/>
  <c r="AO123" i="49"/>
  <c r="AO153" i="49" s="1"/>
  <c r="AT70" i="42"/>
  <c r="AT392" i="42" s="1" a="1"/>
  <c r="AT392" i="42" s="1"/>
  <c r="X392" i="42" a="1"/>
  <c r="X392" i="42" s="1"/>
  <c r="AD621" i="1"/>
  <c r="AD611" i="1"/>
  <c r="K81" i="4"/>
  <c r="AD613" i="1"/>
  <c r="AD614" i="1" s="1"/>
  <c r="AD633" i="1"/>
  <c r="K202" i="4"/>
  <c r="K94" i="4"/>
  <c r="M249" i="7"/>
  <c r="AT389" i="42"/>
  <c r="AT390" i="42"/>
  <c r="X390" i="42"/>
  <c r="X389" i="42"/>
  <c r="M306" i="7"/>
  <c r="M165" i="7"/>
  <c r="AA306" i="7"/>
  <c r="AA165" i="7"/>
  <c r="AA249" i="7"/>
  <c r="K292" i="4" l="1"/>
  <c r="K203" i="4"/>
  <c r="X77" i="42"/>
  <c r="K96" i="4"/>
  <c r="X71" i="42"/>
  <c r="AD618" i="1"/>
  <c r="W124" i="49"/>
  <c r="AD615" i="1"/>
  <c r="X394" i="42"/>
  <c r="X470" i="42" s="1"/>
  <c r="X468" i="42"/>
  <c r="X393" i="42"/>
  <c r="X469" i="42" s="1"/>
  <c r="AT393" i="42"/>
  <c r="AT469" i="42" s="1"/>
  <c r="AT468" i="42"/>
  <c r="AT394" i="42"/>
  <c r="AT470" i="42" s="1"/>
  <c r="K83" i="4"/>
  <c r="CC9" i="51"/>
  <c r="DU9" i="51" s="1"/>
  <c r="K281" i="4"/>
  <c r="K85" i="4"/>
  <c r="K9" i="40"/>
  <c r="K11" i="40" s="1"/>
  <c r="X73" i="42"/>
  <c r="AD533" i="1"/>
  <c r="AD527" i="1" s="1"/>
  <c r="K183" i="4"/>
  <c r="W126" i="49"/>
  <c r="M167" i="7"/>
  <c r="AA167" i="7"/>
  <c r="W154" i="49" l="1"/>
  <c r="AO124" i="49"/>
  <c r="AO154" i="49" s="1"/>
  <c r="M169" i="7"/>
  <c r="K123" i="4"/>
  <c r="K287" i="4"/>
  <c r="M250" i="7"/>
  <c r="AO126" i="49"/>
  <c r="AO156" i="49" s="1"/>
  <c r="W156" i="49"/>
  <c r="X72" i="42"/>
  <c r="W125" i="49"/>
  <c r="K184" i="4"/>
  <c r="M297" i="7" s="1"/>
  <c r="AT73" i="42"/>
  <c r="AT404" i="42" s="1" a="1"/>
  <c r="AT404" i="42" s="1"/>
  <c r="X404" i="42" a="1"/>
  <c r="X404" i="42" s="1"/>
  <c r="X74" i="42"/>
  <c r="AD528" i="1"/>
  <c r="K186" i="4"/>
  <c r="K189" i="4" s="1"/>
  <c r="W127" i="49"/>
  <c r="AD531" i="1"/>
  <c r="CC10" i="51"/>
  <c r="DU10" i="51" s="1"/>
  <c r="K282" i="4"/>
  <c r="X396" i="42" a="1"/>
  <c r="X396" i="42" s="1"/>
  <c r="AT71" i="42"/>
  <c r="AT396" i="42" s="1" a="1"/>
  <c r="AT396" i="42" s="1"/>
  <c r="AT77" i="42"/>
  <c r="AT416" i="42" s="1" a="1"/>
  <c r="AT416" i="42" s="1"/>
  <c r="X416" i="42" a="1"/>
  <c r="X416" i="42" s="1"/>
  <c r="AA297" i="7"/>
  <c r="AA169" i="7"/>
  <c r="AD646" i="1" l="1"/>
  <c r="AD529" i="1"/>
  <c r="AD395" i="1" s="1"/>
  <c r="AD544" i="1"/>
  <c r="AD530" i="1"/>
  <c r="K187" i="4"/>
  <c r="X405" i="42"/>
  <c r="X406" i="42"/>
  <c r="X418" i="42"/>
  <c r="X417" i="42"/>
  <c r="X400" i="42" a="1"/>
  <c r="X400" i="42" s="1"/>
  <c r="AT72" i="42"/>
  <c r="AT400" i="42" s="1" a="1"/>
  <c r="AT400" i="42" s="1"/>
  <c r="AT418" i="42"/>
  <c r="AT417" i="42"/>
  <c r="AT406" i="42"/>
  <c r="AT405" i="42"/>
  <c r="AT397" i="42"/>
  <c r="AT398" i="42"/>
  <c r="M316" i="7"/>
  <c r="M172" i="7"/>
  <c r="M296" i="7"/>
  <c r="M302" i="7"/>
  <c r="CC11" i="51"/>
  <c r="DU11" i="51" s="1"/>
  <c r="AT74" i="42"/>
  <c r="AT408" i="42" s="1" a="1"/>
  <c r="AT408" i="42" s="1"/>
  <c r="X408" i="42" a="1"/>
  <c r="X408" i="42" s="1"/>
  <c r="W155" i="49"/>
  <c r="AO125" i="49"/>
  <c r="AO155" i="49" s="1"/>
  <c r="X398" i="42"/>
  <c r="X397" i="42"/>
  <c r="W157" i="49"/>
  <c r="AO127" i="49"/>
  <c r="AO157" i="49" s="1"/>
  <c r="AA296" i="7"/>
  <c r="AA302" i="7"/>
  <c r="AA316" i="7"/>
  <c r="AA172" i="7"/>
  <c r="AT410" i="42" l="1"/>
  <c r="AT409" i="42"/>
  <c r="X402" i="42"/>
  <c r="X401" i="42"/>
  <c r="M176" i="7"/>
  <c r="M177" i="7"/>
  <c r="X409" i="42"/>
  <c r="X410" i="42"/>
  <c r="M303" i="7"/>
  <c r="M125" i="7"/>
  <c r="AT401" i="42"/>
  <c r="AT402" i="42"/>
  <c r="AD652" i="1"/>
  <c r="AD705" i="1"/>
  <c r="K108" i="4"/>
  <c r="M269" i="7" s="1"/>
  <c r="AA303" i="7"/>
  <c r="AA125" i="7"/>
  <c r="AA176" i="7"/>
  <c r="AA269" i="7"/>
  <c r="M272" i="7" l="1"/>
  <c r="M137" i="7" a="1"/>
  <c r="M137" i="7" s="1"/>
  <c r="AD709" i="1"/>
  <c r="K163" i="4"/>
  <c r="X79" i="42"/>
  <c r="K115" i="4"/>
  <c r="M298" i="7"/>
  <c r="AA272" i="7"/>
  <c r="AA137" i="7"/>
  <c r="AA298" i="7"/>
  <c r="K125" i="4" l="1"/>
  <c r="K289" i="4"/>
  <c r="M282" i="7"/>
  <c r="M273" i="7"/>
  <c r="AT79" i="42"/>
  <c r="AT424" i="42" s="1" a="1"/>
  <c r="AT424" i="42" s="1"/>
  <c r="X424" i="42" a="1"/>
  <c r="X424" i="42" s="1"/>
  <c r="M124" i="7"/>
  <c r="M300" i="7"/>
  <c r="M299" i="7"/>
  <c r="M224" i="7"/>
  <c r="K166" i="4"/>
  <c r="AA224" i="7"/>
  <c r="AA124" i="7"/>
  <c r="AA300" i="7"/>
  <c r="AA299" i="7"/>
  <c r="M226" i="7" l="1"/>
  <c r="M301" i="7"/>
  <c r="M136" i="7" a="1"/>
  <c r="M136" i="7" s="1"/>
  <c r="AT425" i="42"/>
  <c r="AT426" i="42"/>
  <c r="X425" i="42"/>
  <c r="X426" i="42"/>
  <c r="AA226" i="7"/>
  <c r="AA301" i="7"/>
  <c r="AA136" i="7"/>
  <c r="M228" i="7" l="1"/>
  <c r="AA228" i="7"/>
  <c r="M308" i="7" l="1"/>
  <c r="M234" i="7"/>
  <c r="M237" i="7"/>
  <c r="M322" i="7"/>
  <c r="AL417" i="1"/>
  <c r="AL636" i="1" s="1"/>
  <c r="AA234" i="7"/>
  <c r="AA308" i="7"/>
  <c r="AA237" i="7"/>
  <c r="AA322" i="7"/>
  <c r="AM417" i="1" l="1"/>
  <c r="AM636" i="1" s="1"/>
  <c r="AL642" i="1"/>
  <c r="AF78" i="42" s="1"/>
  <c r="AF420" i="42" s="1" a="1"/>
  <c r="AF420" i="42" s="1"/>
  <c r="AL449" i="1"/>
  <c r="AM449" i="1" l="1"/>
  <c r="AF81" i="42"/>
  <c r="AF432" i="42" s="1" a="1"/>
  <c r="AF432" i="42" s="1"/>
  <c r="AF422" i="42"/>
  <c r="AN417" i="1"/>
  <c r="AN636" i="1" s="1"/>
  <c r="AM642" i="1"/>
  <c r="AM414" i="1"/>
  <c r="AM416" i="1"/>
  <c r="AM594" i="1" l="1"/>
  <c r="AM301" i="1"/>
  <c r="AN642" i="1"/>
  <c r="AN416" i="1"/>
  <c r="AN449" i="1"/>
  <c r="AN414" i="1"/>
  <c r="AF434" i="42"/>
  <c r="AN301" i="1" l="1"/>
  <c r="AN594" i="1"/>
  <c r="AM302" i="1"/>
  <c r="AM433" i="1"/>
  <c r="AM311" i="1"/>
  <c r="AM307" i="1"/>
  <c r="AM596" i="1" l="1"/>
  <c r="AM593" i="1" s="1"/>
  <c r="AM312" i="1"/>
  <c r="AN302" i="1"/>
  <c r="AN311" i="1"/>
  <c r="AN433" i="1"/>
  <c r="AN307" i="1"/>
  <c r="AN596" i="1" l="1"/>
  <c r="AN593" i="1" s="1"/>
  <c r="AN312" i="1"/>
  <c r="AK417" i="1"/>
  <c r="AK636" i="1" s="1"/>
  <c r="O98" i="4" s="1"/>
  <c r="Q256" i="7" s="1"/>
  <c r="AE256" i="7"/>
  <c r="AK449" i="1" l="1"/>
  <c r="AE81" i="42"/>
  <c r="O196" i="4"/>
  <c r="Q262" i="7"/>
  <c r="Q384" i="7"/>
  <c r="Q332" i="7"/>
  <c r="AK642" i="1"/>
  <c r="AE332" i="7"/>
  <c r="AE262" i="7"/>
  <c r="AE384" i="7"/>
  <c r="O104" i="4" l="1"/>
  <c r="AE78" i="42"/>
  <c r="AX81" i="42"/>
  <c r="AX432" i="42" s="1" a="1"/>
  <c r="AX432" i="42" s="1"/>
  <c r="AE432" i="42" a="1"/>
  <c r="AE432" i="42" s="1"/>
  <c r="AE434" i="42" l="1"/>
  <c r="AX78" i="42"/>
  <c r="AX420" i="42" s="1" a="1"/>
  <c r="AX420" i="42" s="1"/>
  <c r="AE420" i="42" a="1"/>
  <c r="AE420" i="42" s="1"/>
  <c r="AX434" i="42"/>
  <c r="Q263" i="7"/>
  <c r="O288" i="4"/>
  <c r="O124" i="4"/>
  <c r="AI417" i="1"/>
  <c r="AI636" i="1" s="1"/>
  <c r="AI449" i="1" l="1"/>
  <c r="AI642" i="1"/>
  <c r="AC81" i="42"/>
  <c r="AE422" i="42"/>
  <c r="AC78" i="42"/>
  <c r="AX422" i="42"/>
  <c r="AC432" i="42" l="1" a="1"/>
  <c r="AC432" i="42" s="1"/>
  <c r="AC420" i="42" a="1"/>
  <c r="AC420" i="42" s="1"/>
  <c r="AC422" i="42" l="1"/>
  <c r="AE421" i="42"/>
  <c r="AC434" i="42"/>
  <c r="AE433" i="42"/>
  <c r="AG417" i="1"/>
  <c r="AG636" i="1" s="1"/>
  <c r="AG449" i="1" l="1"/>
  <c r="AG642" i="1"/>
  <c r="AA78" i="42" s="1"/>
  <c r="AA81" i="42"/>
  <c r="AA432" i="42" l="1" a="1"/>
  <c r="AA432" i="42" s="1"/>
  <c r="AA420" i="42" a="1"/>
  <c r="AA420" i="42" s="1"/>
  <c r="AA434" i="42" l="1"/>
  <c r="AC433" i="42"/>
  <c r="AA422" i="42"/>
  <c r="AC421" i="42"/>
  <c r="AE417" i="1"/>
  <c r="AE636" i="1" s="1"/>
  <c r="AE449" i="1" l="1"/>
  <c r="Y81" i="42" s="1"/>
  <c r="AE642" i="1"/>
  <c r="Y78" i="42" s="1"/>
  <c r="AF417" i="1"/>
  <c r="AF636" i="1" s="1"/>
  <c r="AH417" i="1"/>
  <c r="AH636" i="1" s="1"/>
  <c r="AD417" i="1"/>
  <c r="AD636" i="1" s="1"/>
  <c r="K98" i="4" s="1"/>
  <c r="M256" i="7" s="1"/>
  <c r="AJ417" i="1"/>
  <c r="AJ636" i="1" s="1"/>
  <c r="AA256" i="7"/>
  <c r="AD421" i="1" l="1"/>
  <c r="AE416" i="1" s="1"/>
  <c r="AE594" i="1" s="1"/>
  <c r="M278" i="7"/>
  <c r="N98" i="4"/>
  <c r="P256" i="7" s="1"/>
  <c r="M98" i="4"/>
  <c r="O256" i="7" s="1"/>
  <c r="L98" i="4"/>
  <c r="N256" i="7" s="1"/>
  <c r="AJ449" i="1"/>
  <c r="AD81" i="42" s="1"/>
  <c r="AF642" i="1"/>
  <c r="AF449" i="1"/>
  <c r="AH642" i="1"/>
  <c r="N196" i="4"/>
  <c r="AH449" i="1"/>
  <c r="AD423" i="1"/>
  <c r="AE421" i="1"/>
  <c r="AD674" i="1"/>
  <c r="AE301" i="1"/>
  <c r="Y432" i="42" a="1"/>
  <c r="Y432" i="42" s="1"/>
  <c r="N384" i="7"/>
  <c r="Y420" i="42" a="1"/>
  <c r="Y420" i="42" s="1"/>
  <c r="AD449" i="1"/>
  <c r="AA278" i="7"/>
  <c r="AB384" i="7"/>
  <c r="AC256" i="7"/>
  <c r="AB256" i="7"/>
  <c r="AD256" i="7"/>
  <c r="N332" i="7" l="1"/>
  <c r="N262" i="7"/>
  <c r="M307" i="7"/>
  <c r="AJ642" i="1"/>
  <c r="L196" i="4"/>
  <c r="Z81" i="42"/>
  <c r="L104" i="4"/>
  <c r="N263" i="7" s="1"/>
  <c r="Z78" i="42"/>
  <c r="AE433" i="1"/>
  <c r="AE302" i="1"/>
  <c r="AE307" i="1"/>
  <c r="AE311" i="1"/>
  <c r="X81" i="42"/>
  <c r="AD307" i="1"/>
  <c r="K196" i="4"/>
  <c r="AD642" i="1"/>
  <c r="AD681" i="1"/>
  <c r="K138" i="4"/>
  <c r="AE423" i="1"/>
  <c r="AE674" i="1"/>
  <c r="AE681" i="1" s="1"/>
  <c r="AF416" i="1"/>
  <c r="AF421" i="1"/>
  <c r="M104" i="4"/>
  <c r="AB78" i="42"/>
  <c r="Y433" i="42"/>
  <c r="Y434" i="42"/>
  <c r="AA433" i="42"/>
  <c r="AW81" i="42"/>
  <c r="AW432" i="42" s="1" a="1"/>
  <c r="AW432" i="42" s="1"/>
  <c r="AD432" i="42" a="1"/>
  <c r="AD432" i="42" s="1"/>
  <c r="Y421" i="42"/>
  <c r="Y422" i="42"/>
  <c r="AA421" i="42"/>
  <c r="M196" i="4"/>
  <c r="AB81" i="42"/>
  <c r="O384" i="7"/>
  <c r="O262" i="7"/>
  <c r="O332" i="7"/>
  <c r="AB332" i="7"/>
  <c r="AC262" i="7"/>
  <c r="AB262" i="7"/>
  <c r="AC332" i="7"/>
  <c r="AA307" i="7"/>
  <c r="AC384" i="7"/>
  <c r="Z420" i="42" l="1" a="1"/>
  <c r="Z420" i="42" s="1"/>
  <c r="Z422" i="42" s="1"/>
  <c r="AU78" i="42"/>
  <c r="AU420" i="42" s="1" a="1"/>
  <c r="AU420" i="42" s="1"/>
  <c r="AU422" i="42" s="1"/>
  <c r="L288" i="4"/>
  <c r="L124" i="4"/>
  <c r="Z432" i="42" a="1"/>
  <c r="Z432" i="42" s="1"/>
  <c r="Z434" i="42" s="1"/>
  <c r="AU81" i="42"/>
  <c r="AU432" i="42" s="1" a="1"/>
  <c r="AU432" i="42" s="1"/>
  <c r="AU434" i="42" s="1"/>
  <c r="N104" i="4"/>
  <c r="AD78" i="42"/>
  <c r="P332" i="7"/>
  <c r="P384" i="7"/>
  <c r="P262" i="7"/>
  <c r="AF433" i="42"/>
  <c r="AD434" i="42"/>
  <c r="AW434" i="42"/>
  <c r="AX433" i="42"/>
  <c r="M262" i="7"/>
  <c r="M332" i="7"/>
  <c r="M333" i="7"/>
  <c r="M384" i="7"/>
  <c r="AE596" i="1"/>
  <c r="AE312" i="1"/>
  <c r="AD736" i="1"/>
  <c r="AD737" i="1" s="1"/>
  <c r="X78" i="42"/>
  <c r="K104" i="4"/>
  <c r="AD655" i="1"/>
  <c r="AV78" i="42"/>
  <c r="AV420" i="42" s="1" a="1"/>
  <c r="AV420" i="42" s="1"/>
  <c r="AB420" i="42" a="1"/>
  <c r="AB420" i="42" s="1"/>
  <c r="X432" i="42" a="1"/>
  <c r="X432" i="42" s="1"/>
  <c r="AT81" i="42"/>
  <c r="AT432" i="42" s="1" a="1"/>
  <c r="AT432" i="42" s="1"/>
  <c r="AF423" i="1"/>
  <c r="AF674" i="1"/>
  <c r="AG416" i="1"/>
  <c r="AF594" i="1"/>
  <c r="L69" i="4" s="1"/>
  <c r="AF301" i="1"/>
  <c r="AV81" i="42"/>
  <c r="AV432" i="42" s="1" a="1"/>
  <c r="AV432" i="42" s="1"/>
  <c r="AB432" i="42" a="1"/>
  <c r="AB432" i="42" s="1"/>
  <c r="M288" i="4"/>
  <c r="M124" i="4"/>
  <c r="O263" i="7"/>
  <c r="K144" i="4"/>
  <c r="M193" i="7"/>
  <c r="AD332" i="7"/>
  <c r="AA193" i="7"/>
  <c r="AA384" i="7"/>
  <c r="AA333" i="7"/>
  <c r="AA262" i="7"/>
  <c r="AB153" i="7"/>
  <c r="AD384" i="7"/>
  <c r="AD262" i="7"/>
  <c r="AA332" i="7"/>
  <c r="AW78" i="42" l="1"/>
  <c r="AW420" i="42" s="1" a="1"/>
  <c r="AW420" i="42" s="1"/>
  <c r="AW421" i="42" s="1"/>
  <c r="AD420" i="42" a="1"/>
  <c r="AD420" i="42" s="1"/>
  <c r="AD421" i="42" s="1"/>
  <c r="N124" i="4"/>
  <c r="N288" i="4"/>
  <c r="P263" i="7"/>
  <c r="AB433" i="42"/>
  <c r="AB434" i="42"/>
  <c r="AG594" i="1"/>
  <c r="AG301" i="1"/>
  <c r="AT433" i="42"/>
  <c r="AT434" i="42"/>
  <c r="AU433" i="42"/>
  <c r="AV421" i="42"/>
  <c r="AV422" i="42"/>
  <c r="AV434" i="42"/>
  <c r="AV433" i="42"/>
  <c r="AB422" i="42"/>
  <c r="AB421" i="42"/>
  <c r="AW433" i="42"/>
  <c r="AD433" i="42"/>
  <c r="AF433" i="1"/>
  <c r="AF302" i="1"/>
  <c r="AF311" i="1"/>
  <c r="AF307" i="1"/>
  <c r="L47" i="4"/>
  <c r="X433" i="42"/>
  <c r="X434" i="42"/>
  <c r="Z433" i="42"/>
  <c r="AD658" i="1"/>
  <c r="X80" i="42"/>
  <c r="K117" i="4"/>
  <c r="K119" i="4" s="1"/>
  <c r="M263" i="7"/>
  <c r="K288" i="4"/>
  <c r="K124" i="4"/>
  <c r="Y65" i="42"/>
  <c r="AE593" i="1"/>
  <c r="X118" i="49"/>
  <c r="AF681" i="1"/>
  <c r="L138" i="4"/>
  <c r="AG421" i="1"/>
  <c r="M276" i="7"/>
  <c r="M233" i="7"/>
  <c r="M195" i="7"/>
  <c r="X420" i="42" a="1"/>
  <c r="X420" i="42" s="1"/>
  <c r="AT78" i="42"/>
  <c r="AT420" i="42" s="1" a="1"/>
  <c r="AT420" i="42" s="1"/>
  <c r="AA276" i="7"/>
  <c r="AA195" i="7"/>
  <c r="AA233" i="7"/>
  <c r="L195" i="4" l="1"/>
  <c r="N154" i="7"/>
  <c r="AD422" i="42"/>
  <c r="AF421" i="42"/>
  <c r="AW422" i="42"/>
  <c r="AX421" i="42"/>
  <c r="AT421" i="42"/>
  <c r="AT422" i="42"/>
  <c r="AU421" i="42"/>
  <c r="M309" i="7"/>
  <c r="L144" i="4"/>
  <c r="N193" i="7"/>
  <c r="X422" i="42"/>
  <c r="X421" i="42"/>
  <c r="Z421" i="42"/>
  <c r="AG423" i="1"/>
  <c r="AG674" i="1"/>
  <c r="AG681" i="1" s="1"/>
  <c r="AH416" i="1"/>
  <c r="AH421" i="1" s="1"/>
  <c r="AE654" i="1"/>
  <c r="AD684" i="1"/>
  <c r="AD463" i="1" s="1"/>
  <c r="AE465" i="1" s="1"/>
  <c r="AD662" i="1"/>
  <c r="AD564" i="1"/>
  <c r="AD567" i="1" s="1"/>
  <c r="X82" i="42"/>
  <c r="AD659" i="1"/>
  <c r="AD464" i="1"/>
  <c r="K121" i="4"/>
  <c r="X148" i="49"/>
  <c r="AF312" i="1"/>
  <c r="AF596" i="1"/>
  <c r="L49" i="4"/>
  <c r="AG311" i="1"/>
  <c r="AG433" i="1"/>
  <c r="AG302" i="1"/>
  <c r="AG307" i="1"/>
  <c r="Y372" i="42" a="1"/>
  <c r="Y372" i="42" s="1"/>
  <c r="X428" i="42" a="1"/>
  <c r="X428" i="42" s="1"/>
  <c r="AT80" i="42"/>
  <c r="AT428" i="42" s="1" a="1"/>
  <c r="AT428" i="42" s="1"/>
  <c r="X117" i="49"/>
  <c r="Y64" i="42"/>
  <c r="AB193" i="7"/>
  <c r="AB154" i="7"/>
  <c r="AA309" i="7"/>
  <c r="AF593" i="1" l="1"/>
  <c r="Z65" i="42"/>
  <c r="Y118" i="49"/>
  <c r="L71" i="4"/>
  <c r="AH423" i="1"/>
  <c r="AH674" i="1"/>
  <c r="AI416" i="1"/>
  <c r="Y368" i="42" a="1"/>
  <c r="Y368" i="42" s="1"/>
  <c r="X147" i="49"/>
  <c r="X429" i="42"/>
  <c r="X430" i="42"/>
  <c r="AG312" i="1"/>
  <c r="AG596" i="1"/>
  <c r="AT429" i="42"/>
  <c r="AT430" i="42"/>
  <c r="K126" i="4"/>
  <c r="K290" i="4"/>
  <c r="L120" i="4"/>
  <c r="AD571" i="1"/>
  <c r="AD573" i="1"/>
  <c r="AD577" i="1"/>
  <c r="AD579" i="1"/>
  <c r="AE625" i="1"/>
  <c r="AE470" i="1"/>
  <c r="AH594" i="1"/>
  <c r="M69" i="4" s="1"/>
  <c r="AH301" i="1"/>
  <c r="N195" i="7"/>
  <c r="AT82" i="42"/>
  <c r="AT436" i="42" s="1" a="1"/>
  <c r="AT436" i="42" s="1"/>
  <c r="X436" i="42" a="1"/>
  <c r="X436" i="42" s="1"/>
  <c r="AD670" i="1"/>
  <c r="AD682" i="1" s="1"/>
  <c r="K129" i="4"/>
  <c r="Y374" i="42"/>
  <c r="Y466" i="42" s="1"/>
  <c r="Y373" i="42"/>
  <c r="Y465" i="42" s="1"/>
  <c r="Y464" i="42"/>
  <c r="AD691" i="1"/>
  <c r="AD702" i="1" s="1"/>
  <c r="K147" i="4"/>
  <c r="AB195" i="7"/>
  <c r="AC153" i="7"/>
  <c r="AD710" i="1" l="1"/>
  <c r="AD8" i="1" s="1"/>
  <c r="K151" i="4"/>
  <c r="K159" i="4" s="1"/>
  <c r="M202" i="7"/>
  <c r="X84" i="42"/>
  <c r="K175" i="4"/>
  <c r="AD135" i="1"/>
  <c r="X83" i="42"/>
  <c r="AD134" i="1"/>
  <c r="K174" i="4"/>
  <c r="M182" i="7"/>
  <c r="K134" i="4"/>
  <c r="K145" i="4" s="1"/>
  <c r="AI594" i="1"/>
  <c r="AI301" i="1"/>
  <c r="X438" i="42"/>
  <c r="X437" i="42"/>
  <c r="AA65" i="42"/>
  <c r="AG593" i="1"/>
  <c r="Z118" i="49"/>
  <c r="Y148" i="49"/>
  <c r="AP118" i="49"/>
  <c r="AP148" i="49" s="1"/>
  <c r="AT437" i="42"/>
  <c r="AT438" i="42"/>
  <c r="Z372" i="42" a="1"/>
  <c r="Z372" i="42" s="1"/>
  <c r="AU65" i="42"/>
  <c r="AU372" i="42" s="1" a="1"/>
  <c r="AU372" i="42" s="1"/>
  <c r="Y369" i="42"/>
  <c r="Y370" i="42"/>
  <c r="AH681" i="1"/>
  <c r="M138" i="4"/>
  <c r="AI421" i="1"/>
  <c r="AH433" i="1"/>
  <c r="AH302" i="1"/>
  <c r="AH311" i="1"/>
  <c r="AH307" i="1"/>
  <c r="M47" i="4"/>
  <c r="AE473" i="1"/>
  <c r="AE597" i="1"/>
  <c r="Z64" i="42"/>
  <c r="Y117" i="49"/>
  <c r="L68" i="4"/>
  <c r="AB150" i="7"/>
  <c r="AA182" i="7"/>
  <c r="AA202" i="7"/>
  <c r="K296" i="4" l="1"/>
  <c r="M327" i="7"/>
  <c r="M195" i="4"/>
  <c r="O154" i="7"/>
  <c r="M144" i="4"/>
  <c r="O193" i="7"/>
  <c r="M187" i="7"/>
  <c r="M281" i="7"/>
  <c r="M232" i="7"/>
  <c r="AI311" i="1"/>
  <c r="AI433" i="1"/>
  <c r="AI302" i="1"/>
  <c r="AI307" i="1"/>
  <c r="K168" i="4"/>
  <c r="AU374" i="42"/>
  <c r="AU466" i="42" s="1"/>
  <c r="AU373" i="42"/>
  <c r="AU465" i="42" s="1"/>
  <c r="AU464" i="42"/>
  <c r="Y147" i="49"/>
  <c r="AP117" i="49"/>
  <c r="AP147" i="49" s="1"/>
  <c r="Z374" i="42"/>
  <c r="Z466" i="42" s="1"/>
  <c r="Z464" i="42"/>
  <c r="Z373" i="42"/>
  <c r="Z465" i="42" s="1"/>
  <c r="Z368" i="42" a="1"/>
  <c r="Z368" i="42" s="1"/>
  <c r="AU64" i="42"/>
  <c r="AU368" i="42" s="1" a="1"/>
  <c r="AU368" i="42" s="1"/>
  <c r="X440" i="42" a="1"/>
  <c r="X440" i="42" s="1"/>
  <c r="AT83" i="42"/>
  <c r="AT440" i="42" s="1" a="1"/>
  <c r="AT440" i="42" s="1"/>
  <c r="AA64" i="42"/>
  <c r="Z117" i="49"/>
  <c r="M208" i="7"/>
  <c r="M381" i="7"/>
  <c r="Y67" i="42"/>
  <c r="X120" i="49"/>
  <c r="AE474" i="1"/>
  <c r="AE318" i="1"/>
  <c r="X444" i="42" a="1"/>
  <c r="X444" i="42" s="1"/>
  <c r="AT84" i="42"/>
  <c r="AT444" i="42" s="1" a="1"/>
  <c r="AT444" i="42" s="1"/>
  <c r="Z148" i="49"/>
  <c r="AH312" i="1"/>
  <c r="AH596" i="1"/>
  <c r="M49" i="4"/>
  <c r="AA372" i="42" a="1"/>
  <c r="AA372" i="42" s="1"/>
  <c r="AI423" i="1"/>
  <c r="AI674" i="1"/>
  <c r="AI681" i="1" s="1"/>
  <c r="AJ416" i="1"/>
  <c r="AJ421" i="1" s="1"/>
  <c r="AA187" i="7"/>
  <c r="AA381" i="7"/>
  <c r="AA281" i="7"/>
  <c r="AA232" i="7"/>
  <c r="AC193" i="7"/>
  <c r="AA208" i="7"/>
  <c r="AA327" i="7"/>
  <c r="AC154" i="7"/>
  <c r="AA368" i="42" l="1" a="1"/>
  <c r="AA368" i="42" s="1"/>
  <c r="AB65" i="42"/>
  <c r="AH593" i="1"/>
  <c r="AA118" i="49"/>
  <c r="M71" i="4"/>
  <c r="AT441" i="42"/>
  <c r="AT442" i="42"/>
  <c r="M218" i="7"/>
  <c r="Z370" i="42"/>
  <c r="Z369" i="42"/>
  <c r="M336" i="7"/>
  <c r="M325" i="7"/>
  <c r="M326" i="7"/>
  <c r="X446" i="42"/>
  <c r="X445" i="42"/>
  <c r="AE320" i="1"/>
  <c r="AJ594" i="1"/>
  <c r="N69" i="4" s="1"/>
  <c r="AJ301" i="1"/>
  <c r="X150" i="49"/>
  <c r="N280" i="7"/>
  <c r="N156" i="7"/>
  <c r="N335" i="7"/>
  <c r="N333" i="7"/>
  <c r="AU370" i="42"/>
  <c r="AU369" i="42"/>
  <c r="M197" i="7"/>
  <c r="Z147" i="49"/>
  <c r="X441" i="42"/>
  <c r="X442" i="42"/>
  <c r="AI596" i="1"/>
  <c r="AI312" i="1"/>
  <c r="AJ423" i="1"/>
  <c r="AJ674" i="1"/>
  <c r="AK416" i="1"/>
  <c r="AK421" i="1" s="1"/>
  <c r="Y380" i="42" a="1"/>
  <c r="Y380" i="42" s="1"/>
  <c r="O195" i="7"/>
  <c r="AT445" i="42"/>
  <c r="AT446" i="42"/>
  <c r="AA373" i="42"/>
  <c r="AA465" i="42" s="1"/>
  <c r="AA374" i="42"/>
  <c r="AA466" i="42" s="1"/>
  <c r="AA464" i="42"/>
  <c r="AB335" i="7"/>
  <c r="AA326" i="7"/>
  <c r="AB333" i="7"/>
  <c r="AA218" i="7"/>
  <c r="AA336" i="7"/>
  <c r="AC195" i="7"/>
  <c r="AA325" i="7"/>
  <c r="AD153" i="7"/>
  <c r="AA197" i="7"/>
  <c r="AB156" i="7"/>
  <c r="AB280" i="7"/>
  <c r="AK674" i="1" l="1"/>
  <c r="AK681" i="1" s="1"/>
  <c r="AK423" i="1"/>
  <c r="AL416" i="1"/>
  <c r="M231" i="7"/>
  <c r="M323" i="7"/>
  <c r="M229" i="7"/>
  <c r="M236" i="7"/>
  <c r="M198" i="7"/>
  <c r="M219" i="7"/>
  <c r="AJ433" i="1"/>
  <c r="AJ302" i="1"/>
  <c r="AJ311" i="1"/>
  <c r="AJ307" i="1"/>
  <c r="N47" i="4"/>
  <c r="AA148" i="49"/>
  <c r="AQ118" i="49"/>
  <c r="AQ148" i="49" s="1"/>
  <c r="AJ681" i="1"/>
  <c r="N138" i="4"/>
  <c r="AB64" i="42"/>
  <c r="AA117" i="49"/>
  <c r="M68" i="4"/>
  <c r="AK594" i="1"/>
  <c r="AK301" i="1"/>
  <c r="N315" i="7"/>
  <c r="N377" i="7"/>
  <c r="N328" i="7"/>
  <c r="AE322" i="1"/>
  <c r="AE328" i="1" s="1"/>
  <c r="AE602" i="1"/>
  <c r="AB372" i="42" a="1"/>
  <c r="AB372" i="42" s="1"/>
  <c r="AV65" i="42"/>
  <c r="AV372" i="42" s="1" a="1"/>
  <c r="AV372" i="42" s="1"/>
  <c r="Y382" i="42"/>
  <c r="Y381" i="42"/>
  <c r="AC65" i="42"/>
  <c r="AI593" i="1"/>
  <c r="AB118" i="49"/>
  <c r="AA369" i="42"/>
  <c r="AA370" i="42"/>
  <c r="AA236" i="7"/>
  <c r="AB315" i="7"/>
  <c r="AA231" i="7"/>
  <c r="AB328" i="7"/>
  <c r="AA323" i="7"/>
  <c r="AC150" i="7"/>
  <c r="AB377" i="7"/>
  <c r="N195" i="4" l="1"/>
  <c r="P154" i="7"/>
  <c r="AE329" i="1"/>
  <c r="AE605" i="1"/>
  <c r="AB148" i="49"/>
  <c r="AK311" i="1"/>
  <c r="O47" i="4"/>
  <c r="AK433" i="1"/>
  <c r="AK302" i="1"/>
  <c r="AK307" i="1"/>
  <c r="O69" i="4"/>
  <c r="AV464" i="42"/>
  <c r="AV373" i="42"/>
  <c r="AV465" i="42" s="1"/>
  <c r="AV374" i="42"/>
  <c r="AV466" i="42" s="1"/>
  <c r="M319" i="7"/>
  <c r="N144" i="4"/>
  <c r="P193" i="7"/>
  <c r="AL594" i="1"/>
  <c r="AL301" i="1"/>
  <c r="AB464" i="42"/>
  <c r="AB374" i="42"/>
  <c r="AB466" i="42" s="1"/>
  <c r="AB373" i="42"/>
  <c r="AB465" i="42" s="1"/>
  <c r="AB368" i="42" a="1"/>
  <c r="AB368" i="42" s="1"/>
  <c r="AV64" i="42"/>
  <c r="AV368" i="42" s="1" a="1"/>
  <c r="AV368" i="42" s="1"/>
  <c r="Y68" i="42"/>
  <c r="X121" i="49"/>
  <c r="AL421" i="1"/>
  <c r="AC64" i="42"/>
  <c r="AB117" i="49"/>
  <c r="AC372" i="42" a="1"/>
  <c r="AC372" i="42" s="1"/>
  <c r="AJ312" i="1"/>
  <c r="AJ596" i="1"/>
  <c r="N49" i="4"/>
  <c r="AA147" i="49"/>
  <c r="AQ117" i="49"/>
  <c r="AQ147" i="49" s="1"/>
  <c r="AE325" i="1"/>
  <c r="AE326" i="1" s="1"/>
  <c r="AE603" i="1"/>
  <c r="AD154" i="7"/>
  <c r="AD193" i="7"/>
  <c r="AA319" i="7"/>
  <c r="AE153" i="7"/>
  <c r="O195" i="4" l="1"/>
  <c r="Q154" i="7"/>
  <c r="M321" i="7"/>
  <c r="M320" i="7"/>
  <c r="AE493" i="1"/>
  <c r="AE494" i="1" s="1"/>
  <c r="AE627" i="1" s="1"/>
  <c r="Y69" i="42"/>
  <c r="X122" i="49"/>
  <c r="AB369" i="42"/>
  <c r="AB370" i="42"/>
  <c r="X151" i="49"/>
  <c r="Y384" i="42" a="1"/>
  <c r="Y384" i="42" s="1"/>
  <c r="AD65" i="42"/>
  <c r="AJ593" i="1"/>
  <c r="AC118" i="49"/>
  <c r="N71" i="4"/>
  <c r="AM421" i="1"/>
  <c r="AL423" i="1"/>
  <c r="AL674" i="1"/>
  <c r="AC374" i="42"/>
  <c r="AC466" i="42" s="1"/>
  <c r="AC373" i="42"/>
  <c r="AC465" i="42" s="1"/>
  <c r="AC464" i="42"/>
  <c r="AL302" i="1"/>
  <c r="AL433" i="1"/>
  <c r="AL311" i="1"/>
  <c r="O49" i="4" s="1"/>
  <c r="AL307" i="1"/>
  <c r="Y70" i="42"/>
  <c r="X123" i="49"/>
  <c r="AE608" i="1"/>
  <c r="AV369" i="42"/>
  <c r="AV370" i="42"/>
  <c r="AK596" i="1"/>
  <c r="AK312" i="1"/>
  <c r="P195" i="7"/>
  <c r="AC368" i="42" a="1"/>
  <c r="AC368" i="42" s="1"/>
  <c r="O156" i="7"/>
  <c r="O335" i="7"/>
  <c r="O333" i="7"/>
  <c r="AB147" i="49"/>
  <c r="AE154" i="7"/>
  <c r="AD195" i="7"/>
  <c r="AC335" i="7"/>
  <c r="AC333" i="7"/>
  <c r="AC156" i="7"/>
  <c r="AA321" i="7"/>
  <c r="AA320" i="7"/>
  <c r="X153" i="49" l="1"/>
  <c r="Y385" i="42"/>
  <c r="Y386" i="42"/>
  <c r="Y392" i="42" a="1"/>
  <c r="Y392" i="42" s="1"/>
  <c r="AD372" i="42" a="1"/>
  <c r="AD372" i="42" s="1"/>
  <c r="AW65" i="42"/>
  <c r="AW372" i="42" s="1" a="1"/>
  <c r="AW372" i="42" s="1"/>
  <c r="AE630" i="1"/>
  <c r="AC369" i="42"/>
  <c r="AC370" i="42"/>
  <c r="AM423" i="1"/>
  <c r="AM674" i="1"/>
  <c r="AM681" i="1" s="1"/>
  <c r="AN421" i="1"/>
  <c r="AL312" i="1"/>
  <c r="AL596" i="1"/>
  <c r="O71" i="4" s="1"/>
  <c r="X152" i="49"/>
  <c r="O328" i="7"/>
  <c r="O377" i="7"/>
  <c r="O315" i="7"/>
  <c r="Y388" i="42" a="1"/>
  <c r="Y388" i="42" s="1"/>
  <c r="AK593" i="1"/>
  <c r="AE65" i="42"/>
  <c r="AD118" i="49"/>
  <c r="AC148" i="49"/>
  <c r="AR118" i="49"/>
  <c r="AR148" i="49" s="1"/>
  <c r="AL681" i="1"/>
  <c r="O138" i="4"/>
  <c r="AE613" i="1"/>
  <c r="AE614" i="1" s="1"/>
  <c r="AE611" i="1"/>
  <c r="AE621" i="1"/>
  <c r="AD64" i="42"/>
  <c r="AC117" i="49"/>
  <c r="N68" i="4"/>
  <c r="AC377" i="7"/>
  <c r="AD150" i="7"/>
  <c r="AC315" i="7"/>
  <c r="AC328" i="7"/>
  <c r="AN423" i="1" l="1"/>
  <c r="AN674" i="1"/>
  <c r="AN681" i="1" s="1"/>
  <c r="AD464" i="42"/>
  <c r="AD373" i="42"/>
  <c r="AD465" i="42" s="1"/>
  <c r="AD374" i="42"/>
  <c r="AD466" i="42" s="1"/>
  <c r="Y393" i="42"/>
  <c r="Y469" i="42" s="1"/>
  <c r="Y394" i="42"/>
  <c r="Y470" i="42" s="1"/>
  <c r="Y468" i="42"/>
  <c r="AX65" i="42"/>
  <c r="AX372" i="42" s="1" a="1"/>
  <c r="AX372" i="42" s="1"/>
  <c r="AE372" i="42" a="1"/>
  <c r="AE372" i="42" s="1"/>
  <c r="Y73" i="42"/>
  <c r="X126" i="49"/>
  <c r="AE533" i="1"/>
  <c r="AE527" i="1" s="1"/>
  <c r="AW464" i="42"/>
  <c r="AW374" i="42"/>
  <c r="AW466" i="42" s="1"/>
  <c r="AW373" i="42"/>
  <c r="AW465" i="42" s="1"/>
  <c r="O144" i="4"/>
  <c r="Q193" i="7"/>
  <c r="AD148" i="49"/>
  <c r="AE64" i="42"/>
  <c r="AD117" i="49"/>
  <c r="AC147" i="49"/>
  <c r="AR117" i="49"/>
  <c r="AR147" i="49" s="1"/>
  <c r="AE618" i="1"/>
  <c r="Y71" i="42"/>
  <c r="X124" i="49"/>
  <c r="AE615" i="1"/>
  <c r="Y389" i="42"/>
  <c r="Y390" i="42"/>
  <c r="AE633" i="1"/>
  <c r="AD368" i="42" a="1"/>
  <c r="AD368" i="42" s="1"/>
  <c r="AW64" i="42"/>
  <c r="AW368" i="42" s="1" a="1"/>
  <c r="AW368" i="42" s="1"/>
  <c r="AF65" i="42"/>
  <c r="AF372" i="42" s="1" a="1"/>
  <c r="AF372" i="42" s="1"/>
  <c r="AL593" i="1"/>
  <c r="AE118" i="49"/>
  <c r="AE148" i="49" s="1"/>
  <c r="AE193" i="7"/>
  <c r="Y396" i="42" l="1" a="1"/>
  <c r="Y396" i="42" s="1"/>
  <c r="Y74" i="42"/>
  <c r="X127" i="49"/>
  <c r="AE531" i="1"/>
  <c r="AE528" i="1"/>
  <c r="Y404" i="42" a="1"/>
  <c r="Y404" i="42" s="1"/>
  <c r="Y72" i="42"/>
  <c r="X125" i="49"/>
  <c r="AF464" i="42"/>
  <c r="AF374" i="42"/>
  <c r="AF466" i="42" s="1"/>
  <c r="AF373" i="42"/>
  <c r="AF465" i="42" s="1"/>
  <c r="AD370" i="42"/>
  <c r="AD369" i="42"/>
  <c r="AW370" i="42"/>
  <c r="AW369" i="42"/>
  <c r="X154" i="49"/>
  <c r="X156" i="49"/>
  <c r="AX373" i="42"/>
  <c r="AX465" i="42" s="1"/>
  <c r="AX464" i="42"/>
  <c r="AX374" i="42"/>
  <c r="AX466" i="42" s="1"/>
  <c r="AE368" i="42" a="1"/>
  <c r="AE368" i="42" s="1"/>
  <c r="Q195" i="7"/>
  <c r="AF64" i="42"/>
  <c r="AF368" i="42" s="1" a="1"/>
  <c r="AF368" i="42" s="1"/>
  <c r="AE117" i="49"/>
  <c r="AE147" i="49" s="1"/>
  <c r="O68" i="4"/>
  <c r="AE736" i="1"/>
  <c r="AE737" i="1" s="1"/>
  <c r="Y77" i="42"/>
  <c r="P156" i="7"/>
  <c r="P335" i="7"/>
  <c r="P333" i="7"/>
  <c r="AE373" i="42"/>
  <c r="AE465" i="42" s="1"/>
  <c r="AE464" i="42"/>
  <c r="AE374" i="42"/>
  <c r="AE466" i="42" s="1"/>
  <c r="AD147" i="49"/>
  <c r="AS118" i="49"/>
  <c r="AS148" i="49" s="1"/>
  <c r="AE195" i="7"/>
  <c r="AD335" i="7"/>
  <c r="AD333" i="7"/>
  <c r="AE150" i="7"/>
  <c r="AD156" i="7"/>
  <c r="AX64" i="42" l="1"/>
  <c r="AX368" i="42" s="1" a="1"/>
  <c r="AX368" i="42" s="1"/>
  <c r="AX369" i="42" s="1"/>
  <c r="Y406" i="42"/>
  <c r="Y405" i="42"/>
  <c r="AE529" i="1"/>
  <c r="AE395" i="1" s="1"/>
  <c r="AE646" i="1"/>
  <c r="AE544" i="1"/>
  <c r="AE530" i="1"/>
  <c r="X155" i="49"/>
  <c r="AS117" i="49"/>
  <c r="AS147" i="49" s="1"/>
  <c r="Y400" i="42" a="1"/>
  <c r="Y400" i="42" s="1"/>
  <c r="P315" i="7"/>
  <c r="P377" i="7"/>
  <c r="P328" i="7"/>
  <c r="X157" i="49"/>
  <c r="Y408" i="42" a="1"/>
  <c r="Y408" i="42" s="1"/>
  <c r="AF370" i="42"/>
  <c r="AF369" i="42"/>
  <c r="AE370" i="42"/>
  <c r="AE369" i="42"/>
  <c r="Y398" i="42"/>
  <c r="Y397" i="42"/>
  <c r="Y416" i="42" a="1"/>
  <c r="Y416" i="42" s="1"/>
  <c r="AD315" i="7"/>
  <c r="AD328" i="7"/>
  <c r="AD377" i="7"/>
  <c r="AX370" i="42" l="1"/>
  <c r="Y402" i="42"/>
  <c r="Y401" i="42"/>
  <c r="Y409" i="42"/>
  <c r="Y410" i="42"/>
  <c r="AE705" i="1"/>
  <c r="AE652" i="1"/>
  <c r="Q156" i="7"/>
  <c r="Q335" i="7"/>
  <c r="Q333" i="7"/>
  <c r="Y417" i="42"/>
  <c r="Y418" i="42"/>
  <c r="AE156" i="7"/>
  <c r="AE335" i="7"/>
  <c r="AE333" i="7"/>
  <c r="Q328" i="7" l="1"/>
  <c r="Q377" i="7"/>
  <c r="Q315" i="7"/>
  <c r="AE655" i="1"/>
  <c r="Y79" i="42"/>
  <c r="AE709" i="1"/>
  <c r="AE328" i="7"/>
  <c r="AE377" i="7"/>
  <c r="AE315" i="7"/>
  <c r="Y424" i="42" l="1" a="1"/>
  <c r="Y424" i="42" s="1"/>
  <c r="Y80" i="42"/>
  <c r="AE658" i="1"/>
  <c r="AE684" i="1" l="1"/>
  <c r="AE691" i="1" s="1"/>
  <c r="AE702" i="1" s="1"/>
  <c r="AE662" i="1"/>
  <c r="AE670" i="1" s="1"/>
  <c r="AE682" i="1" s="1"/>
  <c r="AF654" i="1"/>
  <c r="AE564" i="1"/>
  <c r="AE567" i="1" s="1"/>
  <c r="Y82" i="42"/>
  <c r="Y436" i="42" s="1" a="1"/>
  <c r="Y436" i="42" s="1"/>
  <c r="AE659" i="1"/>
  <c r="AE464" i="1"/>
  <c r="Y428" i="42" a="1"/>
  <c r="Y428" i="42" s="1"/>
  <c r="Y426" i="42"/>
  <c r="Y425" i="42"/>
  <c r="AE463" i="1" l="1"/>
  <c r="AF465" i="1" s="1"/>
  <c r="AE573" i="1"/>
  <c r="AE571" i="1"/>
  <c r="AE579" i="1"/>
  <c r="AE577" i="1"/>
  <c r="Y429" i="42"/>
  <c r="Y430" i="42"/>
  <c r="AF625" i="1"/>
  <c r="AF470" i="1"/>
  <c r="Y437" i="42"/>
  <c r="Y438" i="42"/>
  <c r="AE710" i="1"/>
  <c r="AE8" i="1" s="1"/>
  <c r="AF473" i="1" l="1"/>
  <c r="AF597" i="1"/>
  <c r="L89" i="4"/>
  <c r="N247" i="7" s="1"/>
  <c r="L193" i="4"/>
  <c r="AE134" i="1"/>
  <c r="Y83" i="42"/>
  <c r="Y440" i="42" s="1" a="1"/>
  <c r="Y440" i="42" s="1"/>
  <c r="AE135" i="1"/>
  <c r="Y84" i="42"/>
  <c r="Y444" i="42" s="1" a="1"/>
  <c r="Y444" i="42" s="1"/>
  <c r="AB247" i="7"/>
  <c r="Y446" i="42" l="1"/>
  <c r="Y445" i="42"/>
  <c r="Y442" i="42"/>
  <c r="Y441" i="42"/>
  <c r="Z67" i="42"/>
  <c r="Y120" i="49"/>
  <c r="L72" i="4"/>
  <c r="AF318" i="1"/>
  <c r="AF474" i="1"/>
  <c r="AB157" i="7"/>
  <c r="Z380" i="42" l="1" a="1"/>
  <c r="Z380" i="42" s="1"/>
  <c r="AU67" i="42"/>
  <c r="AU380" i="42" s="1" a="1"/>
  <c r="AU380" i="42" s="1"/>
  <c r="AF320" i="1"/>
  <c r="L50" i="4"/>
  <c r="N159" i="7" s="1"/>
  <c r="Y150" i="49"/>
  <c r="AP120" i="49"/>
  <c r="AP150" i="49" s="1"/>
  <c r="AB159" i="7"/>
  <c r="AF602" i="1" l="1"/>
  <c r="AF322" i="1"/>
  <c r="L53" i="4"/>
  <c r="AU382" i="42"/>
  <c r="AU381" i="42"/>
  <c r="Z381" i="42"/>
  <c r="Z382" i="42"/>
  <c r="N162" i="7"/>
  <c r="AB162" i="7"/>
  <c r="AF325" i="1" l="1"/>
  <c r="AF326" i="1" s="1"/>
  <c r="AF603" i="1"/>
  <c r="L54" i="4"/>
  <c r="N163" i="7" s="1"/>
  <c r="Y121" i="49"/>
  <c r="Z68" i="42"/>
  <c r="L77" i="4"/>
  <c r="AF328" i="1"/>
  <c r="AB163" i="7"/>
  <c r="Y151" i="49" l="1"/>
  <c r="AP121" i="49"/>
  <c r="AP151" i="49" s="1"/>
  <c r="AF329" i="1"/>
  <c r="AF605" i="1"/>
  <c r="L55" i="4"/>
  <c r="L56" i="4" s="1"/>
  <c r="Z384" i="42" a="1"/>
  <c r="Z384" i="42" s="1"/>
  <c r="AU68" i="42"/>
  <c r="AU384" i="42" s="1" a="1"/>
  <c r="AU384" i="42" s="1"/>
  <c r="AF493" i="1"/>
  <c r="AF494" i="1" s="1"/>
  <c r="AF627" i="1" s="1"/>
  <c r="Z69" i="42"/>
  <c r="Y122" i="49"/>
  <c r="L78" i="4"/>
  <c r="AU385" i="42" l="1"/>
  <c r="AU386" i="42"/>
  <c r="Z385" i="42"/>
  <c r="Z386" i="42"/>
  <c r="AF608" i="1"/>
  <c r="Z70" i="42"/>
  <c r="Y123" i="49"/>
  <c r="L188" i="4"/>
  <c r="L79" i="4"/>
  <c r="Z388" i="42" a="1"/>
  <c r="Z388" i="42" s="1"/>
  <c r="AU69" i="42"/>
  <c r="AU388" i="42" s="1" a="1"/>
  <c r="AU388" i="42" s="1"/>
  <c r="L91" i="4"/>
  <c r="N248" i="7" s="1"/>
  <c r="AF630" i="1"/>
  <c r="Y152" i="49"/>
  <c r="AP122" i="49"/>
  <c r="AP152" i="49" s="1"/>
  <c r="AB248" i="7"/>
  <c r="Z390" i="42" l="1"/>
  <c r="Z389" i="42"/>
  <c r="Y153" i="49"/>
  <c r="AP123" i="49"/>
  <c r="AP153" i="49" s="1"/>
  <c r="AF633" i="1"/>
  <c r="L202" i="4"/>
  <c r="L94" i="4"/>
  <c r="N249" i="7"/>
  <c r="Z392" i="42" a="1"/>
  <c r="Z392" i="42" s="1"/>
  <c r="AU70" i="42"/>
  <c r="AU392" i="42" s="1" a="1"/>
  <c r="AU392" i="42" s="1"/>
  <c r="AF613" i="1"/>
  <c r="AF614" i="1" s="1"/>
  <c r="AF621" i="1"/>
  <c r="AF611" i="1"/>
  <c r="L81" i="4"/>
  <c r="AU389" i="42"/>
  <c r="AU390" i="42"/>
  <c r="N306" i="7"/>
  <c r="N165" i="7"/>
  <c r="AB306" i="7"/>
  <c r="AB165" i="7"/>
  <c r="AB249" i="7"/>
  <c r="AF533" i="1" l="1"/>
  <c r="AF527" i="1" s="1"/>
  <c r="Z73" i="42"/>
  <c r="Y126" i="49"/>
  <c r="L183" i="4"/>
  <c r="L282" i="4" s="1"/>
  <c r="Z394" i="42"/>
  <c r="Z470" i="42" s="1"/>
  <c r="Z468" i="42"/>
  <c r="Z393" i="42"/>
  <c r="Z469" i="42" s="1"/>
  <c r="AU468" i="42"/>
  <c r="AU394" i="42"/>
  <c r="AU470" i="42" s="1"/>
  <c r="AU393" i="42"/>
  <c r="AU469" i="42" s="1"/>
  <c r="N278" i="7"/>
  <c r="L292" i="4"/>
  <c r="L203" i="4"/>
  <c r="AF736" i="1"/>
  <c r="AF737" i="1" s="1"/>
  <c r="Z77" i="42"/>
  <c r="L96" i="4"/>
  <c r="L85" i="4"/>
  <c r="L83" i="4"/>
  <c r="L9" i="40"/>
  <c r="L11" i="40" s="1"/>
  <c r="L281" i="4"/>
  <c r="Z71" i="42"/>
  <c r="AF618" i="1"/>
  <c r="Y124" i="49"/>
  <c r="AF615" i="1"/>
  <c r="N167" i="7"/>
  <c r="AB167" i="7"/>
  <c r="AB278" i="7"/>
  <c r="Z416" i="42" l="1" a="1"/>
  <c r="Z416" i="42" s="1"/>
  <c r="AU77" i="42"/>
  <c r="AU416" i="42" s="1" a="1"/>
  <c r="AU416" i="42" s="1"/>
  <c r="N169" i="7"/>
  <c r="Y154" i="49"/>
  <c r="AP124" i="49"/>
  <c r="AP154" i="49" s="1"/>
  <c r="Z72" i="42"/>
  <c r="Y125" i="49"/>
  <c r="L184" i="4"/>
  <c r="N297" i="7" s="1"/>
  <c r="Z396" i="42" a="1"/>
  <c r="Z396" i="42" s="1"/>
  <c r="AU71" i="42"/>
  <c r="AU396" i="42" s="1" a="1"/>
  <c r="AU396" i="42" s="1"/>
  <c r="Y156" i="49"/>
  <c r="AP126" i="49"/>
  <c r="AP156" i="49" s="1"/>
  <c r="N307" i="7"/>
  <c r="Z404" i="42" a="1"/>
  <c r="Z404" i="42" s="1"/>
  <c r="AU73" i="42"/>
  <c r="AU404" i="42" s="1" a="1"/>
  <c r="AU404" i="42" s="1"/>
  <c r="L123" i="4"/>
  <c r="N250" i="7"/>
  <c r="L287" i="4"/>
  <c r="AF528" i="1"/>
  <c r="Z74" i="42"/>
  <c r="Y127" i="49"/>
  <c r="AF531" i="1"/>
  <c r="L186" i="4"/>
  <c r="AB307" i="7"/>
  <c r="AB169" i="7"/>
  <c r="AB297" i="7"/>
  <c r="N302" i="7" l="1"/>
  <c r="L189" i="4"/>
  <c r="AU397" i="42"/>
  <c r="AU398" i="42"/>
  <c r="Z397" i="42"/>
  <c r="Z398" i="42"/>
  <c r="N125" i="7"/>
  <c r="N303" i="7"/>
  <c r="Y155" i="49"/>
  <c r="AP125" i="49"/>
  <c r="AP155" i="49" s="1"/>
  <c r="Y157" i="49"/>
  <c r="AP127" i="49"/>
  <c r="AP157" i="49" s="1"/>
  <c r="Z400" i="42" a="1"/>
  <c r="Z400" i="42" s="1"/>
  <c r="AU72" i="42"/>
  <c r="AU400" i="42" s="1" a="1"/>
  <c r="AU400" i="42" s="1"/>
  <c r="Z408" i="42" a="1"/>
  <c r="Z408" i="42" s="1"/>
  <c r="AU74" i="42"/>
  <c r="AU408" i="42" s="1" a="1"/>
  <c r="AU408" i="42" s="1"/>
  <c r="AF529" i="1"/>
  <c r="AF395" i="1" s="1"/>
  <c r="AF530" i="1"/>
  <c r="AF544" i="1"/>
  <c r="AF646" i="1"/>
  <c r="L187" i="4"/>
  <c r="N172" i="7"/>
  <c r="N296" i="7"/>
  <c r="N316" i="7"/>
  <c r="AU418" i="42"/>
  <c r="AU417" i="42"/>
  <c r="AU405" i="42"/>
  <c r="AU406" i="42"/>
  <c r="Z417" i="42"/>
  <c r="Z418" i="42"/>
  <c r="Z406" i="42"/>
  <c r="Z405" i="42"/>
  <c r="AB302" i="7"/>
  <c r="AB296" i="7"/>
  <c r="AB316" i="7"/>
  <c r="AB303" i="7"/>
  <c r="AB125" i="7"/>
  <c r="AB172" i="7"/>
  <c r="AU401" i="42" l="1"/>
  <c r="AU402" i="42"/>
  <c r="Z402" i="42"/>
  <c r="Z401" i="42"/>
  <c r="AU410" i="42"/>
  <c r="AU409" i="42"/>
  <c r="N176" i="7"/>
  <c r="N177" i="7"/>
  <c r="N137" i="7" a="1"/>
  <c r="N137" i="7" s="1"/>
  <c r="AF652" i="1"/>
  <c r="L108" i="4"/>
  <c r="N269" i="7" s="1"/>
  <c r="AF705" i="1"/>
  <c r="Z409" i="42"/>
  <c r="Z410" i="42"/>
  <c r="AB269" i="7"/>
  <c r="AB176" i="7"/>
  <c r="AB137" i="7"/>
  <c r="AF709" i="1" l="1"/>
  <c r="L163" i="4"/>
  <c r="AF655" i="1"/>
  <c r="Z79" i="42"/>
  <c r="L115" i="4"/>
  <c r="N298" i="7"/>
  <c r="N272" i="7"/>
  <c r="AB298" i="7"/>
  <c r="AB272" i="7"/>
  <c r="N124" i="7" l="1"/>
  <c r="N300" i="7"/>
  <c r="N299" i="7"/>
  <c r="N282" i="7"/>
  <c r="L289" i="4"/>
  <c r="L125" i="4"/>
  <c r="N273" i="7"/>
  <c r="Z80" i="42"/>
  <c r="L117" i="4"/>
  <c r="L119" i="4" s="1"/>
  <c r="AF658" i="1"/>
  <c r="N276" i="7"/>
  <c r="Z424" i="42" a="1"/>
  <c r="Z424" i="42" s="1"/>
  <c r="AU79" i="42"/>
  <c r="AU424" i="42" s="1" a="1"/>
  <c r="AU424" i="42" s="1"/>
  <c r="N224" i="7"/>
  <c r="L166" i="4"/>
  <c r="AB300" i="7"/>
  <c r="AB224" i="7"/>
  <c r="AB299" i="7"/>
  <c r="AB276" i="7"/>
  <c r="AB124" i="7"/>
  <c r="Z426" i="42" l="1"/>
  <c r="Z425" i="42"/>
  <c r="AU425" i="42"/>
  <c r="AU426" i="42"/>
  <c r="AG654" i="1"/>
  <c r="AF684" i="1"/>
  <c r="AF662" i="1"/>
  <c r="Z82" i="42"/>
  <c r="AF564" i="1"/>
  <c r="AF567" i="1" s="1"/>
  <c r="L121" i="4"/>
  <c r="AF659" i="1"/>
  <c r="AF464" i="1"/>
  <c r="N301" i="7"/>
  <c r="N226" i="7"/>
  <c r="Z428" i="42" a="1"/>
  <c r="Z428" i="42" s="1"/>
  <c r="AU80" i="42"/>
  <c r="AU428" i="42" s="1" a="1"/>
  <c r="AU428" i="42" s="1"/>
  <c r="N136" i="7" a="1"/>
  <c r="N136" i="7" s="1"/>
  <c r="AB226" i="7"/>
  <c r="AB136" i="7"/>
  <c r="AB301" i="7"/>
  <c r="L290" i="4" l="1"/>
  <c r="M120" i="4"/>
  <c r="L126" i="4"/>
  <c r="Z430" i="42"/>
  <c r="Z429" i="42"/>
  <c r="AF670" i="1"/>
  <c r="AF682" i="1" s="1"/>
  <c r="L129" i="4"/>
  <c r="AF691" i="1"/>
  <c r="AF702" i="1" s="1"/>
  <c r="L147" i="4"/>
  <c r="N228" i="7"/>
  <c r="AF573" i="1"/>
  <c r="AF571" i="1"/>
  <c r="AF577" i="1"/>
  <c r="AF579" i="1"/>
  <c r="Z436" i="42" a="1"/>
  <c r="Z436" i="42" s="1"/>
  <c r="AU82" i="42"/>
  <c r="AU436" i="42" s="1" a="1"/>
  <c r="AU436" i="42" s="1"/>
  <c r="AF463" i="1"/>
  <c r="AG465" i="1" s="1"/>
  <c r="AU429" i="42"/>
  <c r="AU430" i="42"/>
  <c r="AB228" i="7"/>
  <c r="AF710" i="1" l="1"/>
  <c r="AF8" i="1" s="1"/>
  <c r="AU438" i="42"/>
  <c r="AU437" i="42"/>
  <c r="N233" i="7"/>
  <c r="N237" i="7"/>
  <c r="N308" i="7"/>
  <c r="N234" i="7"/>
  <c r="N322" i="7"/>
  <c r="Z84" i="42"/>
  <c r="AF135" i="1"/>
  <c r="L175" i="4"/>
  <c r="L151" i="4"/>
  <c r="L159" i="4" s="1"/>
  <c r="N202" i="7"/>
  <c r="Z437" i="42"/>
  <c r="Z438" i="42"/>
  <c r="AF134" i="1"/>
  <c r="L174" i="4"/>
  <c r="Z83" i="42"/>
  <c r="N182" i="7"/>
  <c r="L134" i="4"/>
  <c r="L145" i="4" s="1"/>
  <c r="AG625" i="1"/>
  <c r="AG470" i="1"/>
  <c r="AB234" i="7"/>
  <c r="AB182" i="7"/>
  <c r="AB322" i="7"/>
  <c r="AB308" i="7"/>
  <c r="AB233" i="7"/>
  <c r="AB202" i="7"/>
  <c r="AB237" i="7"/>
  <c r="L296" i="4" l="1"/>
  <c r="N327" i="7"/>
  <c r="Z444" i="42" a="1"/>
  <c r="Z444" i="42" s="1"/>
  <c r="AU84" i="42"/>
  <c r="AU444" i="42" s="1" a="1"/>
  <c r="AU444" i="42" s="1"/>
  <c r="AG473" i="1"/>
  <c r="AG597" i="1"/>
  <c r="N309" i="7"/>
  <c r="N208" i="7"/>
  <c r="N381" i="7"/>
  <c r="L168" i="4"/>
  <c r="N187" i="7"/>
  <c r="N232" i="7"/>
  <c r="N281" i="7"/>
  <c r="AU83" i="42"/>
  <c r="AU440" i="42" s="1" a="1"/>
  <c r="AU440" i="42" s="1"/>
  <c r="Z440" i="42" a="1"/>
  <c r="Z440" i="42" s="1"/>
  <c r="AB381" i="7"/>
  <c r="AB187" i="7"/>
  <c r="AB208" i="7"/>
  <c r="AB309" i="7"/>
  <c r="AB281" i="7"/>
  <c r="AB232" i="7"/>
  <c r="AB327" i="7"/>
  <c r="N197" i="7" l="1"/>
  <c r="O280" i="7"/>
  <c r="N326" i="7"/>
  <c r="N325" i="7"/>
  <c r="N336" i="7"/>
  <c r="N218" i="7"/>
  <c r="AA67" i="42"/>
  <c r="Z120" i="49"/>
  <c r="AG474" i="1"/>
  <c r="AG318" i="1"/>
  <c r="AU445" i="42"/>
  <c r="AU446" i="42"/>
  <c r="Z442" i="42"/>
  <c r="Z441" i="42"/>
  <c r="Z445" i="42"/>
  <c r="Z446" i="42"/>
  <c r="AU441" i="42"/>
  <c r="AU442" i="42"/>
  <c r="AB197" i="7"/>
  <c r="AB326" i="7"/>
  <c r="AC280" i="7"/>
  <c r="AB218" i="7"/>
  <c r="AB325" i="7"/>
  <c r="AB336" i="7"/>
  <c r="AG320" i="1" l="1"/>
  <c r="AA380" i="42" a="1"/>
  <c r="AA380" i="42" s="1"/>
  <c r="N219" i="7"/>
  <c r="Z150" i="49"/>
  <c r="N231" i="7"/>
  <c r="N229" i="7"/>
  <c r="N323" i="7"/>
  <c r="N236" i="7"/>
  <c r="N198" i="7"/>
  <c r="AB323" i="7"/>
  <c r="AB231" i="7"/>
  <c r="AB236" i="7"/>
  <c r="N319" i="7" l="1"/>
  <c r="AA382" i="42"/>
  <c r="AA381" i="42"/>
  <c r="AG602" i="1"/>
  <c r="AG322" i="1"/>
  <c r="AG328" i="1" s="1"/>
  <c r="AB319" i="7"/>
  <c r="AG329" i="1" l="1"/>
  <c r="AG605" i="1"/>
  <c r="Z121" i="49"/>
  <c r="AA68" i="42"/>
  <c r="AG325" i="1"/>
  <c r="AG326" i="1" s="1"/>
  <c r="AG603" i="1"/>
  <c r="N321" i="7"/>
  <c r="N320" i="7"/>
  <c r="AB320" i="7"/>
  <c r="AB321" i="7"/>
  <c r="AG493" i="1" l="1"/>
  <c r="AG494" i="1" s="1"/>
  <c r="AG627" i="1" s="1"/>
  <c r="AA69" i="42"/>
  <c r="Z122" i="49"/>
  <c r="AA384" i="42" a="1"/>
  <c r="AA384" i="42" s="1"/>
  <c r="Z151" i="49"/>
  <c r="AA70" i="42"/>
  <c r="AG608" i="1"/>
  <c r="Z123" i="49"/>
  <c r="AG613" i="1" l="1"/>
  <c r="AG614" i="1" s="1"/>
  <c r="AG611" i="1"/>
  <c r="AG621" i="1"/>
  <c r="Z152" i="49"/>
  <c r="AA385" i="42"/>
  <c r="AA386" i="42"/>
  <c r="AG630" i="1"/>
  <c r="Z153" i="49"/>
  <c r="AA392" i="42" a="1"/>
  <c r="AA392" i="42" s="1"/>
  <c r="AA388" i="42" a="1"/>
  <c r="AA388" i="42" s="1"/>
  <c r="AA389" i="42" l="1"/>
  <c r="AA390" i="42"/>
  <c r="AA468" i="42"/>
  <c r="AA393" i="42"/>
  <c r="AA469" i="42" s="1"/>
  <c r="AA394" i="42"/>
  <c r="AA470" i="42" s="1"/>
  <c r="AG633" i="1"/>
  <c r="AA73" i="42"/>
  <c r="AG533" i="1"/>
  <c r="AG527" i="1" s="1"/>
  <c r="Z126" i="49"/>
  <c r="AA71" i="42"/>
  <c r="Z124" i="49"/>
  <c r="AG618" i="1"/>
  <c r="AG615" i="1"/>
  <c r="AA74" i="42" l="1"/>
  <c r="AG528" i="1"/>
  <c r="AG531" i="1"/>
  <c r="Z127" i="49"/>
  <c r="AA72" i="42"/>
  <c r="Z125" i="49"/>
  <c r="Z154" i="49"/>
  <c r="AA396" i="42" a="1"/>
  <c r="AA396" i="42" s="1"/>
  <c r="Z156" i="49"/>
  <c r="AA404" i="42" a="1"/>
  <c r="AA404" i="42" s="1"/>
  <c r="AG736" i="1"/>
  <c r="AG737" i="1" s="1"/>
  <c r="AA77" i="42"/>
  <c r="AA397" i="42" l="1"/>
  <c r="AA398" i="42"/>
  <c r="AA406" i="42"/>
  <c r="AA405" i="42"/>
  <c r="AA400" i="42" a="1"/>
  <c r="AA400" i="42" s="1"/>
  <c r="Z155" i="49"/>
  <c r="AA416" i="42" a="1"/>
  <c r="AA416" i="42" s="1"/>
  <c r="AG529" i="1"/>
  <c r="AG395" i="1" s="1"/>
  <c r="AG646" i="1"/>
  <c r="AG544" i="1"/>
  <c r="AG530" i="1"/>
  <c r="Z157" i="49"/>
  <c r="AA408" i="42" a="1"/>
  <c r="AA408" i="42" s="1"/>
  <c r="AA401" i="42" l="1"/>
  <c r="AA402" i="42"/>
  <c r="AG652" i="1"/>
  <c r="AG705" i="1"/>
  <c r="AA410" i="42"/>
  <c r="AA409" i="42"/>
  <c r="AA417" i="42"/>
  <c r="AA418" i="42"/>
  <c r="AG709" i="1" l="1"/>
  <c r="AG655" i="1"/>
  <c r="AA79" i="42"/>
  <c r="AA424" i="42" l="1" a="1"/>
  <c r="AA424" i="42" s="1"/>
  <c r="AA80" i="42"/>
  <c r="AG658" i="1"/>
  <c r="AA425" i="42" l="1"/>
  <c r="AA426" i="42"/>
  <c r="AG662" i="1"/>
  <c r="AG670" i="1" s="1"/>
  <c r="AG682" i="1" s="1"/>
  <c r="AG684" i="1"/>
  <c r="AG691" i="1" s="1"/>
  <c r="AG702" i="1" s="1"/>
  <c r="AH654" i="1"/>
  <c r="AG564" i="1"/>
  <c r="AG567" i="1" s="1"/>
  <c r="AG659" i="1"/>
  <c r="AA82" i="42"/>
  <c r="AA436" i="42" s="1" a="1"/>
  <c r="AA436" i="42" s="1"/>
  <c r="AG464" i="1"/>
  <c r="AA428" i="42" a="1"/>
  <c r="AA428" i="42" s="1"/>
  <c r="AG463" i="1" l="1"/>
  <c r="AH465" i="1" s="1"/>
  <c r="AG710" i="1"/>
  <c r="AG8" i="1" s="1"/>
  <c r="AA438" i="42"/>
  <c r="AA437" i="42"/>
  <c r="AA429" i="42"/>
  <c r="AA430" i="42"/>
  <c r="AH625" i="1"/>
  <c r="AH470" i="1"/>
  <c r="AG571" i="1"/>
  <c r="AG573" i="1"/>
  <c r="AG577" i="1"/>
  <c r="AG579" i="1"/>
  <c r="AA83" i="42" l="1"/>
  <c r="AA440" i="42" s="1" a="1"/>
  <c r="AA440" i="42" s="1"/>
  <c r="AG134" i="1"/>
  <c r="AA84" i="42"/>
  <c r="AA444" i="42" s="1" a="1"/>
  <c r="AA444" i="42" s="1"/>
  <c r="AG135" i="1"/>
  <c r="AH473" i="1"/>
  <c r="AH597" i="1"/>
  <c r="M89" i="4"/>
  <c r="O247" i="7" s="1"/>
  <c r="M193" i="4"/>
  <c r="AC247" i="7"/>
  <c r="AB67" i="42" l="1"/>
  <c r="AA120" i="49"/>
  <c r="M72" i="4"/>
  <c r="AH318" i="1"/>
  <c r="AH474" i="1"/>
  <c r="AA446" i="42"/>
  <c r="AA445" i="42"/>
  <c r="AA442" i="42"/>
  <c r="AA441" i="42"/>
  <c r="AC157" i="7"/>
  <c r="AH320" i="1" l="1"/>
  <c r="M50" i="4"/>
  <c r="O159" i="7" s="1"/>
  <c r="AB380" i="42" a="1"/>
  <c r="AB380" i="42" s="1"/>
  <c r="AV67" i="42"/>
  <c r="AV380" i="42" s="1" a="1"/>
  <c r="AV380" i="42" s="1"/>
  <c r="AA150" i="49"/>
  <c r="AQ120" i="49"/>
  <c r="AQ150" i="49" s="1"/>
  <c r="AC159" i="7"/>
  <c r="AV382" i="42" l="1"/>
  <c r="AV381" i="42"/>
  <c r="O162" i="7"/>
  <c r="AB382" i="42"/>
  <c r="AB381" i="42"/>
  <c r="AH602" i="1"/>
  <c r="AH322" i="1"/>
  <c r="AH328" i="1" s="1"/>
  <c r="M53" i="4"/>
  <c r="AC162" i="7"/>
  <c r="AH329" i="1" l="1"/>
  <c r="AH605" i="1"/>
  <c r="M55" i="4"/>
  <c r="AA121" i="49"/>
  <c r="AB68" i="42"/>
  <c r="M77" i="4"/>
  <c r="AH325" i="1"/>
  <c r="AH326" i="1" s="1"/>
  <c r="AH603" i="1"/>
  <c r="M54" i="4"/>
  <c r="O163" i="7" s="1"/>
  <c r="AC163" i="7"/>
  <c r="AH493" i="1" l="1"/>
  <c r="AH494" i="1" s="1"/>
  <c r="AH627" i="1" s="1"/>
  <c r="AB69" i="42"/>
  <c r="AA122" i="49"/>
  <c r="M78" i="4"/>
  <c r="AB384" i="42" a="1"/>
  <c r="AB384" i="42" s="1"/>
  <c r="AV68" i="42"/>
  <c r="AV384" i="42" s="1" a="1"/>
  <c r="AV384" i="42" s="1"/>
  <c r="AA151" i="49"/>
  <c r="AQ121" i="49"/>
  <c r="AQ151" i="49" s="1"/>
  <c r="M56" i="4"/>
  <c r="AH608" i="1"/>
  <c r="AB70" i="42"/>
  <c r="AA123" i="49"/>
  <c r="M188" i="4"/>
  <c r="AH613" i="1" l="1"/>
  <c r="AH614" i="1" s="1"/>
  <c r="AH611" i="1"/>
  <c r="AH621" i="1"/>
  <c r="M81" i="4"/>
  <c r="AB385" i="42"/>
  <c r="AB386" i="42"/>
  <c r="AA153" i="49"/>
  <c r="AQ123" i="49"/>
  <c r="AQ153" i="49" s="1"/>
  <c r="AB392" i="42" a="1"/>
  <c r="AB392" i="42" s="1"/>
  <c r="AV70" i="42"/>
  <c r="AV392" i="42" s="1" a="1"/>
  <c r="AV392" i="42" s="1"/>
  <c r="M79" i="4"/>
  <c r="AA152" i="49"/>
  <c r="AQ122" i="49"/>
  <c r="AQ152" i="49" s="1"/>
  <c r="AB388" i="42" a="1"/>
  <c r="AB388" i="42" s="1"/>
  <c r="AV69" i="42"/>
  <c r="AV388" i="42" s="1" a="1"/>
  <c r="AV388" i="42" s="1"/>
  <c r="AV386" i="42"/>
  <c r="AV385" i="42"/>
  <c r="M91" i="4"/>
  <c r="O248" i="7" s="1"/>
  <c r="AH630" i="1"/>
  <c r="AC248" i="7"/>
  <c r="AB390" i="42" l="1"/>
  <c r="AB389" i="42"/>
  <c r="O306" i="7"/>
  <c r="O165" i="7"/>
  <c r="AB393" i="42"/>
  <c r="AB469" i="42" s="1"/>
  <c r="AB394" i="42"/>
  <c r="AB470" i="42" s="1"/>
  <c r="AB468" i="42"/>
  <c r="AV390" i="42"/>
  <c r="AV389" i="42"/>
  <c r="O249" i="7"/>
  <c r="AV393" i="42"/>
  <c r="AV469" i="42" s="1"/>
  <c r="AV394" i="42"/>
  <c r="AV470" i="42" s="1"/>
  <c r="AV468" i="42"/>
  <c r="M83" i="4"/>
  <c r="M281" i="4"/>
  <c r="M9" i="40"/>
  <c r="M11" i="40" s="1"/>
  <c r="M85" i="4"/>
  <c r="AB71" i="42"/>
  <c r="AH618" i="1"/>
  <c r="AA124" i="49"/>
  <c r="AH615" i="1"/>
  <c r="AH633" i="1"/>
  <c r="M202" i="4"/>
  <c r="M94" i="4"/>
  <c r="AB73" i="42"/>
  <c r="AH533" i="1"/>
  <c r="AH527" i="1" s="1"/>
  <c r="AA126" i="49"/>
  <c r="M183" i="4"/>
  <c r="M282" i="4" s="1"/>
  <c r="AC249" i="7"/>
  <c r="AC306" i="7"/>
  <c r="AC165" i="7"/>
  <c r="AA156" i="49" l="1"/>
  <c r="AQ126" i="49"/>
  <c r="AQ156" i="49" s="1"/>
  <c r="AB404" i="42" a="1"/>
  <c r="AB404" i="42" s="1"/>
  <c r="AV73" i="42"/>
  <c r="AV404" i="42" s="1" a="1"/>
  <c r="AV404" i="42" s="1"/>
  <c r="AH528" i="1"/>
  <c r="AB74" i="42"/>
  <c r="AH531" i="1"/>
  <c r="AA127" i="49"/>
  <c r="M186" i="4"/>
  <c r="AA154" i="49"/>
  <c r="AQ124" i="49"/>
  <c r="AQ154" i="49" s="1"/>
  <c r="O278" i="7"/>
  <c r="AB72" i="42"/>
  <c r="AA125" i="49"/>
  <c r="M184" i="4"/>
  <c r="O297" i="7" s="1"/>
  <c r="AB396" i="42" a="1"/>
  <c r="AB396" i="42" s="1"/>
  <c r="AV71" i="42"/>
  <c r="AV396" i="42" s="1" a="1"/>
  <c r="AV396" i="42" s="1"/>
  <c r="M203" i="4"/>
  <c r="M292" i="4"/>
  <c r="AH736" i="1"/>
  <c r="AH737" i="1" s="1"/>
  <c r="AB77" i="42"/>
  <c r="M96" i="4"/>
  <c r="O167" i="7"/>
  <c r="AC278" i="7"/>
  <c r="AC167" i="7"/>
  <c r="AC297" i="7"/>
  <c r="O302" i="7" l="1"/>
  <c r="M189" i="4"/>
  <c r="AB400" i="42" a="1"/>
  <c r="AB400" i="42" s="1"/>
  <c r="AV72" i="42"/>
  <c r="AV400" i="42" s="1" a="1"/>
  <c r="AV400" i="42" s="1"/>
  <c r="M287" i="4"/>
  <c r="O250" i="7"/>
  <c r="M123" i="4"/>
  <c r="AB416" i="42" a="1"/>
  <c r="AB416" i="42" s="1"/>
  <c r="AV77" i="42"/>
  <c r="AV416" i="42" s="1" a="1"/>
  <c r="AV416" i="42" s="1"/>
  <c r="AB408" i="42" a="1"/>
  <c r="AB408" i="42" s="1"/>
  <c r="AV74" i="42"/>
  <c r="AV408" i="42" s="1" a="1"/>
  <c r="AV408" i="42" s="1"/>
  <c r="AA155" i="49"/>
  <c r="AQ125" i="49"/>
  <c r="AQ155" i="49" s="1"/>
  <c r="O125" i="7"/>
  <c r="O303" i="7"/>
  <c r="AA157" i="49"/>
  <c r="AQ127" i="49"/>
  <c r="AQ157" i="49" s="1"/>
  <c r="AH544" i="1"/>
  <c r="AH530" i="1"/>
  <c r="AH529" i="1"/>
  <c r="AH395" i="1" s="1"/>
  <c r="AH646" i="1"/>
  <c r="M187" i="4"/>
  <c r="AV405" i="42"/>
  <c r="AV406" i="42"/>
  <c r="O307" i="7"/>
  <c r="O169" i="7"/>
  <c r="AB405" i="42"/>
  <c r="AB406" i="42"/>
  <c r="AB398" i="42"/>
  <c r="AB397" i="42"/>
  <c r="AV397" i="42"/>
  <c r="AV398" i="42"/>
  <c r="AC302" i="7"/>
  <c r="AC307" i="7"/>
  <c r="AC303" i="7"/>
  <c r="AC125" i="7"/>
  <c r="AC169" i="7"/>
  <c r="AB418" i="42" l="1"/>
  <c r="AB417" i="42"/>
  <c r="AV410" i="42"/>
  <c r="AV409" i="42"/>
  <c r="AV417" i="42"/>
  <c r="AV418" i="42"/>
  <c r="O172" i="7"/>
  <c r="O296" i="7"/>
  <c r="O316" i="7"/>
  <c r="AH652" i="1"/>
  <c r="M108" i="4"/>
  <c r="O269" i="7" s="1"/>
  <c r="AH705" i="1"/>
  <c r="O137" i="7" a="1"/>
  <c r="O137" i="7" s="1"/>
  <c r="AV401" i="42"/>
  <c r="AV402" i="42"/>
  <c r="AB410" i="42"/>
  <c r="AB409" i="42"/>
  <c r="AB402" i="42"/>
  <c r="AB401" i="42"/>
  <c r="AC316" i="7"/>
  <c r="AC137" i="7"/>
  <c r="AC296" i="7"/>
  <c r="AC172" i="7"/>
  <c r="AC269" i="7"/>
  <c r="AH655" i="1" l="1"/>
  <c r="AB79" i="42"/>
  <c r="M115" i="4"/>
  <c r="O176" i="7"/>
  <c r="O177" i="7"/>
  <c r="AH709" i="1"/>
  <c r="M163" i="4"/>
  <c r="O272" i="7"/>
  <c r="AC272" i="7"/>
  <c r="AC176" i="7"/>
  <c r="O276" i="7" l="1"/>
  <c r="M125" i="4"/>
  <c r="O282" i="7"/>
  <c r="M289" i="4"/>
  <c r="O273" i="7"/>
  <c r="O224" i="7"/>
  <c r="M166" i="4"/>
  <c r="O298" i="7"/>
  <c r="AB424" i="42" a="1"/>
  <c r="AB424" i="42" s="1"/>
  <c r="AV79" i="42"/>
  <c r="AV424" i="42" s="1" a="1"/>
  <c r="AV424" i="42" s="1"/>
  <c r="AB80" i="42"/>
  <c r="M117" i="4"/>
  <c r="M119" i="4" s="1"/>
  <c r="AH658" i="1"/>
  <c r="AC276" i="7"/>
  <c r="AC224" i="7"/>
  <c r="AC298" i="7"/>
  <c r="AB426" i="42" l="1"/>
  <c r="AB425" i="42"/>
  <c r="AI654" i="1"/>
  <c r="AH662" i="1"/>
  <c r="AH684" i="1"/>
  <c r="AH564" i="1"/>
  <c r="AH567" i="1" s="1"/>
  <c r="AB82" i="42"/>
  <c r="M121" i="4"/>
  <c r="AH659" i="1"/>
  <c r="AH464" i="1"/>
  <c r="AB428" i="42" a="1"/>
  <c r="AB428" i="42" s="1"/>
  <c r="AV80" i="42"/>
  <c r="AV428" i="42" s="1" a="1"/>
  <c r="AV428" i="42" s="1"/>
  <c r="O226" i="7"/>
  <c r="AV426" i="42"/>
  <c r="AV425" i="42"/>
  <c r="O300" i="7"/>
  <c r="O124" i="7"/>
  <c r="O299" i="7"/>
  <c r="AC124" i="7"/>
  <c r="AC300" i="7"/>
  <c r="AC226" i="7"/>
  <c r="AC299" i="7"/>
  <c r="AV430" i="42" l="1"/>
  <c r="AV429" i="42"/>
  <c r="AB429" i="42"/>
  <c r="AB430" i="42"/>
  <c r="AH691" i="1"/>
  <c r="AH702" i="1" s="1"/>
  <c r="M147" i="4"/>
  <c r="N120" i="4"/>
  <c r="M290" i="4"/>
  <c r="M126" i="4"/>
  <c r="AH573" i="1"/>
  <c r="AH571" i="1"/>
  <c r="AH577" i="1"/>
  <c r="AH579" i="1"/>
  <c r="AH463" i="1"/>
  <c r="AI465" i="1" s="1"/>
  <c r="O136" i="7" a="1"/>
  <c r="O136" i="7" s="1"/>
  <c r="O228" i="7"/>
  <c r="AV82" i="42"/>
  <c r="AV436" i="42" s="1" a="1"/>
  <c r="AV436" i="42" s="1"/>
  <c r="AB436" i="42" a="1"/>
  <c r="AB436" i="42" s="1"/>
  <c r="AH670" i="1"/>
  <c r="AH682" i="1" s="1"/>
  <c r="M129" i="4"/>
  <c r="O301" i="7"/>
  <c r="AC228" i="7"/>
  <c r="AC136" i="7"/>
  <c r="AC301" i="7"/>
  <c r="AH710" i="1" l="1"/>
  <c r="AH8" i="1" s="1"/>
  <c r="AI625" i="1"/>
  <c r="AI470" i="1"/>
  <c r="O233" i="7"/>
  <c r="O234" i="7"/>
  <c r="O308" i="7"/>
  <c r="O237" i="7"/>
  <c r="O322" i="7"/>
  <c r="O182" i="7"/>
  <c r="M134" i="4"/>
  <c r="M145" i="4" s="1"/>
  <c r="AH134" i="1"/>
  <c r="M174" i="4"/>
  <c r="AB83" i="42"/>
  <c r="AB84" i="42"/>
  <c r="AH135" i="1"/>
  <c r="M175" i="4"/>
  <c r="M151" i="4"/>
  <c r="M159" i="4" s="1"/>
  <c r="O202" i="7"/>
  <c r="AB438" i="42"/>
  <c r="AB437" i="42"/>
  <c r="AV438" i="42"/>
  <c r="AV437" i="42"/>
  <c r="AC233" i="7"/>
  <c r="AC308" i="7"/>
  <c r="AC182" i="7"/>
  <c r="AC202" i="7"/>
  <c r="AC234" i="7"/>
  <c r="AC322" i="7"/>
  <c r="AC237" i="7"/>
  <c r="M296" i="4" l="1"/>
  <c r="O327" i="7"/>
  <c r="O187" i="7"/>
  <c r="O281" i="7"/>
  <c r="O232" i="7"/>
  <c r="AV84" i="42"/>
  <c r="AV444" i="42" s="1" a="1"/>
  <c r="AV444" i="42" s="1"/>
  <c r="AB444" i="42" a="1"/>
  <c r="AB444" i="42" s="1"/>
  <c r="AB440" i="42" a="1"/>
  <c r="AB440" i="42" s="1"/>
  <c r="AV83" i="42"/>
  <c r="AV440" i="42" s="1" a="1"/>
  <c r="AV440" i="42" s="1"/>
  <c r="O208" i="7"/>
  <c r="O381" i="7"/>
  <c r="AI473" i="1"/>
  <c r="AI597" i="1"/>
  <c r="M168" i="4"/>
  <c r="O309" i="7"/>
  <c r="AC232" i="7"/>
  <c r="AC187" i="7"/>
  <c r="AC281" i="7"/>
  <c r="AC381" i="7"/>
  <c r="AC309" i="7"/>
  <c r="AC208" i="7"/>
  <c r="AC327" i="7"/>
  <c r="AC67" i="42" l="1"/>
  <c r="AB120" i="49"/>
  <c r="AI474" i="1"/>
  <c r="AI318" i="1"/>
  <c r="O218" i="7"/>
  <c r="AV442" i="42"/>
  <c r="AV441" i="42"/>
  <c r="AB445" i="42"/>
  <c r="AB446" i="42"/>
  <c r="AV446" i="42"/>
  <c r="AV445" i="42"/>
  <c r="O336" i="7"/>
  <c r="O326" i="7"/>
  <c r="O325" i="7"/>
  <c r="P280" i="7"/>
  <c r="AB441" i="42"/>
  <c r="AB442" i="42"/>
  <c r="O197" i="7"/>
  <c r="AC197" i="7"/>
  <c r="AD280" i="7"/>
  <c r="AC325" i="7"/>
  <c r="AC326" i="7"/>
  <c r="AC336" i="7"/>
  <c r="AC218" i="7"/>
  <c r="AI320" i="1" l="1"/>
  <c r="O219" i="7"/>
  <c r="AB150" i="49"/>
  <c r="O231" i="7"/>
  <c r="O229" i="7"/>
  <c r="O323" i="7"/>
  <c r="O236" i="7"/>
  <c r="O198" i="7"/>
  <c r="AC380" i="42" a="1"/>
  <c r="AC380" i="42" s="1"/>
  <c r="AC323" i="7"/>
  <c r="AC231" i="7"/>
  <c r="AC236" i="7"/>
  <c r="AC381" i="42" l="1"/>
  <c r="AC382" i="42"/>
  <c r="O319" i="7"/>
  <c r="AI322" i="1"/>
  <c r="AI328" i="1" s="1"/>
  <c r="AI602" i="1"/>
  <c r="AC319" i="7"/>
  <c r="AC68" i="42" l="1"/>
  <c r="AB121" i="49"/>
  <c r="AI605" i="1"/>
  <c r="AI329" i="1"/>
  <c r="O321" i="7"/>
  <c r="O320" i="7"/>
  <c r="AI325" i="1"/>
  <c r="AI326" i="1" s="1"/>
  <c r="AI603" i="1"/>
  <c r="AC321" i="7"/>
  <c r="AC320" i="7"/>
  <c r="AI493" i="1" l="1"/>
  <c r="AI494" i="1" s="1"/>
  <c r="AI627" i="1" s="1"/>
  <c r="AC69" i="42"/>
  <c r="AB122" i="49"/>
  <c r="AB123" i="49"/>
  <c r="AI608" i="1"/>
  <c r="AC70" i="42"/>
  <c r="AB151" i="49"/>
  <c r="AC384" i="42" a="1"/>
  <c r="AC384" i="42" s="1"/>
  <c r="AI613" i="1" l="1"/>
  <c r="AI614" i="1" s="1"/>
  <c r="AI611" i="1"/>
  <c r="AI621" i="1"/>
  <c r="AC385" i="42"/>
  <c r="AC386" i="42"/>
  <c r="AB153" i="49"/>
  <c r="AC388" i="42" a="1"/>
  <c r="AC388" i="42" s="1"/>
  <c r="AC392" i="42" a="1"/>
  <c r="AC392" i="42" s="1"/>
  <c r="AB152" i="49"/>
  <c r="AI630" i="1"/>
  <c r="AC468" i="42" l="1"/>
  <c r="AC394" i="42"/>
  <c r="AC470" i="42" s="1"/>
  <c r="AC393" i="42"/>
  <c r="AC469" i="42" s="1"/>
  <c r="AI633" i="1"/>
  <c r="AC389" i="42"/>
  <c r="AC390" i="42"/>
  <c r="AB126" i="49"/>
  <c r="AI533" i="1"/>
  <c r="AI527" i="1" s="1"/>
  <c r="AC73" i="42"/>
  <c r="AI618" i="1"/>
  <c r="AC71" i="42"/>
  <c r="AB124" i="49"/>
  <c r="AI615" i="1"/>
  <c r="AC404" i="42" l="1" a="1"/>
  <c r="AC404" i="42" s="1"/>
  <c r="AC396" i="42" a="1"/>
  <c r="AC396" i="42" s="1"/>
  <c r="AC72" i="42"/>
  <c r="AB125" i="49"/>
  <c r="AC74" i="42"/>
  <c r="AB127" i="49"/>
  <c r="AI528" i="1"/>
  <c r="AI531" i="1"/>
  <c r="AB156" i="49"/>
  <c r="AI736" i="1"/>
  <c r="AI737" i="1" s="1"/>
  <c r="AC77" i="42"/>
  <c r="AB154" i="49"/>
  <c r="AI529" i="1" l="1"/>
  <c r="AI395" i="1" s="1"/>
  <c r="AI646" i="1"/>
  <c r="AI544" i="1"/>
  <c r="AI530" i="1"/>
  <c r="AC408" i="42" a="1"/>
  <c r="AC408" i="42" s="1"/>
  <c r="AC400" i="42" a="1"/>
  <c r="AC400" i="42" s="1"/>
  <c r="AB157" i="49"/>
  <c r="AC398" i="42"/>
  <c r="AC397" i="42"/>
  <c r="AB155" i="49"/>
  <c r="AC406" i="42"/>
  <c r="AC405" i="42"/>
  <c r="AC416" i="42" a="1"/>
  <c r="AC416" i="42" s="1"/>
  <c r="AC401" i="42" l="1"/>
  <c r="AC402" i="42"/>
  <c r="AC418" i="42"/>
  <c r="AC417" i="42"/>
  <c r="AC409" i="42"/>
  <c r="AC410" i="42"/>
  <c r="AI652" i="1"/>
  <c r="AI705" i="1"/>
  <c r="AC79" i="42" l="1"/>
  <c r="AI655" i="1"/>
  <c r="AI709" i="1"/>
  <c r="AC80" i="42" l="1"/>
  <c r="AI658" i="1"/>
  <c r="AC424" i="42" a="1"/>
  <c r="AC424" i="42" s="1"/>
  <c r="AC426" i="42" l="1"/>
  <c r="AC425" i="42"/>
  <c r="AI662" i="1"/>
  <c r="AI670" i="1" s="1"/>
  <c r="AI682" i="1" s="1"/>
  <c r="AI684" i="1"/>
  <c r="AI691" i="1" s="1"/>
  <c r="AI702" i="1" s="1"/>
  <c r="AJ654" i="1"/>
  <c r="AI564" i="1"/>
  <c r="AI567" i="1" s="1"/>
  <c r="AI659" i="1"/>
  <c r="AC82" i="42"/>
  <c r="AC436" i="42" s="1" a="1"/>
  <c r="AC436" i="42" s="1"/>
  <c r="AI464" i="1"/>
  <c r="AC428" i="42" a="1"/>
  <c r="AC428" i="42" s="1"/>
  <c r="AI710" i="1" l="1"/>
  <c r="AI8" i="1" s="1"/>
  <c r="AC429" i="42"/>
  <c r="AC430" i="42"/>
  <c r="AC438" i="42"/>
  <c r="AC437" i="42"/>
  <c r="AI573" i="1"/>
  <c r="AI571" i="1"/>
  <c r="AI577" i="1"/>
  <c r="AI579" i="1"/>
  <c r="AI463" i="1"/>
  <c r="AJ465" i="1" s="1"/>
  <c r="AJ625" i="1" l="1"/>
  <c r="AJ470" i="1"/>
  <c r="AC83" i="42"/>
  <c r="AC440" i="42" s="1" a="1"/>
  <c r="AC440" i="42" s="1"/>
  <c r="AI134" i="1"/>
  <c r="AI135" i="1"/>
  <c r="AC84" i="42"/>
  <c r="AC444" i="42" s="1" a="1"/>
  <c r="AC444" i="42" s="1"/>
  <c r="AC446" i="42" l="1"/>
  <c r="AC445" i="42"/>
  <c r="AJ473" i="1"/>
  <c r="AJ597" i="1"/>
  <c r="AC442" i="42"/>
  <c r="AC441" i="42"/>
  <c r="N193" i="4"/>
  <c r="N89" i="4"/>
  <c r="P247" i="7" s="1"/>
  <c r="AD247" i="7"/>
  <c r="AJ474" i="1" l="1"/>
  <c r="AJ318" i="1"/>
  <c r="AD67" i="42"/>
  <c r="AC120" i="49"/>
  <c r="N72" i="4"/>
  <c r="AD157" i="7"/>
  <c r="AJ320" i="1" l="1"/>
  <c r="N50" i="4"/>
  <c r="P159" i="7" s="1"/>
  <c r="AD380" i="42" a="1"/>
  <c r="AD380" i="42" s="1"/>
  <c r="AW67" i="42"/>
  <c r="AW380" i="42" s="1" a="1"/>
  <c r="AW380" i="42" s="1"/>
  <c r="AC150" i="49"/>
  <c r="AR120" i="49"/>
  <c r="AR150" i="49" s="1"/>
  <c r="AD159" i="7"/>
  <c r="AW381" i="42" l="1"/>
  <c r="AW382" i="42"/>
  <c r="AD382" i="42"/>
  <c r="AD381" i="42"/>
  <c r="P162" i="7"/>
  <c r="AJ602" i="1"/>
  <c r="AJ322" i="1"/>
  <c r="AJ328" i="1" s="1"/>
  <c r="N53" i="4"/>
  <c r="AD162" i="7"/>
  <c r="AJ329" i="1" l="1"/>
  <c r="AJ605" i="1"/>
  <c r="N55" i="4"/>
  <c r="AC121" i="49"/>
  <c r="AD68" i="42"/>
  <c r="N77" i="4"/>
  <c r="AJ325" i="1"/>
  <c r="AJ326" i="1" s="1"/>
  <c r="AJ603" i="1"/>
  <c r="N54" i="4"/>
  <c r="P163" i="7" s="1"/>
  <c r="AD163" i="7"/>
  <c r="AJ493" i="1" l="1"/>
  <c r="AJ494" i="1" s="1"/>
  <c r="AJ627" i="1" s="1"/>
  <c r="AD69" i="42"/>
  <c r="AC122" i="49"/>
  <c r="N78" i="4"/>
  <c r="AD384" i="42" a="1"/>
  <c r="AD384" i="42" s="1"/>
  <c r="AW68" i="42"/>
  <c r="AW384" i="42" s="1" a="1"/>
  <c r="AW384" i="42" s="1"/>
  <c r="AC151" i="49"/>
  <c r="AR121" i="49"/>
  <c r="AR151" i="49" s="1"/>
  <c r="N56" i="4"/>
  <c r="AJ608" i="1"/>
  <c r="AD70" i="42"/>
  <c r="AC123" i="49"/>
  <c r="N188" i="4"/>
  <c r="AD385" i="42" l="1"/>
  <c r="AD386" i="42"/>
  <c r="AW385" i="42"/>
  <c r="AW386" i="42"/>
  <c r="AD388" i="42" a="1"/>
  <c r="AD388" i="42" s="1"/>
  <c r="AW69" i="42"/>
  <c r="AW388" i="42" s="1" a="1"/>
  <c r="AW388" i="42" s="1"/>
  <c r="AC153" i="49"/>
  <c r="AR123" i="49"/>
  <c r="AR153" i="49" s="1"/>
  <c r="AD392" i="42" a="1"/>
  <c r="AD392" i="42" s="1"/>
  <c r="AW70" i="42"/>
  <c r="AW392" i="42" s="1" a="1"/>
  <c r="AW392" i="42" s="1"/>
  <c r="AJ613" i="1"/>
  <c r="AJ614" i="1" s="1"/>
  <c r="AJ621" i="1"/>
  <c r="AJ611" i="1"/>
  <c r="N81" i="4"/>
  <c r="N79" i="4"/>
  <c r="AC152" i="49"/>
  <c r="AR122" i="49"/>
  <c r="AR152" i="49" s="1"/>
  <c r="N91" i="4"/>
  <c r="P248" i="7" s="1"/>
  <c r="AJ630" i="1"/>
  <c r="AD248" i="7"/>
  <c r="N83" i="4" l="1"/>
  <c r="N9" i="40"/>
  <c r="N11" i="40" s="1"/>
  <c r="N281" i="4"/>
  <c r="N85" i="4"/>
  <c r="P306" i="7"/>
  <c r="P165" i="7"/>
  <c r="AJ533" i="1"/>
  <c r="AJ527" i="1" s="1"/>
  <c r="AD73" i="42"/>
  <c r="AC126" i="49"/>
  <c r="N183" i="4"/>
  <c r="N282" i="4" s="1"/>
  <c r="AD393" i="42"/>
  <c r="AD469" i="42" s="1"/>
  <c r="AD394" i="42"/>
  <c r="AD470" i="42" s="1"/>
  <c r="AD468" i="42"/>
  <c r="AD71" i="42"/>
  <c r="AJ618" i="1"/>
  <c r="AC124" i="49"/>
  <c r="AJ615" i="1"/>
  <c r="AD389" i="42"/>
  <c r="AD390" i="42"/>
  <c r="P249" i="7"/>
  <c r="AW390" i="42"/>
  <c r="AW389" i="42"/>
  <c r="AJ633" i="1"/>
  <c r="N202" i="4"/>
  <c r="N94" i="4"/>
  <c r="AW394" i="42"/>
  <c r="AW470" i="42" s="1"/>
  <c r="AW393" i="42"/>
  <c r="AW469" i="42" s="1"/>
  <c r="AW468" i="42"/>
  <c r="AD165" i="7"/>
  <c r="AD306" i="7"/>
  <c r="AD249" i="7"/>
  <c r="AD72" i="42" l="1"/>
  <c r="AC125" i="49"/>
  <c r="N184" i="4"/>
  <c r="P297" i="7" s="1"/>
  <c r="AC154" i="49"/>
  <c r="AR124" i="49"/>
  <c r="AR154" i="49" s="1"/>
  <c r="N203" i="4"/>
  <c r="N292" i="4"/>
  <c r="AD404" i="42" a="1"/>
  <c r="AD404" i="42" s="1"/>
  <c r="AW73" i="42"/>
  <c r="AW404" i="42" s="1" a="1"/>
  <c r="AW404" i="42" s="1"/>
  <c r="AD396" i="42" a="1"/>
  <c r="AD396" i="42" s="1"/>
  <c r="AW71" i="42"/>
  <c r="AW396" i="42" s="1" a="1"/>
  <c r="AW396" i="42" s="1"/>
  <c r="AC156" i="49"/>
  <c r="AR126" i="49"/>
  <c r="AR156" i="49" s="1"/>
  <c r="AJ528" i="1"/>
  <c r="AD74" i="42"/>
  <c r="AC127" i="49"/>
  <c r="AJ531" i="1"/>
  <c r="N186" i="4"/>
  <c r="P278" i="7"/>
  <c r="AJ736" i="1"/>
  <c r="AJ737" i="1" s="1"/>
  <c r="AD77" i="42"/>
  <c r="N96" i="4"/>
  <c r="P167" i="7"/>
  <c r="AD167" i="7"/>
  <c r="AD278" i="7"/>
  <c r="AD297" i="7"/>
  <c r="P302" i="7" l="1"/>
  <c r="N189" i="4"/>
  <c r="AC157" i="49"/>
  <c r="AR127" i="49"/>
  <c r="AR157" i="49" s="1"/>
  <c r="AD408" i="42" a="1"/>
  <c r="AD408" i="42" s="1"/>
  <c r="AW74" i="42"/>
  <c r="AW408" i="42" s="1" a="1"/>
  <c r="AW408" i="42" s="1"/>
  <c r="AJ544" i="1"/>
  <c r="AJ530" i="1"/>
  <c r="AJ529" i="1"/>
  <c r="AJ395" i="1" s="1"/>
  <c r="AJ646" i="1"/>
  <c r="N187" i="4"/>
  <c r="AW405" i="42"/>
  <c r="AW406" i="42"/>
  <c r="AD397" i="42"/>
  <c r="AD398" i="42"/>
  <c r="N287" i="4"/>
  <c r="N123" i="4"/>
  <c r="P250" i="7"/>
  <c r="AD416" i="42" a="1"/>
  <c r="AD416" i="42" s="1"/>
  <c r="AW77" i="42"/>
  <c r="AW416" i="42" s="1" a="1"/>
  <c r="AW416" i="42" s="1"/>
  <c r="P307" i="7"/>
  <c r="AW398" i="42"/>
  <c r="AW397" i="42"/>
  <c r="P169" i="7"/>
  <c r="AD406" i="42"/>
  <c r="AD405" i="42"/>
  <c r="P125" i="7"/>
  <c r="P303" i="7"/>
  <c r="AC155" i="49"/>
  <c r="AR125" i="49"/>
  <c r="AR155" i="49" s="1"/>
  <c r="AD400" i="42" a="1"/>
  <c r="AD400" i="42" s="1"/>
  <c r="AW72" i="42"/>
  <c r="AW400" i="42" s="1" a="1"/>
  <c r="AW400" i="42" s="1"/>
  <c r="AD302" i="7"/>
  <c r="AD125" i="7"/>
  <c r="AD303" i="7"/>
  <c r="AD169" i="7"/>
  <c r="AD307" i="7"/>
  <c r="AD401" i="42" l="1"/>
  <c r="AD402" i="42"/>
  <c r="AJ652" i="1"/>
  <c r="N108" i="4"/>
  <c r="P269" i="7" s="1"/>
  <c r="AJ705" i="1"/>
  <c r="P137" i="7" a="1"/>
  <c r="P137" i="7" s="1"/>
  <c r="P172" i="7"/>
  <c r="P316" i="7"/>
  <c r="P296" i="7"/>
  <c r="AW409" i="42"/>
  <c r="AW410" i="42"/>
  <c r="AW401" i="42"/>
  <c r="AW402" i="42"/>
  <c r="AD410" i="42"/>
  <c r="AD409" i="42"/>
  <c r="AW418" i="42"/>
  <c r="AW417" i="42"/>
  <c r="AD418" i="42"/>
  <c r="AD417" i="42"/>
  <c r="AD172" i="7"/>
  <c r="AD269" i="7"/>
  <c r="AD296" i="7"/>
  <c r="AD137" i="7"/>
  <c r="AD316" i="7"/>
  <c r="P176" i="7" l="1"/>
  <c r="P177" i="7"/>
  <c r="P272" i="7"/>
  <c r="AJ709" i="1"/>
  <c r="N163" i="4"/>
  <c r="AJ655" i="1"/>
  <c r="AD79" i="42"/>
  <c r="N115" i="4"/>
  <c r="AD176" i="7"/>
  <c r="AD272" i="7"/>
  <c r="P224" i="7" l="1"/>
  <c r="N166" i="4"/>
  <c r="N125" i="4"/>
  <c r="P282" i="7"/>
  <c r="N289" i="4"/>
  <c r="P273" i="7"/>
  <c r="AD424" i="42" a="1"/>
  <c r="AD424" i="42" s="1"/>
  <c r="AW79" i="42"/>
  <c r="AW424" i="42" s="1" a="1"/>
  <c r="AW424" i="42" s="1"/>
  <c r="AD80" i="42"/>
  <c r="N117" i="4"/>
  <c r="N119" i="4" s="1"/>
  <c r="AJ658" i="1"/>
  <c r="P276" i="7"/>
  <c r="P298" i="7"/>
  <c r="AD224" i="7"/>
  <c r="AD276" i="7"/>
  <c r="AD298" i="7"/>
  <c r="P300" i="7" l="1"/>
  <c r="P124" i="7"/>
  <c r="P299" i="7"/>
  <c r="AK654" i="1"/>
  <c r="AJ662" i="1"/>
  <c r="AJ684" i="1"/>
  <c r="AJ463" i="1" s="1"/>
  <c r="AK465" i="1" s="1"/>
  <c r="N121" i="4"/>
  <c r="AD82" i="42"/>
  <c r="AJ659" i="1"/>
  <c r="AJ564" i="1"/>
  <c r="AJ567" i="1" s="1"/>
  <c r="AJ464" i="1"/>
  <c r="AW426" i="42"/>
  <c r="AW425" i="42"/>
  <c r="AD426" i="42"/>
  <c r="AD425" i="42"/>
  <c r="AD428" i="42" a="1"/>
  <c r="AD428" i="42" s="1"/>
  <c r="AW80" i="42"/>
  <c r="AW428" i="42" s="1" a="1"/>
  <c r="AW428" i="42" s="1"/>
  <c r="P226" i="7"/>
  <c r="AD300" i="7"/>
  <c r="AD124" i="7"/>
  <c r="AD299" i="7"/>
  <c r="AD226" i="7"/>
  <c r="AK625" i="1" l="1"/>
  <c r="AK470" i="1"/>
  <c r="N126" i="4"/>
  <c r="N290" i="4"/>
  <c r="O120" i="4"/>
  <c r="AJ670" i="1"/>
  <c r="AJ682" i="1" s="1"/>
  <c r="N129" i="4"/>
  <c r="AJ573" i="1"/>
  <c r="AJ571" i="1"/>
  <c r="AJ577" i="1"/>
  <c r="AJ579" i="1"/>
  <c r="AW82" i="42"/>
  <c r="AW436" i="42" s="1" a="1"/>
  <c r="AW436" i="42" s="1"/>
  <c r="AD436" i="42" a="1"/>
  <c r="AD436" i="42" s="1"/>
  <c r="AJ691" i="1"/>
  <c r="AJ702" i="1" s="1"/>
  <c r="AJ710" i="1" s="1"/>
  <c r="AJ8" i="1" s="1"/>
  <c r="N147" i="4"/>
  <c r="P228" i="7"/>
  <c r="AW430" i="42"/>
  <c r="AW429" i="42"/>
  <c r="P136" i="7" a="1"/>
  <c r="P136" i="7" s="1"/>
  <c r="AD429" i="42"/>
  <c r="AD430" i="42"/>
  <c r="P301" i="7"/>
  <c r="AD228" i="7"/>
  <c r="AD136" i="7"/>
  <c r="AD301" i="7"/>
  <c r="P182" i="7" l="1"/>
  <c r="N134" i="4"/>
  <c r="N145" i="4" s="1"/>
  <c r="AD437" i="42"/>
  <c r="AD438" i="42"/>
  <c r="AD84" i="42"/>
  <c r="AJ135" i="1"/>
  <c r="N175" i="4"/>
  <c r="AD83" i="42"/>
  <c r="AJ134" i="1"/>
  <c r="N174" i="4"/>
  <c r="AW438" i="42"/>
  <c r="AW437" i="42"/>
  <c r="P233" i="7"/>
  <c r="P308" i="7"/>
  <c r="P234" i="7"/>
  <c r="P237" i="7"/>
  <c r="P322" i="7"/>
  <c r="AK473" i="1"/>
  <c r="AK597" i="1"/>
  <c r="N151" i="4"/>
  <c r="N159" i="4" s="1"/>
  <c r="P202" i="7"/>
  <c r="AD182" i="7"/>
  <c r="AD308" i="7"/>
  <c r="AD237" i="7"/>
  <c r="AD233" i="7"/>
  <c r="AD202" i="7"/>
  <c r="AD322" i="7"/>
  <c r="AD234" i="7"/>
  <c r="N296" i="4" l="1"/>
  <c r="P327" i="7"/>
  <c r="P309" i="7"/>
  <c r="AD440" i="42" a="1"/>
  <c r="AD440" i="42" s="1"/>
  <c r="AW83" i="42"/>
  <c r="AW440" i="42" s="1" a="1"/>
  <c r="AW440" i="42" s="1"/>
  <c r="P208" i="7"/>
  <c r="P381" i="7"/>
  <c r="AW84" i="42"/>
  <c r="AW444" i="42" s="1" a="1"/>
  <c r="AW444" i="42" s="1"/>
  <c r="AD444" i="42" a="1"/>
  <c r="AD444" i="42" s="1"/>
  <c r="AE67" i="42"/>
  <c r="AD120" i="49"/>
  <c r="N168" i="4"/>
  <c r="AK474" i="1"/>
  <c r="AK318" i="1"/>
  <c r="P187" i="7"/>
  <c r="P232" i="7"/>
  <c r="P281" i="7"/>
  <c r="AD281" i="7"/>
  <c r="AD309" i="7"/>
  <c r="AD208" i="7"/>
  <c r="AD187" i="7"/>
  <c r="AD327" i="7"/>
  <c r="AD232" i="7"/>
  <c r="AD381" i="7"/>
  <c r="AK320" i="1" l="1"/>
  <c r="AD150" i="49"/>
  <c r="AE380" i="42" a="1"/>
  <c r="AE380" i="42" s="1"/>
  <c r="AW445" i="42"/>
  <c r="AW446" i="42"/>
  <c r="AD445" i="42"/>
  <c r="AD446" i="42"/>
  <c r="P218" i="7"/>
  <c r="Q280" i="7"/>
  <c r="AD442" i="42"/>
  <c r="AD441" i="42"/>
  <c r="AW442" i="42"/>
  <c r="AW441" i="42"/>
  <c r="P326" i="7"/>
  <c r="P325" i="7"/>
  <c r="P336" i="7"/>
  <c r="P197" i="7"/>
  <c r="AD197" i="7"/>
  <c r="AD336" i="7"/>
  <c r="AD325" i="7"/>
  <c r="AE280" i="7"/>
  <c r="AD218" i="7"/>
  <c r="AD326" i="7"/>
  <c r="P219" i="7" l="1"/>
  <c r="AK322" i="1"/>
  <c r="AK328" i="1" s="1"/>
  <c r="AK602" i="1"/>
  <c r="AE382" i="42"/>
  <c r="AE381" i="42"/>
  <c r="P231" i="7"/>
  <c r="P229" i="7"/>
  <c r="P236" i="7"/>
  <c r="P323" i="7"/>
  <c r="P198" i="7"/>
  <c r="AD323" i="7"/>
  <c r="AD231" i="7"/>
  <c r="AD236" i="7"/>
  <c r="P319" i="7" l="1"/>
  <c r="AE68" i="42"/>
  <c r="AD121" i="49"/>
  <c r="AK605" i="1"/>
  <c r="AK329" i="1"/>
  <c r="AK603" i="1"/>
  <c r="AD319" i="7"/>
  <c r="AD123" i="49" l="1"/>
  <c r="AE70" i="42"/>
  <c r="AK608" i="1"/>
  <c r="AD151" i="49"/>
  <c r="AK493" i="1"/>
  <c r="AK494" i="1" s="1"/>
  <c r="AK627" i="1" s="1"/>
  <c r="AD122" i="49"/>
  <c r="AE69" i="42"/>
  <c r="AE384" i="42" a="1"/>
  <c r="AE384" i="42" s="1"/>
  <c r="P321" i="7"/>
  <c r="P320" i="7"/>
  <c r="AD321" i="7"/>
  <c r="AD320" i="7"/>
  <c r="AD152" i="49" l="1"/>
  <c r="AK613" i="1"/>
  <c r="AK614" i="1" s="1"/>
  <c r="AK621" i="1"/>
  <c r="AK611" i="1"/>
  <c r="AE386" i="42"/>
  <c r="AE385" i="42"/>
  <c r="AE388" i="42" a="1"/>
  <c r="AE388" i="42" s="1"/>
  <c r="AE392" i="42" a="1"/>
  <c r="AE392" i="42" s="1"/>
  <c r="AK630" i="1"/>
  <c r="AD153" i="49"/>
  <c r="AK633" i="1" l="1"/>
  <c r="AE389" i="42"/>
  <c r="AE390" i="42"/>
  <c r="AE73" i="42"/>
  <c r="AK533" i="1"/>
  <c r="AK527" i="1" s="1"/>
  <c r="AD126" i="49"/>
  <c r="AE71" i="42"/>
  <c r="AD124" i="49"/>
  <c r="AK618" i="1"/>
  <c r="AK615" i="1"/>
  <c r="AE394" i="42"/>
  <c r="AE470" i="42" s="1"/>
  <c r="AE468" i="42"/>
  <c r="AE393" i="42"/>
  <c r="AE469" i="42" s="1"/>
  <c r="AD125" i="49" l="1"/>
  <c r="AE72" i="42"/>
  <c r="AK528" i="1"/>
  <c r="AK531" i="1"/>
  <c r="AD127" i="49"/>
  <c r="AE74" i="42"/>
  <c r="AD156" i="49"/>
  <c r="AE404" i="42" a="1"/>
  <c r="AE404" i="42" s="1"/>
  <c r="AK736" i="1"/>
  <c r="AK737" i="1" s="1"/>
  <c r="AE77" i="42"/>
  <c r="AD154" i="49"/>
  <c r="AE396" i="42" a="1"/>
  <c r="AE396" i="42" s="1"/>
  <c r="AE405" i="42" l="1"/>
  <c r="AE406" i="42"/>
  <c r="AD157" i="49"/>
  <c r="AE397" i="42"/>
  <c r="AE398" i="42"/>
  <c r="AE400" i="42" a="1"/>
  <c r="AE400" i="42" s="1"/>
  <c r="AE416" i="42" a="1"/>
  <c r="AE416" i="42" s="1"/>
  <c r="AD155" i="49"/>
  <c r="AE408" i="42" a="1"/>
  <c r="AE408" i="42" s="1"/>
  <c r="AK529" i="1"/>
  <c r="AK395" i="1" s="1"/>
  <c r="AK646" i="1"/>
  <c r="AK544" i="1"/>
  <c r="AK530" i="1"/>
  <c r="AE409" i="42" l="1"/>
  <c r="AE410" i="42"/>
  <c r="AE417" i="42"/>
  <c r="AE418" i="42"/>
  <c r="AK652" i="1"/>
  <c r="AK705" i="1"/>
  <c r="AE402" i="42"/>
  <c r="AE401" i="42"/>
  <c r="AK709" i="1" l="1"/>
  <c r="AK655" i="1"/>
  <c r="AE79" i="42"/>
  <c r="AE424" i="42" l="1" a="1"/>
  <c r="AE424" i="42" s="1"/>
  <c r="AE80" i="42"/>
  <c r="AK658" i="1"/>
  <c r="AK684" i="1" l="1"/>
  <c r="AK691" i="1" s="1"/>
  <c r="AK702" i="1" s="1"/>
  <c r="AK662" i="1"/>
  <c r="AK670" i="1" s="1"/>
  <c r="AK682" i="1" s="1"/>
  <c r="AL654" i="1"/>
  <c r="AK564" i="1"/>
  <c r="AK567" i="1" s="1"/>
  <c r="AE82" i="42"/>
  <c r="AE436" i="42" s="1" a="1"/>
  <c r="AE436" i="42" s="1"/>
  <c r="AK659" i="1"/>
  <c r="AK464" i="1"/>
  <c r="AE428" i="42" a="1"/>
  <c r="AE428" i="42" s="1"/>
  <c r="AE425" i="42"/>
  <c r="AE426" i="42"/>
  <c r="AK463" i="1" l="1"/>
  <c r="AL465" i="1" s="1"/>
  <c r="AL625" i="1" s="1"/>
  <c r="AK573" i="1"/>
  <c r="AK579" i="1"/>
  <c r="AK577" i="1"/>
  <c r="AE438" i="42"/>
  <c r="AE437" i="42"/>
  <c r="AE430" i="42"/>
  <c r="AE429" i="42"/>
  <c r="AK710" i="1"/>
  <c r="AK8" i="1" s="1"/>
  <c r="AL470" i="1" l="1"/>
  <c r="AL473" i="1"/>
  <c r="AL597" i="1"/>
  <c r="O193" i="4"/>
  <c r="O89" i="4"/>
  <c r="Q247" i="7" s="1"/>
  <c r="AK134" i="1"/>
  <c r="AE83" i="42"/>
  <c r="AE440" i="42" s="1" a="1"/>
  <c r="AE440" i="42" s="1"/>
  <c r="AE84" i="42"/>
  <c r="AE444" i="42" s="1" a="1"/>
  <c r="AE444" i="42" s="1"/>
  <c r="AK135" i="1"/>
  <c r="AE247" i="7"/>
  <c r="AE441" i="42" l="1"/>
  <c r="AE442" i="42"/>
  <c r="AE446" i="42"/>
  <c r="AE445" i="42"/>
  <c r="AF67" i="42"/>
  <c r="AE120" i="49"/>
  <c r="O72" i="4"/>
  <c r="AL318" i="1"/>
  <c r="AL474" i="1"/>
  <c r="AE157" i="7"/>
  <c r="AL320" i="1" l="1"/>
  <c r="O50" i="4"/>
  <c r="Q159" i="7" s="1"/>
  <c r="AF380" i="42" a="1"/>
  <c r="AF380" i="42" s="1"/>
  <c r="AX67" i="42"/>
  <c r="AX380" i="42" s="1" a="1"/>
  <c r="AX380" i="42" s="1"/>
  <c r="AE150" i="49"/>
  <c r="AS120" i="49"/>
  <c r="AS150" i="49" s="1"/>
  <c r="AE159" i="7"/>
  <c r="AX381" i="42" l="1"/>
  <c r="AX382" i="42"/>
  <c r="Q162" i="7"/>
  <c r="AF382" i="42"/>
  <c r="AF381" i="42"/>
  <c r="AL322" i="1"/>
  <c r="AL328" i="1" s="1"/>
  <c r="AL602" i="1"/>
  <c r="O53" i="4"/>
  <c r="AE162" i="7"/>
  <c r="AE121" i="49" l="1"/>
  <c r="AF68" i="42"/>
  <c r="O77" i="4"/>
  <c r="AL603" i="1"/>
  <c r="O54" i="4"/>
  <c r="Q163" i="7" s="1"/>
  <c r="AL329" i="1"/>
  <c r="AL605" i="1"/>
  <c r="O55" i="4"/>
  <c r="AE163" i="7"/>
  <c r="O56" i="4" l="1"/>
  <c r="AL608" i="1"/>
  <c r="AF70" i="42"/>
  <c r="AE123" i="49"/>
  <c r="O188" i="4"/>
  <c r="AL493" i="1"/>
  <c r="AL494" i="1" s="1"/>
  <c r="AL627" i="1" s="1"/>
  <c r="AF69" i="42"/>
  <c r="AE122" i="49"/>
  <c r="O78" i="4"/>
  <c r="AF384" i="42" a="1"/>
  <c r="AF384" i="42" s="1"/>
  <c r="AX68" i="42"/>
  <c r="AX384" i="42" s="1" a="1"/>
  <c r="AX384" i="42" s="1"/>
  <c r="AE151" i="49"/>
  <c r="AS121" i="49"/>
  <c r="AS151" i="49" s="1"/>
  <c r="AF385" i="42" l="1"/>
  <c r="AF386" i="42"/>
  <c r="AX386" i="42"/>
  <c r="AX385" i="42"/>
  <c r="O79" i="4"/>
  <c r="AE152" i="49"/>
  <c r="AS122" i="49"/>
  <c r="AS152" i="49" s="1"/>
  <c r="AF388" i="42" a="1"/>
  <c r="AF388" i="42" s="1"/>
  <c r="AX69" i="42"/>
  <c r="AX388" i="42" s="1" a="1"/>
  <c r="AX388" i="42" s="1"/>
  <c r="O91" i="4"/>
  <c r="Q248" i="7" s="1"/>
  <c r="AL630" i="1"/>
  <c r="AE153" i="49"/>
  <c r="AS123" i="49"/>
  <c r="AS153" i="49" s="1"/>
  <c r="AF392" i="42" a="1"/>
  <c r="AF392" i="42" s="1"/>
  <c r="AX70" i="42"/>
  <c r="AX392" i="42" s="1" a="1"/>
  <c r="AX392" i="42" s="1"/>
  <c r="AL613" i="1"/>
  <c r="AL614" i="1" s="1"/>
  <c r="AL621" i="1"/>
  <c r="AL611" i="1"/>
  <c r="O81" i="4"/>
  <c r="AE248" i="7"/>
  <c r="AF393" i="42" l="1"/>
  <c r="AF469" i="42" s="1"/>
  <c r="AF394" i="42"/>
  <c r="AF470" i="42" s="1"/>
  <c r="AF468" i="42"/>
  <c r="AL633" i="1"/>
  <c r="O94" i="4"/>
  <c r="O202" i="4"/>
  <c r="Q249" i="7"/>
  <c r="AX394" i="42"/>
  <c r="AX470" i="42" s="1"/>
  <c r="AX468" i="42"/>
  <c r="AX393" i="42"/>
  <c r="AX469" i="42" s="1"/>
  <c r="AL618" i="1"/>
  <c r="AF71" i="42"/>
  <c r="AE124" i="49"/>
  <c r="AL615" i="1"/>
  <c r="AX390" i="42"/>
  <c r="AX389" i="42"/>
  <c r="O83" i="4"/>
  <c r="O9" i="40"/>
  <c r="O11" i="40" s="1"/>
  <c r="O85" i="4"/>
  <c r="O281" i="4"/>
  <c r="AF390" i="42"/>
  <c r="AF389" i="42"/>
  <c r="Q306" i="7"/>
  <c r="Q165" i="7"/>
  <c r="AL533" i="1"/>
  <c r="AL527" i="1" s="1"/>
  <c r="AF73" i="42"/>
  <c r="AE126" i="49"/>
  <c r="O183" i="4"/>
  <c r="O282" i="4" s="1"/>
  <c r="AE249" i="7"/>
  <c r="AE306" i="7"/>
  <c r="AE165" i="7"/>
  <c r="AF72" i="42" l="1"/>
  <c r="AE125" i="49"/>
  <c r="O184" i="4"/>
  <c r="Q297" i="7" s="1"/>
  <c r="Q167" i="7"/>
  <c r="AE156" i="49"/>
  <c r="AS126" i="49"/>
  <c r="AS156" i="49" s="1"/>
  <c r="AF404" i="42" a="1"/>
  <c r="AF404" i="42" s="1"/>
  <c r="AX73" i="42"/>
  <c r="AX404" i="42" s="1" a="1"/>
  <c r="AX404" i="42" s="1"/>
  <c r="O203" i="4"/>
  <c r="O292" i="4"/>
  <c r="AE154" i="49"/>
  <c r="AS124" i="49"/>
  <c r="AS154" i="49" s="1"/>
  <c r="Q278" i="7"/>
  <c r="AL736" i="1"/>
  <c r="AL737" i="1" s="1"/>
  <c r="AF77" i="42"/>
  <c r="O96" i="4"/>
  <c r="AF396" i="42" a="1"/>
  <c r="AF396" i="42" s="1"/>
  <c r="AX71" i="42"/>
  <c r="AX396" i="42" s="1" a="1"/>
  <c r="AX396" i="42" s="1"/>
  <c r="AL528" i="1"/>
  <c r="AF74" i="42"/>
  <c r="AE127" i="49"/>
  <c r="AL531" i="1"/>
  <c r="O186" i="4"/>
  <c r="AE297" i="7"/>
  <c r="AE167" i="7"/>
  <c r="AE278" i="7"/>
  <c r="Q302" i="7" l="1"/>
  <c r="O189" i="4"/>
  <c r="Q307" i="7"/>
  <c r="AX405" i="42"/>
  <c r="AX406" i="42"/>
  <c r="Q125" i="7"/>
  <c r="Q303" i="7"/>
  <c r="AF406" i="42"/>
  <c r="AF405" i="42"/>
  <c r="AE157" i="49"/>
  <c r="AS127" i="49"/>
  <c r="AS157" i="49" s="1"/>
  <c r="AF408" i="42" a="1"/>
  <c r="AF408" i="42" s="1"/>
  <c r="AX74" i="42"/>
  <c r="AX408" i="42" s="1" a="1"/>
  <c r="AX408" i="42" s="1"/>
  <c r="AL544" i="1"/>
  <c r="AL530" i="1"/>
  <c r="AL529" i="1"/>
  <c r="AL395" i="1" s="1"/>
  <c r="AL646" i="1"/>
  <c r="O187" i="4"/>
  <c r="Q169" i="7"/>
  <c r="AF416" i="42" a="1"/>
  <c r="AF416" i="42" s="1"/>
  <c r="AX77" i="42"/>
  <c r="AX416" i="42" s="1" a="1"/>
  <c r="AX416" i="42" s="1"/>
  <c r="AF398" i="42"/>
  <c r="AF397" i="42"/>
  <c r="AE155" i="49"/>
  <c r="AS125" i="49"/>
  <c r="AS155" i="49" s="1"/>
  <c r="AX398" i="42"/>
  <c r="AX397" i="42"/>
  <c r="O287" i="4"/>
  <c r="Q250" i="7"/>
  <c r="O123" i="4"/>
  <c r="AF400" i="42" a="1"/>
  <c r="AF400" i="42" s="1"/>
  <c r="AX72" i="42"/>
  <c r="AX400" i="42" s="1" a="1"/>
  <c r="AX400" i="42" s="1"/>
  <c r="AE302" i="7"/>
  <c r="AE303" i="7"/>
  <c r="AE307" i="7"/>
  <c r="AE169" i="7"/>
  <c r="AE125" i="7"/>
  <c r="AF409" i="42" l="1"/>
  <c r="AF410" i="42"/>
  <c r="AF402" i="42"/>
  <c r="AF401" i="42"/>
  <c r="AL652" i="1"/>
  <c r="O108" i="4"/>
  <c r="Q269" i="7" s="1"/>
  <c r="AL705" i="1"/>
  <c r="Q137" i="7" a="1"/>
  <c r="Q137" i="7" s="1"/>
  <c r="AX401" i="42"/>
  <c r="AX402" i="42"/>
  <c r="AX418" i="42"/>
  <c r="AX417" i="42"/>
  <c r="AX410" i="42"/>
  <c r="AX409" i="42"/>
  <c r="AF417" i="42"/>
  <c r="AF418" i="42"/>
  <c r="Q172" i="7"/>
  <c r="Q316" i="7"/>
  <c r="Q296" i="7"/>
  <c r="AE172" i="7"/>
  <c r="AE137" i="7"/>
  <c r="AE296" i="7"/>
  <c r="AE316" i="7"/>
  <c r="AE269" i="7"/>
  <c r="AL709" i="1" l="1"/>
  <c r="O163" i="4"/>
  <c r="AL655" i="1"/>
  <c r="AF79" i="42"/>
  <c r="O115" i="4"/>
  <c r="Q176" i="7"/>
  <c r="Q177" i="7"/>
  <c r="Q272" i="7"/>
  <c r="AE272" i="7"/>
  <c r="AE176" i="7"/>
  <c r="Q276" i="7" l="1"/>
  <c r="Q298" i="7"/>
  <c r="AF424" i="42" a="1"/>
  <c r="AF424" i="42" s="1"/>
  <c r="AX79" i="42"/>
  <c r="AX424" i="42" s="1" a="1"/>
  <c r="AX424" i="42" s="1"/>
  <c r="Q282" i="7"/>
  <c r="Q273" i="7"/>
  <c r="O125" i="4"/>
  <c r="O289" i="4"/>
  <c r="AF80" i="42"/>
  <c r="O117" i="4"/>
  <c r="O119" i="4" s="1"/>
  <c r="AL658" i="1"/>
  <c r="Q224" i="7"/>
  <c r="O166" i="4"/>
  <c r="AE224" i="7"/>
  <c r="AE298" i="7"/>
  <c r="AE276" i="7"/>
  <c r="Q226" i="7" l="1"/>
  <c r="AM654" i="1"/>
  <c r="AL662" i="1"/>
  <c r="AL684" i="1"/>
  <c r="AF82" i="42"/>
  <c r="AL564" i="1"/>
  <c r="AL567" i="1" s="1"/>
  <c r="AL659" i="1"/>
  <c r="O121" i="4"/>
  <c r="AL464" i="1"/>
  <c r="AF428" i="42" a="1"/>
  <c r="AF428" i="42" s="1"/>
  <c r="AX80" i="42"/>
  <c r="AX428" i="42" s="1" a="1"/>
  <c r="AX428" i="42" s="1"/>
  <c r="AX425" i="42"/>
  <c r="AX426" i="42"/>
  <c r="Q300" i="7"/>
  <c r="Q124" i="7"/>
  <c r="Q299" i="7"/>
  <c r="AF426" i="42"/>
  <c r="AF425" i="42"/>
  <c r="AE124" i="7"/>
  <c r="AE300" i="7"/>
  <c r="AE299" i="7"/>
  <c r="AE226" i="7"/>
  <c r="AF430" i="42" l="1"/>
  <c r="AF429" i="42"/>
  <c r="AX429" i="42"/>
  <c r="AX430" i="42"/>
  <c r="AL573" i="1"/>
  <c r="AL577" i="1"/>
  <c r="AL579" i="1"/>
  <c r="Q301" i="7"/>
  <c r="O126" i="4"/>
  <c r="O290" i="4"/>
  <c r="AL691" i="1"/>
  <c r="AL702" i="1" s="1"/>
  <c r="O147" i="4"/>
  <c r="Q136" i="7" a="1"/>
  <c r="Q136" i="7" s="1"/>
  <c r="AX82" i="42"/>
  <c r="AX436" i="42" s="1" a="1"/>
  <c r="AX436" i="42" s="1"/>
  <c r="AF436" i="42" a="1"/>
  <c r="AF436" i="42" s="1"/>
  <c r="AL670" i="1"/>
  <c r="AL682" i="1" s="1"/>
  <c r="O129" i="4"/>
  <c r="AL463" i="1"/>
  <c r="AM465" i="1" s="1"/>
  <c r="Q228" i="7"/>
  <c r="AE301" i="7"/>
  <c r="AE136" i="7"/>
  <c r="AE228" i="7"/>
  <c r="AL710" i="1" l="1"/>
  <c r="AL8" i="1" s="1"/>
  <c r="C8" i="1" s="1"/>
  <c r="O151" i="4"/>
  <c r="O159" i="4" s="1"/>
  <c r="Q202" i="7"/>
  <c r="AF84" i="42"/>
  <c r="AL135" i="1"/>
  <c r="O175" i="4"/>
  <c r="AF83" i="42"/>
  <c r="O174" i="4"/>
  <c r="AL134" i="1"/>
  <c r="Q233" i="7"/>
  <c r="Q308" i="7"/>
  <c r="Q234" i="7"/>
  <c r="Q237" i="7"/>
  <c r="Q322" i="7"/>
  <c r="AM625" i="1"/>
  <c r="AM470" i="1"/>
  <c r="O134" i="4"/>
  <c r="O145" i="4" s="1"/>
  <c r="Q182" i="7"/>
  <c r="AX437" i="42"/>
  <c r="AX438" i="42"/>
  <c r="AF437" i="42"/>
  <c r="AF438" i="42"/>
  <c r="AE233" i="7"/>
  <c r="AE234" i="7"/>
  <c r="AE322" i="7"/>
  <c r="AE237" i="7"/>
  <c r="AE182" i="7"/>
  <c r="AE202" i="7"/>
  <c r="AE308" i="7"/>
  <c r="O296" i="4" l="1"/>
  <c r="Q327" i="7"/>
  <c r="O168" i="4"/>
  <c r="Q309" i="7"/>
  <c r="AF444" i="42" a="1"/>
  <c r="AF444" i="42" s="1"/>
  <c r="AX84" i="42"/>
  <c r="AX444" i="42" s="1" a="1"/>
  <c r="AX444" i="42" s="1"/>
  <c r="Q208" i="7"/>
  <c r="Q381" i="7"/>
  <c r="AM597" i="1"/>
  <c r="AM473" i="1"/>
  <c r="AX83" i="42"/>
  <c r="AX440" i="42" s="1" a="1"/>
  <c r="AX440" i="42" s="1"/>
  <c r="AF440" i="42" a="1"/>
  <c r="AF440" i="42" s="1"/>
  <c r="Q187" i="7"/>
  <c r="Q232" i="7"/>
  <c r="Q281" i="7"/>
  <c r="AE309" i="7"/>
  <c r="AE208" i="7"/>
  <c r="AE381" i="7"/>
  <c r="AE232" i="7"/>
  <c r="AE327" i="7"/>
  <c r="AE187" i="7"/>
  <c r="AE281" i="7"/>
  <c r="AF441" i="42" l="1"/>
  <c r="AF442" i="42"/>
  <c r="Q336" i="7"/>
  <c r="Q325" i="7"/>
  <c r="Q326" i="7"/>
  <c r="Q197" i="7"/>
  <c r="AX446" i="42"/>
  <c r="AX445" i="42"/>
  <c r="AF446" i="42"/>
  <c r="AF445" i="42"/>
  <c r="AX441" i="42"/>
  <c r="AX442" i="42"/>
  <c r="AM318" i="1"/>
  <c r="AM320" i="1" s="1"/>
  <c r="AM474" i="1"/>
  <c r="Q218" i="7"/>
  <c r="AE326" i="7"/>
  <c r="AE218" i="7"/>
  <c r="AE325" i="7"/>
  <c r="AE197" i="7"/>
  <c r="AE336" i="7"/>
  <c r="AM322" i="1" l="1"/>
  <c r="AM603" i="1" s="1"/>
  <c r="AM602" i="1"/>
  <c r="Q231" i="7"/>
  <c r="Q229" i="7"/>
  <c r="Q236" i="7"/>
  <c r="Q323" i="7"/>
  <c r="Q198" i="7"/>
  <c r="Q219" i="7"/>
  <c r="AE231" i="7"/>
  <c r="AE323" i="7"/>
  <c r="AE236" i="7"/>
  <c r="AM328" i="1" l="1"/>
  <c r="AM329" i="1" s="1"/>
  <c r="Q319" i="7"/>
  <c r="AM493" i="1"/>
  <c r="AM494" i="1" s="1"/>
  <c r="AM627" i="1" s="1"/>
  <c r="AM630" i="1" s="1"/>
  <c r="AM633" i="1" s="1"/>
  <c r="AM736" i="1" s="1"/>
  <c r="AM737" i="1" s="1"/>
  <c r="AE319" i="7"/>
  <c r="AM605" i="1" l="1"/>
  <c r="AM608" i="1" s="1"/>
  <c r="AM611" i="1" s="1"/>
  <c r="AM621" i="1"/>
  <c r="AM533" i="1" s="1"/>
  <c r="AM527" i="1" s="1"/>
  <c r="AM613" i="1"/>
  <c r="Q320" i="7"/>
  <c r="Q321" i="7"/>
  <c r="AE321" i="7"/>
  <c r="AE320" i="7"/>
  <c r="AM614" i="1" l="1"/>
  <c r="AM531" i="1"/>
  <c r="AM528" i="1"/>
  <c r="AM618" i="1"/>
  <c r="AM615" i="1"/>
  <c r="AM529" i="1" l="1"/>
  <c r="AM395" i="1" s="1"/>
  <c r="AM646" i="1"/>
  <c r="AM544" i="1"/>
  <c r="AM530" i="1"/>
  <c r="AM652" i="1" l="1"/>
  <c r="AM655" i="1" s="1"/>
  <c r="AM658" i="1" s="1"/>
  <c r="AM705" i="1"/>
  <c r="AM709" i="1" l="1"/>
  <c r="AN654" i="1"/>
  <c r="AM564" i="1"/>
  <c r="AM567" i="1" s="1"/>
  <c r="AM659" i="1"/>
  <c r="AM662" i="1"/>
  <c r="AM670" i="1" s="1"/>
  <c r="AM682" i="1" s="1"/>
  <c r="AM684" i="1"/>
  <c r="AM691" i="1" s="1"/>
  <c r="AM702" i="1" s="1"/>
  <c r="AM464" i="1"/>
  <c r="AM579" i="1" l="1"/>
  <c r="AM135" i="1" s="1"/>
  <c r="AM577" i="1"/>
  <c r="AM134" i="1" s="1"/>
  <c r="AM573" i="1"/>
  <c r="AM463" i="1"/>
  <c r="AN465" i="1" s="1"/>
  <c r="AM710" i="1"/>
  <c r="AM8" i="1" s="1"/>
  <c r="AN625" i="1" l="1"/>
  <c r="AN470" i="1"/>
  <c r="AN597" i="1" l="1"/>
  <c r="AN473" i="1"/>
  <c r="AN474" i="1" l="1"/>
  <c r="AN318" i="1"/>
  <c r="AN320" i="1" s="1"/>
  <c r="AN602" i="1" l="1"/>
  <c r="AN322" i="1"/>
  <c r="AN603" i="1" s="1"/>
  <c r="AN328" i="1"/>
  <c r="AN605" i="1" l="1"/>
  <c r="AN608" i="1" s="1"/>
  <c r="AN329" i="1"/>
  <c r="AN493" i="1"/>
  <c r="AN494" i="1" s="1"/>
  <c r="AN627" i="1" s="1"/>
  <c r="AN630" i="1" s="1"/>
  <c r="AN633" i="1" s="1"/>
  <c r="AN736" i="1" s="1"/>
  <c r="AN737" i="1" s="1"/>
  <c r="D737" i="1" s="1"/>
  <c r="AN611" i="1" l="1"/>
  <c r="AN621" i="1"/>
  <c r="AN533" i="1" s="1"/>
  <c r="AN527" i="1" s="1"/>
  <c r="AN613" i="1"/>
  <c r="AN614" i="1" l="1"/>
  <c r="AN528" i="1"/>
  <c r="AN531" i="1"/>
  <c r="AN618" i="1"/>
  <c r="AN615" i="1"/>
  <c r="AN646" i="1" l="1"/>
  <c r="AN530" i="1"/>
  <c r="AN529" i="1"/>
  <c r="AN395" i="1" s="1"/>
  <c r="AN544" i="1"/>
  <c r="AN652" i="1" l="1"/>
  <c r="AN655" i="1" s="1"/>
  <c r="AN658" i="1" s="1"/>
  <c r="AN705" i="1"/>
  <c r="AN709" i="1" s="1"/>
  <c r="AN662" i="1" l="1"/>
  <c r="AN684" i="1"/>
  <c r="AN691" i="1" s="1"/>
  <c r="AN702" i="1" s="1"/>
  <c r="AN564" i="1"/>
  <c r="AN567" i="1" s="1"/>
  <c r="AN659" i="1"/>
  <c r="AN464" i="1"/>
  <c r="AN577" i="1" l="1"/>
  <c r="AN134" i="1" s="1"/>
  <c r="AN573" i="1"/>
  <c r="AN579" i="1"/>
  <c r="AN135" i="1" s="1"/>
  <c r="AN670" i="1"/>
  <c r="AN682" i="1" s="1"/>
  <c r="AN710" i="1" s="1"/>
  <c r="AN8" i="1" s="1"/>
  <c r="D739" i="1"/>
  <c r="D740" i="1" s="1"/>
  <c r="AN463" i="1"/>
  <c r="D13" i="7" l="1"/>
  <c r="H12" i="40"/>
  <c r="H14" i="40" s="1"/>
  <c r="F90" i="42"/>
  <c r="D745" i="1"/>
  <c r="D35" i="7"/>
  <c r="C9" i="1"/>
  <c r="D750" i="1"/>
  <c r="C93" i="48"/>
  <c r="C5" i="48" s="1"/>
  <c r="R13" i="7"/>
  <c r="R35" i="7"/>
  <c r="D747" i="1" l="1"/>
  <c r="C88" i="48" s="1"/>
  <c r="C91" i="48"/>
  <c r="F472" i="42" a="1"/>
  <c r="F472" i="42" s="1"/>
  <c r="F474" i="42" s="1"/>
  <c r="AK472" i="42" a="1"/>
  <c r="AK472" i="42" s="1"/>
  <c r="AK474" i="42" s="1"/>
  <c r="AK90" i="42"/>
  <c r="D21" i="7"/>
  <c r="R21" i="7"/>
  <c r="D23" i="7" l="1"/>
  <c r="R2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AIPL</author>
    <author>Julian Mulcahy</author>
  </authors>
  <commentList>
    <comment ref="A4" authorId="0" shapeId="0" xr:uid="{F4E8BC7A-21BE-4455-8F58-FE35AE77FB00}">
      <text>
        <r>
          <rPr>
            <sz val="10"/>
            <color indexed="8"/>
            <rFont val="Arial"/>
            <family val="2"/>
          </rPr>
          <t>Please do not delete or remove.</t>
        </r>
      </text>
    </comment>
    <comment ref="D4" authorId="0" shapeId="0" xr:uid="{32809D4C-A4D3-4C7E-B7CF-98C1A0997796}">
      <text>
        <r>
          <rPr>
            <sz val="10"/>
            <color indexed="8"/>
            <rFont val="Arial"/>
            <family val="2"/>
          </rPr>
          <t>Please do not delete or remove.</t>
        </r>
      </text>
    </comment>
    <comment ref="C5" authorId="0" shapeId="0" xr:uid="{F3140349-5566-45D2-B6F6-B5C6F8178E93}">
      <text>
        <r>
          <rPr>
            <sz val="11"/>
            <color indexed="8"/>
            <rFont val="Cambria"/>
            <family val="1"/>
          </rPr>
          <t>Input the Instrument type code for which the information is being uploaded. The code acceptable is: 
EQ=Equity</t>
        </r>
      </text>
    </comment>
    <comment ref="C6" authorId="0" shapeId="0" xr:uid="{A7A7157C-B721-4F53-A948-C5E9B8ADD044}">
      <text>
        <r>
          <rPr>
            <sz val="10"/>
            <color indexed="8"/>
            <rFont val="Arial"/>
            <family val="2"/>
          </rPr>
          <t>Input the Instrument Code Type based on the database vendor ticker code used. The acceptable code is:
@BB=Bloomberg</t>
        </r>
      </text>
    </comment>
    <comment ref="C8" authorId="0" shapeId="0" xr:uid="{9A274EF6-36A1-4A51-B209-F1E9B54235B8}">
      <text>
        <r>
          <rPr>
            <sz val="10"/>
            <color indexed="8"/>
            <rFont val="Arial"/>
            <family val="2"/>
          </rPr>
          <t>Input the full "Instrument ticker Code" as provided by Bloomberg. For e.g.,: "ABC AU Equity" for Adelaide Brighton Ltd.</t>
        </r>
      </text>
    </comment>
    <comment ref="C9" authorId="0" shapeId="0" xr:uid="{67225231-B300-4C47-A65D-494613EC7816}">
      <text>
        <r>
          <rPr>
            <sz val="10"/>
            <color indexed="8"/>
            <rFont val="Arial"/>
            <family val="2"/>
          </rPr>
          <t>Please choose the Reporting Multiplier in which the numbers are denominated in the financial model.</t>
        </r>
      </text>
    </comment>
    <comment ref="C11" authorId="0" shapeId="0" xr:uid="{9E5E55DC-EA39-401E-8C4A-44945341498A}">
      <text>
        <r>
          <rPr>
            <sz val="10"/>
            <color indexed="8"/>
            <rFont val="Arial"/>
            <family val="2"/>
          </rPr>
          <t>Input the lead Analyst's system username for the Analec system.</t>
        </r>
      </text>
    </comment>
    <comment ref="C15" authorId="0" shapeId="0" xr:uid="{FDAD456A-61A0-45A9-8EF3-5C7CDE7D19D8}">
      <text>
        <r>
          <rPr>
            <sz val="10"/>
            <color indexed="8"/>
            <rFont val="Arial"/>
            <family val="2"/>
          </rPr>
          <t>This sharecount would be used for the computation of Market Cap. Please enter full value for e.g., if the sharecount is 2 million then enter 20,000,000.</t>
        </r>
      </text>
    </comment>
    <comment ref="C38" authorId="1" shapeId="0" xr:uid="{AE690127-B07D-44D6-9EEC-C8BE3C2252AF}">
      <text>
        <r>
          <rPr>
            <b/>
            <sz val="9"/>
            <color indexed="81"/>
            <rFont val="Tahoma"/>
            <family val="2"/>
          </rPr>
          <t>AIPL: Input the Valuation - SOTP</t>
        </r>
      </text>
    </comment>
    <comment ref="C43" authorId="1" shapeId="0" xr:uid="{E7B5DC91-4DC1-48EF-A5DE-E15690A8F017}">
      <text>
        <r>
          <rPr>
            <b/>
            <sz val="9"/>
            <color indexed="81"/>
            <rFont val="Tahoma"/>
            <family val="2"/>
          </rPr>
          <t>AIPL: Input the SOTP Weightage</t>
        </r>
      </text>
    </comment>
    <comment ref="C52" authorId="1" shapeId="0" xr:uid="{56326DCB-378D-4FAB-9DA7-EADCACA2A001}">
      <text>
        <r>
          <rPr>
            <b/>
            <sz val="9"/>
            <color indexed="81"/>
            <rFont val="Tahoma"/>
            <family val="2"/>
          </rPr>
          <t>AIPL: Input the Name of Segment 7</t>
        </r>
      </text>
    </comment>
    <comment ref="C53" authorId="1" shapeId="0" xr:uid="{BE94EC2E-8CBF-4B9F-81B9-DB4C5188E913}">
      <text>
        <r>
          <rPr>
            <b/>
            <sz val="9"/>
            <color indexed="81"/>
            <rFont val="Tahoma"/>
            <family val="2"/>
          </rPr>
          <t>AIPL: Input the Name of Segment 8</t>
        </r>
      </text>
    </comment>
    <comment ref="C54" authorId="1" shapeId="0" xr:uid="{3C150426-745D-4A04-8BCA-964E39F96339}">
      <text>
        <r>
          <rPr>
            <b/>
            <sz val="9"/>
            <color indexed="81"/>
            <rFont val="Tahoma"/>
            <family val="2"/>
          </rPr>
          <t>AIPL: Input the Name of Segment 9</t>
        </r>
      </text>
    </comment>
    <comment ref="C55" authorId="1" shapeId="0" xr:uid="{29CE3853-8A9B-4C17-B7A7-9565A99111CA}">
      <text>
        <r>
          <rPr>
            <b/>
            <sz val="9"/>
            <color indexed="81"/>
            <rFont val="Tahoma"/>
            <family val="2"/>
          </rPr>
          <t>AIPL: Input the Name of Segment 10</t>
        </r>
      </text>
    </comment>
    <comment ref="C62" authorId="0" shapeId="0" xr:uid="{C36ACAF7-C822-488C-94DF-E01DB28390C4}">
      <text>
        <r>
          <rPr>
            <sz val="10"/>
            <color indexed="8"/>
            <rFont val="Arial"/>
            <family val="2"/>
          </rPr>
          <t>Enter text in Column D alongside.
This would appear as 1st bullet point under Core Driver Section on the Stock Focus Report.</t>
        </r>
      </text>
    </comment>
    <comment ref="C63" authorId="0" shapeId="0" xr:uid="{F6707940-3175-482C-A430-31C22D481426}">
      <text>
        <r>
          <rPr>
            <sz val="10"/>
            <color indexed="8"/>
            <rFont val="Arial"/>
            <family val="2"/>
          </rPr>
          <t>Enter text in Column D alongside.
This would appear as 2nd bullet point under Core Driver Section on the Stock Focus Report.</t>
        </r>
      </text>
    </comment>
    <comment ref="C64" authorId="0" shapeId="0" xr:uid="{9DBC666E-51F7-467D-A55D-8DAA8CFA4E44}">
      <text>
        <r>
          <rPr>
            <sz val="10"/>
            <color indexed="8"/>
            <rFont val="Arial"/>
            <family val="2"/>
          </rPr>
          <t>Enter text in Column D alongside.
This would appear as 3rd bullet point under Core Driver Section on the Stock Focus Report.</t>
        </r>
      </text>
    </comment>
    <comment ref="C65" authorId="0" shapeId="0" xr:uid="{4A14C872-8480-407E-A8BB-CA2BD82B1FE4}">
      <text>
        <r>
          <rPr>
            <sz val="10"/>
            <color indexed="8"/>
            <rFont val="Arial"/>
            <family val="2"/>
          </rPr>
          <t>Enter text in Column D alongside.
This would appear as 4th bullet point under Core Driver Section on the Stock Focus Report.</t>
        </r>
      </text>
    </comment>
    <comment ref="C66" authorId="0" shapeId="0" xr:uid="{DF494AFD-32BE-4A22-AE00-3738C4AD1B6F}">
      <text>
        <r>
          <rPr>
            <sz val="10"/>
            <color indexed="8"/>
            <rFont val="Arial"/>
            <family val="2"/>
          </rPr>
          <t>Enter text in Column D alongside.
This would appear as 5th bullet point under Core Driver Section on the Stock Focus Report.</t>
        </r>
      </text>
    </comment>
    <comment ref="C68" authorId="0" shapeId="0" xr:uid="{BFFE7ACB-C4BB-4564-82ED-1A30673CD860}">
      <text>
        <r>
          <rPr>
            <sz val="10"/>
            <color indexed="8"/>
            <rFont val="Arial"/>
            <family val="2"/>
          </rPr>
          <t>Enter text in Column D alongside.
This would appear as 1st bullet point under Investment Thesis Section on the Stock Focus Report.</t>
        </r>
      </text>
    </comment>
    <comment ref="C69" authorId="0" shapeId="0" xr:uid="{F48D0BCD-7996-44FD-ADAB-8FEC783A3065}">
      <text>
        <r>
          <rPr>
            <sz val="10"/>
            <color indexed="8"/>
            <rFont val="Arial"/>
            <family val="2"/>
          </rPr>
          <t>Enter text in Column D alongside.
This would appear as 2nd bullet point under Investment Thesis Section on the Stock Focus Report.</t>
        </r>
      </text>
    </comment>
    <comment ref="C70" authorId="0" shapeId="0" xr:uid="{F42AB470-BD3D-43D2-A084-762D0D066E6F}">
      <text>
        <r>
          <rPr>
            <sz val="10"/>
            <color indexed="8"/>
            <rFont val="Arial"/>
            <family val="2"/>
          </rPr>
          <t>Enter text in Column D alongside.
This would appear as 3rd bullet point under Investment Thesis Section on the Stock Focus Report.</t>
        </r>
      </text>
    </comment>
    <comment ref="C71" authorId="0" shapeId="0" xr:uid="{7D56B92A-FE04-4546-92AA-0C29BAD3C42D}">
      <text>
        <r>
          <rPr>
            <sz val="10"/>
            <color indexed="8"/>
            <rFont val="Arial"/>
            <family val="2"/>
          </rPr>
          <t>Enter text in Column D alongside.
This would appear as 4th bullet point under Investment Thesis Section on the Stock Focus Report.</t>
        </r>
      </text>
    </comment>
    <comment ref="C72" authorId="0" shapeId="0" xr:uid="{501C0A1A-8852-4806-B9B2-38AB254B4A84}">
      <text>
        <r>
          <rPr>
            <sz val="10"/>
            <color indexed="8"/>
            <rFont val="Arial"/>
            <family val="2"/>
          </rPr>
          <t>Enter text in Column D alongside.
This would appear as 5th bullet point under Investment Thesis Section on the Stock Focus Report.</t>
        </r>
      </text>
    </comment>
    <comment ref="C74" authorId="0" shapeId="0" xr:uid="{06D374AF-D922-433C-877A-593C9656C2D0}">
      <text>
        <r>
          <rPr>
            <sz val="10"/>
            <color indexed="8"/>
            <rFont val="Arial"/>
            <family val="2"/>
          </rPr>
          <t>Enter text in Column D alongside.
This would appear as 1st bullet point under Near Term Catalyst Section on the Stock Focus Report.</t>
        </r>
      </text>
    </comment>
    <comment ref="C103" authorId="0" shapeId="0" xr:uid="{3035F128-E50E-4C36-BB91-7E6B49CCE913}">
      <text>
        <r>
          <rPr>
            <sz val="10"/>
            <color indexed="8"/>
            <rFont val="Arial"/>
            <family val="2"/>
          </rPr>
          <t>Enter the ticker of the 1st stock for which the EV/EBITDA (P/BV for Banks) needs to be shown on the Stock Focus report (Core Drivers Page).</t>
        </r>
      </text>
    </comment>
    <comment ref="C104" authorId="0" shapeId="0" xr:uid="{27A71960-7049-4F31-B734-061B6FB7A48C}">
      <text>
        <r>
          <rPr>
            <sz val="10"/>
            <color indexed="8"/>
            <rFont val="Arial"/>
            <family val="2"/>
          </rPr>
          <t>Enter the ticker of the 2nd stock for which the EV/EBITDA (P/BV for Banks) needs to be shown on the Stock Focus report (Core Drivers Page).</t>
        </r>
      </text>
    </comment>
    <comment ref="C105" authorId="0" shapeId="0" xr:uid="{0D2C2BC9-5648-43BD-BC65-7A1153D8FAD8}">
      <text>
        <r>
          <rPr>
            <sz val="10"/>
            <color indexed="8"/>
            <rFont val="Arial"/>
            <family val="2"/>
          </rPr>
          <t>Enter the ticker of the 3rd stock for which the EV/EBITDA (P/BV for Banks) needs to be shown on the Stock Focus report (Core Drivers Page).</t>
        </r>
      </text>
    </comment>
    <comment ref="C106" authorId="0" shapeId="0" xr:uid="{70FA4FBF-6537-4844-A290-3A703C36F642}">
      <text>
        <r>
          <rPr>
            <sz val="10"/>
            <color indexed="8"/>
            <rFont val="Arial"/>
            <family val="2"/>
          </rPr>
          <t>Enter the ticker of the 4th stock for which the EV/EBITDA (P/BV for Banks) needs to be shown on the Stock Focus report (Core Drivers Page).</t>
        </r>
      </text>
    </comment>
    <comment ref="C107" authorId="0" shapeId="0" xr:uid="{3B0B65EE-AAC2-4AFA-BFF5-9D72C558F0DA}">
      <text>
        <r>
          <rPr>
            <sz val="10"/>
            <color indexed="8"/>
            <rFont val="Arial"/>
            <family val="2"/>
          </rPr>
          <t>Enter the ticker of the 5th stock for which the EV/EBITDA (P/BV for Banks) needs to be shown on the Stock Focus report (Core Drivers Page).</t>
        </r>
      </text>
    </comment>
    <comment ref="C108" authorId="0" shapeId="0" xr:uid="{91A9309B-B316-4EA3-A197-A80DB2D81BE2}">
      <text>
        <r>
          <rPr>
            <sz val="10"/>
            <color indexed="8"/>
            <rFont val="Arial"/>
            <family val="2"/>
          </rPr>
          <t>Enter the ticker of the 6th stock for which the EV/EBITDA (P/BV for Banks) needs to be shown on the Stock Focus report (Core Drivers Page).</t>
        </r>
      </text>
    </comment>
    <comment ref="C109" authorId="0" shapeId="0" xr:uid="{1F12D70D-D1F9-4612-9589-CA750B069FDB}">
      <text>
        <r>
          <rPr>
            <sz val="10"/>
            <color indexed="8"/>
            <rFont val="Arial"/>
            <family val="2"/>
          </rPr>
          <t xml:space="preserve">Choose the Index that will be used for relative chart. </t>
        </r>
      </text>
    </comment>
    <comment ref="A111" authorId="0" shapeId="0" xr:uid="{4C636D90-A64C-44C0-A617-33DD5821EF6E}">
      <text>
        <r>
          <rPr>
            <sz val="10"/>
            <color indexed="8"/>
            <rFont val="Arial"/>
            <family val="2"/>
          </rPr>
          <t>Please do not delete or remove.</t>
        </r>
      </text>
    </comment>
    <comment ref="C114" authorId="0" shapeId="0" xr:uid="{F20BAB2C-1C5C-4158-AB87-9F98522E6E4F}">
      <text>
        <r>
          <rPr>
            <sz val="10"/>
            <color indexed="8"/>
            <rFont val="Arial"/>
            <family val="2"/>
          </rPr>
          <t>This is an automatic field. Please do not change the formula.</t>
        </r>
      </text>
    </comment>
    <comment ref="C115" authorId="0" shapeId="0" xr:uid="{7309E312-08B7-42EC-AF58-9AB31C8F820C}">
      <text>
        <r>
          <rPr>
            <sz val="10"/>
            <color indexed="8"/>
            <rFont val="Arial"/>
            <family val="2"/>
          </rPr>
          <t>Input the financial year for which the data would be populated below. For e.g., 2005, incase the data below in P&amp;L etc., pertains to 2005.</t>
        </r>
      </text>
    </comment>
    <comment ref="C116" authorId="0" shapeId="0" xr:uid="{1D1D8ADE-610C-4CE3-AB94-9531B3709AB2}">
      <text>
        <r>
          <rPr>
            <sz val="10"/>
            <color indexed="8"/>
            <rFont val="Arial"/>
            <family val="2"/>
          </rPr>
          <t>Input the Accounts Status.
A = Actual
F = Forecast</t>
        </r>
      </text>
    </comment>
    <comment ref="C117" authorId="0" shapeId="0" xr:uid="{D77AD31E-C523-40D6-965D-11CAA0802BE6}">
      <text>
        <r>
          <rPr>
            <sz val="10"/>
            <color indexed="8"/>
            <rFont val="Arial"/>
            <family val="2"/>
          </rPr>
          <t>Input the reporting period code:
FY=Full Year
1Q=First Quarter
2Q=Second Quarter
3Q=Third Quarter
4Q=Fourth Quarter</t>
        </r>
      </text>
    </comment>
    <comment ref="C118" authorId="0" shapeId="0" xr:uid="{7A5DC399-C7D2-4661-97B9-FF8B69803A0A}">
      <text>
        <r>
          <rPr>
            <sz val="10"/>
            <color indexed="8"/>
            <rFont val="Arial"/>
            <family val="2"/>
          </rPr>
          <t>Input the three letter month code for the period in question. For e.g.,: If you are entering full year numbers for a December ending company, then enter Dec. Similary, if you are entering Q1 numbers for a December ending company, then enter Mar.</t>
        </r>
      </text>
    </comment>
    <comment ref="C344" authorId="1" shapeId="0" xr:uid="{891B39B6-F186-4AAB-988F-08F06DE2C0F4}">
      <text>
        <r>
          <rPr>
            <b/>
            <sz val="9"/>
            <color indexed="81"/>
            <rFont val="Tahoma"/>
            <family val="2"/>
          </rPr>
          <t>AIPL:Input the sixth segment's revenues forecast.</t>
        </r>
      </text>
    </comment>
    <comment ref="C345" authorId="1" shapeId="0" xr:uid="{9B3A1C5B-DA45-41FD-84EC-6829A6197FEF}">
      <text>
        <r>
          <rPr>
            <b/>
            <sz val="9"/>
            <color indexed="81"/>
            <rFont val="Tahoma"/>
            <family val="2"/>
          </rPr>
          <t>AIPL: Input the seventh segment's results forecast.</t>
        </r>
      </text>
    </comment>
    <comment ref="C346" authorId="1" shapeId="0" xr:uid="{C5EDF64E-DA4D-446B-B4B4-1717D1E30CE0}">
      <text>
        <r>
          <rPr>
            <b/>
            <sz val="9"/>
            <color indexed="81"/>
            <rFont val="Tahoma"/>
            <family val="2"/>
          </rPr>
          <t>AIPL: Input the Eighth segment's margins forecast.</t>
        </r>
      </text>
    </comment>
    <comment ref="C347" authorId="1" shapeId="0" xr:uid="{7B51146B-9781-4607-8300-0C2839469C14}">
      <text>
        <r>
          <rPr>
            <b/>
            <sz val="9"/>
            <color indexed="81"/>
            <rFont val="Tahoma"/>
            <family val="2"/>
          </rPr>
          <t>AIPL: Input the Ninth segment's margins forecast.</t>
        </r>
      </text>
    </comment>
    <comment ref="C348" authorId="1" shapeId="0" xr:uid="{39533382-A485-4C7D-A3BA-66C3696C4047}">
      <text>
        <r>
          <rPr>
            <b/>
            <sz val="9"/>
            <color indexed="81"/>
            <rFont val="Tahoma"/>
            <family val="2"/>
          </rPr>
          <t>AIPL: Input the Tenth segment's margins forecast.</t>
        </r>
      </text>
    </comment>
    <comment ref="A390" authorId="0" shapeId="0" xr:uid="{CBE174B1-7E9A-40DA-A8A0-A2803AB4B31F}">
      <text>
        <r>
          <rPr>
            <sz val="10"/>
            <color indexed="8"/>
            <rFont val="Arial"/>
            <family val="2"/>
          </rPr>
          <t>This must be placed after the last set of data. 
Please do not delete or remove.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 Bradshaw</author>
    <author>Paul Mason</author>
  </authors>
  <commentList>
    <comment ref="U2" authorId="0" shapeId="0" xr:uid="{C02176BD-9EF3-4D16-B717-D6F47714CCA4}">
      <text>
        <r>
          <rPr>
            <b/>
            <sz val="9"/>
            <color indexed="81"/>
            <rFont val="Tahoma"/>
            <family val="2"/>
          </rPr>
          <t>Sam Bradshaw:</t>
        </r>
        <r>
          <rPr>
            <sz val="9"/>
            <color indexed="81"/>
            <rFont val="Tahoma"/>
            <family val="2"/>
          </rPr>
          <t xml:space="preserve">
all digital no retail</t>
        </r>
      </text>
    </comment>
    <comment ref="M10" authorId="0" shapeId="0" xr:uid="{C0032CF0-93A2-426D-ACCB-7191AB4CF93F}">
      <text>
        <r>
          <rPr>
            <b/>
            <sz val="9"/>
            <color indexed="81"/>
            <rFont val="Tahoma"/>
            <family val="2"/>
          </rPr>
          <t>Sam Bradshaw:</t>
        </r>
        <r>
          <rPr>
            <sz val="9"/>
            <color indexed="81"/>
            <rFont val="Tahoma"/>
            <family val="2"/>
          </rPr>
          <t xml:space="preserve">
Pro Forma</t>
        </r>
      </text>
    </comment>
    <comment ref="N10" authorId="0" shapeId="0" xr:uid="{22781ABD-4260-4365-9D10-2F125E5349EE}">
      <text>
        <r>
          <rPr>
            <b/>
            <sz val="9"/>
            <color indexed="81"/>
            <rFont val="Tahoma"/>
            <family val="2"/>
          </rPr>
          <t>Sam Bradshaw:</t>
        </r>
        <r>
          <rPr>
            <sz val="9"/>
            <color indexed="81"/>
            <rFont val="Tahoma"/>
            <family val="2"/>
          </rPr>
          <t xml:space="preserve">
Pro Forma</t>
        </r>
      </text>
    </comment>
    <comment ref="B62" authorId="0" shapeId="0" xr:uid="{625E99D9-4E37-4664-A2E7-E7ED44F057CB}">
      <text>
        <r>
          <rPr>
            <b/>
            <sz val="9"/>
            <color indexed="81"/>
            <rFont val="Tahoma"/>
            <family val="2"/>
          </rPr>
          <t>Sam Bradshaw:</t>
        </r>
        <r>
          <rPr>
            <sz val="9"/>
            <color indexed="81"/>
            <rFont val="Tahoma"/>
            <family val="2"/>
          </rPr>
          <t xml:space="preserve">
Rolling 12months, Pre FY19 comps N/A due to UBET Split</t>
        </r>
      </text>
    </comment>
    <comment ref="B68" authorId="0" shapeId="0" xr:uid="{09AF91D1-E900-40A6-9E79-B8FE9E1B9FAB}">
      <text>
        <r>
          <rPr>
            <b/>
            <sz val="9"/>
            <color indexed="81"/>
            <rFont val="Tahoma"/>
            <family val="2"/>
          </rPr>
          <t>Sam Bradshaw:</t>
        </r>
        <r>
          <rPr>
            <sz val="9"/>
            <color indexed="81"/>
            <rFont val="Tahoma"/>
            <family val="2"/>
          </rPr>
          <t xml:space="preserve">
Includes Vic Racing Industry Interest</t>
        </r>
      </text>
    </comment>
    <comment ref="B95" authorId="0" shapeId="0" xr:uid="{FA32405E-D789-4046-BE32-5EC84D2E2E43}">
      <text>
        <r>
          <rPr>
            <b/>
            <sz val="9"/>
            <color indexed="81"/>
            <rFont val="Tahoma"/>
            <family val="2"/>
          </rPr>
          <t>Sam Bradshaw:</t>
        </r>
        <r>
          <rPr>
            <sz val="9"/>
            <color indexed="81"/>
            <rFont val="Tahoma"/>
            <family val="2"/>
          </rPr>
          <t xml:space="preserve">
Revenues earned from Victorian operations are subject to a 50/50 Joint Venture with the Victorian Racing Industry.</t>
        </r>
      </text>
    </comment>
    <comment ref="B98" authorId="0" shapeId="0" xr:uid="{4C58F27E-FA36-4705-9457-904F219E3743}">
      <text>
        <r>
          <rPr>
            <b/>
            <sz val="9"/>
            <color indexed="81"/>
            <rFont val="Tahoma"/>
            <family val="2"/>
          </rPr>
          <t>Sam Bradshaw:</t>
        </r>
        <r>
          <rPr>
            <sz val="9"/>
            <color indexed="81"/>
            <rFont val="Tahoma"/>
            <family val="2"/>
          </rPr>
          <t xml:space="preserve">
Includes non-betting revenues and Victorian Racing Industry share adjustment. </t>
        </r>
      </text>
    </comment>
    <comment ref="B111" authorId="0" shapeId="0" xr:uid="{2798399F-7E4D-4241-A17E-C75E3B051067}">
      <text>
        <r>
          <rPr>
            <b/>
            <sz val="9"/>
            <color indexed="81"/>
            <rFont val="Tahoma"/>
            <family val="2"/>
          </rPr>
          <t>Sam Bradshaw:</t>
        </r>
        <r>
          <rPr>
            <sz val="9"/>
            <color indexed="81"/>
            <rFont val="Tahoma"/>
            <family val="2"/>
          </rPr>
          <t xml:space="preserve">
Revenues earned from Victorian operations are subject to a 50/50 Joint Venture with the Victorian Racing Industry.</t>
        </r>
      </text>
    </comment>
    <comment ref="B113" authorId="0" shapeId="0" xr:uid="{4104BB5B-3541-4295-9F37-FC66AA15BBEC}">
      <text>
        <r>
          <rPr>
            <b/>
            <sz val="9"/>
            <color indexed="81"/>
            <rFont val="Tahoma"/>
            <family val="2"/>
          </rPr>
          <t>Sam Bradshaw:</t>
        </r>
        <r>
          <rPr>
            <sz val="9"/>
            <color indexed="81"/>
            <rFont val="Tahoma"/>
            <family val="2"/>
          </rPr>
          <t xml:space="preserve">
Includes non-betting revenues and VRI share adjustment until 15 August 2024 when the JV ended and the reformed Victorian Wagering and Betting Licence commenced.</t>
        </r>
      </text>
    </comment>
    <comment ref="B114" authorId="0" shapeId="0" xr:uid="{1B373F26-5F67-4918-B91A-872294041611}">
      <text>
        <r>
          <rPr>
            <b/>
            <sz val="9"/>
            <color indexed="81"/>
            <rFont val="Tahoma"/>
            <family val="2"/>
          </rPr>
          <t>Sam Bradshaw:</t>
        </r>
        <r>
          <rPr>
            <sz val="9"/>
            <color indexed="81"/>
            <rFont val="Tahoma"/>
            <family val="2"/>
          </rPr>
          <t xml:space="preserve">
Non betting revenue, smaller stuff like terminal fees. General other Non directly linked
EBT's will be looked at in due course but still around
</t>
        </r>
      </text>
    </comment>
    <comment ref="B135" authorId="0" shapeId="0" xr:uid="{F19F1D82-A811-4270-A767-EF68CC192504}">
      <text>
        <r>
          <rPr>
            <b/>
            <sz val="9"/>
            <color indexed="81"/>
            <rFont val="Tahoma"/>
            <family val="2"/>
          </rPr>
          <t>Sam Bradshaw:</t>
        </r>
        <r>
          <rPr>
            <sz val="9"/>
            <color indexed="81"/>
            <rFont val="Tahoma"/>
            <family val="2"/>
          </rPr>
          <t xml:space="preserve">
Target 1.0-1.5x
Net debt (including lease liabilities but excluding restricted cash) / LTM EBITDA</t>
        </r>
      </text>
    </comment>
    <comment ref="T138" authorId="0" shapeId="0" xr:uid="{79B7A631-13F0-4296-BB1A-73BDC6291549}">
      <text>
        <r>
          <rPr>
            <b/>
            <sz val="9"/>
            <color indexed="81"/>
            <rFont val="Tahoma"/>
            <family val="2"/>
          </rPr>
          <t>Sam Bradshaw:</t>
        </r>
        <r>
          <rPr>
            <sz val="9"/>
            <color indexed="81"/>
            <rFont val="Tahoma"/>
            <family val="2"/>
          </rPr>
          <t xml:space="preserve">
4m currency
most new contract wins that are recurring but not in growth</t>
        </r>
      </text>
    </comment>
    <comment ref="B146" authorId="0" shapeId="0" xr:uid="{4CCB69F3-F497-4D39-B7F9-02711C6DAFDA}">
      <text>
        <r>
          <rPr>
            <b/>
            <sz val="9"/>
            <color indexed="81"/>
            <rFont val="Tahoma"/>
            <family val="2"/>
          </rPr>
          <t>Sam Bradshaw:</t>
        </r>
        <r>
          <rPr>
            <sz val="9"/>
            <color indexed="81"/>
            <rFont val="Tahoma"/>
            <family val="2"/>
          </rPr>
          <t xml:space="preserve">
Export revenue (% of turnover) to overseas
countries, including through SKY Racing World</t>
        </r>
      </text>
    </comment>
    <comment ref="B147" authorId="0" shapeId="0" xr:uid="{D5373E31-1D94-44CB-811C-9A315A5E4220}">
      <text>
        <r>
          <rPr>
            <b/>
            <sz val="9"/>
            <color indexed="81"/>
            <rFont val="Tahoma"/>
            <family val="2"/>
          </rPr>
          <t>Sam Bradshaw:</t>
        </r>
        <r>
          <rPr>
            <sz val="9"/>
            <color indexed="81"/>
            <rFont val="Tahoma"/>
            <family val="2"/>
          </rPr>
          <t xml:space="preserve">
Revenue (% of turnover) generated from supplying
SKY vision to bookmakers, including TAB</t>
        </r>
      </text>
    </comment>
    <comment ref="B148" authorId="0" shapeId="0" xr:uid="{0D74F0F5-F392-4C56-9CE0-B67DC283F046}">
      <text>
        <r>
          <rPr>
            <b/>
            <sz val="9"/>
            <color indexed="81"/>
            <rFont val="Tahoma"/>
            <family val="2"/>
          </rPr>
          <t>Sam Bradshaw:</t>
        </r>
        <r>
          <rPr>
            <sz val="9"/>
            <color indexed="81"/>
            <rFont val="Tahoma"/>
            <family val="2"/>
          </rPr>
          <t xml:space="preserve">
Purchase of SKY racing vision and other sports
vision across licenced venues and TAB Agencies</t>
        </r>
      </text>
    </comment>
    <comment ref="B149" authorId="0" shapeId="0" xr:uid="{25CA51EE-209C-4F54-A1C2-1F15766D9FCE}">
      <text>
        <r>
          <rPr>
            <b/>
            <sz val="9"/>
            <color indexed="81"/>
            <rFont val="Tahoma"/>
            <family val="2"/>
          </rPr>
          <t>Sam Bradshaw:</t>
        </r>
        <r>
          <rPr>
            <sz val="9"/>
            <color indexed="81"/>
            <rFont val="Tahoma"/>
            <family val="2"/>
          </rPr>
          <t xml:space="preserve">
TV and radio ad sales. TAB is currently the
exclusive bookmaker integrated into SKY</t>
        </r>
      </text>
    </comment>
    <comment ref="B153" authorId="0" shapeId="0" xr:uid="{FFCE8D1A-A5AB-4953-BB1A-57B4E67031F1}">
      <text>
        <r>
          <rPr>
            <b/>
            <sz val="9"/>
            <color indexed="81"/>
            <rFont val="Tahoma"/>
            <family val="2"/>
          </rPr>
          <t>Sam Bradshaw:</t>
        </r>
        <r>
          <rPr>
            <sz val="9"/>
            <color indexed="81"/>
            <rFont val="Tahoma"/>
            <family val="2"/>
          </rPr>
          <t xml:space="preserve">
Export revenue (% of turnover) to overseas
countries, including through SKY Racing World</t>
        </r>
      </text>
    </comment>
    <comment ref="B154" authorId="0" shapeId="0" xr:uid="{17630D84-6AA0-4C82-B325-7CAAEFFA08AB}">
      <text>
        <r>
          <rPr>
            <b/>
            <sz val="9"/>
            <color indexed="81"/>
            <rFont val="Tahoma"/>
            <family val="2"/>
          </rPr>
          <t>Sam Bradshaw:</t>
        </r>
        <r>
          <rPr>
            <sz val="9"/>
            <color indexed="81"/>
            <rFont val="Tahoma"/>
            <family val="2"/>
          </rPr>
          <t xml:space="preserve">
Revenue (% of turnover) generated from supplying
SKY vision to bookmakers, including TAB</t>
        </r>
      </text>
    </comment>
    <comment ref="B155" authorId="0" shapeId="0" xr:uid="{89739F36-31EC-4FE7-862D-B46196C6C6C2}">
      <text>
        <r>
          <rPr>
            <b/>
            <sz val="9"/>
            <color indexed="81"/>
            <rFont val="Tahoma"/>
            <family val="2"/>
          </rPr>
          <t>Sam Bradshaw:</t>
        </r>
        <r>
          <rPr>
            <sz val="9"/>
            <color indexed="81"/>
            <rFont val="Tahoma"/>
            <family val="2"/>
          </rPr>
          <t xml:space="preserve">
Purchase of SKY racing vision and other sports
vision across licenced venues and TAB Agencies</t>
        </r>
      </text>
    </comment>
    <comment ref="B156" authorId="0" shapeId="0" xr:uid="{DD1E06A3-3108-49C4-B776-9B561C5708EC}">
      <text>
        <r>
          <rPr>
            <b/>
            <sz val="9"/>
            <color indexed="81"/>
            <rFont val="Tahoma"/>
            <family val="2"/>
          </rPr>
          <t>Sam Bradshaw:</t>
        </r>
        <r>
          <rPr>
            <sz val="9"/>
            <color indexed="81"/>
            <rFont val="Tahoma"/>
            <family val="2"/>
          </rPr>
          <t xml:space="preserve">
TV and radio ad sales. TAB is currently the
exclusive bookmaker integrated into SKY</t>
        </r>
      </text>
    </comment>
    <comment ref="S195" authorId="1" shapeId="0" xr:uid="{3FAABE45-2E50-4DAC-9B8D-C3C2E9E276D7}">
      <text>
        <r>
          <rPr>
            <b/>
            <sz val="9"/>
            <color indexed="81"/>
            <rFont val="Tahoma"/>
            <family val="2"/>
          </rPr>
          <t>Paul Mason:</t>
        </r>
        <r>
          <rPr>
            <sz val="9"/>
            <color indexed="81"/>
            <rFont val="Tahoma"/>
            <family val="2"/>
          </rPr>
          <t xml:space="preserve">
adding in VIC retail opex</t>
        </r>
      </text>
    </comment>
    <comment ref="V201" authorId="0" shapeId="0" xr:uid="{873F9B4E-BD86-457A-95AC-0CE4FFAAEFE5}">
      <text>
        <r>
          <rPr>
            <b/>
            <sz val="9"/>
            <color indexed="81"/>
            <rFont val="Tahoma"/>
            <family val="2"/>
          </rPr>
          <t>Sam Bradshaw:</t>
        </r>
        <r>
          <rPr>
            <sz val="9"/>
            <color indexed="81"/>
            <rFont val="Tahoma"/>
            <family val="2"/>
          </rPr>
          <t xml:space="preserve">
WC</t>
        </r>
      </text>
    </comment>
    <comment ref="W201" authorId="0" shapeId="0" xr:uid="{82F74774-D218-4153-A574-A269B372BEB3}">
      <text>
        <r>
          <rPr>
            <b/>
            <sz val="9"/>
            <color indexed="81"/>
            <rFont val="Tahoma"/>
            <family val="2"/>
          </rPr>
          <t>Sam Bradshaw:</t>
        </r>
        <r>
          <rPr>
            <sz val="9"/>
            <color indexed="81"/>
            <rFont val="Tahoma"/>
            <family val="2"/>
          </rPr>
          <t xml:space="preserve">
WC</t>
        </r>
      </text>
    </comment>
    <comment ref="B224" authorId="0" shapeId="0" xr:uid="{F1379F26-80EB-4265-8A1F-55C2AF2E3DD6}">
      <text>
        <r>
          <rPr>
            <b/>
            <sz val="9"/>
            <color indexed="81"/>
            <rFont val="Tahoma"/>
            <family val="2"/>
          </rPr>
          <t>Sam Bradshaw:</t>
        </r>
        <r>
          <rPr>
            <sz val="9"/>
            <color indexed="81"/>
            <rFont val="Tahoma"/>
            <family val="2"/>
          </rPr>
          <t xml:space="preserve">
Formerly 
MAX REGULATORY SERVICES
</t>
        </r>
      </text>
    </comment>
    <comment ref="E227" authorId="0" shapeId="0" xr:uid="{49C10BF7-1077-4FC5-828B-DEA32CA530BD}">
      <text>
        <r>
          <rPr>
            <b/>
            <sz val="9"/>
            <color indexed="81"/>
            <rFont val="Tahoma"/>
            <family val="2"/>
          </rPr>
          <t>Sam Bradshaw:</t>
        </r>
        <r>
          <rPr>
            <sz val="9"/>
            <color indexed="81"/>
            <rFont val="Tahoma"/>
            <family val="2"/>
          </rPr>
          <t xml:space="preserve">
FY22 Investor Day</t>
        </r>
      </text>
    </comment>
    <comment ref="F229" authorId="0" shapeId="0" xr:uid="{704503A7-96A8-447C-A446-FB70D385FFEC}">
      <text>
        <r>
          <rPr>
            <b/>
            <sz val="9"/>
            <color indexed="81"/>
            <rFont val="Tahoma"/>
            <family val="2"/>
          </rPr>
          <t>Sam Bradshaw:</t>
        </r>
        <r>
          <rPr>
            <sz val="9"/>
            <color indexed="81"/>
            <rFont val="Tahoma"/>
            <family val="2"/>
          </rPr>
          <t xml:space="preserve">
Indefinite rolling renewal capability
2019 MQG Conference</t>
        </r>
      </text>
    </comment>
    <comment ref="E231" authorId="0" shapeId="0" xr:uid="{AF4D57FC-E896-4155-8322-EDCBB49DF9E6}">
      <text>
        <r>
          <rPr>
            <b/>
            <sz val="9"/>
            <color indexed="81"/>
            <rFont val="Tahoma"/>
            <family val="2"/>
          </rPr>
          <t>Sam Bradshaw:</t>
        </r>
        <r>
          <rPr>
            <sz val="9"/>
            <color indexed="81"/>
            <rFont val="Tahoma"/>
            <family val="2"/>
          </rPr>
          <t xml:space="preserve">
https://www.tabcorp.com.au/news/tabcorp-to-monitor-tasmanian-gaming-machines</t>
        </r>
      </text>
    </comment>
    <comment ref="M243" authorId="0" shapeId="0" xr:uid="{BFB517E8-3475-4611-9DAA-667CFA4254AB}">
      <text>
        <r>
          <rPr>
            <b/>
            <sz val="9"/>
            <color indexed="81"/>
            <rFont val="Tahoma"/>
            <family val="2"/>
          </rPr>
          <t>Sam Bradshaw:</t>
        </r>
        <r>
          <rPr>
            <sz val="9"/>
            <color indexed="81"/>
            <rFont val="Tahoma"/>
            <family val="2"/>
          </rPr>
          <t xml:space="preserve">
Restated</t>
        </r>
      </text>
    </comment>
    <comment ref="N243" authorId="0" shapeId="0" xr:uid="{DAAEF1BD-B5BF-4328-8E2A-0F53A9691774}">
      <text>
        <r>
          <rPr>
            <b/>
            <sz val="9"/>
            <color indexed="81"/>
            <rFont val="Tahoma"/>
            <family val="2"/>
          </rPr>
          <t>Sam Bradshaw:</t>
        </r>
        <r>
          <rPr>
            <sz val="9"/>
            <color indexed="81"/>
            <rFont val="Tahoma"/>
            <family val="2"/>
          </rPr>
          <t xml:space="preserve">
Restated</t>
        </r>
      </text>
    </comment>
    <comment ref="Q243" authorId="0" shapeId="0" xr:uid="{70E8DE22-61A4-4A7F-9896-D5512E42A3EE}">
      <text>
        <r>
          <rPr>
            <b/>
            <sz val="9"/>
            <color indexed="81"/>
            <rFont val="Tahoma"/>
            <family val="2"/>
          </rPr>
          <t>Sam Bradshaw:</t>
        </r>
        <r>
          <rPr>
            <sz val="9"/>
            <color indexed="81"/>
            <rFont val="Tahoma"/>
            <family val="2"/>
          </rPr>
          <t xml:space="preserve">
Includes MPS</t>
        </r>
      </text>
    </comment>
    <comment ref="B266" authorId="0" shapeId="0" xr:uid="{118DBCB0-05ED-45BD-8626-B89D0AF0C682}">
      <text>
        <r>
          <rPr>
            <b/>
            <sz val="9"/>
            <color indexed="81"/>
            <rFont val="Tahoma"/>
            <family val="2"/>
          </rPr>
          <t>Sam Bradshaw:</t>
        </r>
        <r>
          <rPr>
            <sz val="9"/>
            <color indexed="81"/>
            <rFont val="Tahoma"/>
            <family val="2"/>
          </rPr>
          <t xml:space="preserve">
All amounts are before significant items. Business results may not aggregate to Group total due to intercompany eliminations and unallocated items.</t>
        </r>
      </text>
    </comment>
    <comment ref="Q266" authorId="0" shapeId="0" xr:uid="{E7CB47F4-1E43-4900-AD38-1182C731437F}">
      <text>
        <r>
          <rPr>
            <b/>
            <sz val="9"/>
            <color indexed="81"/>
            <rFont val="Tahoma"/>
            <family val="2"/>
          </rPr>
          <t>Sam Bradshaw:</t>
        </r>
        <r>
          <rPr>
            <sz val="9"/>
            <color indexed="81"/>
            <rFont val="Tahoma"/>
            <family val="2"/>
          </rPr>
          <t xml:space="preserve">
Includes MPS</t>
        </r>
      </text>
    </comment>
    <comment ref="B315" authorId="0" shapeId="0" xr:uid="{F092EE1D-8A0C-4E79-9BF1-C74E4EA27320}">
      <text>
        <r>
          <rPr>
            <b/>
            <sz val="9"/>
            <color indexed="81"/>
            <rFont val="Tahoma"/>
            <family val="2"/>
          </rPr>
          <t>Sam Bradshaw:</t>
        </r>
        <r>
          <rPr>
            <sz val="9"/>
            <color indexed="81"/>
            <rFont val="Tahoma"/>
            <family val="2"/>
          </rPr>
          <t xml:space="preserve">
Dabble, 20% equity</t>
        </r>
      </text>
    </comment>
    <comment ref="P416" authorId="0" shapeId="0" xr:uid="{77E16DC2-DAD8-4542-AF96-E17725983C51}">
      <text>
        <r>
          <rPr>
            <b/>
            <sz val="9"/>
            <color indexed="81"/>
            <rFont val="Tahoma"/>
            <family val="2"/>
          </rPr>
          <t>Sam Bradshaw:</t>
        </r>
        <r>
          <rPr>
            <sz val="9"/>
            <color indexed="81"/>
            <rFont val="Tahoma"/>
            <family val="2"/>
          </rPr>
          <t xml:space="preserve">
Licence Ammortisation + Other Ammortisation (ex Goodwill &amp; SkyRacing) / 2 for HY's</t>
        </r>
      </text>
    </comment>
    <comment ref="R416" authorId="0" shapeId="0" xr:uid="{CB24E8B3-503B-4E69-B058-748FAFDFE261}">
      <text>
        <r>
          <rPr>
            <b/>
            <sz val="9"/>
            <color indexed="81"/>
            <rFont val="Tahoma"/>
            <family val="2"/>
          </rPr>
          <t>Sam Bradshaw:</t>
        </r>
        <r>
          <rPr>
            <sz val="9"/>
            <color indexed="81"/>
            <rFont val="Tahoma"/>
            <family val="2"/>
          </rPr>
          <t xml:space="preserve">
Licence Ammortisation + Other Ammortisation (ex Goodwill &amp; SkyRacing) / 2 for HY's</t>
        </r>
      </text>
    </comment>
    <comment ref="T416" authorId="0" shapeId="0" xr:uid="{296FEC1A-72C4-4C70-B79D-9B25B3B51418}">
      <text>
        <r>
          <rPr>
            <b/>
            <sz val="9"/>
            <color indexed="81"/>
            <rFont val="Tahoma"/>
            <family val="2"/>
          </rPr>
          <t>Sam Bradshaw:</t>
        </r>
        <r>
          <rPr>
            <sz val="9"/>
            <color indexed="81"/>
            <rFont val="Tahoma"/>
            <family val="2"/>
          </rPr>
          <t xml:space="preserve">
Licence Ammortisation + Other Ammortisation (ex Goodwill &amp; SkyRacing) / 2 for HY's</t>
        </r>
      </text>
    </comment>
    <comment ref="V416" authorId="0" shapeId="0" xr:uid="{4FB34020-B517-4BEB-BBE7-AFB13991173B}">
      <text>
        <r>
          <rPr>
            <b/>
            <sz val="9"/>
            <color indexed="81"/>
            <rFont val="Tahoma"/>
            <family val="2"/>
          </rPr>
          <t>Sam Bradshaw:</t>
        </r>
        <r>
          <rPr>
            <sz val="9"/>
            <color indexed="81"/>
            <rFont val="Tahoma"/>
            <family val="2"/>
          </rPr>
          <t xml:space="preserve">
Licence Ammortisation + Other Ammortisation (ex Goodwill &amp; SkyRacing) / 2 for HY's</t>
        </r>
      </text>
    </comment>
    <comment ref="B417" authorId="0" shapeId="0" xr:uid="{CA513B25-6820-4F86-B41D-E0AC6F5695AE}">
      <text>
        <r>
          <rPr>
            <b/>
            <sz val="9"/>
            <color indexed="81"/>
            <rFont val="Tahoma"/>
            <family val="2"/>
          </rPr>
          <t>Sam Bradshaw:</t>
        </r>
        <r>
          <rPr>
            <sz val="9"/>
            <color indexed="81"/>
            <rFont val="Tahoma"/>
            <family val="2"/>
          </rPr>
          <t xml:space="preserve">
Balancing Item</t>
        </r>
      </text>
    </comment>
    <comment ref="P417" authorId="0" shapeId="0" xr:uid="{7B41FCE2-32F0-4C34-A083-9C4CCB595195}">
      <text>
        <r>
          <rPr>
            <b/>
            <sz val="9"/>
            <color indexed="81"/>
            <rFont val="Tahoma"/>
            <family val="2"/>
          </rPr>
          <t>Sam Bradshaw:</t>
        </r>
        <r>
          <rPr>
            <sz val="9"/>
            <color indexed="81"/>
            <rFont val="Tahoma"/>
            <family val="2"/>
          </rPr>
          <t xml:space="preserve">
Licence Capex + Other Capex (ex Goodwill &amp; SkyRacing) / 2 for HY's</t>
        </r>
      </text>
    </comment>
    <comment ref="Q417" authorId="0" shapeId="0" xr:uid="{970282EC-254C-414C-8DF9-5C033572F287}">
      <text>
        <r>
          <rPr>
            <b/>
            <sz val="9"/>
            <color indexed="81"/>
            <rFont val="Tahoma"/>
            <family val="2"/>
          </rPr>
          <t>Sam Bradshaw:</t>
        </r>
        <r>
          <rPr>
            <sz val="9"/>
            <color indexed="81"/>
            <rFont val="Tahoma"/>
            <family val="2"/>
          </rPr>
          <t xml:space="preserve">
Licence Capex + Other Capex (ex Goodwill &amp; SkyRacing) / 2 for HY's</t>
        </r>
      </text>
    </comment>
    <comment ref="R417" authorId="0" shapeId="0" xr:uid="{11E5286D-9615-4BAE-979F-20BC4CFDF830}">
      <text>
        <r>
          <rPr>
            <b/>
            <sz val="9"/>
            <color indexed="81"/>
            <rFont val="Tahoma"/>
            <family val="2"/>
          </rPr>
          <t>Sam Bradshaw:</t>
        </r>
        <r>
          <rPr>
            <sz val="9"/>
            <color indexed="81"/>
            <rFont val="Tahoma"/>
            <family val="2"/>
          </rPr>
          <t xml:space="preserve">
Licence Capex + Other Capex (ex Goodwill &amp; SkyRacing) / 2 for HY's</t>
        </r>
      </text>
    </comment>
    <comment ref="B421" authorId="0" shapeId="0" xr:uid="{F380F3E8-58CA-49A8-B4EA-61EE8CFA2921}">
      <text>
        <r>
          <rPr>
            <b/>
            <sz val="9"/>
            <color indexed="81"/>
            <rFont val="Tahoma"/>
            <family val="2"/>
          </rPr>
          <t>Sam Bradshaw:</t>
        </r>
        <r>
          <rPr>
            <sz val="9"/>
            <color indexed="81"/>
            <rFont val="Tahoma"/>
            <family val="2"/>
          </rPr>
          <t xml:space="preserve">
Licences + Other Intangibles - Goodwill</t>
        </r>
      </text>
    </comment>
    <comment ref="B425" authorId="0" shapeId="0" xr:uid="{2D527F7C-9AAB-43C4-BCB3-F1710E7FB188}">
      <text>
        <r>
          <rPr>
            <b/>
            <sz val="9"/>
            <color indexed="81"/>
            <rFont val="Tahoma"/>
            <family val="2"/>
          </rPr>
          <t>Sam Bradshaw:</t>
        </r>
        <r>
          <rPr>
            <sz val="9"/>
            <color indexed="81"/>
            <rFont val="Tahoma"/>
            <family val="2"/>
          </rPr>
          <t xml:space="preserve">
Inlcudes ROA Assets</t>
        </r>
      </text>
    </comment>
    <comment ref="AM428" authorId="0" shapeId="0" xr:uid="{63FF7359-01C5-49C6-9AE5-98C02C43B570}">
      <text>
        <r>
          <rPr>
            <b/>
            <sz val="9"/>
            <color indexed="81"/>
            <rFont val="Tahoma"/>
            <family val="2"/>
          </rPr>
          <t>Sam Bradshaw:</t>
        </r>
        <r>
          <rPr>
            <sz val="9"/>
            <color indexed="81"/>
            <rFont val="Tahoma"/>
            <family val="2"/>
          </rPr>
          <t xml:space="preserve">
Long Run Level Out</t>
        </r>
      </text>
    </comment>
    <comment ref="Q472" authorId="0" shapeId="0" xr:uid="{C6942274-E1A6-4A3C-8EBC-AD9B6C301FDC}">
      <text>
        <r>
          <rPr>
            <b/>
            <sz val="9"/>
            <color indexed="81"/>
            <rFont val="Tahoma"/>
            <family val="2"/>
          </rPr>
          <t>Sam Bradshaw:</t>
        </r>
        <r>
          <rPr>
            <sz val="9"/>
            <color indexed="81"/>
            <rFont val="Tahoma"/>
            <family val="2"/>
          </rPr>
          <t xml:space="preserve">
ATO Dispute settlement</t>
        </r>
      </text>
    </comment>
    <comment ref="B473" authorId="0" shapeId="0" xr:uid="{F3FADECB-6231-4AED-9D30-E24F370F9668}">
      <text>
        <r>
          <rPr>
            <b/>
            <sz val="9"/>
            <color indexed="81"/>
            <rFont val="Tahoma"/>
            <family val="2"/>
          </rPr>
          <t>Sam Bradshaw:</t>
        </r>
        <r>
          <rPr>
            <sz val="9"/>
            <color indexed="81"/>
            <rFont val="Tahoma"/>
            <family val="2"/>
          </rPr>
          <t xml:space="preserve">
Pres</t>
        </r>
      </text>
    </comment>
    <comment ref="B579" authorId="0" shapeId="0" xr:uid="{9860CA49-975F-4D3E-99F7-0BFAA0887CBF}">
      <text>
        <r>
          <rPr>
            <b/>
            <sz val="9"/>
            <color indexed="81"/>
            <rFont val="Tahoma"/>
            <family val="2"/>
          </rPr>
          <t>Sam Bradshaw:</t>
        </r>
        <r>
          <rPr>
            <sz val="9"/>
            <color indexed="81"/>
            <rFont val="Tahoma"/>
            <family val="2"/>
          </rPr>
          <t xml:space="preserve">
Target 1.0-1.5x
Net debt (including lease liabilities but excluding restricted cash) / LTM EBITDA</t>
        </r>
      </text>
    </comment>
    <comment ref="M584" authorId="0" shapeId="0" xr:uid="{E67B75A9-4986-4D9D-8F17-DC345255C887}">
      <text>
        <r>
          <rPr>
            <b/>
            <sz val="9"/>
            <color indexed="81"/>
            <rFont val="Tahoma"/>
            <family val="2"/>
          </rPr>
          <t>Sam Bradshaw:</t>
        </r>
        <r>
          <rPr>
            <sz val="9"/>
            <color indexed="81"/>
            <rFont val="Tahoma"/>
            <family val="2"/>
          </rPr>
          <t xml:space="preserve">
From Pres</t>
        </r>
      </text>
    </comment>
    <comment ref="N584" authorId="0" shapeId="0" xr:uid="{9D963145-6BFA-490D-9D18-91BE1EDDBF80}">
      <text>
        <r>
          <rPr>
            <b/>
            <sz val="9"/>
            <color indexed="81"/>
            <rFont val="Tahoma"/>
            <family val="2"/>
          </rPr>
          <t>Sam Bradshaw:</t>
        </r>
        <r>
          <rPr>
            <sz val="9"/>
            <color indexed="81"/>
            <rFont val="Tahoma"/>
            <family val="2"/>
          </rPr>
          <t xml:space="preserve">
From Pres</t>
        </r>
      </text>
    </comment>
    <comment ref="W609" authorId="0" shapeId="0" xr:uid="{0C4B1900-2573-4829-9AD9-37F65706BEAB}">
      <text>
        <r>
          <rPr>
            <b/>
            <sz val="9"/>
            <color indexed="81"/>
            <rFont val="Tahoma"/>
            <family val="2"/>
          </rPr>
          <t>Sam Bradshaw:</t>
        </r>
        <r>
          <rPr>
            <sz val="9"/>
            <color indexed="81"/>
            <rFont val="Tahoma"/>
            <family val="2"/>
          </rPr>
          <t xml:space="preserve">
includes Betmakers Intergration</t>
        </r>
      </text>
    </comment>
    <comment ref="B621" authorId="0" shapeId="0" xr:uid="{DF57CA45-EDE7-4EFE-8D97-4376D0B3E1FD}">
      <text>
        <r>
          <rPr>
            <b/>
            <sz val="9"/>
            <color indexed="81"/>
            <rFont val="Tahoma"/>
            <family val="2"/>
          </rPr>
          <t>Sam Bradshaw:</t>
        </r>
        <r>
          <rPr>
            <sz val="9"/>
            <color indexed="81"/>
            <rFont val="Tahoma"/>
            <family val="2"/>
          </rPr>
          <t xml:space="preserve">
 Adjusted EPS is calculated as NPAT before significant items, Victorian Licence amortisation (1H26: $22.4m) and equity accounted investment result</t>
        </r>
      </text>
    </comment>
    <comment ref="P638" authorId="0" shapeId="0" xr:uid="{5C598E08-841E-4B03-BC27-096326F64946}">
      <text>
        <r>
          <rPr>
            <b/>
            <sz val="9"/>
            <color indexed="81"/>
            <rFont val="Tahoma"/>
            <family val="2"/>
          </rPr>
          <t>Sam Bradshaw:</t>
        </r>
        <r>
          <rPr>
            <sz val="9"/>
            <color indexed="81"/>
            <rFont val="Tahoma"/>
            <family val="2"/>
          </rPr>
          <t xml:space="preserve">
EBET</t>
        </r>
      </text>
    </comment>
    <comment ref="B640" authorId="0" shapeId="0" xr:uid="{28A8C6CC-D351-4DDE-8491-69FED6C5EDAD}">
      <text>
        <r>
          <rPr>
            <b/>
            <sz val="9"/>
            <color indexed="81"/>
            <rFont val="Tahoma"/>
            <family val="2"/>
          </rPr>
          <t>Sam Bradshaw:</t>
        </r>
        <r>
          <rPr>
            <sz val="9"/>
            <color indexed="81"/>
            <rFont val="Tahoma"/>
            <family val="2"/>
          </rPr>
          <t xml:space="preserve">
Sale of Other NCA's +
Payment for Financial Assets + Demerger Transactions</t>
        </r>
      </text>
    </comment>
    <comment ref="N651" authorId="0" shapeId="0" xr:uid="{FD7F1FFA-C07B-4847-93DC-BAB12202477D}">
      <text>
        <r>
          <rPr>
            <b/>
            <sz val="9"/>
            <color indexed="81"/>
            <rFont val="Tahoma"/>
            <family val="2"/>
          </rPr>
          <t>Sam Bradshaw:</t>
        </r>
        <r>
          <rPr>
            <sz val="9"/>
            <color indexed="81"/>
            <rFont val="Tahoma"/>
            <family val="2"/>
          </rPr>
          <t xml:space="preserve">
Payment of transaction costs for capital reduction + Payment of demerger transaction costs</t>
        </r>
      </text>
    </comment>
    <comment ref="P651" authorId="0" shapeId="0" xr:uid="{CF6BEDE4-005C-4A8C-82B0-DE208D29BB54}">
      <text>
        <r>
          <rPr>
            <b/>
            <sz val="9"/>
            <color indexed="81"/>
            <rFont val="Tahoma"/>
            <family val="2"/>
          </rPr>
          <t>Sam Bradshaw:</t>
        </r>
        <r>
          <rPr>
            <sz val="9"/>
            <color indexed="81"/>
            <rFont val="Tahoma"/>
            <family val="2"/>
          </rPr>
          <t xml:space="preserve">
Payment of demerger transaction costs</t>
        </r>
      </text>
    </comment>
    <comment ref="R651" authorId="0" shapeId="0" xr:uid="{D8382597-85B2-4582-9C33-85F9D0410039}">
      <text>
        <r>
          <rPr>
            <b/>
            <sz val="9"/>
            <color indexed="81"/>
            <rFont val="Tahoma"/>
            <family val="2"/>
          </rPr>
          <t>Sam Bradshaw:</t>
        </r>
        <r>
          <rPr>
            <sz val="9"/>
            <color indexed="81"/>
            <rFont val="Tahoma"/>
            <family val="2"/>
          </rPr>
          <t xml:space="preserve">
Payment of demerger transaction costs</t>
        </r>
      </text>
    </comment>
    <comment ref="T651" authorId="0" shapeId="0" xr:uid="{B07DA118-30AF-454C-8F33-2736C9BCD5AA}">
      <text>
        <r>
          <rPr>
            <b/>
            <sz val="9"/>
            <color indexed="81"/>
            <rFont val="Tahoma"/>
            <family val="2"/>
          </rPr>
          <t>Sam Bradshaw:</t>
        </r>
        <r>
          <rPr>
            <sz val="9"/>
            <color indexed="81"/>
            <rFont val="Tahoma"/>
            <family val="2"/>
          </rPr>
          <t xml:space="preserve">
Payment of demerger transaction costs</t>
        </r>
      </text>
    </comment>
    <comment ref="V651" authorId="0" shapeId="0" xr:uid="{E902659A-1358-45EE-A0F2-1E01088F74BA}">
      <text>
        <r>
          <rPr>
            <b/>
            <sz val="9"/>
            <color indexed="81"/>
            <rFont val="Tahoma"/>
            <family val="2"/>
          </rPr>
          <t>Sam Bradshaw:</t>
        </r>
        <r>
          <rPr>
            <sz val="9"/>
            <color indexed="81"/>
            <rFont val="Tahoma"/>
            <family val="2"/>
          </rPr>
          <t xml:space="preserve">
Payment of demerger transaction costs</t>
        </r>
      </text>
    </comment>
    <comment ref="B668" authorId="0" shapeId="0" xr:uid="{B70C8E52-F0EE-4878-ABDE-6E591AA1FC97}">
      <text>
        <r>
          <rPr>
            <b/>
            <sz val="9"/>
            <color indexed="81"/>
            <rFont val="Tahoma"/>
            <family val="2"/>
          </rPr>
          <t>Sam Bradshaw:</t>
        </r>
        <r>
          <rPr>
            <sz val="9"/>
            <color indexed="81"/>
            <rFont val="Tahoma"/>
            <family val="2"/>
          </rPr>
          <t xml:space="preserve">
Other + Derivative Financial Instruments
</t>
        </r>
      </text>
    </comment>
    <comment ref="B675" authorId="0" shapeId="0" xr:uid="{3E5DFFE4-FEDD-4D99-8B8B-5B29AA168F63}">
      <text>
        <r>
          <rPr>
            <b/>
            <sz val="9"/>
            <color indexed="81"/>
            <rFont val="Tahoma"/>
            <family val="2"/>
          </rPr>
          <t>Sam Bradshaw:</t>
        </r>
        <r>
          <rPr>
            <sz val="9"/>
            <color indexed="81"/>
            <rFont val="Tahoma"/>
            <family val="2"/>
          </rPr>
          <t xml:space="preserve">
 Includes ROA Assets
</t>
        </r>
      </text>
    </comment>
    <comment ref="O677" authorId="0" shapeId="0" xr:uid="{6194576E-F2B7-490E-A43E-F345B7044CFE}">
      <text>
        <r>
          <rPr>
            <b/>
            <sz val="9"/>
            <color indexed="81"/>
            <rFont val="Tahoma"/>
            <family val="2"/>
          </rPr>
          <t>Sam Bradshaw:</t>
        </r>
        <r>
          <rPr>
            <sz val="9"/>
            <color indexed="81"/>
            <rFont val="Tahoma"/>
            <family val="2"/>
          </rPr>
          <t xml:space="preserve">
Dabble</t>
        </r>
      </text>
    </comment>
    <comment ref="B689" authorId="0" shapeId="0" xr:uid="{2E725DE4-BD01-4152-9D78-635A21749691}">
      <text>
        <r>
          <rPr>
            <b/>
            <sz val="9"/>
            <color indexed="81"/>
            <rFont val="Tahoma"/>
            <family val="2"/>
          </rPr>
          <t>Sam Bradshaw:</t>
        </r>
        <r>
          <rPr>
            <sz val="9"/>
            <color indexed="81"/>
            <rFont val="Tahoma"/>
            <family val="2"/>
          </rPr>
          <t xml:space="preserve">
Other + Derivative Financial Instruments
</t>
        </r>
      </text>
    </comment>
    <comment ref="B693" authorId="0" shapeId="0" xr:uid="{142BA108-33F4-4E2B-A8A1-8049554F0B31}">
      <text>
        <r>
          <rPr>
            <b/>
            <sz val="9"/>
            <color indexed="81"/>
            <rFont val="Tahoma"/>
            <family val="2"/>
          </rPr>
          <t>Sam Bradshaw:</t>
        </r>
        <r>
          <rPr>
            <sz val="9"/>
            <color indexed="81"/>
            <rFont val="Tahoma"/>
            <family val="2"/>
          </rPr>
          <t xml:space="preserve">
Current &amp; Non Current</t>
        </r>
      </text>
    </comment>
    <comment ref="B694" authorId="0" shapeId="0" xr:uid="{CD320FB0-EDC1-49D3-96B0-72C3D4D6FBD0}">
      <text>
        <r>
          <rPr>
            <b/>
            <sz val="9"/>
            <color indexed="81"/>
            <rFont val="Tahoma"/>
            <family val="2"/>
          </rPr>
          <t>Sam Bradshaw:</t>
        </r>
        <r>
          <rPr>
            <sz val="9"/>
            <color indexed="81"/>
            <rFont val="Tahoma"/>
            <family val="2"/>
          </rPr>
          <t xml:space="preserve">
Current &amp; Non Current</t>
        </r>
      </text>
    </comment>
    <comment ref="B705" authorId="0" shapeId="0" xr:uid="{FF2F2B7A-28F6-44B4-8E4C-E78811218725}">
      <text>
        <r>
          <rPr>
            <b/>
            <sz val="9"/>
            <color indexed="81"/>
            <rFont val="Tahoma"/>
            <family val="2"/>
          </rPr>
          <t>Sam Bradshaw:</t>
        </r>
        <r>
          <rPr>
            <sz val="9"/>
            <color indexed="81"/>
            <rFont val="Tahoma"/>
            <family val="2"/>
          </rPr>
          <t xml:space="preserve">
DRP coming out of RE and not SC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<sst xmlns="http://schemas.openxmlformats.org/spreadsheetml/2006/main" count="5312" uniqueCount="1692">
  <si>
    <t>Date</t>
  </si>
  <si>
    <t>Revenue</t>
  </si>
  <si>
    <t>EBITDA</t>
  </si>
  <si>
    <t>Other</t>
  </si>
  <si>
    <t>Opex</t>
  </si>
  <si>
    <t>Other Income</t>
  </si>
  <si>
    <t>COGS</t>
  </si>
  <si>
    <t>Gross Profit</t>
  </si>
  <si>
    <t>Depreciation</t>
  </si>
  <si>
    <t>Amortisation</t>
  </si>
  <si>
    <t>EBIT</t>
  </si>
  <si>
    <t>Interest Expense</t>
  </si>
  <si>
    <t>Interest Income</t>
  </si>
  <si>
    <t>NPBT</t>
  </si>
  <si>
    <t>Tax</t>
  </si>
  <si>
    <t>NPAT</t>
  </si>
  <si>
    <t>P&amp;L</t>
  </si>
  <si>
    <t>Tax Paid</t>
  </si>
  <si>
    <t>Interest paid</t>
  </si>
  <si>
    <t>Interest received</t>
  </si>
  <si>
    <t>Operating Cash flow</t>
  </si>
  <si>
    <t>Capex</t>
  </si>
  <si>
    <t>Intangibles Capex</t>
  </si>
  <si>
    <t>Investing Cash Flow</t>
  </si>
  <si>
    <t>Dividends Paid</t>
  </si>
  <si>
    <t>Debt Drawn/(Repaid)</t>
  </si>
  <si>
    <t>Financing Cash Flow</t>
  </si>
  <si>
    <t>Net Cash Flow</t>
  </si>
  <si>
    <t>Opening Cash</t>
  </si>
  <si>
    <t>FX</t>
  </si>
  <si>
    <t>Closing Cash</t>
  </si>
  <si>
    <t>Cash</t>
  </si>
  <si>
    <t>Receivables</t>
  </si>
  <si>
    <t>Current Assets</t>
  </si>
  <si>
    <t>PP&amp;E</t>
  </si>
  <si>
    <t>Intangibles</t>
  </si>
  <si>
    <t>Non-Current Assets</t>
  </si>
  <si>
    <t>TOTAL ASSETS</t>
  </si>
  <si>
    <t>Overdraft</t>
  </si>
  <si>
    <t>Payables</t>
  </si>
  <si>
    <t>Short Term Debt</t>
  </si>
  <si>
    <t>Current Liabilities</t>
  </si>
  <si>
    <t>Long Term Debt</t>
  </si>
  <si>
    <t>Non-Current Liabilities</t>
  </si>
  <si>
    <t>TOTAL LIABILITIES</t>
  </si>
  <si>
    <t>Reserves</t>
  </si>
  <si>
    <t>Retained Earnings</t>
  </si>
  <si>
    <t>TOTAL EQUITY</t>
  </si>
  <si>
    <t>D&amp;A</t>
  </si>
  <si>
    <t>Equity Accounted Profits</t>
  </si>
  <si>
    <t>Minority Interests</t>
  </si>
  <si>
    <t>Minority Dividends Paid</t>
  </si>
  <si>
    <t>Goodwill</t>
  </si>
  <si>
    <t>Closing Balance</t>
  </si>
  <si>
    <t>Interest Rate</t>
  </si>
  <si>
    <t>Tax Expense</t>
  </si>
  <si>
    <t>Tax Assets</t>
  </si>
  <si>
    <t>FFO</t>
  </si>
  <si>
    <t>Working Capital Moves</t>
  </si>
  <si>
    <t>Minority Interest</t>
  </si>
  <si>
    <t>Shareholder Profit</t>
  </si>
  <si>
    <t>DCF</t>
  </si>
  <si>
    <t>Discount Rate</t>
  </si>
  <si>
    <t>Valuation Date</t>
  </si>
  <si>
    <t>Discount Factors</t>
  </si>
  <si>
    <t>Free Cash Flow ($/sh)</t>
  </si>
  <si>
    <t>Discounted Free Cash Flow ($/sh)</t>
  </si>
  <si>
    <t>Terminal Value ($/sh)</t>
  </si>
  <si>
    <t>Valuation ($/sh)</t>
  </si>
  <si>
    <t>Sales Revenue</t>
  </si>
  <si>
    <t>Total revenue</t>
  </si>
  <si>
    <t>OPEX</t>
  </si>
  <si>
    <t>EBITDA Margin (%)</t>
  </si>
  <si>
    <t>EBIT Margin (%)</t>
  </si>
  <si>
    <t>Share of associates</t>
  </si>
  <si>
    <t>Effective Tax Rate (%)</t>
  </si>
  <si>
    <t>CASH FLOW STATEMENT</t>
  </si>
  <si>
    <t>Tax paid</t>
  </si>
  <si>
    <t>Change in working capital</t>
  </si>
  <si>
    <t>Operating cash flow</t>
  </si>
  <si>
    <t>CAPEX</t>
  </si>
  <si>
    <t>Investing cash flow</t>
  </si>
  <si>
    <t>Financing cash flow</t>
  </si>
  <si>
    <t>Change in cash and cash equivalents</t>
  </si>
  <si>
    <t>FX adjustments</t>
  </si>
  <si>
    <t>Net cash flow</t>
  </si>
  <si>
    <t xml:space="preserve">Opening cash </t>
  </si>
  <si>
    <t>Closing cash</t>
  </si>
  <si>
    <t>BALANCE SHEET</t>
  </si>
  <si>
    <t>PPE</t>
  </si>
  <si>
    <t>DPS (cps)</t>
  </si>
  <si>
    <t>FCF ($m)</t>
  </si>
  <si>
    <t>FCF (cps)</t>
  </si>
  <si>
    <t>Year</t>
  </si>
  <si>
    <t>Valuation</t>
  </si>
  <si>
    <t>Other Revenue</t>
  </si>
  <si>
    <t>Old</t>
  </si>
  <si>
    <t>New</t>
  </si>
  <si>
    <t>% change</t>
  </si>
  <si>
    <t>Industrial ResearchWise Sheet</t>
  </si>
  <si>
    <t>Company static items</t>
  </si>
  <si>
    <t>BlueMatrix formulas</t>
  </si>
  <si>
    <t>@BEGINSTATIC</t>
  </si>
  <si>
    <t>@ENDSTATIC</t>
  </si>
  <si>
    <t>@INSTTYPE</t>
  </si>
  <si>
    <t>Instrument type</t>
  </si>
  <si>
    <t>EQ</t>
  </si>
  <si>
    <t>@CTYPE</t>
  </si>
  <si>
    <t>Instrument code type</t>
  </si>
  <si>
    <t>@BB</t>
  </si>
  <si>
    <t>@VERSION</t>
  </si>
  <si>
    <t>Version information (Do not change)</t>
  </si>
  <si>
    <t>@CODE</t>
  </si>
  <si>
    <t>Ticker</t>
  </si>
  <si>
    <t>@MULT</t>
  </si>
  <si>
    <t>Multiplier</t>
  </si>
  <si>
    <t>@RCURR</t>
  </si>
  <si>
    <t>Reporting Currency</t>
  </si>
  <si>
    <t>@ANALYST</t>
  </si>
  <si>
    <t>Lead analyst</t>
  </si>
  <si>
    <t>@TARGET</t>
  </si>
  <si>
    <t>PRICE_TARGET</t>
  </si>
  <si>
    <t>@REC</t>
  </si>
  <si>
    <t>REC</t>
  </si>
  <si>
    <t>Recommendation</t>
  </si>
  <si>
    <t>@SHARE_OUT</t>
  </si>
  <si>
    <t>SHARE_OUT</t>
  </si>
  <si>
    <t>Shares outstanding</t>
  </si>
  <si>
    <t>@FLOATPER</t>
  </si>
  <si>
    <t>free_float</t>
  </si>
  <si>
    <t>Free Float %</t>
  </si>
  <si>
    <t>PRICE</t>
  </si>
  <si>
    <t>Current Share Price</t>
  </si>
  <si>
    <t>Historic Share Price (Closing)</t>
  </si>
  <si>
    <t>TSR</t>
  </si>
  <si>
    <t>upside_valuation</t>
  </si>
  <si>
    <t>Upside to valuation</t>
  </si>
  <si>
    <t>div_yield</t>
  </si>
  <si>
    <t>Dividend yield</t>
  </si>
  <si>
    <t>exp_total_return</t>
  </si>
  <si>
    <t>Expected total SH return</t>
  </si>
  <si>
    <t>Trading Data test</t>
  </si>
  <si>
    <t>12_month_high</t>
  </si>
  <si>
    <t>12 month high</t>
  </si>
  <si>
    <t>12_month_low</t>
  </si>
  <si>
    <t>12 month low</t>
  </si>
  <si>
    <t>MARKET_CAP</t>
  </si>
  <si>
    <t>Market cap</t>
  </si>
  <si>
    <t>Free Float</t>
  </si>
  <si>
    <t>12_month_return</t>
  </si>
  <si>
    <t>12 month return (historical)</t>
  </si>
  <si>
    <t>@pricing_date</t>
  </si>
  <si>
    <t>Blended Valuation</t>
  </si>
  <si>
    <t>@DCF_VAL</t>
  </si>
  <si>
    <t>DCF_VAL</t>
  </si>
  <si>
    <t>Valuation - DCF</t>
  </si>
  <si>
    <t>@CAPPER_VAL</t>
  </si>
  <si>
    <t>CAPPER_VAL</t>
  </si>
  <si>
    <t>Valuation - Capitalisation of Earnings</t>
  </si>
  <si>
    <t>@PER_VAL</t>
  </si>
  <si>
    <t>PER_VAL</t>
  </si>
  <si>
    <t>Valuation - PER</t>
  </si>
  <si>
    <t>@SOTP_VAL</t>
  </si>
  <si>
    <t>SOTP_VAL</t>
  </si>
  <si>
    <t>Valuation - SOTP</t>
  </si>
  <si>
    <t>@BLEND_VAL</t>
  </si>
  <si>
    <t>Valuation - Blended</t>
  </si>
  <si>
    <t>@DCF_WT</t>
  </si>
  <si>
    <t>DCF_WT</t>
  </si>
  <si>
    <t>DCF Weightage</t>
  </si>
  <si>
    <t>@CAPPER_WT</t>
  </si>
  <si>
    <t>CAPPER_WT</t>
  </si>
  <si>
    <t>Capitalisation of Earnings Weightage</t>
  </si>
  <si>
    <t>@PER_WT</t>
  </si>
  <si>
    <t>PER_WT</t>
  </si>
  <si>
    <t>PER Weightage</t>
  </si>
  <si>
    <t>@SOTP_WT</t>
  </si>
  <si>
    <t>SOTP_WT</t>
  </si>
  <si>
    <t>SOTP Weightage</t>
  </si>
  <si>
    <t>Divisional Summary</t>
  </si>
  <si>
    <t>@SEG1_NAME</t>
  </si>
  <si>
    <t>Name of Segment 1</t>
  </si>
  <si>
    <t>@SEG2_NAME</t>
  </si>
  <si>
    <t>Name of Segment 2</t>
  </si>
  <si>
    <t>@SEG3_NAME</t>
  </si>
  <si>
    <t>Name of Segment 3</t>
  </si>
  <si>
    <t>@SEG4_NAME</t>
  </si>
  <si>
    <t>Name of Segment 4</t>
  </si>
  <si>
    <t>@SEG5_NAME</t>
  </si>
  <si>
    <t>Name of Segment 5</t>
  </si>
  <si>
    <t>@SEG6_NAME</t>
  </si>
  <si>
    <t>Name of Segment 6</t>
  </si>
  <si>
    <t>@SEG7_NAME</t>
  </si>
  <si>
    <t>Name of Segment 7</t>
  </si>
  <si>
    <t>@SEG8_NAME</t>
  </si>
  <si>
    <t>Name of Segment 8</t>
  </si>
  <si>
    <t>@SEG9_NAME</t>
  </si>
  <si>
    <t>Name of Segment 9</t>
  </si>
  <si>
    <t>@SEG10_NAME</t>
  </si>
  <si>
    <t>Name of Segment 10</t>
  </si>
  <si>
    <t>@SEG_PROFIT1</t>
  </si>
  <si>
    <t>Type of Segmental Results</t>
  </si>
  <si>
    <t>@SEG_PROFIT2</t>
  </si>
  <si>
    <t>Core Drivers, Investment Thesis, Near Term Catalysts</t>
  </si>
  <si>
    <t>@COREDRIVER1</t>
  </si>
  <si>
    <t>Core Driver 1</t>
  </si>
  <si>
    <t>@THESIS1</t>
  </si>
  <si>
    <t>Investment Thesis 1</t>
  </si>
  <si>
    <t>@CATALYST1</t>
  </si>
  <si>
    <t>Near Term Catalyst 1</t>
  </si>
  <si>
    <t>@NOTES</t>
  </si>
  <si>
    <t>Notes</t>
  </si>
  <si>
    <t>Key Macro Assumptions</t>
  </si>
  <si>
    <t>@KEYMAC1</t>
  </si>
  <si>
    <t>Name of Key Macro Assumption 1</t>
  </si>
  <si>
    <t>@KEYMAC2</t>
  </si>
  <si>
    <t>Name of Key Macro Assumption 2</t>
  </si>
  <si>
    <t>@KEYMAC3</t>
  </si>
  <si>
    <t>Name of Key Macro Assumption 3</t>
  </si>
  <si>
    <t>@KEYMAC4</t>
  </si>
  <si>
    <t>Name of Key Macro Assumption 4</t>
  </si>
  <si>
    <t>@KEYMAC5</t>
  </si>
  <si>
    <t>Name of Key Macro Assumption 5</t>
  </si>
  <si>
    <t>@KEYMAC6</t>
  </si>
  <si>
    <t>Name of Key Macro Assumption 6</t>
  </si>
  <si>
    <t>@KEYMAC7</t>
  </si>
  <si>
    <t>Name of Key Macro Assumption 7</t>
  </si>
  <si>
    <t>@KEYMAC8</t>
  </si>
  <si>
    <t>Name of Key Macro Assumption 8</t>
  </si>
  <si>
    <t>@KEYMAC9</t>
  </si>
  <si>
    <t>Name of Key Macro Assumption 9</t>
  </si>
  <si>
    <t>@KEYMAC10</t>
  </si>
  <si>
    <t>Name of Key Macro Assumption 10</t>
  </si>
  <si>
    <t>Type of Key Macro Assumption</t>
  </si>
  <si>
    <t>@KEYMACTYPE1</t>
  </si>
  <si>
    <t>Type of Key Macro Assumption 1</t>
  </si>
  <si>
    <t>@KEYMACTYPE2</t>
  </si>
  <si>
    <t>Type of Key Macro Assumption 2</t>
  </si>
  <si>
    <t>@KEYMACTYPE3</t>
  </si>
  <si>
    <t>Type of Key Macro Assumption 3</t>
  </si>
  <si>
    <t>@KEYMACTYPE4</t>
  </si>
  <si>
    <t>Type of Key Macro Assumption 4</t>
  </si>
  <si>
    <t>@KEYMACTYPE5</t>
  </si>
  <si>
    <t>Type of Key Macro Assumption 5</t>
  </si>
  <si>
    <t>@KEYMACTYPE6</t>
  </si>
  <si>
    <t>Type of Key Macro Assumption 6</t>
  </si>
  <si>
    <t>@KEYMACTYPE7</t>
  </si>
  <si>
    <t>Type of Key Macro Assumption 7</t>
  </si>
  <si>
    <t>@KEYMACTYPE8</t>
  </si>
  <si>
    <t>Type of Key Macro Assumption 8</t>
  </si>
  <si>
    <t>@KEYMACTYPE9</t>
  </si>
  <si>
    <t>Type of Key Macro Assumption 9</t>
  </si>
  <si>
    <t>@KEYMACTYPE10</t>
  </si>
  <si>
    <t>Type of Key Macro Assumption 10</t>
  </si>
  <si>
    <t>Companies for Relative Chart</t>
  </si>
  <si>
    <t>@COM1</t>
  </si>
  <si>
    <t>Company 1</t>
  </si>
  <si>
    <t>@COM2</t>
  </si>
  <si>
    <t>Company 2</t>
  </si>
  <si>
    <t>@COM3</t>
  </si>
  <si>
    <t>Company 3</t>
  </si>
  <si>
    <t>@COM4</t>
  </si>
  <si>
    <t>Company 4</t>
  </si>
  <si>
    <t>@COM5</t>
  </si>
  <si>
    <t>Company 5</t>
  </si>
  <si>
    <t>@COM6</t>
  </si>
  <si>
    <t>Company 6</t>
  </si>
  <si>
    <t>@INDEX</t>
  </si>
  <si>
    <t>Index</t>
  </si>
  <si>
    <t>Financials &amp; other data</t>
  </si>
  <si>
    <t>@BEGIN</t>
  </si>
  <si>
    <t>AN</t>
  </si>
  <si>
    <t>@END</t>
  </si>
  <si>
    <t>@DATE</t>
  </si>
  <si>
    <t>Reporting Financial Year</t>
  </si>
  <si>
    <t>@FSTATUS</t>
  </si>
  <si>
    <t xml:space="preserve">Accounts Status </t>
  </si>
  <si>
    <t>A</t>
  </si>
  <si>
    <t>F</t>
  </si>
  <si>
    <t>@FPERIOD</t>
  </si>
  <si>
    <t>Reporting Period</t>
  </si>
  <si>
    <t>FY</t>
  </si>
  <si>
    <t>@YEAREND</t>
  </si>
  <si>
    <t>Financial Year End (month)</t>
  </si>
  <si>
    <t>Jun</t>
  </si>
  <si>
    <t>Earnings Revision</t>
  </si>
  <si>
    <t>DIVISION_21</t>
  </si>
  <si>
    <t>DIVISION_22</t>
  </si>
  <si>
    <t>DIVISION_23</t>
  </si>
  <si>
    <t>Adj. EPS</t>
  </si>
  <si>
    <t>DIVISION_24</t>
  </si>
  <si>
    <t>DPS</t>
  </si>
  <si>
    <t>Old Revenue</t>
  </si>
  <si>
    <t>Old EBITDA</t>
  </si>
  <si>
    <t>Old EPS</t>
  </si>
  <si>
    <t>Old DPS</t>
  </si>
  <si>
    <t>DIVISION_25</t>
  </si>
  <si>
    <t>% change Revenue</t>
  </si>
  <si>
    <t>DIVISION_26</t>
  </si>
  <si>
    <t>% change EBITDA</t>
  </si>
  <si>
    <t>DIVISION_27</t>
  </si>
  <si>
    <t>% change EPS</t>
  </si>
  <si>
    <t>DIVISION_28</t>
  </si>
  <si>
    <t>% change DPS</t>
  </si>
  <si>
    <t>Section I - Income Statement</t>
  </si>
  <si>
    <t>@SALES_REV</t>
  </si>
  <si>
    <t>SALES_REV</t>
  </si>
  <si>
    <t>@OTH_REV</t>
  </si>
  <si>
    <t>OTH_REV</t>
  </si>
  <si>
    <t>@TOT_REV</t>
  </si>
  <si>
    <t>TOT_REV</t>
  </si>
  <si>
    <t>Total Operating Income/Revenue</t>
  </si>
  <si>
    <t>@COGS</t>
  </si>
  <si>
    <t>Cost of goods sold</t>
  </si>
  <si>
    <t>@SGA</t>
  </si>
  <si>
    <t>SGA</t>
  </si>
  <si>
    <t>Sales, General &amp; Admin Expenses</t>
  </si>
  <si>
    <t>@RD</t>
  </si>
  <si>
    <t>RD</t>
  </si>
  <si>
    <t>Research &amp; Development Expense</t>
  </si>
  <si>
    <t>@PERS_EXP</t>
  </si>
  <si>
    <t>PERS_EXP</t>
  </si>
  <si>
    <t>Personnel Expenses+C30</t>
  </si>
  <si>
    <t>@OTH_OP_EXP</t>
  </si>
  <si>
    <t>OTH_OP_EXP</t>
  </si>
  <si>
    <t>Other Operating expenses</t>
  </si>
  <si>
    <t>@TOT_OP_EXP</t>
  </si>
  <si>
    <t>TOT_OP_EXP</t>
  </si>
  <si>
    <t>Total Operating Expenses</t>
  </si>
  <si>
    <t>@EBITDA</t>
  </si>
  <si>
    <t>@DEPN</t>
  </si>
  <si>
    <t>@IMP_GW</t>
  </si>
  <si>
    <t>IMP_GW</t>
  </si>
  <si>
    <t>Impairment of goodwill</t>
  </si>
  <si>
    <t>@AMORT_GW</t>
  </si>
  <si>
    <t>AMORT_GW</t>
  </si>
  <si>
    <t>Amortisation of goodwill</t>
  </si>
  <si>
    <t>@AMORT_OTH</t>
  </si>
  <si>
    <t>AMORT_OTH</t>
  </si>
  <si>
    <t>Other amortisation</t>
  </si>
  <si>
    <t>@DEPN_AMORT</t>
  </si>
  <si>
    <t>DEPN_AMORT</t>
  </si>
  <si>
    <t>@EBITA</t>
  </si>
  <si>
    <t>EBITA</t>
  </si>
  <si>
    <t>@EBIT</t>
  </si>
  <si>
    <t>@INT_INC</t>
  </si>
  <si>
    <t>INT_INC</t>
  </si>
  <si>
    <t>@INT_EXP</t>
  </si>
  <si>
    <t>INT_EXP</t>
  </si>
  <si>
    <t>Interest expenses</t>
  </si>
  <si>
    <t>@NET_INTEXP</t>
  </si>
  <si>
    <t>NET_INTEXP</t>
  </si>
  <si>
    <t>Net Interest Expense</t>
  </si>
  <si>
    <t>@FX_GAIN_LOSS</t>
  </si>
  <si>
    <t>FX_GAIN_LOSS</t>
  </si>
  <si>
    <t>Forex gains/(losses)</t>
  </si>
  <si>
    <t>@OTH_NONOP_INC</t>
  </si>
  <si>
    <t>OTH_NONOP_INC</t>
  </si>
  <si>
    <t>Other Non-Operating income/(expenses)</t>
  </si>
  <si>
    <t>@PBT</t>
  </si>
  <si>
    <t>PBT</t>
  </si>
  <si>
    <t>@TAX_EXP</t>
  </si>
  <si>
    <t>Tax_expense</t>
  </si>
  <si>
    <t>@PREF_DIV</t>
  </si>
  <si>
    <t>PREF_DIV</t>
  </si>
  <si>
    <t>Preference Dividends Paid</t>
  </si>
  <si>
    <t>@NOPAT</t>
  </si>
  <si>
    <t>NOPAT</t>
  </si>
  <si>
    <t>Net Profit From Operations</t>
  </si>
  <si>
    <t>@PROFI_ASSO</t>
  </si>
  <si>
    <t>PROFI_ASSO</t>
  </si>
  <si>
    <t>Share of profits from associates</t>
  </si>
  <si>
    <t>@NOPAT_ASSO</t>
  </si>
  <si>
    <t>NOPAT_ASSO</t>
  </si>
  <si>
    <t>NPAT+ Associates</t>
  </si>
  <si>
    <t>@MINORITY_INT</t>
  </si>
  <si>
    <t>Minority_Interests</t>
  </si>
  <si>
    <t xml:space="preserve">Minority interest </t>
  </si>
  <si>
    <t>@NPAT_ATTR</t>
  </si>
  <si>
    <t>NPAT_ATTR</t>
  </si>
  <si>
    <t>NPAT attributable to shareholders</t>
  </si>
  <si>
    <t>@ABNORMALS</t>
  </si>
  <si>
    <t>ABNORMALS</t>
  </si>
  <si>
    <t>Non-Recurring Items</t>
  </si>
  <si>
    <t>@OTH_ADJ</t>
  </si>
  <si>
    <t>OTH_ADJ</t>
  </si>
  <si>
    <t>Reporting Adjustments</t>
  </si>
  <si>
    <t>@NPAT</t>
  </si>
  <si>
    <t>Reported Net Profit</t>
  </si>
  <si>
    <t>@OTH_NORMADJ</t>
  </si>
  <si>
    <t>OTH_NORMADJ</t>
  </si>
  <si>
    <t>Normalisation Adjustments</t>
  </si>
  <si>
    <t>@NOT_INT</t>
  </si>
  <si>
    <t>NOT_INT</t>
  </si>
  <si>
    <t>Notional Interest</t>
  </si>
  <si>
    <t>@CONV_PREVDIV</t>
  </si>
  <si>
    <t>CONV_PREDIV</t>
  </si>
  <si>
    <t>Convertible Pref. Dividends</t>
  </si>
  <si>
    <t>@NPAT_NORM</t>
  </si>
  <si>
    <t>NPAT_NORM</t>
  </si>
  <si>
    <t>Adjusted Net Profit</t>
  </si>
  <si>
    <t>Section II - Balance sheet</t>
  </si>
  <si>
    <t>Assets</t>
  </si>
  <si>
    <t>@CASH</t>
  </si>
  <si>
    <t>@CA_REC</t>
  </si>
  <si>
    <t>CA_REC</t>
  </si>
  <si>
    <t>Current Receivables</t>
  </si>
  <si>
    <t>@CA_INVENT</t>
  </si>
  <si>
    <t>CA_INVENT</t>
  </si>
  <si>
    <t>Inventories</t>
  </si>
  <si>
    <t>@CA_INVEST</t>
  </si>
  <si>
    <t>CA_INVEST</t>
  </si>
  <si>
    <t>Current Investments</t>
  </si>
  <si>
    <t>@CA_OTH</t>
  </si>
  <si>
    <t>CA_OTH</t>
  </si>
  <si>
    <t>Other Current Assets</t>
  </si>
  <si>
    <t>@CA_TOTAL</t>
  </si>
  <si>
    <t>CA_TOTAL</t>
  </si>
  <si>
    <t>Total Current Assets</t>
  </si>
  <si>
    <t>@NCA_REC</t>
  </si>
  <si>
    <t>NCA_REC</t>
  </si>
  <si>
    <t>Non-Current Receivables</t>
  </si>
  <si>
    <t>@NCA_INVEST</t>
  </si>
  <si>
    <t>NCA_INVEST</t>
  </si>
  <si>
    <t>Non-Current Investments</t>
  </si>
  <si>
    <t>@NCA_PPE</t>
  </si>
  <si>
    <t>NCA_PPE</t>
  </si>
  <si>
    <t>Property Plant &amp; Equipment</t>
  </si>
  <si>
    <t>@NCA_TAX</t>
  </si>
  <si>
    <t>NCA_TAX</t>
  </si>
  <si>
    <t>@NCA_GW</t>
  </si>
  <si>
    <t>NCA_GW</t>
  </si>
  <si>
    <t>@NCA_INTANG</t>
  </si>
  <si>
    <t>NCA_INTANG</t>
  </si>
  <si>
    <t>@NCA_OTH</t>
  </si>
  <si>
    <t>NCA_OTH</t>
  </si>
  <si>
    <t>Other Non-Current Assets</t>
  </si>
  <si>
    <t>@NCA_TOTAL</t>
  </si>
  <si>
    <t>NCA_TOTAL</t>
  </si>
  <si>
    <t>Total Non-Current Assets</t>
  </si>
  <si>
    <t>@CA_WKCAP</t>
  </si>
  <si>
    <t>CA_WKCAP</t>
  </si>
  <si>
    <t>Total Working Capital - Assets</t>
  </si>
  <si>
    <t>@ASSETS_TOTAL</t>
  </si>
  <si>
    <t>ASSETS_TOTAL</t>
  </si>
  <si>
    <t>Total Assets</t>
  </si>
  <si>
    <t>Liabilities</t>
  </si>
  <si>
    <t>@CL_BOD</t>
  </si>
  <si>
    <t>CL_BOD</t>
  </si>
  <si>
    <t>Bank Overdraft</t>
  </si>
  <si>
    <t>@CL_ACCTSPAY</t>
  </si>
  <si>
    <t>CL_ACCTSPAY</t>
  </si>
  <si>
    <t>Current Accounts Payable</t>
  </si>
  <si>
    <t>@STDEBT</t>
  </si>
  <si>
    <t>STDEBT</t>
  </si>
  <si>
    <t>@CL_PROV</t>
  </si>
  <si>
    <t>CL_PROV</t>
  </si>
  <si>
    <t>Current Provisions</t>
  </si>
  <si>
    <t>@CL_TAX</t>
  </si>
  <si>
    <t>CL_TAX</t>
  </si>
  <si>
    <t>@CL_OTH</t>
  </si>
  <si>
    <t>CL_OTH</t>
  </si>
  <si>
    <t>Other Current Liabilities</t>
  </si>
  <si>
    <t>@CL_TOTAL</t>
  </si>
  <si>
    <t>CL_TOTAL</t>
  </si>
  <si>
    <t>Total Current liabilities</t>
  </si>
  <si>
    <t>@LTDEBT</t>
  </si>
  <si>
    <t>LTDEBT</t>
  </si>
  <si>
    <t>@NCL_PREF</t>
  </si>
  <si>
    <t>NCL_PREF</t>
  </si>
  <si>
    <t>Preference shares treated as debt</t>
  </si>
  <si>
    <t>@NCL_CONV</t>
  </si>
  <si>
    <t>NCL_CONV</t>
  </si>
  <si>
    <t>Convertibles treated as debt</t>
  </si>
  <si>
    <t>@NCL_ACCTSPAY</t>
  </si>
  <si>
    <t>NCL_ACCTSPAY</t>
  </si>
  <si>
    <t>Non-Current Accounts Payable</t>
  </si>
  <si>
    <t>@NCL_DEFTAX</t>
  </si>
  <si>
    <t>NCL_DEFTAX</t>
  </si>
  <si>
    <t>Deferred Tax Payable</t>
  </si>
  <si>
    <t>@NCL_PROV</t>
  </si>
  <si>
    <t>NCL_PROV</t>
  </si>
  <si>
    <t>Non-Current Provisions</t>
  </si>
  <si>
    <t>@NCL_OTH</t>
  </si>
  <si>
    <t>NCL_OTH</t>
  </si>
  <si>
    <t>Other Non-Current Liabilities</t>
  </si>
  <si>
    <t>@NCL_TOTAL</t>
  </si>
  <si>
    <t>NCL_TOTAL</t>
  </si>
  <si>
    <t>Total Non-Current Liabilities</t>
  </si>
  <si>
    <t>@CL_WKCAP</t>
  </si>
  <si>
    <t>CL_WKCAP</t>
  </si>
  <si>
    <t>Total Working Capital - Liabilities</t>
  </si>
  <si>
    <t>@LIAB_TOTAL</t>
  </si>
  <si>
    <t>LIAB_TOTAL</t>
  </si>
  <si>
    <t>Total Liabilities</t>
  </si>
  <si>
    <t>Equity:</t>
  </si>
  <si>
    <t>@SE_CAP</t>
  </si>
  <si>
    <t>SE_CAP</t>
  </si>
  <si>
    <t>Ordinary share capital</t>
  </si>
  <si>
    <t>@SE_RES</t>
  </si>
  <si>
    <t>SE_RES</t>
  </si>
  <si>
    <t>@SE_RETEARG</t>
  </si>
  <si>
    <t>SE_RETEARG</t>
  </si>
  <si>
    <t>Retained profits</t>
  </si>
  <si>
    <t>@SE_OTHEREQ</t>
  </si>
  <si>
    <t>SE_OTHEREQ</t>
  </si>
  <si>
    <t>Other equity</t>
  </si>
  <si>
    <t>@SE_PREOE_M</t>
  </si>
  <si>
    <t>SE_PREOE_M</t>
  </si>
  <si>
    <t>Parent Equity</t>
  </si>
  <si>
    <t>@SE_OEMINEQ</t>
  </si>
  <si>
    <t>SE_OEMINEQ</t>
  </si>
  <si>
    <t>Minority Equity/Outside Equity Interests</t>
  </si>
  <si>
    <t>@SE_TOTAL</t>
  </si>
  <si>
    <t>SE_TOTAL</t>
  </si>
  <si>
    <t>Total Shareholders' Equity</t>
  </si>
  <si>
    <t>Balance Sheet Check</t>
  </si>
  <si>
    <t>@NETASSETS</t>
  </si>
  <si>
    <t>NETASSETS</t>
  </si>
  <si>
    <t>Net Assets</t>
  </si>
  <si>
    <t>@NETDEBT</t>
  </si>
  <si>
    <t>NETDEBT</t>
  </si>
  <si>
    <t>Net Debt</t>
  </si>
  <si>
    <t>@NTA</t>
  </si>
  <si>
    <t>NTA</t>
  </si>
  <si>
    <t>Net Tangible Assets</t>
  </si>
  <si>
    <t>@BV</t>
  </si>
  <si>
    <t>BV</t>
  </si>
  <si>
    <t>Book Value</t>
  </si>
  <si>
    <t>@AVGASSETS</t>
  </si>
  <si>
    <t>AVGASSETS</t>
  </si>
  <si>
    <t>Average Total Assets</t>
  </si>
  <si>
    <t>@AVGEQ</t>
  </si>
  <si>
    <t>AVGEQ</t>
  </si>
  <si>
    <t>Average Total Equity</t>
  </si>
  <si>
    <t>Section III - Cash Flow</t>
  </si>
  <si>
    <t>Operating Cash Flows:</t>
  </si>
  <si>
    <t>@CF_EBITDA</t>
  </si>
  <si>
    <t>CF_EBITDA</t>
  </si>
  <si>
    <t>@CF_DEPAMORT</t>
  </si>
  <si>
    <t>CF_DEPAMORT</t>
  </si>
  <si>
    <t>Depreciation &amp; Amortisation</t>
  </si>
  <si>
    <t>@CF_WCC</t>
  </si>
  <si>
    <t>CF_WCC</t>
  </si>
  <si>
    <t>Change in Working Capital</t>
  </si>
  <si>
    <t>@CF_OTHOPCF</t>
  </si>
  <si>
    <t>CF_OTHOPCF</t>
  </si>
  <si>
    <t>Other Operating Cashflows</t>
  </si>
  <si>
    <t>@CF_GROSSOPCF</t>
  </si>
  <si>
    <t>CF_GROSSOPCF</t>
  </si>
  <si>
    <t>Gross Operating Cash Flow</t>
  </si>
  <si>
    <t>@CF_NETINT</t>
  </si>
  <si>
    <t>CF_NETINT</t>
  </si>
  <si>
    <t>Net Interest Paid</t>
  </si>
  <si>
    <t>@CF_TAXPAID</t>
  </si>
  <si>
    <t>CF_TAXPAID</t>
  </si>
  <si>
    <t xml:space="preserve">Tax Paid </t>
  </si>
  <si>
    <t>@CF_OPCF</t>
  </si>
  <si>
    <t>CF_OPCF</t>
  </si>
  <si>
    <t>Net Operating Cash Flows</t>
  </si>
  <si>
    <t>Investing Cash Flows:</t>
  </si>
  <si>
    <t>@CF_CAPEXMAINT</t>
  </si>
  <si>
    <t>CF_CAPEXMAINT</t>
  </si>
  <si>
    <t>Maintenance Capex</t>
  </si>
  <si>
    <t>@CF_CAPEXEXPAN</t>
  </si>
  <si>
    <t>CF_CAPEXEXPAN</t>
  </si>
  <si>
    <t>Expansionary Capex</t>
  </si>
  <si>
    <t>@CF_PPE</t>
  </si>
  <si>
    <t>CF_PPE</t>
  </si>
  <si>
    <t>Purchase of PP&amp;E</t>
  </si>
  <si>
    <t>@CF_INVEST</t>
  </si>
  <si>
    <t>CF_INVEST</t>
  </si>
  <si>
    <t>Purchase of Investments</t>
  </si>
  <si>
    <t>@CF_ACQ</t>
  </si>
  <si>
    <t>CF_ACQ</t>
  </si>
  <si>
    <t>Purchase of Subsidiaries</t>
  </si>
  <si>
    <t>@CF_DIVEST</t>
  </si>
  <si>
    <t>CF_DIVEST</t>
  </si>
  <si>
    <t>Proceeds from Asset Sales</t>
  </si>
  <si>
    <t>@CF_LOANS</t>
  </si>
  <si>
    <t>CF_LOANS</t>
  </si>
  <si>
    <t>Movement in Loans (net)</t>
  </si>
  <si>
    <t>@CF_OTHINVCF</t>
  </si>
  <si>
    <t>CF_OTHINVCF</t>
  </si>
  <si>
    <t>Other Investing Cashflows</t>
  </si>
  <si>
    <t>@CF_INVCF</t>
  </si>
  <si>
    <t>CF_INVCF</t>
  </si>
  <si>
    <t>Total Investing CashFlow</t>
  </si>
  <si>
    <t>Financing Cash Flows:</t>
  </si>
  <si>
    <t>@CF_EQRAISE</t>
  </si>
  <si>
    <t>CF_EQRAISE</t>
  </si>
  <si>
    <t>Net Proceeds from the Issue/Buyback of Securities</t>
  </si>
  <si>
    <t>@CF_BORR</t>
  </si>
  <si>
    <t>CF_BORR</t>
  </si>
  <si>
    <t>Proceeds from Borrowings</t>
  </si>
  <si>
    <t>@CF_BORRREPAY</t>
  </si>
  <si>
    <t>CF_BORRREPAY</t>
  </si>
  <si>
    <t>Repayment of Borrowings</t>
  </si>
  <si>
    <t>@CF_DIVPAID</t>
  </si>
  <si>
    <t>CF_DIVPAID</t>
  </si>
  <si>
    <t>Distributions</t>
  </si>
  <si>
    <t>@CF_DIVREC</t>
  </si>
  <si>
    <t>CF_DIVREC</t>
  </si>
  <si>
    <t>Dividends Received</t>
  </si>
  <si>
    <t>@CF_OTHFINCF</t>
  </si>
  <si>
    <t>CF_OTHFINCF</t>
  </si>
  <si>
    <t>Other Financing Cashflows</t>
  </si>
  <si>
    <t>@CF_FINCF</t>
  </si>
  <si>
    <t>CF_FINCF</t>
  </si>
  <si>
    <t>Total Financing Cash Flow</t>
  </si>
  <si>
    <t>@CF_FXADJ</t>
  </si>
  <si>
    <t>CF_FXADJ</t>
  </si>
  <si>
    <t>Exchange Rate Adjustments</t>
  </si>
  <si>
    <t>@CF_CASHCHG</t>
  </si>
  <si>
    <t>CF_CASHCHG</t>
  </si>
  <si>
    <t>Net Change in Cash</t>
  </si>
  <si>
    <t>@CF_FCF</t>
  </si>
  <si>
    <t>CF_FCF</t>
  </si>
  <si>
    <t>Free Cashflow</t>
  </si>
  <si>
    <t>@CF_CASHSTART</t>
  </si>
  <si>
    <t>CF_CASHSTART</t>
  </si>
  <si>
    <t>Cash at start of period</t>
  </si>
  <si>
    <t>@CF_CASHEND</t>
  </si>
  <si>
    <t>CF_CASHEND</t>
  </si>
  <si>
    <t>Cash at end of period</t>
  </si>
  <si>
    <t>Section IV - Share Data</t>
  </si>
  <si>
    <t>@CLOSE_SHRS</t>
  </si>
  <si>
    <t>CLOSE_SHRS</t>
  </si>
  <si>
    <t>Shares Outstanding - closing</t>
  </si>
  <si>
    <t>@FUL_DIL_SHRS</t>
  </si>
  <si>
    <t>FUL_DIL_SHRS</t>
  </si>
  <si>
    <t>Shares Outstanding - diluted</t>
  </si>
  <si>
    <t>@WT_AVG_SHRS</t>
  </si>
  <si>
    <t>WT_AVG_SHRS</t>
  </si>
  <si>
    <t>Shares Outstanding - weighted average</t>
  </si>
  <si>
    <t>@CONV_SHRS</t>
  </si>
  <si>
    <t>CONV_SHRS</t>
  </si>
  <si>
    <t>Convertibles</t>
  </si>
  <si>
    <t>@PREF_SHRS</t>
  </si>
  <si>
    <t>PREF_SHRS</t>
  </si>
  <si>
    <t>Preference shares</t>
  </si>
  <si>
    <t>@OPTIONS</t>
  </si>
  <si>
    <t>OPTIONS</t>
  </si>
  <si>
    <t>Options</t>
  </si>
  <si>
    <t>@PP_SHRS</t>
  </si>
  <si>
    <t>PP_SHRS</t>
  </si>
  <si>
    <t>Partly paids</t>
  </si>
  <si>
    <t>@CAF</t>
  </si>
  <si>
    <t>CAF</t>
  </si>
  <si>
    <t>Capital Adjustment Factor</t>
  </si>
  <si>
    <t>Section V - Per Share Data</t>
  </si>
  <si>
    <t>@EPS_PREAB</t>
  </si>
  <si>
    <t>EPS_PREAB</t>
  </si>
  <si>
    <t>EPS - Pre-abnormals</t>
  </si>
  <si>
    <t>@EPS</t>
  </si>
  <si>
    <t>EPS</t>
  </si>
  <si>
    <t>EPS - Reported</t>
  </si>
  <si>
    <t>@EPS_NORM</t>
  </si>
  <si>
    <t>EPS_NORM</t>
  </si>
  <si>
    <t>EPS - Adjusted</t>
  </si>
  <si>
    <t>Adj_EPS_Growth</t>
  </si>
  <si>
    <t>EPS Growth</t>
  </si>
  <si>
    <t>PER</t>
  </si>
  <si>
    <t>PE Ratio</t>
  </si>
  <si>
    <t>PEG_Ratio</t>
  </si>
  <si>
    <t>PEG Ratio</t>
  </si>
  <si>
    <t>@DPS</t>
  </si>
  <si>
    <t>DPS AUDc</t>
  </si>
  <si>
    <t>Dividend_Yield</t>
  </si>
  <si>
    <t>Dividend Yield</t>
  </si>
  <si>
    <t>@FRK_PCT</t>
  </si>
  <si>
    <t>FRK_PCT</t>
  </si>
  <si>
    <t>Franking</t>
  </si>
  <si>
    <t>@FRK_TAXRATE</t>
  </si>
  <si>
    <t>FRK_TAXRATE</t>
  </si>
  <si>
    <t>Franking Tax Rate (%)</t>
  </si>
  <si>
    <t>@EFF_TAX_RATE</t>
  </si>
  <si>
    <t>EFF_TAX_RATE</t>
  </si>
  <si>
    <t>Effective tax rate (%)</t>
  </si>
  <si>
    <t>@CFPS</t>
  </si>
  <si>
    <t>CFPS</t>
  </si>
  <si>
    <t>Cash Flow Per Share</t>
  </si>
  <si>
    <t>@BVPS</t>
  </si>
  <si>
    <t>BVPS</t>
  </si>
  <si>
    <t>Book Value Per Share</t>
  </si>
  <si>
    <t>@NTAPS</t>
  </si>
  <si>
    <t>NTAPS</t>
  </si>
  <si>
    <t>NTA Per Share</t>
  </si>
  <si>
    <t>Section VI - Analysis</t>
  </si>
  <si>
    <t>Margins</t>
  </si>
  <si>
    <t>@EBITDA_MARGIN</t>
  </si>
  <si>
    <t>EBITDA_MARGIN</t>
  </si>
  <si>
    <t>@EBIT_MARGIN</t>
  </si>
  <si>
    <t>EBIT_MARGIN</t>
  </si>
  <si>
    <t>@NPAT_MARGIN</t>
  </si>
  <si>
    <t>NPAT_MARGIN</t>
  </si>
  <si>
    <t>Net Profit Margin (%)</t>
  </si>
  <si>
    <t>Returns</t>
  </si>
  <si>
    <t>@CE</t>
  </si>
  <si>
    <t>CE</t>
  </si>
  <si>
    <t>Capital Employed</t>
  </si>
  <si>
    <t>@ROCE</t>
  </si>
  <si>
    <t>ROCE</t>
  </si>
  <si>
    <t>Return on Capital Employed (%)</t>
  </si>
  <si>
    <t>@EBITDA_CE</t>
  </si>
  <si>
    <t>EBITDA_CE</t>
  </si>
  <si>
    <t>EBITDA/Capital Employed (%)</t>
  </si>
  <si>
    <t>@ROE</t>
  </si>
  <si>
    <t>ROE</t>
  </si>
  <si>
    <t>Return on Equity (%)</t>
  </si>
  <si>
    <t>@ROA</t>
  </si>
  <si>
    <t>ROA</t>
  </si>
  <si>
    <t>Return on Assets (%)</t>
  </si>
  <si>
    <t>@NETDEBT_EQ</t>
  </si>
  <si>
    <t>NETDEBT_EQ</t>
  </si>
  <si>
    <t>Net Debt/Equity (%)</t>
  </si>
  <si>
    <t>@NETDEBT_NETDEBTEQ</t>
  </si>
  <si>
    <t>NETDEBT_NETDEBTEQ</t>
  </si>
  <si>
    <t>Net Debt/Net Debt &amp; Equity (%)</t>
  </si>
  <si>
    <t>@NETDEBT_EBITDA</t>
  </si>
  <si>
    <t>NETDEBT_EBITDA</t>
  </si>
  <si>
    <t>Net Debt/EBITDA (x)</t>
  </si>
  <si>
    <t>@NETINTCOV</t>
  </si>
  <si>
    <t>NETINTCOV</t>
  </si>
  <si>
    <t>Net Interest Cover (x)</t>
  </si>
  <si>
    <t>@FIXCHGCOST</t>
  </si>
  <si>
    <t>FIXCHGCOST</t>
  </si>
  <si>
    <t>Fixed Charges Cost</t>
  </si>
  <si>
    <t>@FIXCHGCOV</t>
  </si>
  <si>
    <t>FIXCHGCOV</t>
  </si>
  <si>
    <t>Fixed Charges Cover (x)</t>
  </si>
  <si>
    <t>@GOCF_EBITDA</t>
  </si>
  <si>
    <t>GOCF_EBITDA</t>
  </si>
  <si>
    <t>GOCF/EBITDA (%)</t>
  </si>
  <si>
    <t>@CAPEX_SALES</t>
  </si>
  <si>
    <t>CAPEX_SALES</t>
  </si>
  <si>
    <t>Total Capex/Sales (%)</t>
  </si>
  <si>
    <t>@CAPEX_DEP</t>
  </si>
  <si>
    <t>CAPEX_DEP</t>
  </si>
  <si>
    <t>Total Capex/Depreciation (x)</t>
  </si>
  <si>
    <t>@WKGCAP_SALES</t>
  </si>
  <si>
    <t>WKGCAP_SALES</t>
  </si>
  <si>
    <t>Working Capital/Sales (%)</t>
  </si>
  <si>
    <t>@DEP_PPE</t>
  </si>
  <si>
    <t>DEP_PPE</t>
  </si>
  <si>
    <t>D&amp;A/PP&amp;E (%)</t>
  </si>
  <si>
    <t>EV_EBITDA</t>
  </si>
  <si>
    <t>EV/EBITDA (x)</t>
  </si>
  <si>
    <t>Section VII - Segmentals</t>
  </si>
  <si>
    <t>@SEG1_REV</t>
  </si>
  <si>
    <t>DIVISION_1</t>
  </si>
  <si>
    <t>@SEG2_REV</t>
  </si>
  <si>
    <t>DIVISION_2</t>
  </si>
  <si>
    <t>@SEG3_REV</t>
  </si>
  <si>
    <t>DIVISION_3</t>
  </si>
  <si>
    <t>@SEG4_REV</t>
  </si>
  <si>
    <t>DIVISION_4</t>
  </si>
  <si>
    <t>@SEG5_REV</t>
  </si>
  <si>
    <t>DIVISION_5</t>
  </si>
  <si>
    <t>@SEG6_REV</t>
  </si>
  <si>
    <t>DIVISION_6</t>
  </si>
  <si>
    <t>@SEG7_REV</t>
  </si>
  <si>
    <t>DIVISION_7</t>
  </si>
  <si>
    <t>@SEG8_REV</t>
  </si>
  <si>
    <t>DIVISION_8</t>
  </si>
  <si>
    <t>@SEG9_REV</t>
  </si>
  <si>
    <t>DIVISION_9</t>
  </si>
  <si>
    <t>@SEG10_REV</t>
  </si>
  <si>
    <t>DIVISION_10</t>
  </si>
  <si>
    <t>@SEG1_PROF1</t>
  </si>
  <si>
    <t>DIVISION_11</t>
  </si>
  <si>
    <t>@SEG2_PROF1</t>
  </si>
  <si>
    <t>DIVISION_12</t>
  </si>
  <si>
    <t>@SEG3_PROF1</t>
  </si>
  <si>
    <t>DIVISION_13</t>
  </si>
  <si>
    <t>@SEG4_PROF1</t>
  </si>
  <si>
    <t>DIVISION_14</t>
  </si>
  <si>
    <t>@SEG5_PROF1</t>
  </si>
  <si>
    <t>DIVISION_15</t>
  </si>
  <si>
    <t>@SEG6_PROF1</t>
  </si>
  <si>
    <t>DIVISION_16</t>
  </si>
  <si>
    <t>@SEG7_PROF1</t>
  </si>
  <si>
    <t>DIVISION_17</t>
  </si>
  <si>
    <t>@SEG8_PROF1</t>
  </si>
  <si>
    <t>DIVISION_18</t>
  </si>
  <si>
    <t>@SEG9_PROF1</t>
  </si>
  <si>
    <t>DIVISION_19</t>
  </si>
  <si>
    <t>@SEG10_PROF1</t>
  </si>
  <si>
    <t>DIVISION_20</t>
  </si>
  <si>
    <t>Section VIII - Key Macro Assumptions</t>
  </si>
  <si>
    <t>@KEYMACASS1</t>
  </si>
  <si>
    <t>KEYMACASS1</t>
  </si>
  <si>
    <t>@KEYMACASS2</t>
  </si>
  <si>
    <t>KEYMACASS2</t>
  </si>
  <si>
    <t>@KEYMACASS3</t>
  </si>
  <si>
    <t>KEYMACASS3</t>
  </si>
  <si>
    <t>@KEYMACASS4</t>
  </si>
  <si>
    <t>KEYMACASS4</t>
  </si>
  <si>
    <t>@KEYMACASS5</t>
  </si>
  <si>
    <t>KEYMACASS5</t>
  </si>
  <si>
    <t>@KEYMACASS6</t>
  </si>
  <si>
    <t>KEYMACASS6</t>
  </si>
  <si>
    <t>@KEYMACASS7</t>
  </si>
  <si>
    <t>KEYMACASS7</t>
  </si>
  <si>
    <t>@KEYMACASS8</t>
  </si>
  <si>
    <t>KEYMACASS8</t>
  </si>
  <si>
    <t>@KEYMACASS9</t>
  </si>
  <si>
    <t>KEYMACASS9</t>
  </si>
  <si>
    <t>@KEYMACASS10</t>
  </si>
  <si>
    <t>KEYMACASS10</t>
  </si>
  <si>
    <t>Section IX - Aggregated Items</t>
  </si>
  <si>
    <t>@EBIT_ASSO</t>
  </si>
  <si>
    <t>EBIT_ASSO</t>
  </si>
  <si>
    <t>EBIT (incl associates)</t>
  </si>
  <si>
    <t>@MIN_ASSO</t>
  </si>
  <si>
    <t>MIN_ASSO</t>
  </si>
  <si>
    <t>Other/Outside equity interests</t>
  </si>
  <si>
    <t>@NET_ABNORMALS</t>
  </si>
  <si>
    <t>NET_ABNORMALS</t>
  </si>
  <si>
    <t>Net abnormal items</t>
  </si>
  <si>
    <t>@OTH_ASSETS</t>
  </si>
  <si>
    <t>OTH_ASSETS</t>
  </si>
  <si>
    <t>Other Assets</t>
  </si>
  <si>
    <t>@OTH_LIAB</t>
  </si>
  <si>
    <t>OTH_LIAB</t>
  </si>
  <si>
    <t>Other Liabilities</t>
  </si>
  <si>
    <t>@TOT_DEBT</t>
  </si>
  <si>
    <t>TOT_DEBT</t>
  </si>
  <si>
    <t>Total Debt</t>
  </si>
  <si>
    <t>@CF_OTHCF</t>
  </si>
  <si>
    <t>CF_OTHCF</t>
  </si>
  <si>
    <t>Other Operating Cashflow</t>
  </si>
  <si>
    <t>@CF_NETACQ</t>
  </si>
  <si>
    <t>CF_NETACQ</t>
  </si>
  <si>
    <t>Net acquisitions / Growth capex</t>
  </si>
  <si>
    <t>@CF_NETBORR</t>
  </si>
  <si>
    <t>CF_NETBORR</t>
  </si>
  <si>
    <t>Net borrowings</t>
  </si>
  <si>
    <t>@CF_OTH</t>
  </si>
  <si>
    <t>CF_OTH</t>
  </si>
  <si>
    <t>Cost of equity</t>
  </si>
  <si>
    <t>% diff</t>
  </si>
  <si>
    <t>%</t>
  </si>
  <si>
    <t>FY22</t>
  </si>
  <si>
    <t>FY23</t>
  </si>
  <si>
    <t>1H22</t>
  </si>
  <si>
    <t>1H22A</t>
  </si>
  <si>
    <t>Margin</t>
  </si>
  <si>
    <t>A$</t>
  </si>
  <si>
    <t>Positive</t>
  </si>
  <si>
    <t>ClosePrice</t>
  </si>
  <si>
    <t>1H23</t>
  </si>
  <si>
    <t>2H23</t>
  </si>
  <si>
    <t>ARISTOCRAT LEISURE LTD (ALL.ASX)</t>
  </si>
  <si>
    <t>MODEL NAVIGATION SHEET</t>
  </si>
  <si>
    <t>ANALYST CONTACTS</t>
  </si>
  <si>
    <t>COMPANY CONTACTS</t>
  </si>
  <si>
    <t>James Fuller, CFA</t>
  </si>
  <si>
    <t>Sam Bradshaw</t>
  </si>
  <si>
    <t>Trevor Croker (CEO)</t>
  </si>
  <si>
    <t>Associate</t>
  </si>
  <si>
    <t>Analyst</t>
  </si>
  <si>
    <t>Gaming &amp; Leisure</t>
  </si>
  <si>
    <t>Research</t>
  </si>
  <si>
    <t>+61 3 9235 9748</t>
  </si>
  <si>
    <t>+61 3 9235 9706</t>
  </si>
  <si>
    <t>Linda Assatoury (IR)</t>
  </si>
  <si>
    <t>james.fuller@eap.com.au</t>
  </si>
  <si>
    <t>sbradshaw@eap.com.au</t>
  </si>
  <si>
    <t>RECOMMENDATION &amp; VALUATION</t>
  </si>
  <si>
    <t>KEY MULTIPLES &amp; RATIOS</t>
  </si>
  <si>
    <t>KEY</t>
  </si>
  <si>
    <t>Recommendation:</t>
  </si>
  <si>
    <t>FY23e PE</t>
  </si>
  <si>
    <t>Calculations</t>
  </si>
  <si>
    <t>Black</t>
  </si>
  <si>
    <t>Target Price:</t>
  </si>
  <si>
    <t>FY23e EV/EBITDA</t>
  </si>
  <si>
    <t>Actuals</t>
  </si>
  <si>
    <t>Red</t>
  </si>
  <si>
    <t>Current price:</t>
  </si>
  <si>
    <t>FY23e Dividend yield</t>
  </si>
  <si>
    <t>Estimates</t>
  </si>
  <si>
    <t>Blue</t>
  </si>
  <si>
    <t>TSR:</t>
  </si>
  <si>
    <t>FY23e Net debt / EBITDA</t>
  </si>
  <si>
    <t>Check</t>
  </si>
  <si>
    <t>Green</t>
  </si>
  <si>
    <t>ERROR CHECKS</t>
  </si>
  <si>
    <t>EARNINGS CHANGES</t>
  </si>
  <si>
    <t>GENERAL</t>
  </si>
  <si>
    <t>Model</t>
  </si>
  <si>
    <t>Group</t>
  </si>
  <si>
    <t>Reporting currency</t>
  </si>
  <si>
    <t>Segments</t>
  </si>
  <si>
    <t>Americas</t>
  </si>
  <si>
    <t>Valuation currency</t>
  </si>
  <si>
    <t>Master</t>
  </si>
  <si>
    <t>ANZ</t>
  </si>
  <si>
    <t>Standard monetary unit</t>
  </si>
  <si>
    <t>A$m</t>
  </si>
  <si>
    <t>Digital</t>
  </si>
  <si>
    <t>Financial year end</t>
  </si>
  <si>
    <t>September</t>
  </si>
  <si>
    <t>Intl Class III</t>
  </si>
  <si>
    <t>Reporting frequency</t>
  </si>
  <si>
    <t>Semi-annual</t>
  </si>
  <si>
    <t>iGaming</t>
  </si>
  <si>
    <t>Rounding tollerance (A$m)</t>
  </si>
  <si>
    <t>Checks</t>
  </si>
  <si>
    <t>2H22A</t>
  </si>
  <si>
    <t>1H24E</t>
  </si>
  <si>
    <t>2H24E</t>
  </si>
  <si>
    <t>1H25E</t>
  </si>
  <si>
    <t>2H25E</t>
  </si>
  <si>
    <t>Model navigation</t>
  </si>
  <si>
    <t>COMPANY DETAILS</t>
  </si>
  <si>
    <t>Name</t>
  </si>
  <si>
    <t>Logitech Intl S.A.</t>
  </si>
  <si>
    <t>Bracken Darrell, President and CEO</t>
  </si>
  <si>
    <t>LOGI</t>
  </si>
  <si>
    <t>+44 78 6933 6734</t>
  </si>
  <si>
    <t>Nate Olmstead, CFO</t>
  </si>
  <si>
    <t>Exchange</t>
  </si>
  <si>
    <t>NASDAQ-GS</t>
  </si>
  <si>
    <t>james_ fuller@outlook.com</t>
  </si>
  <si>
    <t>Nate Melihercik, IR</t>
  </si>
  <si>
    <t>Sector</t>
  </si>
  <si>
    <t>Technology</t>
  </si>
  <si>
    <t>Industry</t>
  </si>
  <si>
    <t xml:space="preserve"> Hardware, Storage and Peripherals</t>
  </si>
  <si>
    <t>KEY MULTIPLES &amp; RATIOS (FY24E)</t>
  </si>
  <si>
    <t>LEGEND</t>
  </si>
  <si>
    <t>Buy</t>
  </si>
  <si>
    <t>P/E</t>
  </si>
  <si>
    <t>IRR</t>
  </si>
  <si>
    <t>EV/EBIT (non-GAAP)</t>
  </si>
  <si>
    <t>Share price</t>
  </si>
  <si>
    <t>Levered FCF/sh yield (excl. SBC)</t>
  </si>
  <si>
    <t>Pink</t>
  </si>
  <si>
    <t>Offsheet reference</t>
  </si>
  <si>
    <t>Carry forward</t>
  </si>
  <si>
    <t>Grey</t>
  </si>
  <si>
    <t>PAGES</t>
  </si>
  <si>
    <t>Valn</t>
  </si>
  <si>
    <t>US$</t>
  </si>
  <si>
    <t>Summary</t>
  </si>
  <si>
    <t>US$m</t>
  </si>
  <si>
    <t>March</t>
  </si>
  <si>
    <t>Scenario</t>
  </si>
  <si>
    <t>Quarterly</t>
  </si>
  <si>
    <t>Comps</t>
  </si>
  <si>
    <t>No.</t>
  </si>
  <si>
    <t>Days in period</t>
  </si>
  <si>
    <t>AUDUSD.FX</t>
  </si>
  <si>
    <t>Terminal P/E</t>
  </si>
  <si>
    <t>FY25E</t>
  </si>
  <si>
    <t>EV/EBITDA</t>
  </si>
  <si>
    <t>EV/EBIT</t>
  </si>
  <si>
    <t>P/E (adj. for Amort.)</t>
  </si>
  <si>
    <t>Units</t>
  </si>
  <si>
    <t>consensus.vaactuals</t>
  </si>
  <si>
    <t>2H22</t>
  </si>
  <si>
    <t>1H24</t>
  </si>
  <si>
    <t>2H24</t>
  </si>
  <si>
    <t>1H25</t>
  </si>
  <si>
    <t>2H25</t>
  </si>
  <si>
    <t>-</t>
  </si>
  <si>
    <t>1H23A</t>
  </si>
  <si>
    <t>Dividend per share</t>
  </si>
  <si>
    <t>Buybacks</t>
  </si>
  <si>
    <t>X</t>
  </si>
  <si>
    <t>Period End</t>
  </si>
  <si>
    <t>Financial Year</t>
  </si>
  <si>
    <t>Half</t>
  </si>
  <si>
    <t>FY Year</t>
  </si>
  <si>
    <t>Actual/Estimate</t>
  </si>
  <si>
    <t>#</t>
  </si>
  <si>
    <t>growth</t>
  </si>
  <si>
    <t>Total</t>
  </si>
  <si>
    <t>Net Debt to EBITDA</t>
  </si>
  <si>
    <t>Turnover</t>
  </si>
  <si>
    <t>Normalised Revenue</t>
  </si>
  <si>
    <t>Normalised EBITDA</t>
  </si>
  <si>
    <t>SEGMENTS</t>
  </si>
  <si>
    <t>Normalised  Revenue</t>
  </si>
  <si>
    <t>Tax Rate</t>
  </si>
  <si>
    <t>Normalised NPAT</t>
  </si>
  <si>
    <t>Income Tax Expense</t>
  </si>
  <si>
    <t>REPORTED</t>
  </si>
  <si>
    <t>Discontinued Ops</t>
  </si>
  <si>
    <t>----------</t>
  </si>
  <si>
    <t>DEBT SCHEDULE</t>
  </si>
  <si>
    <t>EQUITY</t>
  </si>
  <si>
    <t>WORKING CAPITAL</t>
  </si>
  <si>
    <t>SCHEDULES &amp; KEY BREAKDOWNS</t>
  </si>
  <si>
    <t>3-STATEMENT MODEL</t>
  </si>
  <si>
    <t>VALUATION</t>
  </si>
  <si>
    <t>P&amp;L - REPORTED</t>
  </si>
  <si>
    <t>Beta</t>
  </si>
  <si>
    <t>Accounts Receivable</t>
  </si>
  <si>
    <t>Accounts receivable</t>
  </si>
  <si>
    <t>Days sales outstanding (DSO)</t>
  </si>
  <si>
    <t>Days</t>
  </si>
  <si>
    <t>Inventory Turns</t>
  </si>
  <si>
    <t>Accounts payable</t>
  </si>
  <si>
    <t>Days payables outstanding (DPO)</t>
  </si>
  <si>
    <t>Cash Conversion Cycle</t>
  </si>
  <si>
    <t>Closing Net PPE</t>
  </si>
  <si>
    <t>periods</t>
  </si>
  <si>
    <t>Amortisation Life</t>
  </si>
  <si>
    <t>INTANGIBLE ASSETS</t>
  </si>
  <si>
    <t>Net Financing Costs</t>
  </si>
  <si>
    <t>Total Interest Expense</t>
  </si>
  <si>
    <t>Average Balance</t>
  </si>
  <si>
    <t>Average Debt</t>
  </si>
  <si>
    <t>Ord shares - beg</t>
  </si>
  <si>
    <t>No. mlns</t>
  </si>
  <si>
    <t>(-) Buybacks</t>
  </si>
  <si>
    <t>Ord shares - end</t>
  </si>
  <si>
    <t>Average Shares</t>
  </si>
  <si>
    <t>Equity Raised</t>
  </si>
  <si>
    <t>Shares Raised</t>
  </si>
  <si>
    <t>Buyback Amount</t>
  </si>
  <si>
    <t>Share Price for Equity Raise</t>
  </si>
  <si>
    <t>Share Price for Buyback</t>
  </si>
  <si>
    <t>Shares Ceased</t>
  </si>
  <si>
    <t>DIVIDENDS</t>
  </si>
  <si>
    <t>Dividends per Share - Reported</t>
  </si>
  <si>
    <t>cps</t>
  </si>
  <si>
    <t>Dividend Amount</t>
  </si>
  <si>
    <t>EQUITY, SHARES OUTSTANDING &amp; DIVIDENDS</t>
  </si>
  <si>
    <t>WACC</t>
  </si>
  <si>
    <t>DISCOUNT RATE</t>
  </si>
  <si>
    <t>Cost of Debt</t>
  </si>
  <si>
    <t>Pre Tax Kd</t>
  </si>
  <si>
    <t>Post Tax Kd</t>
  </si>
  <si>
    <t>Risk Free Rate</t>
  </si>
  <si>
    <t>Market Risk Premium</t>
  </si>
  <si>
    <t>Cost of Equity</t>
  </si>
  <si>
    <t>Debt/Enterprise Value</t>
  </si>
  <si>
    <t>Inventory</t>
  </si>
  <si>
    <t>Working capital</t>
  </si>
  <si>
    <t>Net working capital</t>
  </si>
  <si>
    <t>(Increase) / decrease in net working capital</t>
  </si>
  <si>
    <t>Current Tax Liabilities</t>
  </si>
  <si>
    <t>Total Tax Assets</t>
  </si>
  <si>
    <t>Total Tax Liabilities</t>
  </si>
  <si>
    <t>Net Total Tax Assets</t>
  </si>
  <si>
    <t>TAXES</t>
  </si>
  <si>
    <t>Tax Expenses</t>
  </si>
  <si>
    <t>Total Net Financing Costs</t>
  </si>
  <si>
    <t>Other Financing Costs</t>
  </si>
  <si>
    <t>Divestments</t>
  </si>
  <si>
    <t>Assets Held for Sale</t>
  </si>
  <si>
    <t>Tax Liabilities</t>
  </si>
  <si>
    <t>Deferred Tax Liabilities</t>
  </si>
  <si>
    <t>2H23A</t>
  </si>
  <si>
    <t>1H26E</t>
  </si>
  <si>
    <t>2H26E</t>
  </si>
  <si>
    <t>1H27E</t>
  </si>
  <si>
    <t>2H27E</t>
  </si>
  <si>
    <t>1H28E</t>
  </si>
  <si>
    <t>2H28E</t>
  </si>
  <si>
    <t>1H18</t>
  </si>
  <si>
    <t>1H26</t>
  </si>
  <si>
    <t>2H26</t>
  </si>
  <si>
    <t>1H27</t>
  </si>
  <si>
    <t>2H27</t>
  </si>
  <si>
    <t>1H28</t>
  </si>
  <si>
    <t>2H28</t>
  </si>
  <si>
    <t>Share Capital</t>
  </si>
  <si>
    <t>Yield (annualised)</t>
  </si>
  <si>
    <t>Net debt / (cash) (incl. leases)</t>
  </si>
  <si>
    <t>NET DEBT</t>
  </si>
  <si>
    <t>Reported</t>
  </si>
  <si>
    <t>Debt</t>
  </si>
  <si>
    <t>Leases</t>
  </si>
  <si>
    <t>Trailing 12m EBITDA (normalised)</t>
  </si>
  <si>
    <t>x</t>
  </si>
  <si>
    <t>Net Finance Costs</t>
  </si>
  <si>
    <t>E&amp;P</t>
  </si>
  <si>
    <t>REVENUE</t>
  </si>
  <si>
    <t>EBITDA - Operating</t>
  </si>
  <si>
    <t>VAL</t>
  </si>
  <si>
    <t>Operating income/(loss) - Operating</t>
  </si>
  <si>
    <t>Interest income/(expense), net - Operating</t>
  </si>
  <si>
    <t>Provision/(benefit) for income taxes - Operating</t>
  </si>
  <si>
    <t>Net income/(loss) - Operating</t>
  </si>
  <si>
    <t>Net income/(loss)</t>
  </si>
  <si>
    <t>Other Financing</t>
  </si>
  <si>
    <t>P&amp;L - NORMALISED</t>
  </si>
  <si>
    <t>KEY METRICS</t>
  </si>
  <si>
    <t>SEGMENTS - NORMALISED</t>
  </si>
  <si>
    <t>SUMMARY</t>
  </si>
  <si>
    <t>Cash Flow Statement</t>
  </si>
  <si>
    <t>Balance Sheet</t>
  </si>
  <si>
    <t>NORMALISED P&amp;L STATEMENT</t>
  </si>
  <si>
    <t>FCF</t>
  </si>
  <si>
    <t>TOTAL Assets</t>
  </si>
  <si>
    <t>Total Current Liabilities</t>
  </si>
  <si>
    <t>TOTAL Liabilities</t>
  </si>
  <si>
    <t>Total Equity</t>
  </si>
  <si>
    <t>PASTE</t>
  </si>
  <si>
    <t>FY26E</t>
  </si>
  <si>
    <t>TLC</t>
  </si>
  <si>
    <t>FY22A</t>
  </si>
  <si>
    <t>FY23A</t>
  </si>
  <si>
    <t>FY24A</t>
  </si>
  <si>
    <t>FY25A</t>
  </si>
  <si>
    <t>FY26A</t>
  </si>
  <si>
    <t>FY27A</t>
  </si>
  <si>
    <t>FY28A</t>
  </si>
  <si>
    <t>FY29A</t>
  </si>
  <si>
    <t>FY30A</t>
  </si>
  <si>
    <t>1H29E</t>
  </si>
  <si>
    <t>2H29E</t>
  </si>
  <si>
    <t>1H30E</t>
  </si>
  <si>
    <t>2H30E</t>
  </si>
  <si>
    <t>LIVE</t>
  </si>
  <si>
    <t>Terminal EV/EBITDA</t>
  </si>
  <si>
    <t>- Growth</t>
  </si>
  <si>
    <t>- Revision</t>
  </si>
  <si>
    <t>Valuation - old</t>
  </si>
  <si>
    <t>Valuation - New</t>
  </si>
  <si>
    <t>SEGMENTS - REVENUE</t>
  </si>
  <si>
    <t>SEGMENTS - EBITDA</t>
  </si>
  <si>
    <t>A$/sh</t>
  </si>
  <si>
    <t>P&amp;L - REPORTEDNet Finance Costs</t>
  </si>
  <si>
    <t>P&amp;L - REPORTEDNPBT</t>
  </si>
  <si>
    <t>P&amp;L - REPORTEDDPS</t>
  </si>
  <si>
    <t>VALUATIONDiscount Rate</t>
  </si>
  <si>
    <t>VALUATIONTerminal EV/EBITDA</t>
  </si>
  <si>
    <t>VALUATIONValuation</t>
  </si>
  <si>
    <t>VALUATIONDate</t>
  </si>
  <si>
    <t>Upside</t>
  </si>
  <si>
    <t>Core Driver 2</t>
  </si>
  <si>
    <t>Core Driver 3</t>
  </si>
  <si>
    <t>Core Driver 4</t>
  </si>
  <si>
    <t>Core Driver 5</t>
  </si>
  <si>
    <t>Investment Thesis 2</t>
  </si>
  <si>
    <t>Investment Thesis 3</t>
  </si>
  <si>
    <t>Investment Thesis 4</t>
  </si>
  <si>
    <t>Investment Thesis 5</t>
  </si>
  <si>
    <t>Check - NPAT</t>
  </si>
  <si>
    <t>Check - Assets</t>
  </si>
  <si>
    <t>Check - Liabilities</t>
  </si>
  <si>
    <t>Net Operating Cash Flows Check</t>
  </si>
  <si>
    <t>Investing Cash Flows Check</t>
  </si>
  <si>
    <t>Cash Flow Statement Check</t>
  </si>
  <si>
    <t>Shares on issue (m) - Opening</t>
  </si>
  <si>
    <t>Shares on issue (m) - Close</t>
  </si>
  <si>
    <t>Shares on issue (m) - Average</t>
  </si>
  <si>
    <t>CHANGE</t>
  </si>
  <si>
    <t>GUIDANCE</t>
  </si>
  <si>
    <t>WAGERING &amp; MEDIA</t>
  </si>
  <si>
    <t>GAMING SERVICES</t>
  </si>
  <si>
    <t>EGMs (opening)</t>
  </si>
  <si>
    <t>Change</t>
  </si>
  <si>
    <t>EGMs (closing)</t>
  </si>
  <si>
    <t>Average</t>
  </si>
  <si>
    <t>Taxes and Commissions</t>
  </si>
  <si>
    <t>As a % of revenue</t>
  </si>
  <si>
    <t>% of revenue</t>
  </si>
  <si>
    <t>Variable contribution</t>
  </si>
  <si>
    <t>growth - yoy</t>
  </si>
  <si>
    <t>NSW</t>
  </si>
  <si>
    <t>QLD</t>
  </si>
  <si>
    <t>NT</t>
  </si>
  <si>
    <t>INTEGRITY SERVICES</t>
  </si>
  <si>
    <t>Integrity Services</t>
  </si>
  <si>
    <t>Other Venue Services</t>
  </si>
  <si>
    <t>TAS</t>
  </si>
  <si>
    <t>Potential Markets</t>
  </si>
  <si>
    <t>Rest of QLD</t>
  </si>
  <si>
    <t>SA</t>
  </si>
  <si>
    <t>ACT</t>
  </si>
  <si>
    <t>VIC</t>
  </si>
  <si>
    <t>NZ</t>
  </si>
  <si>
    <t>Expires:</t>
  </si>
  <si>
    <t>renewal rights</t>
  </si>
  <si>
    <t>FY22 Investor Day</t>
  </si>
  <si>
    <t>WAGERING &amp; MEDIA P&amp;L</t>
  </si>
  <si>
    <t>Digital Revenue Market Share</t>
  </si>
  <si>
    <t>Total Revenue Market Share</t>
  </si>
  <si>
    <t>Digital Wagering Revenue</t>
  </si>
  <si>
    <t>Wagering</t>
  </si>
  <si>
    <t>Active Users</t>
  </si>
  <si>
    <t>Digital turnover</t>
  </si>
  <si>
    <t>Net Yield</t>
  </si>
  <si>
    <t>Gross Yield</t>
  </si>
  <si>
    <t>Gross/Net Yield</t>
  </si>
  <si>
    <t>Promos</t>
  </si>
  <si>
    <t>NGR</t>
  </si>
  <si>
    <t>Gross Revenue</t>
  </si>
  <si>
    <t>Promotions</t>
  </si>
  <si>
    <t>Per Customer</t>
  </si>
  <si>
    <t>GGR</t>
  </si>
  <si>
    <t>Total Turnover</t>
  </si>
  <si>
    <t>Racing</t>
  </si>
  <si>
    <t>Promotions as a % of NGR</t>
  </si>
  <si>
    <t>Retail Turnover</t>
  </si>
  <si>
    <t>Retail</t>
  </si>
  <si>
    <t>Net Retail Revenue per VRI Share</t>
  </si>
  <si>
    <t>Retail Wagering Revenue</t>
  </si>
  <si>
    <t>Sport</t>
  </si>
  <si>
    <t>Generosities</t>
  </si>
  <si>
    <t>FY22 &gt;&gt;</t>
  </si>
  <si>
    <t>FY23 &gt;&gt;</t>
  </si>
  <si>
    <t>Gross Yield - FY</t>
  </si>
  <si>
    <t>Net Yield - FY</t>
  </si>
  <si>
    <t>Other as a % of NGR</t>
  </si>
  <si>
    <t>000's</t>
  </si>
  <si>
    <t>FY21 &gt;&gt;</t>
  </si>
  <si>
    <t>TURNOVER</t>
  </si>
  <si>
    <t>DIGITAL REVENUE</t>
  </si>
  <si>
    <t>RETAIL REVENUE</t>
  </si>
  <si>
    <t>WAGERING</t>
  </si>
  <si>
    <t>Variable Contribution</t>
  </si>
  <si>
    <t>MEDIA &amp; INTERNATIONAL</t>
  </si>
  <si>
    <t>PGI</t>
  </si>
  <si>
    <t>Venue Commissions</t>
  </si>
  <si>
    <t>Digital in Venue Commissions</t>
  </si>
  <si>
    <t>POCT's</t>
  </si>
  <si>
    <t>Taxes by Type (FO Racing, FO Sports, TOTE, Trackside)</t>
  </si>
  <si>
    <t>VRI</t>
  </si>
  <si>
    <t>Wagering &amp; Media</t>
  </si>
  <si>
    <t>Gaming Services</t>
  </si>
  <si>
    <t>NPAT from continuing operations before significant items</t>
  </si>
  <si>
    <t>NPAT before significant items</t>
  </si>
  <si>
    <t>Significant items (after tax)</t>
  </si>
  <si>
    <t>Statutory NPAT</t>
  </si>
  <si>
    <t>EPS (statutory)</t>
  </si>
  <si>
    <t>EPS (NPAT before significant items and equity accounted loss)</t>
  </si>
  <si>
    <t>Loss from Equity Accounted Investment</t>
  </si>
  <si>
    <t>Prepayments</t>
  </si>
  <si>
    <t>Provisions</t>
  </si>
  <si>
    <t>Liabilities directly associated with assets held for sale</t>
  </si>
  <si>
    <t>Current Tax Assets</t>
  </si>
  <si>
    <t>Other Intangible Assets</t>
  </si>
  <si>
    <t>Acquisition of Associate</t>
  </si>
  <si>
    <t>Sale of NCA's</t>
  </si>
  <si>
    <t>Payment of Lease Liabilities</t>
  </si>
  <si>
    <t>Net cash flows from revolving bank facilities</t>
  </si>
  <si>
    <t>Growth &amp; Transformation</t>
  </si>
  <si>
    <t>Sustainability &amp; Risk</t>
  </si>
  <si>
    <t>Reported Numbers</t>
  </si>
  <si>
    <t>EPS (statutory) - Calc</t>
  </si>
  <si>
    <t>(+) New issues - Equity Raised</t>
  </si>
  <si>
    <t>(+) New issues - DRP</t>
  </si>
  <si>
    <t>As a % of Total Dividends</t>
  </si>
  <si>
    <t>Leverage</t>
  </si>
  <si>
    <t>Maintenance</t>
  </si>
  <si>
    <t>Net Current Tax Assets</t>
  </si>
  <si>
    <t>Net Non Current Tax Assets</t>
  </si>
  <si>
    <t>Dividend Reinvestment Plan</t>
  </si>
  <si>
    <t>Reinvestment Amount</t>
  </si>
  <si>
    <t>Investment in Associates</t>
  </si>
  <si>
    <t>Acquired Intangibles</t>
  </si>
  <si>
    <t>Intangibles Capex as a % of revenue</t>
  </si>
  <si>
    <t>Capex as a % of revenue</t>
  </si>
  <si>
    <t>Decpreciation Life</t>
  </si>
  <si>
    <t>Depreciation Expense</t>
  </si>
  <si>
    <t>Amortisation Expense</t>
  </si>
  <si>
    <t>Reported by Type</t>
  </si>
  <si>
    <t xml:space="preserve">Total Debt </t>
  </si>
  <si>
    <t>Total Leases</t>
  </si>
  <si>
    <t>Debt Drawdowns/Repayments</t>
  </si>
  <si>
    <t>Total Interest Bearing Liabilities</t>
  </si>
  <si>
    <t>CASH SCHEDULE</t>
  </si>
  <si>
    <t>TAH</t>
  </si>
  <si>
    <t>E</t>
  </si>
  <si>
    <t>Taxes &amp; Commissions</t>
  </si>
  <si>
    <t>$</t>
  </si>
  <si>
    <t>Financing Cash Flows Check</t>
  </si>
  <si>
    <t>Wagering market growth &amp; comptetive landscape</t>
  </si>
  <si>
    <t>Performance &amp; innovation of wagering apps</t>
  </si>
  <si>
    <t>Stakeholder management including government (taxes) &amp; the racing industry (product fees)</t>
  </si>
  <si>
    <t>New Tabcorp app to help stabilise digital share</t>
  </si>
  <si>
    <t>"Leveling" of the playing field to help Tabcorp become more competitive</t>
  </si>
  <si>
    <t>Gaming Machine business to have defensive qualities and potential asset sale</t>
  </si>
  <si>
    <t>Potential advertsising ban on gambling will favour Tabcorp due to retail licenses</t>
  </si>
  <si>
    <t>Shares Outstanding</t>
  </si>
  <si>
    <t>Latest Half</t>
  </si>
  <si>
    <t>Share Price - Opening</t>
  </si>
  <si>
    <t>Share Price - Close</t>
  </si>
  <si>
    <t>Share Price - Average</t>
  </si>
  <si>
    <t>TAH-ASX</t>
  </si>
  <si>
    <t>Interest Rate (+'ve)</t>
  </si>
  <si>
    <t>Interest Rate (-'ve)</t>
  </si>
  <si>
    <t>Include (Yes = 1, No = 0)</t>
  </si>
  <si>
    <t>Forward 12m EBITDA (normalised)</t>
  </si>
  <si>
    <t>Growth (%)</t>
  </si>
  <si>
    <t>GAMING SERVICES P&amp;L</t>
  </si>
  <si>
    <t>Significant Items</t>
  </si>
  <si>
    <t>CAGR 24-27</t>
  </si>
  <si>
    <t>* Opex, D&amp;A, net interest expense and income tax expense to be absolute values (no negatives)</t>
  </si>
  <si>
    <t xml:space="preserve">TABCORP </t>
  </si>
  <si>
    <t>FY23
(actual)</t>
  </si>
  <si>
    <t>Price Target</t>
  </si>
  <si>
    <t>Last update</t>
  </si>
  <si>
    <t>EPS (NPAT before sig items and equity accounted loss) (cents)</t>
  </si>
  <si>
    <t>DPS (cents)</t>
  </si>
  <si>
    <t>Payout Ratio</t>
  </si>
  <si>
    <t>Detailed P&amp;L ($m)</t>
  </si>
  <si>
    <r>
      <t>Other</t>
    </r>
    <r>
      <rPr>
        <vertAlign val="superscript"/>
        <sz val="11"/>
        <color theme="1"/>
        <rFont val="Arial"/>
        <family val="2"/>
      </rPr>
      <t>(1)</t>
    </r>
  </si>
  <si>
    <t>Total Variable contribution</t>
  </si>
  <si>
    <t>Total opex</t>
  </si>
  <si>
    <t xml:space="preserve">EBITDA </t>
  </si>
  <si>
    <t>Total EBITDA</t>
  </si>
  <si>
    <t>Total D&amp;A</t>
  </si>
  <si>
    <t xml:space="preserve">EBIT </t>
  </si>
  <si>
    <t>Operating EBIT</t>
  </si>
  <si>
    <t>Loss from equity accounted investment</t>
  </si>
  <si>
    <t>Net interest expense</t>
  </si>
  <si>
    <t xml:space="preserve">Pre tax profit </t>
  </si>
  <si>
    <t>Income tax expense</t>
  </si>
  <si>
    <t>NPAT (before significant items)</t>
  </si>
  <si>
    <t>NPAT (statutory)</t>
  </si>
  <si>
    <t>Balance sheet ($m)</t>
  </si>
  <si>
    <t>Gross debt</t>
  </si>
  <si>
    <r>
      <t>Net debt</t>
    </r>
    <r>
      <rPr>
        <vertAlign val="superscript"/>
        <sz val="11"/>
        <rFont val="Arial"/>
        <family val="2"/>
      </rPr>
      <t>(2)</t>
    </r>
  </si>
  <si>
    <t>Shareholders' equity</t>
  </si>
  <si>
    <t>(1) Relates to amounts not allocated to a specific business segment.</t>
  </si>
  <si>
    <t>Cost of capital</t>
  </si>
  <si>
    <t>Cost of debt</t>
  </si>
  <si>
    <t>Kd</t>
  </si>
  <si>
    <t>Kd(1- t)</t>
  </si>
  <si>
    <t>Rf</t>
  </si>
  <si>
    <t>EMRP</t>
  </si>
  <si>
    <t>Ke</t>
  </si>
  <si>
    <t>D/EV</t>
  </si>
  <si>
    <t>Growth (g)</t>
  </si>
  <si>
    <t>Valuation ($m)</t>
  </si>
  <si>
    <t xml:space="preserve">Enterprise Value </t>
  </si>
  <si>
    <t xml:space="preserve">Equity Value </t>
  </si>
  <si>
    <t>Shares on Issue</t>
  </si>
  <si>
    <t xml:space="preserve">Per Share  </t>
  </si>
  <si>
    <t>&lt;&lt; we havent modelled D&amp;A by Segment yet.</t>
  </si>
  <si>
    <t>Caled</t>
  </si>
  <si>
    <t>Equity Value</t>
  </si>
  <si>
    <t>Enterprise Value</t>
  </si>
  <si>
    <t>m's</t>
  </si>
  <si>
    <t>As a % of Reported NPAT</t>
  </si>
  <si>
    <t>As a % of NPAT before sig items &amp; equity accounted loss</t>
  </si>
  <si>
    <t>Total Capex</t>
  </si>
  <si>
    <t>Normalised</t>
  </si>
  <si>
    <t>Net Debt/EBITDA (company adjusted)</t>
  </si>
  <si>
    <t xml:space="preserve">DPS (cps) </t>
  </si>
  <si>
    <t>NPAT before sig items &amp; equity accounted loss</t>
  </si>
  <si>
    <t>1H24A</t>
  </si>
  <si>
    <t>NPAT - before significant items</t>
  </si>
  <si>
    <t>TAH_AU</t>
  </si>
  <si>
    <t>EPS - Diluted</t>
  </si>
  <si>
    <t>EPS - Diluted - Operating</t>
  </si>
  <si>
    <t>Total revenue - Wagering &amp; media</t>
  </si>
  <si>
    <t>Contribution - Wagering and media - Operating</t>
  </si>
  <si>
    <t>EBITDA - Operating - Wagering &amp; media</t>
  </si>
  <si>
    <t>Operating expense excl depreciation - Wagering &amp; media - Operating</t>
  </si>
  <si>
    <t>Depreciation and amortization - Wagering &amp; media</t>
  </si>
  <si>
    <t>Operating income/(loss) - Operating - Wagering &amp; media</t>
  </si>
  <si>
    <t>Total revenue - Gaming services</t>
  </si>
  <si>
    <t>Contribution - Gaming Services - Operating</t>
  </si>
  <si>
    <t>Operating expense excl depreciation - Gaming Services - Operating</t>
  </si>
  <si>
    <t>EBITDA - Operating - Gaming services</t>
  </si>
  <si>
    <t>Depreciation and amortization - Gaming services</t>
  </si>
  <si>
    <t>Operating income/(loss) - Operating - Gaming services</t>
  </si>
  <si>
    <t>Depreciation and amortization - Operating</t>
  </si>
  <si>
    <t>Market Share</t>
  </si>
  <si>
    <t>Digital Turnover</t>
  </si>
  <si>
    <t>Cash Wagering Turnover</t>
  </si>
  <si>
    <t>Digital Active Users (000's)</t>
  </si>
  <si>
    <t>Yields</t>
  </si>
  <si>
    <t>Digital Gross Yield</t>
  </si>
  <si>
    <t>Digital Net Yield</t>
  </si>
  <si>
    <t>Retail Gross/Net Yield</t>
  </si>
  <si>
    <t xml:space="preserve">Retaill Wagering </t>
  </si>
  <si>
    <t>Digital Wagering</t>
  </si>
  <si>
    <t>Total revenue - Media</t>
  </si>
  <si>
    <t>FY24</t>
  </si>
  <si>
    <t>FY25</t>
  </si>
  <si>
    <t>FY26</t>
  </si>
  <si>
    <t>FY27</t>
  </si>
  <si>
    <t>FY27E</t>
  </si>
  <si>
    <t>Don’t delete, probably linked to IR template/First Take Tables</t>
  </si>
  <si>
    <t>WAGERING KPI's</t>
  </si>
  <si>
    <t>YIELDS</t>
  </si>
  <si>
    <t>Digital Revenue</t>
  </si>
  <si>
    <t>Retail Revenue</t>
  </si>
  <si>
    <t>2H30</t>
  </si>
  <si>
    <t>1H30</t>
  </si>
  <si>
    <t>1H31</t>
  </si>
  <si>
    <t>2H31</t>
  </si>
  <si>
    <t>1H32</t>
  </si>
  <si>
    <t>2H32</t>
  </si>
  <si>
    <t>1H33</t>
  </si>
  <si>
    <t>2H33</t>
  </si>
  <si>
    <t>1H34</t>
  </si>
  <si>
    <t>2H34</t>
  </si>
  <si>
    <t>1H31E</t>
  </si>
  <si>
    <t>2H31E</t>
  </si>
  <si>
    <t>1H32E</t>
  </si>
  <si>
    <t>2H32E</t>
  </si>
  <si>
    <t>1H33E</t>
  </si>
  <si>
    <t>2H33E</t>
  </si>
  <si>
    <t>1H34E</t>
  </si>
  <si>
    <t>2H34E</t>
  </si>
  <si>
    <t>FY31A</t>
  </si>
  <si>
    <t>FY32A</t>
  </si>
  <si>
    <t>FY33A</t>
  </si>
  <si>
    <t>FY34A</t>
  </si>
  <si>
    <t>MEDIA &amp; INTERNATIONAL KPI's</t>
  </si>
  <si>
    <t>Monitered EGM's</t>
  </si>
  <si>
    <t>Revenue / Machine</t>
  </si>
  <si>
    <t>Integrity Services Revenue</t>
  </si>
  <si>
    <t>Integrity Services EBITDA</t>
  </si>
  <si>
    <t>Other Venue Services Revenue</t>
  </si>
  <si>
    <t>Other Venues Services EBITDA</t>
  </si>
  <si>
    <t>GAMING SERVICES KPI's</t>
  </si>
  <si>
    <t>OTHER</t>
  </si>
  <si>
    <t>Net Debt (company adjusted)</t>
  </si>
  <si>
    <t>WAGERING KPI'sDigital Turnover</t>
  </si>
  <si>
    <t>WAGERING KPI'sRetail Turnover</t>
  </si>
  <si>
    <t>WAGERING KPI'sDigital Revenue</t>
  </si>
  <si>
    <t>WAGERING KPI'sRetail Revenue</t>
  </si>
  <si>
    <t>WAGERING KPI'sDigital Gross Yield</t>
  </si>
  <si>
    <t>WAGERING KPI'sDigital Net Yield</t>
  </si>
  <si>
    <t>WAGERING KPI'sRetail Gross/Net Yield</t>
  </si>
  <si>
    <t>MEDIA &amp; INTERNATIONAL KPI'sRevenue</t>
  </si>
  <si>
    <t>WAGERING &amp; MEDIA P&amp;LRevenue</t>
  </si>
  <si>
    <t>WAGERING &amp; MEDIA P&amp;LTaxes &amp; Commissions</t>
  </si>
  <si>
    <t>WAGERING &amp; MEDIA P&amp;LVariable Contribution</t>
  </si>
  <si>
    <t>WAGERING &amp; MEDIA P&amp;LOpex</t>
  </si>
  <si>
    <t>WAGERING &amp; MEDIA P&amp;LEBITDA</t>
  </si>
  <si>
    <t>WAGERING &amp; MEDIA P&amp;LD&amp;A</t>
  </si>
  <si>
    <t>WAGERING &amp; MEDIA P&amp;LEBIT</t>
  </si>
  <si>
    <t>GAMING SERVICES KPI'sMonitered EGM's</t>
  </si>
  <si>
    <t>GAMING SERVICES KPI'sRevenue / Machine</t>
  </si>
  <si>
    <t>GAMING SERVICES KPI'sIntegrity Services Revenue</t>
  </si>
  <si>
    <t>GAMING SERVICES KPI'sIntegrity Services EBITDA</t>
  </si>
  <si>
    <t>GAMING SERVICES KPI'sOther Venue Services Revenue</t>
  </si>
  <si>
    <t>GAMING SERVICES KPI'sOther Venues Services EBITDA</t>
  </si>
  <si>
    <t>SEGMENTS - REVENUEWagering &amp; Media</t>
  </si>
  <si>
    <t>SEGMENTS - REVENUEGaming Services</t>
  </si>
  <si>
    <t>SEGMENTS - REVENUETotal</t>
  </si>
  <si>
    <t>SEGMENTS - EBITDAWagering &amp; Media</t>
  </si>
  <si>
    <t>SEGMENTS - EBITDAGaming Services</t>
  </si>
  <si>
    <t>SEGMENTS - EBITDATotal</t>
  </si>
  <si>
    <t>P&amp;L - REPORTEDRevenue</t>
  </si>
  <si>
    <t>P&amp;L - REPORTEDTaxes &amp; Commissions</t>
  </si>
  <si>
    <t>P&amp;L - REPORTEDVariable Contribution</t>
  </si>
  <si>
    <t>P&amp;L - REPORTEDOpex</t>
  </si>
  <si>
    <t>P&amp;L - REPORTEDEBITDA</t>
  </si>
  <si>
    <t>P&amp;L - REPORTEDD&amp;A</t>
  </si>
  <si>
    <t>P&amp;L - REPORTEDEBIT</t>
  </si>
  <si>
    <t>P&amp;L - REPORTEDLoss from Equity Accounted Investment</t>
  </si>
  <si>
    <t>P&amp;L - REPORTEDTax</t>
  </si>
  <si>
    <t>P&amp;L - REPORTEDNPAT from continuing operations before significant items</t>
  </si>
  <si>
    <t>P&amp;L - REPORTEDStatutory NPAT</t>
  </si>
  <si>
    <t>P&amp;L - REPORTEDEPS (statutory)</t>
  </si>
  <si>
    <t>P&amp;L - REPORTEDEPS (NPAT before significant items and equity accounted loss)</t>
  </si>
  <si>
    <t>GAMING SERVICES P&amp;LRevenue</t>
  </si>
  <si>
    <t>OTHEROperating cash flow</t>
  </si>
  <si>
    <t>GAMING SERVICES P&amp;LTaxes &amp; Commissions</t>
  </si>
  <si>
    <t>GAMING SERVICES P&amp;LVariable Contribution</t>
  </si>
  <si>
    <t>GAMING SERVICES P&amp;LOpex</t>
  </si>
  <si>
    <t>GAMING SERVICES P&amp;LEBITDA</t>
  </si>
  <si>
    <t>GAMING SERVICES P&amp;LD&amp;A</t>
  </si>
  <si>
    <t>GAMING SERVICES P&amp;LEBIT</t>
  </si>
  <si>
    <t>OTHERInvesting cash flow</t>
  </si>
  <si>
    <t>OTHERFinancing cash flow</t>
  </si>
  <si>
    <t>OTHERNet cash flow</t>
  </si>
  <si>
    <t>OTHERTotal Capex</t>
  </si>
  <si>
    <t>OTHERClosing cash</t>
  </si>
  <si>
    <t>OTHERNet Debt (company adjusted)</t>
  </si>
  <si>
    <t>OTHERNet Debt/EBITDA (company adjusted)</t>
  </si>
  <si>
    <t>OTHERShares on issue (m) - Close</t>
  </si>
  <si>
    <t>Media &amp; International Revenue</t>
  </si>
  <si>
    <t>1H29</t>
  </si>
  <si>
    <t>2H29</t>
  </si>
  <si>
    <t>FY28</t>
  </si>
  <si>
    <t>FY29</t>
  </si>
  <si>
    <t>FY30</t>
  </si>
  <si>
    <t>FY31</t>
  </si>
  <si>
    <t>FY32</t>
  </si>
  <si>
    <t>FY33</t>
  </si>
  <si>
    <t>FY34</t>
  </si>
  <si>
    <t>E&amp;P - WAGERING &amp; MEDIA P&amp;L</t>
  </si>
  <si>
    <t>CONSENUS - WAGERING &amp; MEDIA P&amp;L</t>
  </si>
  <si>
    <t>VS. CONSENUS - WAGERING &amp; MEDIA P&amp;L</t>
  </si>
  <si>
    <t>Cost of revenue - Wagering &amp; Media - Operating</t>
  </si>
  <si>
    <t>Cost of revenue - Gaming Services - Operating</t>
  </si>
  <si>
    <t>E&amp;P - GAMING SERVICES P&amp;L</t>
  </si>
  <si>
    <t>CONSENUS - GAMING SERVICES P&amp;L</t>
  </si>
  <si>
    <t>VS. CONSENUS - GAMING SERVICES P&amp;L</t>
  </si>
  <si>
    <t>E&amp;P - SEGMENT REVENUE</t>
  </si>
  <si>
    <t>CONSENUS - SEGMENT REVENUE</t>
  </si>
  <si>
    <t>VS. CONSENUS - SEGMENT REVENUE</t>
  </si>
  <si>
    <t>E&amp;P - SEGMENT EBITDA</t>
  </si>
  <si>
    <t>CONSENUS - SEGMENT EBITDA</t>
  </si>
  <si>
    <t>VS. CONSENUS - SEGMENT EBITDA</t>
  </si>
  <si>
    <t>E&amp;P - P&amp;L</t>
  </si>
  <si>
    <t>Associate profite share - Operating</t>
  </si>
  <si>
    <t>Income/(loss) before income taxes - Operating</t>
  </si>
  <si>
    <t>Growth</t>
  </si>
  <si>
    <t>Digital Wagering Turnover</t>
  </si>
  <si>
    <t>Retail Wagering Turnover</t>
  </si>
  <si>
    <t>CURRENT PUBLISHED</t>
  </si>
  <si>
    <t>TAH Group Forecasts</t>
  </si>
  <si>
    <t>$m</t>
  </si>
  <si>
    <t>Group Revenue</t>
  </si>
  <si>
    <t>Group EBITDA</t>
  </si>
  <si>
    <t>Group EBIT</t>
  </si>
  <si>
    <t>Net interest</t>
  </si>
  <si>
    <t>Operating cashflow</t>
  </si>
  <si>
    <t>Investing cashflow</t>
  </si>
  <si>
    <t>&lt;&lt; not modelled</t>
  </si>
  <si>
    <t>Net Digital Revenue pre VRI Share</t>
  </si>
  <si>
    <t>EPS (cps) - before significant items</t>
  </si>
  <si>
    <t>FY24 &gt;&gt;</t>
  </si>
  <si>
    <t>International</t>
  </si>
  <si>
    <t>Domestic Digital Distribution (incl Tabcorp)</t>
  </si>
  <si>
    <t>Venue Subscriptions</t>
  </si>
  <si>
    <t>Advertising Revenues</t>
  </si>
  <si>
    <t>Exclusive SkyRacing to Sportsbet - 30-40m EBITDA in FY24</t>
  </si>
  <si>
    <t>International Wagering Revenue</t>
  </si>
  <si>
    <t>Licence Related Payments</t>
  </si>
  <si>
    <t>Payments to VRI</t>
  </si>
  <si>
    <t>(2) Gross debt including lease liabilities, bank guarantees and mark to market cross currency interest rate swaps.</t>
  </si>
  <si>
    <t xml:space="preserve">(3) Net debt is gross debt less cash. </t>
  </si>
  <si>
    <t>FY24 
(actual)</t>
  </si>
  <si>
    <t>FY27
(forecast)</t>
  </si>
  <si>
    <t>Gross Debt</t>
  </si>
  <si>
    <t>- Total Wagering Revenue</t>
  </si>
  <si>
    <t>- Media Revenue</t>
  </si>
  <si>
    <t>Media Revenue</t>
  </si>
  <si>
    <t>International Wagering</t>
  </si>
  <si>
    <t>Revenue - International wagering</t>
  </si>
  <si>
    <t>Revenue - Digital Wagering</t>
  </si>
  <si>
    <t>Revenue - Cash Wagering</t>
  </si>
  <si>
    <t>Media</t>
  </si>
  <si>
    <t>EPS (cps)</t>
  </si>
  <si>
    <t>Intersegment Elimination</t>
  </si>
  <si>
    <t>External</t>
  </si>
  <si>
    <t>VIC Uplift</t>
  </si>
  <si>
    <t>Calc</t>
  </si>
  <si>
    <t>Organic</t>
  </si>
  <si>
    <t>Actual</t>
  </si>
  <si>
    <t>Capex/Depreciation</t>
  </si>
  <si>
    <t>FY28E</t>
  </si>
  <si>
    <t>FY29E</t>
  </si>
  <si>
    <t>FY30E</t>
  </si>
  <si>
    <t>INTERNATIONAL REVENUE</t>
  </si>
  <si>
    <t>Total Wagering Revenue</t>
  </si>
  <si>
    <t>Media &amp; Wagering</t>
  </si>
  <si>
    <t>MEDIA &amp; INTERSEGMENT ELIMINATION</t>
  </si>
  <si>
    <t>Total revenue - Wagering</t>
  </si>
  <si>
    <t>Total revenue - Intra segment</t>
  </si>
  <si>
    <t>Binomial EBITDA</t>
  </si>
  <si>
    <t>Binomial Capex</t>
  </si>
  <si>
    <t>NSW Level Playing Field</t>
  </si>
  <si>
    <t>NSW LEVEL PLAYING FIELD</t>
  </si>
  <si>
    <t>Internal i.e. Intersegment Elimination</t>
  </si>
  <si>
    <t>Potential</t>
  </si>
  <si>
    <t>Licences</t>
  </si>
  <si>
    <t>Licences Capex as a % of revenue</t>
  </si>
  <si>
    <t>Licences Capex</t>
  </si>
  <si>
    <t>Reported - Net Debt to EBITDA</t>
  </si>
  <si>
    <t>LICENCES</t>
  </si>
  <si>
    <t>Closing Other Intangibles - ex Goodwill</t>
  </si>
  <si>
    <t>Other Intangibles - ex Licences</t>
  </si>
  <si>
    <t>VIC Licence Value</t>
  </si>
  <si>
    <t>Vic Licence Liabilities</t>
  </si>
  <si>
    <t>Other Licence Capex</t>
  </si>
  <si>
    <t>NSW Licence Liabilties</t>
  </si>
  <si>
    <t>Increase</t>
  </si>
  <si>
    <t>COST (first yr $600m, $30m/yr thereafter 20yrs)</t>
  </si>
  <si>
    <t>Amortisation Expense ex NSW</t>
  </si>
  <si>
    <t>NSW Capex</t>
  </si>
  <si>
    <t>Amortisation Expense incl NSW</t>
  </si>
  <si>
    <t>Total Ammortisation</t>
  </si>
  <si>
    <t>Binomial Ammortisation</t>
  </si>
  <si>
    <t>LICENCE LIABILITIES</t>
  </si>
  <si>
    <t>Media External</t>
  </si>
  <si>
    <t>Media - Total</t>
  </si>
  <si>
    <t>FCFE</t>
  </si>
  <si>
    <t>Split States</t>
  </si>
  <si>
    <t>To Do</t>
  </si>
  <si>
    <t>FY25
(actual)</t>
  </si>
  <si>
    <t>1H25
(actual)</t>
  </si>
  <si>
    <t>2H25
(actual)</t>
  </si>
  <si>
    <t>FY28
(forecast)</t>
  </si>
  <si>
    <t>Valuation approach</t>
  </si>
  <si>
    <t>Multiple, DCF, or blend</t>
  </si>
  <si>
    <t xml:space="preserve">Please just write "Multiple" or "DCF" or "Blend" </t>
  </si>
  <si>
    <t>Multiple ($m)</t>
  </si>
  <si>
    <t>Other (operated business)</t>
  </si>
  <si>
    <t>Other (investments e.g. Dabble)</t>
  </si>
  <si>
    <t>Specify the multiple and earnings base. Eg "7.0x FY26 EBITDA" or "2.0x initial investment"</t>
  </si>
  <si>
    <t>Other (operated businesses)</t>
  </si>
  <si>
    <t>Other (e.g. Dabble investment, franking credits)</t>
  </si>
  <si>
    <t>&lt;&lt; External</t>
  </si>
  <si>
    <t>Equity Accounted Loss</t>
  </si>
  <si>
    <t>E&amp;Pe 1H26E</t>
  </si>
  <si>
    <t>VA Cons. 1H26E</t>
  </si>
  <si>
    <t>Tabcorp 1H26 Result - Headline</t>
  </si>
  <si>
    <t>Tabcorp 1H26 Result - Segments</t>
  </si>
  <si>
    <t>Tabcorp 1H26 Result -  Wagering KPI's</t>
  </si>
  <si>
    <t>FY25 &gt;&gt;</t>
  </si>
  <si>
    <t>EBITDA cost offset per period ($120m py)</t>
  </si>
  <si>
    <t>Remodel D&amp;A</t>
  </si>
  <si>
    <t>MONITERED EGMS - not driver ATM</t>
  </si>
  <si>
    <t xml:space="preserve">Retail Wagering </t>
  </si>
  <si>
    <t>FY25&gt;&gt;</t>
  </si>
  <si>
    <t>1H FY26
(actual)</t>
  </si>
  <si>
    <t>Neutral</t>
  </si>
  <si>
    <t>BETMAKERS</t>
  </si>
  <si>
    <t>Gross profit</t>
  </si>
  <si>
    <t>Operating expenses</t>
  </si>
  <si>
    <t>Adjusted EBITDA</t>
  </si>
  <si>
    <t>Adjustments (net)</t>
  </si>
  <si>
    <t>Statutory EBITDA</t>
  </si>
  <si>
    <t>Depreciation &amp; amortisation</t>
  </si>
  <si>
    <t>Net finance costs</t>
  </si>
  <si>
    <t>Income tax (expense)/benefit</t>
  </si>
  <si>
    <t>NLAT / NPAT</t>
  </si>
  <si>
    <t>BetMakers Numbers to Intergrate</t>
  </si>
  <si>
    <t>Growth Rates</t>
  </si>
  <si>
    <t>BetMakers Forecasts</t>
  </si>
  <si>
    <t>BetMakers Historical P&amp;L</t>
  </si>
  <si>
    <t>BetMakers</t>
  </si>
  <si>
    <t>BetMakers Numbers ex Synergies</t>
  </si>
  <si>
    <t>BetMakers Synergies</t>
  </si>
  <si>
    <t>T+2</t>
  </si>
  <si>
    <t>T+3</t>
  </si>
  <si>
    <t>T+1</t>
  </si>
  <si>
    <t>&lt;&lt; BetMakers</t>
  </si>
  <si>
    <t>Redo P&amp;L</t>
  </si>
  <si>
    <t>Retire</t>
  </si>
  <si>
    <t>FY26 &gt;&gt;</t>
  </si>
  <si>
    <t>FY27&gt;&gt;</t>
  </si>
  <si>
    <t>Tabcorp FY26 Result - Headline</t>
  </si>
  <si>
    <t>Tabcorp FY26 Result - Segments</t>
  </si>
  <si>
    <t>EPS (Company Adjusted) - Calc</t>
  </si>
  <si>
    <t xml:space="preserve">EPS (Company Adjusted) </t>
  </si>
  <si>
    <t>Tabcorp FY26 Result -  Wagering KPI's</t>
  </si>
  <si>
    <t>Wagering &amp; Media Revenue</t>
  </si>
  <si>
    <t>E&amp;Pe FY26E</t>
  </si>
  <si>
    <t>VA Cons. FY26E</t>
  </si>
  <si>
    <t>FY31E</t>
  </si>
  <si>
    <t>FY32E</t>
  </si>
  <si>
    <t>FY33E</t>
  </si>
  <si>
    <t>FY34E</t>
  </si>
  <si>
    <t>EPS - Company Adjusted</t>
  </si>
  <si>
    <t>EPS - Statutory</t>
  </si>
  <si>
    <t>Capex up to $160m</t>
  </si>
  <si>
    <t>D&amp;A $225–235m</t>
  </si>
  <si>
    <t>Opex growth +3.0–3.5% on the FY26 $700.7m base</t>
  </si>
  <si>
    <t>Tax expense will continue to be impacted by non-deductible items of approximately $67m in FY27 in relation to Victorian Licence amortisation and discount unwind on annual licence payments</t>
  </si>
  <si>
    <t>Betmakers completion targeted during the 3Q of FY27</t>
  </si>
  <si>
    <t>Domestic wagering turnover growth broadly consistent with FY26, ex-FWC — i.e. ~FY26's underlying, which after stripping the FWC benefit is roughly +0.4–0.6% (FY26 reported +0.9%).</t>
  </si>
  <si>
    <t>~$26m incremental EBITDA in FY27</t>
  </si>
  <si>
    <t>FY27 Guidance/Commentary</t>
  </si>
  <si>
    <t>Mechanics: $140m terminal capex × 25% = $35m EBIT; +~$13m D&amp;A = ~$48m run-rate; −$22m already in FY26. Hits both VC and opex lines</t>
  </si>
  <si>
    <t>It's a net number — already after the removed EBT rental income (~$20.7m in FY26) and loyalty/generosity reinvestment</t>
  </si>
  <si>
    <t>Victorian Licence +$12m EBITDA in FY26. no further step-up in FY27</t>
  </si>
  <si>
    <t>~$5m of FWC A&amp;P in the FY26 opex base. About half the tournament fell in FY27</t>
  </si>
  <si>
    <t>Vic race-field-fee protection runs only to FY27 → potential FY28 cost headwind (flag for out-years, not FY27).</t>
  </si>
  <si>
    <t>Intergrity Services - FY26's +300bps margin was partly project-work — may not fully repeat.</t>
  </si>
  <si>
    <t>W&amp;M EBITDA</t>
  </si>
  <si>
    <t>WC</t>
  </si>
  <si>
    <t>+30-35m for Rev &amp; VC</t>
  </si>
  <si>
    <t>+25m for EBITDA</t>
  </si>
  <si>
    <t>W&amp;M VC</t>
  </si>
  <si>
    <t>1H margin</t>
  </si>
  <si>
    <t>22m rev</t>
  </si>
  <si>
    <t>9m VC</t>
  </si>
  <si>
    <t>Retail Rev (no impact from margins)</t>
  </si>
  <si>
    <t>* 1H24 numbers include MPS business that was sold ($7.5m EBITDA impact in Integrity Services)</t>
  </si>
  <si>
    <t>Fix</t>
  </si>
  <si>
    <t>2H FY26
(actual)</t>
  </si>
  <si>
    <t>FY26
(actual)</t>
  </si>
  <si>
    <t>FY29
(forecast)</t>
  </si>
  <si>
    <t>1H FY27
(forecast)</t>
  </si>
  <si>
    <t>2H FY27
(forecast)</t>
  </si>
  <si>
    <t>Company EPS</t>
  </si>
  <si>
    <t>1H FY28
(forecast)</t>
  </si>
  <si>
    <t>2H FY28
(forecast)</t>
  </si>
  <si>
    <t>FY27
(actual)</t>
  </si>
  <si>
    <t>FY28
(actual)</t>
  </si>
  <si>
    <t>FY29
(actual)</t>
  </si>
  <si>
    <t>HY vs 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</si>
</sst>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8" formatCode="&quot;$&quot;#,##0.00;[Red]\-&quot;$&quot;#,##0.00"/>
    <numFmt numFmtId="43" formatCode="_-* #,##0.00_-;\-* #,##0.00_-;_-* &quot;-&quot;??_-;_-@_-"/>
    <numFmt numFmtId="164" formatCode="&quot;$&quot;#,##0.00_);[Red]\(&quot;$&quot;#,##0.00\)"/>
    <numFmt numFmtId="165" formatCode="_(* #,##0.00_);_(* \(#,##0.00\);_(* &quot;-&quot;??_);_(@_)"/>
    <numFmt numFmtId="166" formatCode="_(* #,##0_);_(* \(#,##0\);_(* &quot;-&quot;_);_(@_)"/>
    <numFmt numFmtId="167" formatCode="0.0"/>
    <numFmt numFmtId="168" formatCode="0.00&quot;x&quot;"/>
    <numFmt numFmtId="169" formatCode="0.000"/>
    <numFmt numFmtId="170" formatCode="0&quot;E&quot;"/>
    <numFmt numFmtId="171" formatCode="0.0%"/>
    <numFmt numFmtId="172" formatCode="_-* #,##0.0_-;\-* #,##0.0_-;_-* &quot;-&quot;??_-;_-@_-"/>
    <numFmt numFmtId="173" formatCode="0;\(0\)"/>
    <numFmt numFmtId="174" formatCode="#,##0;\(#,##0\)"/>
    <numFmt numFmtId="175" formatCode="#,##0.0"/>
    <numFmt numFmtId="176" formatCode="_(* #,##0.0_);_(* \(#,##0.0\);_(* &quot;-&quot;??_);_(@_)"/>
    <numFmt numFmtId="177" formatCode="_(* #,##0.0_);_(* \(#,##0.0\);_(* &quot;-&quot;_);_(@_)"/>
    <numFmt numFmtId="178" formatCode="#,##0.0;\(#,##0.0\)"/>
    <numFmt numFmtId="179" formatCode="_(* #,##0_);_(* \(#,##0\);_(* &quot;-&quot;??_);_(@_)"/>
    <numFmt numFmtId="180" formatCode="#,##0.0;\-#,##0.0"/>
    <numFmt numFmtId="181" formatCode="0.0\x"/>
    <numFmt numFmtId="182" formatCode="&quot;$&quot;#,##0.00"/>
    <numFmt numFmtId="183" formatCode="[Green]&quot;l&quot;;[Red]&quot;l&quot;;[Red]&quot;l&quot;"/>
    <numFmt numFmtId="184" formatCode="0.0%;\ \-0.0%;\ \-;"/>
    <numFmt numFmtId="185" formatCode="[Red]&quot;l&quot;;[Green]&quot;l&quot;;[Green]&quot;l&quot;"/>
    <numFmt numFmtId="186" formatCode="[Red]&quot;l&quot;;[Red]&quot;l&quot;;[Green]&quot;l&quot;"/>
    <numFmt numFmtId="187" formatCode="#,##0;[Red]\(#,##0\)"/>
    <numFmt numFmtId="188" formatCode="#,##0.0;[Red]\(#,##0.0\)"/>
    <numFmt numFmtId="189" formatCode="_(&quot;$&quot;* #,##0.00_);_(&quot;$&quot;* \(#,##0.00\);_(&quot;$&quot;* &quot;-&quot;??_);_(@_)"/>
    <numFmt numFmtId="190" formatCode="#,##0.0\x"/>
    <numFmt numFmtId="191" formatCode="[Color10]0.0%;[Red]\-0.0%;\-"/>
    <numFmt numFmtId="192" formatCode="0.0%_);\(0.0%\)_);&quot;-  &quot;;&quot; &quot;@&quot; &quot;"/>
    <numFmt numFmtId="193" formatCode="#,##0;\-#,##0;\-"/>
    <numFmt numFmtId="194" formatCode="_(* #,##0.0000_);_(* \(#,##0.0000\);_(* &quot;-&quot;??_);_(@_)"/>
    <numFmt numFmtId="195" formatCode="#,##0.00\x"/>
    <numFmt numFmtId="196" formatCode="\+#,##0;\-#,##0;\-"/>
    <numFmt numFmtId="197" formatCode="[$-C09]dd\-mmm\-yy;@"/>
    <numFmt numFmtId="198" formatCode="_-* #,##0_-;\-* #,##0_-;_-* &quot;-&quot;??_-;_-@_-"/>
    <numFmt numFmtId="199" formatCode="#,##0.0&quot;cps&quot;;[Red]\(#,##0.0\)&quot;cps&quot;"/>
    <numFmt numFmtId="200" formatCode="#,##0.0&quot;ppts&quot;;\-#,##0.0&quot;ppts&quot;"/>
    <numFmt numFmtId="201" formatCode="[Color10]\+0.0%;[Red]\-0.0%;\-"/>
    <numFmt numFmtId="202" formatCode="#,##0.0&quot;x&quot;;\-#,##0.0&quot;x&quot;;\-"/>
    <numFmt numFmtId="203" formatCode="#,##0.00;[Red]\(#,##0.00\)"/>
    <numFmt numFmtId="204" formatCode="_-[$$-C09]* #,##0.00_-;\-[$$-C09]* #,##0.00_-;_-[$$-C09]* &quot;-&quot;??_-;_-@_-"/>
    <numFmt numFmtId="205" formatCode="0.0%_);\(0.0%\);0.0%_);@_)"/>
    <numFmt numFmtId="206" formatCode="0.00%_);\(0.00%\);0.00%_);@_)"/>
    <numFmt numFmtId="207" formatCode="#,##0.0_);\(#,##0.0\);#,##0.0_);@_)"/>
    <numFmt numFmtId="208" formatCode="#,##0.00_);\(#,##0.00\);#,##0.00_);@_)"/>
    <numFmt numFmtId="209" formatCode="#,##0.0;[Red]#,##0.0"/>
  </numFmts>
  <fonts count="123">
    <font>
      <sz val="11"/>
      <color theme="1"/>
      <name val="Calibri"/>
      <family val="2"/>
      <scheme val="minor"/>
    </font>
    <font>
      <sz val="8"/>
      <color theme="1"/>
      <name val="Calibri"/>
      <family val="2"/>
      <scheme val="minor"/>
    </font>
    <font>
      <sz val="8"/>
      <color rgb="FF00B0F0"/>
      <name val="Calibri"/>
      <family val="2"/>
      <scheme val="minor"/>
    </font>
    <font>
      <b/>
      <sz val="8"/>
      <color theme="1"/>
      <name val="Calibri"/>
      <family val="2"/>
      <scheme val="minor"/>
    </font>
    <font>
      <b/>
      <u/>
      <sz val="8"/>
      <color theme="1"/>
      <name val="Calibri"/>
      <family val="2"/>
      <scheme val="minor"/>
    </font>
    <font>
      <sz val="11"/>
      <color theme="1"/>
      <name val="Calibri"/>
      <family val="2"/>
    </font>
    <font>
      <sz val="8"/>
      <color theme="1"/>
      <name val="Calibri"/>
      <family val="2"/>
    </font>
    <font>
      <sz val="8"/>
      <color rgb="FF000000"/>
      <name val="Calibri"/>
      <family val="2"/>
    </font>
    <font>
      <b/>
      <sz val="8"/>
      <color theme="1"/>
      <name val="Calibri"/>
      <family val="2"/>
    </font>
    <font>
      <sz val="10"/>
      <name val="Arial"/>
      <family val="2"/>
    </font>
    <font>
      <sz val="8"/>
      <color theme="1"/>
      <name val="Frutiger LT 45 Light"/>
      <family val="2"/>
    </font>
    <font>
      <u/>
      <sz val="10"/>
      <color indexed="12"/>
      <name val="Arial"/>
      <family val="2"/>
    </font>
    <font>
      <b/>
      <sz val="11"/>
      <color theme="0"/>
      <name val="Calibri"/>
      <family val="2"/>
      <scheme val="minor"/>
    </font>
    <font>
      <sz val="11"/>
      <color theme="1"/>
      <name val="Calibri"/>
      <family val="2"/>
      <scheme val="minor"/>
    </font>
    <font>
      <i/>
      <sz val="8"/>
      <color theme="1"/>
      <name val="Calibri"/>
      <family val="2"/>
    </font>
    <font>
      <b/>
      <sz val="8"/>
      <color theme="0"/>
      <name val="Calibri"/>
      <family val="2"/>
    </font>
    <font>
      <sz val="10"/>
      <name val="Times New Roman"/>
      <family val="1"/>
    </font>
    <font>
      <sz val="10"/>
      <color indexed="8"/>
      <name val="Arial"/>
      <family val="2"/>
    </font>
    <font>
      <sz val="10"/>
      <name val="Arial"/>
      <family val="2"/>
    </font>
    <font>
      <sz val="8"/>
      <name val="Arial"/>
      <family val="2"/>
    </font>
    <font>
      <sz val="10"/>
      <name val="MS Sans Serif"/>
      <family val="2"/>
    </font>
    <font>
      <sz val="11"/>
      <color indexed="8"/>
      <name val="Cambria"/>
      <family val="1"/>
    </font>
    <font>
      <b/>
      <sz val="9"/>
      <color indexed="81"/>
      <name val="Tahoma"/>
      <family val="2"/>
    </font>
    <font>
      <sz val="8"/>
      <name val="Helv"/>
    </font>
    <font>
      <sz val="10"/>
      <color theme="1"/>
      <name val="Calibri"/>
      <family val="2"/>
      <scheme val="minor"/>
    </font>
    <font>
      <b/>
      <sz val="14"/>
      <color theme="0"/>
      <name val="Calibri"/>
      <family val="2"/>
      <scheme val="minor"/>
    </font>
    <font>
      <sz val="10"/>
      <color theme="0"/>
      <name val="Calibri"/>
      <family val="2"/>
      <scheme val="minor"/>
    </font>
    <font>
      <b/>
      <sz val="12"/>
      <color theme="1"/>
      <name val="Calibri"/>
      <family val="2"/>
      <scheme val="minor"/>
    </font>
    <font>
      <sz val="10"/>
      <name val="Calibri"/>
      <family val="2"/>
      <scheme val="minor"/>
    </font>
    <font>
      <sz val="9"/>
      <name val="Calibri"/>
      <family val="2"/>
      <scheme val="minor"/>
    </font>
    <font>
      <b/>
      <u/>
      <sz val="10"/>
      <color indexed="18"/>
      <name val="Calibri"/>
      <family val="2"/>
      <scheme val="minor"/>
    </font>
    <font>
      <b/>
      <u/>
      <sz val="10"/>
      <name val="Calibri"/>
      <family val="2"/>
      <scheme val="minor"/>
    </font>
    <font>
      <b/>
      <sz val="10"/>
      <name val="Calibri"/>
      <family val="2"/>
      <scheme val="minor"/>
    </font>
    <font>
      <u/>
      <sz val="10"/>
      <color rgb="FF0000FF"/>
      <name val="Calibri"/>
      <family val="2"/>
      <scheme val="minor"/>
    </font>
    <font>
      <sz val="10"/>
      <color rgb="FF0000FF"/>
      <name val="Calibri"/>
      <family val="2"/>
      <scheme val="minor"/>
    </font>
    <font>
      <u/>
      <sz val="10"/>
      <name val="Calibri"/>
      <family val="2"/>
      <scheme val="minor"/>
    </font>
    <font>
      <b/>
      <sz val="10"/>
      <color rgb="FF00B050"/>
      <name val="Calibri"/>
      <family val="2"/>
      <scheme val="minor"/>
    </font>
    <font>
      <sz val="10"/>
      <color rgb="FFFF0000"/>
      <name val="Calibri"/>
      <family val="2"/>
      <scheme val="minor"/>
    </font>
    <font>
      <sz val="10"/>
      <color rgb="FF00B050"/>
      <name val="Calibri"/>
      <family val="2"/>
      <scheme val="minor"/>
    </font>
    <font>
      <sz val="10"/>
      <name val="Wingdings"/>
      <charset val="2"/>
    </font>
    <font>
      <i/>
      <sz val="10"/>
      <name val="Calibri"/>
      <family val="2"/>
      <scheme val="minor"/>
    </font>
    <font>
      <b/>
      <sz val="8"/>
      <name val="Calibri"/>
      <family val="2"/>
      <scheme val="minor"/>
    </font>
    <font>
      <sz val="8"/>
      <name val="Calibri"/>
      <family val="2"/>
      <scheme val="minor"/>
    </font>
    <font>
      <b/>
      <sz val="8"/>
      <color theme="0"/>
      <name val="Calibri"/>
      <family val="2"/>
      <scheme val="minor"/>
    </font>
    <font>
      <b/>
      <u/>
      <sz val="8"/>
      <color theme="0"/>
      <name val="Calibri"/>
      <family val="2"/>
      <scheme val="minor"/>
    </font>
    <font>
      <b/>
      <i/>
      <sz val="16"/>
      <color theme="0"/>
      <name val="Cambria"/>
      <family val="1"/>
    </font>
    <font>
      <b/>
      <sz val="10"/>
      <color theme="1"/>
      <name val="Calibri"/>
      <family val="2"/>
      <scheme val="minor"/>
    </font>
    <font>
      <b/>
      <i/>
      <sz val="12"/>
      <name val="Cambria"/>
      <family val="1"/>
    </font>
    <font>
      <u/>
      <sz val="10"/>
      <color theme="10"/>
      <name val="Calibri"/>
      <family val="2"/>
      <scheme val="minor"/>
    </font>
    <font>
      <sz val="10"/>
      <color rgb="FFFF00FF"/>
      <name val="Calibri"/>
      <family val="2"/>
      <scheme val="minor"/>
    </font>
    <font>
      <sz val="10"/>
      <color theme="1" tint="0.499984740745262"/>
      <name val="Calibri"/>
      <family val="2"/>
      <scheme val="minor"/>
    </font>
    <font>
      <b/>
      <sz val="10"/>
      <name val="Wingdings"/>
      <charset val="2"/>
    </font>
    <font>
      <b/>
      <u/>
      <sz val="8"/>
      <color rgb="FFFF0000"/>
      <name val="Calibri"/>
      <family val="2"/>
      <scheme val="minor"/>
    </font>
    <font>
      <sz val="8"/>
      <color rgb="FFFF0000"/>
      <name val="Calibri"/>
      <family val="2"/>
      <scheme val="minor"/>
    </font>
    <font>
      <sz val="8"/>
      <color rgb="FF0000FF"/>
      <name val="Calibri"/>
      <family val="2"/>
      <scheme val="minor"/>
    </font>
    <font>
      <b/>
      <sz val="8"/>
      <color rgb="FFFF0000"/>
      <name val="Calibri"/>
      <family val="2"/>
      <scheme val="minor"/>
    </font>
    <font>
      <b/>
      <u/>
      <sz val="8"/>
      <name val="Calibri"/>
      <family val="2"/>
      <scheme val="minor"/>
    </font>
    <font>
      <sz val="9"/>
      <color indexed="81"/>
      <name val="Tahoma"/>
      <family val="2"/>
    </font>
    <font>
      <i/>
      <sz val="8"/>
      <name val="Calibri"/>
      <family val="2"/>
      <scheme val="minor"/>
    </font>
    <font>
      <sz val="11"/>
      <color rgb="FF0000FF"/>
      <name val="Calibri"/>
      <family val="2"/>
      <scheme val="minor"/>
    </font>
    <font>
      <sz val="8"/>
      <color indexed="8"/>
      <name val="Verdana"/>
      <family val="2"/>
    </font>
    <font>
      <sz val="10"/>
      <color indexed="8"/>
      <name val="Calibri"/>
      <family val="2"/>
      <scheme val="minor"/>
    </font>
    <font>
      <b/>
      <sz val="10"/>
      <color theme="0"/>
      <name val="Calibri"/>
      <family val="2"/>
      <scheme val="minor"/>
    </font>
    <font>
      <sz val="10"/>
      <color theme="4" tint="0.59999389629810485"/>
      <name val="Calibri"/>
      <family val="2"/>
      <scheme val="minor"/>
    </font>
    <font>
      <b/>
      <sz val="10"/>
      <color theme="8" tint="0.59999389629810485"/>
      <name val="Calibri"/>
      <family val="2"/>
      <scheme val="minor"/>
    </font>
    <font>
      <sz val="10"/>
      <color rgb="FF7030A0"/>
      <name val="Calibri"/>
      <family val="2"/>
      <scheme val="minor"/>
    </font>
    <font>
      <b/>
      <sz val="10"/>
      <color theme="4" tint="0.59999389629810485"/>
      <name val="Calibri"/>
      <family val="2"/>
      <scheme val="minor"/>
    </font>
    <font>
      <b/>
      <u/>
      <sz val="11"/>
      <name val="Calibri"/>
      <family val="2"/>
      <scheme val="minor"/>
    </font>
    <font>
      <sz val="8"/>
      <color rgb="FF00B050"/>
      <name val="Calibri"/>
      <family val="2"/>
      <scheme val="minor"/>
    </font>
    <font>
      <sz val="10"/>
      <color theme="1"/>
      <name val="Calibri"/>
      <family val="2"/>
    </font>
    <font>
      <sz val="8"/>
      <color rgb="FF00B050"/>
      <name val="Calibri"/>
      <family val="2"/>
    </font>
    <font>
      <b/>
      <u/>
      <sz val="8"/>
      <color rgb="FF7030A0"/>
      <name val="Calibri"/>
      <family val="2"/>
      <scheme val="minor"/>
    </font>
    <font>
      <b/>
      <sz val="11"/>
      <name val="Calibri"/>
      <family val="2"/>
      <scheme val="minor"/>
    </font>
    <font>
      <b/>
      <sz val="10"/>
      <color rgb="FF0000FF"/>
      <name val="Calibri"/>
      <family val="2"/>
      <scheme val="minor"/>
    </font>
    <font>
      <sz val="11"/>
      <color rgb="FFFF0000"/>
      <name val="Calibri"/>
      <family val="2"/>
      <scheme val="minor"/>
    </font>
    <font>
      <b/>
      <sz val="10"/>
      <color theme="3"/>
      <name val="Calibri"/>
      <family val="2"/>
      <scheme val="minor"/>
    </font>
    <font>
      <sz val="10"/>
      <color rgb="FF000000"/>
      <name val="Calibri"/>
      <family val="2"/>
    </font>
    <font>
      <b/>
      <sz val="10"/>
      <color rgb="FFFFFFFF"/>
      <name val="Calibri"/>
      <family val="2"/>
    </font>
    <font>
      <sz val="10"/>
      <name val="AAFormataRegular"/>
    </font>
    <font>
      <b/>
      <sz val="8"/>
      <color rgb="FF000000"/>
      <name val="Calibri"/>
      <family val="2"/>
    </font>
    <font>
      <b/>
      <sz val="16"/>
      <name val="Calibri"/>
      <family val="2"/>
      <scheme val="minor"/>
    </font>
    <font>
      <b/>
      <sz val="9"/>
      <name val="Calibri"/>
      <family val="2"/>
      <scheme val="minor"/>
    </font>
    <font>
      <b/>
      <sz val="10"/>
      <color indexed="12"/>
      <name val="Calibri"/>
      <family val="2"/>
      <scheme val="minor"/>
    </font>
    <font>
      <sz val="9"/>
      <color theme="0" tint="-0.34998626667073579"/>
      <name val="Calibri"/>
      <family val="2"/>
      <scheme val="minor"/>
    </font>
    <font>
      <sz val="7"/>
      <color rgb="FF002570"/>
      <name val="Calibri"/>
      <family val="2"/>
      <scheme val="minor"/>
    </font>
    <font>
      <u/>
      <sz val="9"/>
      <color theme="0" tint="-0.34998626667073579"/>
      <name val="Calibri"/>
      <family val="2"/>
      <scheme val="minor"/>
    </font>
    <font>
      <b/>
      <sz val="10"/>
      <color indexed="10"/>
      <name val="Calibri"/>
      <family val="2"/>
      <scheme val="minor"/>
    </font>
    <font>
      <i/>
      <sz val="9"/>
      <color theme="0" tint="-0.34998626667073579"/>
      <name val="Calibri"/>
      <family val="2"/>
      <scheme val="minor"/>
    </font>
    <font>
      <i/>
      <sz val="8"/>
      <color theme="1"/>
      <name val="Calibri"/>
      <family val="2"/>
      <scheme val="minor"/>
    </font>
    <font>
      <b/>
      <sz val="11"/>
      <color rgb="FFFF0000"/>
      <name val="Calibri"/>
      <family val="2"/>
      <scheme val="minor"/>
    </font>
    <font>
      <u/>
      <sz val="8"/>
      <color rgb="FFFF0000"/>
      <name val="Calibri"/>
      <family val="2"/>
      <scheme val="minor"/>
    </font>
    <font>
      <b/>
      <sz val="8"/>
      <color rgb="FF00B050"/>
      <name val="Calibri"/>
      <family val="2"/>
      <scheme val="minor"/>
    </font>
    <font>
      <i/>
      <sz val="8"/>
      <color rgb="FF0000FF"/>
      <name val="Calibri"/>
      <family val="2"/>
      <scheme val="minor"/>
    </font>
    <font>
      <i/>
      <sz val="8"/>
      <color theme="7"/>
      <name val="Calibri"/>
      <family val="2"/>
      <scheme val="minor"/>
    </font>
    <font>
      <sz val="8"/>
      <color theme="7"/>
      <name val="Calibri"/>
      <family val="2"/>
      <scheme val="minor"/>
    </font>
    <font>
      <b/>
      <i/>
      <sz val="8"/>
      <color theme="1"/>
      <name val="Calibri"/>
      <family val="2"/>
      <scheme val="minor"/>
    </font>
    <font>
      <sz val="7"/>
      <color rgb="FF002570"/>
      <name val="Arial"/>
      <family val="2"/>
    </font>
    <font>
      <b/>
      <sz val="11"/>
      <color theme="1"/>
      <name val="Calibri"/>
      <family val="2"/>
      <scheme val="minor"/>
    </font>
    <font>
      <sz val="11"/>
      <color indexed="63"/>
      <name val="Arial"/>
      <family val="2"/>
    </font>
    <font>
      <b/>
      <sz val="11"/>
      <color indexed="63"/>
      <name val="Arial Narrow"/>
      <family val="2"/>
    </font>
    <font>
      <b/>
      <sz val="11"/>
      <color indexed="9"/>
      <name val="Arial"/>
      <family val="2"/>
    </font>
    <font>
      <b/>
      <sz val="11"/>
      <name val="Arial"/>
      <family val="2"/>
    </font>
    <font>
      <b/>
      <sz val="11"/>
      <color indexed="63"/>
      <name val="Arial"/>
      <family val="2"/>
    </font>
    <font>
      <sz val="11"/>
      <name val="Arial"/>
      <family val="2"/>
    </font>
    <font>
      <sz val="11"/>
      <color theme="1"/>
      <name val="Arial"/>
      <family val="2"/>
    </font>
    <font>
      <vertAlign val="superscript"/>
      <sz val="11"/>
      <color theme="1"/>
      <name val="Arial"/>
      <family val="2"/>
    </font>
    <font>
      <b/>
      <sz val="11"/>
      <color theme="1"/>
      <name val="Arial"/>
      <family val="2"/>
    </font>
    <font>
      <i/>
      <sz val="11"/>
      <color indexed="63"/>
      <name val="Arial"/>
      <family val="2"/>
    </font>
    <font>
      <vertAlign val="superscript"/>
      <sz val="11"/>
      <name val="Arial"/>
      <family val="2"/>
    </font>
    <font>
      <b/>
      <sz val="11"/>
      <color theme="1"/>
      <name val="Calibri"/>
      <family val="2"/>
    </font>
    <font>
      <b/>
      <sz val="11"/>
      <color rgb="FF0000FF"/>
      <name val="Calibri"/>
      <family val="2"/>
      <scheme val="minor"/>
    </font>
    <font>
      <b/>
      <sz val="10"/>
      <color rgb="FF7030A0"/>
      <name val="Calibri"/>
      <family val="2"/>
      <scheme val="minor"/>
    </font>
    <font>
      <sz val="11"/>
      <name val="Calibri"/>
      <family val="2"/>
      <scheme val="minor"/>
    </font>
    <font>
      <i/>
      <sz val="11"/>
      <color theme="1"/>
      <name val="Calibri"/>
      <family val="2"/>
      <scheme val="minor"/>
    </font>
    <font>
      <i/>
      <sz val="8"/>
      <color rgb="FF000000"/>
      <name val="Calibri"/>
      <family val="2"/>
    </font>
    <font>
      <i/>
      <sz val="10"/>
      <color rgb="FF000000"/>
      <name val="Calibri"/>
      <family val="2"/>
    </font>
    <font>
      <sz val="8"/>
      <color theme="4" tint="0.59999389629810485"/>
      <name val="Calibri"/>
      <family val="2"/>
      <scheme val="minor"/>
    </font>
    <font>
      <b/>
      <sz val="8"/>
      <color theme="8" tint="0.59999389629810485"/>
      <name val="Calibri"/>
      <family val="2"/>
      <scheme val="minor"/>
    </font>
    <font>
      <sz val="8"/>
      <color rgb="FF7030A0"/>
      <name val="Calibri"/>
      <family val="2"/>
      <scheme val="minor"/>
    </font>
    <font>
      <u/>
      <sz val="8"/>
      <color theme="1"/>
      <name val="Calibri"/>
      <family val="2"/>
    </font>
    <font>
      <b/>
      <u/>
      <sz val="8"/>
      <color rgb="FFFF0000"/>
      <name val="Calibri"/>
      <family val="2"/>
    </font>
    <font>
      <b/>
      <sz val="8"/>
      <color rgb="FF0000FF"/>
      <name val="Calibri"/>
      <family val="2"/>
      <scheme val="minor"/>
    </font>
    <font>
      <u/>
      <sz val="8"/>
      <color theme="1"/>
      <name val="Calibri"/>
      <family val="2"/>
      <scheme val="minor"/>
    </font>
  </fonts>
  <fills count="3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rgb="FFF8E4E4"/>
        <bgColor indexed="64"/>
      </patternFill>
    </fill>
    <fill>
      <patternFill patternType="solid">
        <fgColor theme="6" tint="0.59999389629810485"/>
        <bgColor indexed="64"/>
      </patternFill>
    </fill>
    <fill>
      <patternFill patternType="solid">
        <fgColor indexed="10"/>
        <bgColor indexed="64"/>
      </patternFill>
    </fill>
    <fill>
      <patternFill patternType="solid">
        <fgColor theme="2"/>
        <bgColor indexed="64"/>
      </patternFill>
    </fill>
    <fill>
      <patternFill patternType="solid">
        <fgColor theme="3"/>
        <bgColor indexed="64"/>
      </patternFill>
    </fill>
    <fill>
      <patternFill patternType="solid">
        <fgColor rgb="FF002060"/>
        <bgColor indexed="64"/>
      </patternFill>
    </fill>
    <fill>
      <patternFill patternType="solid">
        <fgColor theme="8" tint="0.79998168889431442"/>
        <bgColor indexed="64"/>
      </patternFill>
    </fill>
    <fill>
      <patternFill patternType="solid">
        <fgColor theme="4"/>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EBF5FF"/>
        <bgColor indexed="64"/>
      </patternFill>
    </fill>
    <fill>
      <patternFill patternType="solid">
        <fgColor theme="5" tint="0.79998168889431442"/>
        <bgColor indexed="64"/>
      </patternFill>
    </fill>
    <fill>
      <patternFill patternType="solid">
        <fgColor theme="7"/>
        <bgColor indexed="64"/>
      </patternFill>
    </fill>
    <fill>
      <patternFill patternType="solid">
        <fgColor indexed="9"/>
        <bgColor indexed="64"/>
      </patternFill>
    </fill>
    <fill>
      <patternFill patternType="solid">
        <fgColor rgb="FF004A6A"/>
        <bgColor indexed="64"/>
      </patternFill>
    </fill>
    <fill>
      <patternFill patternType="solid">
        <fgColor rgb="FFFFFFCC"/>
        <bgColor indexed="64"/>
      </patternFill>
    </fill>
    <fill>
      <patternFill patternType="solid">
        <fgColor rgb="FF1CD5A7"/>
        <bgColor indexed="64"/>
      </patternFill>
    </fill>
    <fill>
      <patternFill patternType="solid">
        <fgColor theme="5"/>
        <bgColor indexed="64"/>
      </patternFill>
    </fill>
    <fill>
      <patternFill patternType="solid">
        <fgColor theme="8"/>
        <bgColor indexed="64"/>
      </patternFill>
    </fill>
    <fill>
      <patternFill patternType="solid">
        <fgColor rgb="FF9966FF"/>
        <bgColor indexed="64"/>
      </patternFill>
    </fill>
    <fill>
      <patternFill patternType="solid">
        <fgColor theme="2" tint="0.59999389629810485"/>
        <bgColor indexed="64"/>
      </patternFill>
    </fill>
    <fill>
      <patternFill patternType="solid">
        <fgColor theme="2" tint="0.79998168889431442"/>
        <bgColor indexed="64"/>
      </patternFill>
    </fill>
  </fills>
  <borders count="72">
    <border>
      <left/>
      <right/>
      <top/>
      <bottom/>
      <diagonal/>
    </border>
    <border>
      <left/>
      <right/>
      <top/>
      <bottom style="thin">
        <color auto="1"/>
      </bottom>
      <diagonal/>
    </border>
    <border>
      <left/>
      <right/>
      <top style="thin">
        <color auto="1"/>
      </top>
      <bottom/>
      <diagonal/>
    </border>
    <border>
      <left/>
      <right/>
      <top/>
      <bottom style="hair">
        <color auto="1"/>
      </bottom>
      <diagonal/>
    </border>
    <border>
      <left/>
      <right/>
      <top style="thin">
        <color theme="0" tint="-0.14996795556505021"/>
      </top>
      <bottom/>
      <diagonal/>
    </border>
    <border>
      <left/>
      <right/>
      <top style="thin">
        <color theme="0" tint="-0.14996795556505021"/>
      </top>
      <bottom style="thin">
        <color theme="0" tint="-0.14996795556505021"/>
      </bottom>
      <diagonal/>
    </border>
    <border>
      <left/>
      <right/>
      <top style="thin">
        <color theme="0" tint="-0.14996795556505021"/>
      </top>
      <bottom style="thin">
        <color theme="0" tint="-0.14993743705557422"/>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indexed="64"/>
      </top>
      <bottom style="thin">
        <color indexed="64"/>
      </bottom>
      <diagonal/>
    </border>
    <border>
      <left/>
      <right/>
      <top/>
      <bottom style="medium">
        <color indexed="64"/>
      </bottom>
      <diagonal/>
    </border>
    <border>
      <left/>
      <right/>
      <top style="medium">
        <color auto="1"/>
      </top>
      <bottom/>
      <diagonal/>
    </border>
    <border>
      <left/>
      <right/>
      <top/>
      <bottom style="thin">
        <color theme="0" tint="-0.24994659260841701"/>
      </bottom>
      <diagonal/>
    </border>
    <border>
      <left/>
      <right/>
      <top/>
      <bottom style="thin">
        <color theme="0" tint="-0.249977111117893"/>
      </bottom>
      <diagonal/>
    </border>
    <border>
      <left/>
      <right/>
      <top/>
      <bottom style="medium">
        <color theme="1"/>
      </bottom>
      <diagonal/>
    </border>
    <border>
      <left/>
      <right style="thin">
        <color auto="1"/>
      </right>
      <top/>
      <bottom/>
      <diagonal/>
    </border>
    <border>
      <left/>
      <right style="thin">
        <color theme="0"/>
      </right>
      <top/>
      <bottom/>
      <diagonal/>
    </border>
    <border>
      <left style="thin">
        <color theme="0"/>
      </left>
      <right/>
      <top/>
      <bottom/>
      <diagonal/>
    </border>
    <border>
      <left style="thin">
        <color auto="1"/>
      </left>
      <right/>
      <top/>
      <bottom/>
      <diagonal/>
    </border>
    <border>
      <left/>
      <right/>
      <top style="mediumDashDotDot">
        <color rgb="FF7030A0"/>
      </top>
      <bottom/>
      <diagonal/>
    </border>
    <border>
      <left style="medium">
        <color indexed="64"/>
      </left>
      <right style="medium">
        <color indexed="64"/>
      </right>
      <top style="medium">
        <color indexed="64"/>
      </top>
      <bottom style="medium">
        <color indexed="64"/>
      </bottom>
      <diagonal/>
    </border>
    <border>
      <left style="thin">
        <color theme="0"/>
      </left>
      <right/>
      <top style="thin">
        <color indexed="64"/>
      </top>
      <bottom/>
      <diagonal/>
    </border>
    <border>
      <left/>
      <right style="thin">
        <color theme="0"/>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Dashed">
        <color theme="3"/>
      </left>
      <right/>
      <top style="mediumDashed">
        <color theme="3"/>
      </top>
      <bottom/>
      <diagonal/>
    </border>
    <border>
      <left/>
      <right/>
      <top style="mediumDashed">
        <color theme="3"/>
      </top>
      <bottom/>
      <diagonal/>
    </border>
    <border>
      <left/>
      <right style="mediumDashed">
        <color theme="3"/>
      </right>
      <top style="mediumDashed">
        <color theme="3"/>
      </top>
      <bottom/>
      <diagonal/>
    </border>
    <border>
      <left style="mediumDashed">
        <color theme="3"/>
      </left>
      <right/>
      <top/>
      <bottom/>
      <diagonal/>
    </border>
    <border>
      <left/>
      <right style="mediumDashed">
        <color theme="3"/>
      </right>
      <top/>
      <bottom/>
      <diagonal/>
    </border>
    <border>
      <left style="mediumDashed">
        <color theme="3"/>
      </left>
      <right/>
      <top/>
      <bottom style="mediumDashed">
        <color theme="3"/>
      </bottom>
      <diagonal/>
    </border>
    <border>
      <left/>
      <right/>
      <top/>
      <bottom style="mediumDashed">
        <color theme="3"/>
      </bottom>
      <diagonal/>
    </border>
    <border>
      <left/>
      <right style="mediumDashed">
        <color theme="3"/>
      </right>
      <top/>
      <bottom style="mediumDashed">
        <color theme="3"/>
      </bottom>
      <diagonal/>
    </border>
    <border>
      <left style="mediumDashed">
        <color theme="4"/>
      </left>
      <right/>
      <top style="mediumDashed">
        <color theme="4"/>
      </top>
      <bottom/>
      <diagonal/>
    </border>
    <border>
      <left/>
      <right/>
      <top style="mediumDashed">
        <color theme="4"/>
      </top>
      <bottom/>
      <diagonal/>
    </border>
    <border>
      <left/>
      <right style="mediumDashed">
        <color theme="4"/>
      </right>
      <top style="mediumDashed">
        <color theme="4"/>
      </top>
      <bottom/>
      <diagonal/>
    </border>
    <border>
      <left style="mediumDashed">
        <color theme="4"/>
      </left>
      <right/>
      <top/>
      <bottom/>
      <diagonal/>
    </border>
    <border>
      <left/>
      <right style="mediumDashed">
        <color theme="4"/>
      </right>
      <top/>
      <bottom/>
      <diagonal/>
    </border>
    <border>
      <left style="mediumDashed">
        <color theme="4"/>
      </left>
      <right/>
      <top/>
      <bottom style="mediumDashed">
        <color theme="4"/>
      </bottom>
      <diagonal/>
    </border>
    <border>
      <left/>
      <right/>
      <top/>
      <bottom style="mediumDashed">
        <color theme="4"/>
      </bottom>
      <diagonal/>
    </border>
    <border>
      <left/>
      <right style="mediumDashed">
        <color theme="4"/>
      </right>
      <top/>
      <bottom style="mediumDashed">
        <color theme="4"/>
      </bottom>
      <diagonal/>
    </border>
    <border>
      <left style="thin">
        <color auto="1"/>
      </left>
      <right style="thin">
        <color auto="1"/>
      </right>
      <top style="thin">
        <color auto="1"/>
      </top>
      <bottom style="thin">
        <color auto="1"/>
      </bottom>
      <diagonal/>
    </border>
    <border>
      <left style="thin">
        <color rgb="FF004A6A"/>
      </left>
      <right/>
      <top style="thin">
        <color rgb="FF004A6A"/>
      </top>
      <bottom/>
      <diagonal/>
    </border>
    <border>
      <left/>
      <right style="thin">
        <color indexed="59"/>
      </right>
      <top style="thin">
        <color rgb="FF004A6A"/>
      </top>
      <bottom/>
      <diagonal/>
    </border>
    <border>
      <left style="thin">
        <color indexed="64"/>
      </left>
      <right/>
      <top style="thin">
        <color indexed="64"/>
      </top>
      <bottom/>
      <diagonal/>
    </border>
    <border>
      <left style="thin">
        <color rgb="FFFF0000"/>
      </left>
      <right/>
      <top style="thin">
        <color rgb="FFFF0000"/>
      </top>
      <bottom/>
      <diagonal/>
    </border>
    <border>
      <left/>
      <right style="thin">
        <color indexed="64"/>
      </right>
      <top style="thin">
        <color rgb="FF004A6A"/>
      </top>
      <bottom/>
      <diagonal/>
    </border>
    <border>
      <left style="thin">
        <color rgb="FF004A6A"/>
      </left>
      <right/>
      <top/>
      <bottom/>
      <diagonal/>
    </border>
    <border>
      <left/>
      <right style="thin">
        <color indexed="59"/>
      </right>
      <top/>
      <bottom/>
      <diagonal/>
    </border>
    <border>
      <left style="thin">
        <color rgb="FFFF0000"/>
      </left>
      <right style="thin">
        <color rgb="FF004A6A"/>
      </right>
      <top/>
      <bottom style="thin">
        <color rgb="FF004A6A"/>
      </bottom>
      <diagonal/>
    </border>
    <border>
      <left style="thin">
        <color rgb="FF004A6A"/>
      </left>
      <right style="thin">
        <color indexed="64"/>
      </right>
      <top/>
      <bottom style="thin">
        <color rgb="FF004A6A"/>
      </bottom>
      <diagonal/>
    </border>
    <border>
      <left/>
      <right/>
      <top style="thin">
        <color rgb="FF004A6A"/>
      </top>
      <bottom/>
      <diagonal/>
    </border>
    <border>
      <left style="thin">
        <color rgb="FFFF0000"/>
      </left>
      <right style="thin">
        <color rgb="FF004A6A"/>
      </right>
      <top style="thin">
        <color rgb="FF004A6A"/>
      </top>
      <bottom/>
      <diagonal/>
    </border>
    <border>
      <left style="thin">
        <color rgb="FF004A6A"/>
      </left>
      <right style="thin">
        <color indexed="64"/>
      </right>
      <top style="thin">
        <color rgb="FF004A6A"/>
      </top>
      <bottom/>
      <diagonal/>
    </border>
    <border>
      <left style="thin">
        <color rgb="FFFF0000"/>
      </left>
      <right style="thin">
        <color rgb="FF004A6A"/>
      </right>
      <top/>
      <bottom/>
      <diagonal/>
    </border>
    <border>
      <left style="thin">
        <color rgb="FF004A6A"/>
      </left>
      <right style="thin">
        <color indexed="64"/>
      </right>
      <top/>
      <bottom/>
      <diagonal/>
    </border>
    <border>
      <left/>
      <right/>
      <top/>
      <bottom style="thin">
        <color rgb="FF004A6A"/>
      </bottom>
      <diagonal/>
    </border>
    <border>
      <left style="thin">
        <color rgb="FF004A6A"/>
      </left>
      <right/>
      <top/>
      <bottom style="thin">
        <color rgb="FF004A6A"/>
      </bottom>
      <diagonal/>
    </border>
    <border>
      <left style="thin">
        <color rgb="FF004A6A"/>
      </left>
      <right/>
      <top style="thin">
        <color rgb="FF004A6A"/>
      </top>
      <bottom style="thin">
        <color rgb="FF004A6A"/>
      </bottom>
      <diagonal/>
    </border>
    <border>
      <left/>
      <right style="thin">
        <color rgb="FF004A6A"/>
      </right>
      <top style="thin">
        <color rgb="FF004A6A"/>
      </top>
      <bottom style="thin">
        <color rgb="FF004A6A"/>
      </bottom>
      <diagonal/>
    </border>
    <border>
      <left style="thin">
        <color rgb="FFFF0000"/>
      </left>
      <right style="thin">
        <color rgb="FF004A6A"/>
      </right>
      <top/>
      <bottom style="thin">
        <color rgb="FFFF0000"/>
      </bottom>
      <diagonal/>
    </border>
    <border>
      <left/>
      <right style="thin">
        <color indexed="64"/>
      </right>
      <top style="thin">
        <color indexed="64"/>
      </top>
      <bottom/>
      <diagonal/>
    </border>
    <border>
      <left style="thin">
        <color indexed="64"/>
      </left>
      <right style="thin">
        <color indexed="64"/>
      </right>
      <top/>
      <bottom/>
      <diagonal/>
    </border>
    <border>
      <left style="thin">
        <color rgb="FF004A6A"/>
      </left>
      <right style="thin">
        <color rgb="FF004A6A"/>
      </right>
      <top/>
      <bottom/>
      <diagonal/>
    </border>
    <border>
      <left style="thin">
        <color rgb="FF004A6A"/>
      </left>
      <right style="thin">
        <color rgb="FF004A6A"/>
      </right>
      <top style="thin">
        <color rgb="FF004A6A"/>
      </top>
      <bottom/>
      <diagonal/>
    </border>
    <border>
      <left style="thin">
        <color rgb="FF004A6A"/>
      </left>
      <right style="thin">
        <color rgb="FF004A6A"/>
      </right>
      <top/>
      <bottom style="thin">
        <color rgb="FF004A6A"/>
      </bottom>
      <diagonal/>
    </border>
    <border>
      <left style="hair">
        <color auto="1"/>
      </left>
      <right/>
      <top/>
      <bottom/>
      <diagonal/>
    </border>
    <border>
      <left/>
      <right style="hair">
        <color auto="1"/>
      </right>
      <top/>
      <bottom/>
      <diagonal/>
    </border>
    <border>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auto="1"/>
      </left>
      <right/>
      <top style="thin">
        <color auto="1"/>
      </top>
      <bottom style="thin">
        <color auto="1"/>
      </bottom>
      <diagonal/>
    </border>
  </borders>
  <cellStyleXfs count="57">
    <xf numFmtId="0" fontId="0" fillId="0" borderId="0"/>
    <xf numFmtId="0" fontId="5" fillId="0" borderId="0"/>
    <xf numFmtId="0" fontId="10" fillId="0" borderId="0"/>
    <xf numFmtId="0" fontId="11" fillId="0" borderId="0" applyNumberFormat="0" applyFill="0" applyBorder="0" applyAlignment="0" applyProtection="0">
      <alignment vertical="top"/>
      <protection locked="0"/>
    </xf>
    <xf numFmtId="0" fontId="9" fillId="0" borderId="0"/>
    <xf numFmtId="165" fontId="10" fillId="0" borderId="0" applyFont="0" applyFill="0" applyBorder="0" applyAlignment="0" applyProtection="0"/>
    <xf numFmtId="9" fontId="10" fillId="0" borderId="0" applyFont="0" applyFill="0" applyBorder="0" applyAlignment="0" applyProtection="0"/>
    <xf numFmtId="165" fontId="13" fillId="0" borderId="0" applyFont="0" applyFill="0" applyBorder="0" applyAlignment="0" applyProtection="0"/>
    <xf numFmtId="9" fontId="13" fillId="0" borderId="0" applyFont="0" applyFill="0" applyBorder="0" applyAlignment="0" applyProtection="0"/>
    <xf numFmtId="0" fontId="16" fillId="0" borderId="0"/>
    <xf numFmtId="0" fontId="9" fillId="0" borderId="0"/>
    <xf numFmtId="0" fontId="9" fillId="0" borderId="0"/>
    <xf numFmtId="0" fontId="9" fillId="0" borderId="0"/>
    <xf numFmtId="0" fontId="9" fillId="0" borderId="0"/>
    <xf numFmtId="0" fontId="16" fillId="0" borderId="0"/>
    <xf numFmtId="0" fontId="18" fillId="0" borderId="0"/>
    <xf numFmtId="165" fontId="18" fillId="0" borderId="0" applyFont="0" applyFill="0" applyBorder="0" applyAlignment="0" applyProtection="0"/>
    <xf numFmtId="0" fontId="11" fillId="0" borderId="0" applyNumberFormat="0" applyFill="0" applyBorder="0" applyAlignment="0" applyProtection="0">
      <alignment vertical="top"/>
      <protection locked="0"/>
    </xf>
    <xf numFmtId="0" fontId="9" fillId="0" borderId="0"/>
    <xf numFmtId="0" fontId="19" fillId="0" borderId="0"/>
    <xf numFmtId="40" fontId="20" fillId="0" borderId="0" applyFont="0" applyFill="0" applyBorder="0" applyAlignment="0" applyProtection="0"/>
    <xf numFmtId="9" fontId="18"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20"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23" fillId="0" borderId="0" applyFont="0" applyFill="0" applyBorder="0" applyAlignment="0" applyProtection="0"/>
    <xf numFmtId="165" fontId="13" fillId="0" borderId="0" applyFont="0" applyFill="0" applyBorder="0" applyAlignment="0" applyProtection="0"/>
    <xf numFmtId="165" fontId="10" fillId="0" borderId="0" applyFont="0" applyFill="0" applyBorder="0" applyAlignment="0" applyProtection="0"/>
    <xf numFmtId="165" fontId="13" fillId="0" borderId="0" applyFont="0" applyFill="0" applyBorder="0" applyAlignment="0" applyProtection="0"/>
    <xf numFmtId="165" fontId="18" fillId="0" borderId="0" applyFont="0" applyFill="0" applyBorder="0" applyAlignment="0" applyProtection="0"/>
    <xf numFmtId="165" fontId="9" fillId="0" borderId="0" applyFont="0" applyFill="0" applyBorder="0" applyAlignment="0" applyProtection="0"/>
    <xf numFmtId="165" fontId="13" fillId="0" borderId="0" applyFont="0" applyFill="0" applyBorder="0" applyAlignment="0" applyProtection="0"/>
    <xf numFmtId="0" fontId="19" fillId="0" borderId="0" applyFont="0" applyFill="0" applyBorder="0" applyProtection="0">
      <alignment vertical="top"/>
    </xf>
    <xf numFmtId="0" fontId="13" fillId="0" borderId="0"/>
    <xf numFmtId="0" fontId="9" fillId="0" borderId="0"/>
    <xf numFmtId="0" fontId="9" fillId="0" borderId="0"/>
    <xf numFmtId="0" fontId="9" fillId="0" borderId="0" applyNumberFormat="0" applyFill="0" applyBorder="0" applyAlignment="0" applyProtection="0"/>
    <xf numFmtId="0" fontId="24" fillId="0" borderId="0"/>
    <xf numFmtId="0" fontId="48" fillId="0" borderId="0" applyNumberFormat="0" applyFill="0" applyBorder="0" applyAlignment="0" applyProtection="0"/>
    <xf numFmtId="9" fontId="24" fillId="0" borderId="0" applyFont="0" applyFill="0" applyBorder="0" applyAlignment="0" applyProtection="0"/>
    <xf numFmtId="9" fontId="13" fillId="0" borderId="0" applyFont="0" applyFill="0" applyBorder="0" applyAlignment="0" applyProtection="0"/>
    <xf numFmtId="0" fontId="60" fillId="0" borderId="0">
      <alignment vertical="center"/>
      <protection locked="0"/>
    </xf>
    <xf numFmtId="0" fontId="13" fillId="0" borderId="0"/>
    <xf numFmtId="0" fontId="13" fillId="0" borderId="0"/>
    <xf numFmtId="9" fontId="13" fillId="0" borderId="0" applyFont="0" applyFill="0" applyBorder="0" applyAlignment="0" applyProtection="0"/>
    <xf numFmtId="189" fontId="13" fillId="0" borderId="0" applyFont="0" applyFill="0" applyBorder="0" applyAlignment="0" applyProtection="0"/>
    <xf numFmtId="0" fontId="69" fillId="0" borderId="0"/>
    <xf numFmtId="0" fontId="9" fillId="0" borderId="0" applyNumberFormat="0" applyFill="0" applyBorder="0" applyAlignment="0" applyProtection="0"/>
    <xf numFmtId="9" fontId="9" fillId="0" borderId="0" applyFont="0" applyFill="0" applyBorder="0" applyAlignment="0" applyProtection="0"/>
    <xf numFmtId="0" fontId="78" fillId="0" borderId="0"/>
    <xf numFmtId="0" fontId="13" fillId="0" borderId="0"/>
    <xf numFmtId="165" fontId="9" fillId="0" borderId="0" applyFont="0" applyFill="0" applyBorder="0" applyAlignment="0" applyProtection="0"/>
    <xf numFmtId="0" fontId="9" fillId="0" borderId="0"/>
    <xf numFmtId="43" fontId="13" fillId="0" borderId="0" applyFont="0" applyFill="0" applyBorder="0" applyAlignment="0" applyProtection="0"/>
  </cellStyleXfs>
  <cellXfs count="933">
    <xf numFmtId="0" fontId="0" fillId="0" borderId="0" xfId="0"/>
    <xf numFmtId="0" fontId="1" fillId="0" borderId="0" xfId="0" applyFont="1"/>
    <xf numFmtId="2" fontId="1" fillId="0" borderId="0" xfId="0" applyNumberFormat="1" applyFont="1"/>
    <xf numFmtId="0" fontId="3" fillId="0" borderId="0" xfId="0" applyFont="1"/>
    <xf numFmtId="2" fontId="3" fillId="0" borderId="0" xfId="0" applyNumberFormat="1" applyFont="1"/>
    <xf numFmtId="2" fontId="1" fillId="0" borderId="0" xfId="0" quotePrefix="1" applyNumberFormat="1" applyFont="1"/>
    <xf numFmtId="2" fontId="2" fillId="0" borderId="0" xfId="0" applyNumberFormat="1" applyFont="1"/>
    <xf numFmtId="167" fontId="1" fillId="0" borderId="0" xfId="0" applyNumberFormat="1" applyFont="1"/>
    <xf numFmtId="14" fontId="1" fillId="0" borderId="0" xfId="0" applyNumberFormat="1" applyFont="1"/>
    <xf numFmtId="0" fontId="6" fillId="2" borderId="0" xfId="1" applyFont="1" applyFill="1"/>
    <xf numFmtId="0" fontId="6" fillId="2" borderId="0" xfId="1" applyFont="1" applyFill="1" applyAlignment="1">
      <alignment horizontal="right"/>
    </xf>
    <xf numFmtId="169" fontId="6" fillId="2" borderId="0" xfId="1" applyNumberFormat="1" applyFont="1" applyFill="1" applyAlignment="1">
      <alignment horizontal="right"/>
    </xf>
    <xf numFmtId="0" fontId="8" fillId="2" borderId="0" xfId="1" applyFont="1" applyFill="1"/>
    <xf numFmtId="14" fontId="6" fillId="2" borderId="0" xfId="1" applyNumberFormat="1" applyFont="1" applyFill="1"/>
    <xf numFmtId="167" fontId="6" fillId="2" borderId="0" xfId="1" applyNumberFormat="1" applyFont="1" applyFill="1" applyAlignment="1">
      <alignment horizontal="right"/>
    </xf>
    <xf numFmtId="171" fontId="6" fillId="2" borderId="0" xfId="1" applyNumberFormat="1" applyFont="1" applyFill="1" applyAlignment="1">
      <alignment horizontal="right"/>
    </xf>
    <xf numFmtId="2" fontId="6" fillId="2" borderId="0" xfId="1" applyNumberFormat="1" applyFont="1" applyFill="1" applyAlignment="1">
      <alignment horizontal="right"/>
    </xf>
    <xf numFmtId="167" fontId="8" fillId="2" borderId="0" xfId="1" applyNumberFormat="1" applyFont="1" applyFill="1" applyAlignment="1">
      <alignment horizontal="right"/>
    </xf>
    <xf numFmtId="0" fontId="0" fillId="2" borderId="0" xfId="0" applyFill="1"/>
    <xf numFmtId="171" fontId="0" fillId="2" borderId="0" xfId="0" applyNumberFormat="1" applyFill="1"/>
    <xf numFmtId="172" fontId="1" fillId="0" borderId="0" xfId="7" applyNumberFormat="1" applyFont="1"/>
    <xf numFmtId="172" fontId="3" fillId="0" borderId="0" xfId="7" applyNumberFormat="1" applyFont="1"/>
    <xf numFmtId="172" fontId="1" fillId="0" borderId="0" xfId="7" quotePrefix="1" applyNumberFormat="1" applyFont="1"/>
    <xf numFmtId="9" fontId="14" fillId="2" borderId="0" xfId="8" applyFont="1" applyFill="1" applyAlignment="1">
      <alignment horizontal="right"/>
    </xf>
    <xf numFmtId="171" fontId="1" fillId="0" borderId="0" xfId="0" applyNumberFormat="1" applyFont="1"/>
    <xf numFmtId="0" fontId="15" fillId="5" borderId="1" xfId="1" applyFont="1" applyFill="1" applyBorder="1"/>
    <xf numFmtId="170" fontId="15" fillId="5" borderId="1" xfId="1" applyNumberFormat="1" applyFont="1" applyFill="1" applyBorder="1" applyAlignment="1">
      <alignment horizontal="right"/>
    </xf>
    <xf numFmtId="0" fontId="15" fillId="5" borderId="1" xfId="1" applyFont="1" applyFill="1" applyBorder="1" applyAlignment="1">
      <alignment horizontal="right"/>
    </xf>
    <xf numFmtId="9" fontId="6" fillId="2" borderId="0" xfId="8" applyFont="1" applyFill="1" applyAlignment="1">
      <alignment horizontal="right"/>
    </xf>
    <xf numFmtId="14" fontId="0" fillId="0" borderId="0" xfId="0" applyNumberFormat="1"/>
    <xf numFmtId="0" fontId="24" fillId="0" borderId="0" xfId="35" applyFont="1" applyFill="1" applyAlignment="1">
      <alignment horizontal="left"/>
    </xf>
    <xf numFmtId="0" fontId="24" fillId="0" borderId="0" xfId="35" applyFont="1" applyFill="1" applyAlignment="1"/>
    <xf numFmtId="0" fontId="24" fillId="0" borderId="0" xfId="35" applyFont="1" applyFill="1" applyAlignment="1">
      <alignment horizontal="center"/>
    </xf>
    <xf numFmtId="0" fontId="24" fillId="0" borderId="0" xfId="35" applyFont="1" applyFill="1" applyBorder="1" applyAlignment="1">
      <alignment horizontal="center"/>
    </xf>
    <xf numFmtId="0" fontId="25" fillId="11" borderId="0" xfId="35" applyFont="1" applyFill="1" applyAlignment="1">
      <alignment horizontal="left" vertical="center"/>
    </xf>
    <xf numFmtId="0" fontId="26" fillId="11" borderId="0" xfId="35" applyFont="1" applyFill="1" applyAlignment="1"/>
    <xf numFmtId="0" fontId="26" fillId="11" borderId="0" xfId="35" applyFont="1" applyFill="1" applyAlignment="1">
      <alignment horizontal="center"/>
    </xf>
    <xf numFmtId="0" fontId="26" fillId="11" borderId="0" xfId="35" applyFont="1" applyFill="1" applyBorder="1" applyAlignment="1">
      <alignment horizontal="center"/>
    </xf>
    <xf numFmtId="0" fontId="26" fillId="11" borderId="0" xfId="35" applyFont="1" applyFill="1" applyAlignment="1">
      <alignment horizontal="left"/>
    </xf>
    <xf numFmtId="0" fontId="27" fillId="3" borderId="0" xfId="35" applyFont="1" applyFill="1" applyAlignment="1">
      <alignment horizontal="left" vertical="center"/>
    </xf>
    <xf numFmtId="0" fontId="24" fillId="3" borderId="0" xfId="35" applyFont="1" applyFill="1" applyAlignment="1">
      <alignment vertical="center"/>
    </xf>
    <xf numFmtId="0" fontId="24" fillId="3" borderId="0" xfId="35" applyFont="1" applyFill="1" applyAlignment="1">
      <alignment horizontal="center" vertical="center"/>
    </xf>
    <xf numFmtId="0" fontId="24" fillId="3" borderId="0" xfId="35" applyFont="1" applyFill="1" applyBorder="1" applyAlignment="1">
      <alignment horizontal="center" vertical="center"/>
    </xf>
    <xf numFmtId="0" fontId="24" fillId="0" borderId="0" xfId="35" applyFont="1" applyFill="1" applyAlignment="1">
      <alignment vertical="center"/>
    </xf>
    <xf numFmtId="0" fontId="28" fillId="0" borderId="10" xfId="35" applyFont="1" applyFill="1" applyBorder="1" applyAlignment="1">
      <alignment vertical="center"/>
    </xf>
    <xf numFmtId="0" fontId="28" fillId="0" borderId="0" xfId="35" applyFont="1" applyFill="1" applyAlignment="1">
      <alignment vertical="center"/>
    </xf>
    <xf numFmtId="0" fontId="28" fillId="0" borderId="11" xfId="36" applyFont="1" applyBorder="1" applyAlignment="1">
      <alignment vertical="center"/>
    </xf>
    <xf numFmtId="0" fontId="29" fillId="0" borderId="11" xfId="37" applyFont="1" applyBorder="1" applyAlignment="1">
      <alignment vertical="center"/>
    </xf>
    <xf numFmtId="0" fontId="30" fillId="0" borderId="11" xfId="37" applyFont="1" applyBorder="1" applyAlignment="1">
      <alignment horizontal="right" vertical="center"/>
    </xf>
    <xf numFmtId="0" fontId="28" fillId="0" borderId="11" xfId="37" applyFont="1" applyBorder="1" applyAlignment="1">
      <alignment vertical="center"/>
    </xf>
    <xf numFmtId="0" fontId="31" fillId="0" borderId="0" xfId="36" applyFont="1" applyAlignment="1">
      <alignment vertical="center"/>
    </xf>
    <xf numFmtId="0" fontId="28" fillId="0" borderId="0" xfId="36" applyFont="1" applyAlignment="1">
      <alignment vertical="center"/>
    </xf>
    <xf numFmtId="0" fontId="28" fillId="0" borderId="0" xfId="37" applyFont="1" applyAlignment="1">
      <alignment vertical="center"/>
    </xf>
    <xf numFmtId="0" fontId="30" fillId="0" borderId="0" xfId="37" applyFont="1" applyAlignment="1">
      <alignment horizontal="right" vertical="center"/>
    </xf>
    <xf numFmtId="0" fontId="31" fillId="0" borderId="0" xfId="37" applyFont="1" applyAlignment="1">
      <alignment vertical="center"/>
    </xf>
    <xf numFmtId="0" fontId="32" fillId="0" borderId="0" xfId="36" applyFont="1" applyAlignment="1">
      <alignment horizontal="left" vertical="center"/>
    </xf>
    <xf numFmtId="0" fontId="28" fillId="0" borderId="0" xfId="36" applyFont="1" applyAlignment="1">
      <alignment horizontal="left" vertical="center"/>
    </xf>
    <xf numFmtId="0" fontId="28" fillId="0" borderId="0" xfId="36" quotePrefix="1" applyFont="1" applyAlignment="1">
      <alignment vertical="center"/>
    </xf>
    <xf numFmtId="0" fontId="33" fillId="0" borderId="0" xfId="3" applyNumberFormat="1" applyFont="1" applyFill="1" applyBorder="1" applyAlignment="1" applyProtection="1">
      <alignment horizontal="left" vertical="center"/>
    </xf>
    <xf numFmtId="0" fontId="34" fillId="0" borderId="0" xfId="37" applyFont="1" applyAlignment="1">
      <alignment vertical="center"/>
    </xf>
    <xf numFmtId="0" fontId="34" fillId="0" borderId="0" xfId="35" applyFont="1" applyFill="1" applyAlignment="1">
      <alignment vertical="center"/>
    </xf>
    <xf numFmtId="0" fontId="28" fillId="0" borderId="2" xfId="36" applyFont="1" applyBorder="1" applyAlignment="1">
      <alignment vertical="center"/>
    </xf>
    <xf numFmtId="0" fontId="28" fillId="0" borderId="2" xfId="37" applyFont="1" applyBorder="1" applyAlignment="1">
      <alignment vertical="center"/>
    </xf>
    <xf numFmtId="0" fontId="30" fillId="0" borderId="2" xfId="37" applyFont="1" applyBorder="1" applyAlignment="1">
      <alignment horizontal="right" vertical="center"/>
    </xf>
    <xf numFmtId="0" fontId="35" fillId="0" borderId="0" xfId="37" applyFont="1" applyAlignment="1">
      <alignment horizontal="right" vertical="center"/>
    </xf>
    <xf numFmtId="0" fontId="35" fillId="0" borderId="0" xfId="36" applyFont="1" applyAlignment="1">
      <alignment vertical="center"/>
    </xf>
    <xf numFmtId="0" fontId="36" fillId="0" borderId="0" xfId="37" applyFont="1" applyAlignment="1">
      <alignment horizontal="right" vertical="center"/>
    </xf>
    <xf numFmtId="0" fontId="28" fillId="0" borderId="0" xfId="38" applyFont="1" applyAlignment="1">
      <alignment vertical="center"/>
    </xf>
    <xf numFmtId="181" fontId="28" fillId="0" borderId="0" xfId="37" applyNumberFormat="1" applyFont="1" applyAlignment="1">
      <alignment horizontal="right" vertical="center" wrapText="1"/>
    </xf>
    <xf numFmtId="0" fontId="28" fillId="0" borderId="0" xfId="35" applyFont="1" applyFill="1" applyAlignment="1">
      <alignment horizontal="right" vertical="center"/>
    </xf>
    <xf numFmtId="182" fontId="28" fillId="0" borderId="0" xfId="37" applyNumberFormat="1" applyFont="1" applyAlignment="1">
      <alignment horizontal="right" vertical="center" wrapText="1"/>
    </xf>
    <xf numFmtId="0" fontId="37" fillId="0" borderId="0" xfId="35" applyFont="1" applyFill="1" applyAlignment="1">
      <alignment horizontal="right" vertical="center"/>
    </xf>
    <xf numFmtId="171" fontId="28" fillId="0" borderId="0" xfId="37" applyNumberFormat="1" applyFont="1" applyAlignment="1">
      <alignment horizontal="right" vertical="center" wrapText="1"/>
    </xf>
    <xf numFmtId="0" fontId="34" fillId="0" borderId="0" xfId="35" applyFont="1" applyFill="1" applyAlignment="1">
      <alignment horizontal="right" vertical="center"/>
    </xf>
    <xf numFmtId="0" fontId="38" fillId="0" borderId="0" xfId="35" applyFont="1" applyFill="1" applyAlignment="1">
      <alignment horizontal="right" vertical="center"/>
    </xf>
    <xf numFmtId="0" fontId="32" fillId="0" borderId="0" xfId="37" applyFont="1" applyAlignment="1">
      <alignment vertical="center"/>
    </xf>
    <xf numFmtId="171" fontId="32" fillId="0" borderId="0" xfId="37" applyNumberFormat="1" applyFont="1" applyAlignment="1">
      <alignment horizontal="right" vertical="center" wrapText="1"/>
    </xf>
    <xf numFmtId="0" fontId="28" fillId="0" borderId="0" xfId="36" applyFont="1" applyAlignment="1">
      <alignment horizontal="right" vertical="center"/>
    </xf>
    <xf numFmtId="183" fontId="39" fillId="0" borderId="0" xfId="35" applyNumberFormat="1" applyFont="1" applyBorder="1" applyAlignment="1">
      <alignment horizontal="right" vertical="center"/>
    </xf>
    <xf numFmtId="183" fontId="28" fillId="0" borderId="0" xfId="35" applyNumberFormat="1" applyFont="1" applyBorder="1" applyAlignment="1">
      <alignment horizontal="right" vertical="center"/>
    </xf>
    <xf numFmtId="0" fontId="40" fillId="0" borderId="0" xfId="35" applyFont="1" applyBorder="1" applyAlignment="1">
      <alignment horizontal="right" vertical="center"/>
    </xf>
    <xf numFmtId="0" fontId="28" fillId="0" borderId="0" xfId="35" applyFont="1" applyFill="1" applyAlignment="1"/>
    <xf numFmtId="0" fontId="1" fillId="0" borderId="0" xfId="0" applyFont="1" applyAlignment="1">
      <alignment horizontal="center"/>
    </xf>
    <xf numFmtId="15" fontId="1" fillId="0" borderId="0" xfId="0" applyNumberFormat="1" applyFont="1" applyAlignment="1">
      <alignment horizontal="center"/>
    </xf>
    <xf numFmtId="0" fontId="24" fillId="0" borderId="0" xfId="40"/>
    <xf numFmtId="0" fontId="24" fillId="0" borderId="0" xfId="40" applyAlignment="1">
      <alignment horizontal="left"/>
    </xf>
    <xf numFmtId="0" fontId="24" fillId="0" borderId="0" xfId="40" applyAlignment="1">
      <alignment horizontal="center"/>
    </xf>
    <xf numFmtId="0" fontId="45" fillId="12" borderId="0" xfId="40" applyFont="1" applyFill="1" applyAlignment="1">
      <alignment horizontal="left" vertical="center"/>
    </xf>
    <xf numFmtId="0" fontId="26" fillId="12" borderId="0" xfId="40" applyFont="1" applyFill="1"/>
    <xf numFmtId="0" fontId="26" fillId="12" borderId="0" xfId="40" applyFont="1" applyFill="1" applyAlignment="1">
      <alignment horizontal="center"/>
    </xf>
    <xf numFmtId="0" fontId="26" fillId="12" borderId="0" xfId="40" applyFont="1" applyFill="1" applyAlignment="1">
      <alignment horizontal="left"/>
    </xf>
    <xf numFmtId="0" fontId="46" fillId="0" borderId="0" xfId="40" applyFont="1" applyAlignment="1">
      <alignment vertical="center"/>
    </xf>
    <xf numFmtId="0" fontId="47" fillId="13" borderId="0" xfId="40" applyFont="1" applyFill="1" applyAlignment="1">
      <alignment horizontal="left" vertical="center"/>
    </xf>
    <xf numFmtId="0" fontId="40" fillId="13" borderId="0" xfId="40" applyFont="1" applyFill="1" applyAlignment="1">
      <alignment vertical="center"/>
    </xf>
    <xf numFmtId="0" fontId="40" fillId="13" borderId="0" xfId="40" applyFont="1" applyFill="1" applyAlignment="1">
      <alignment horizontal="center" vertical="center"/>
    </xf>
    <xf numFmtId="0" fontId="24" fillId="0" borderId="0" xfId="40" applyAlignment="1">
      <alignment vertical="center"/>
    </xf>
    <xf numFmtId="0" fontId="28" fillId="0" borderId="0" xfId="40" applyFont="1" applyAlignment="1">
      <alignment vertical="center"/>
    </xf>
    <xf numFmtId="0" fontId="28" fillId="0" borderId="10" xfId="40" applyFont="1" applyBorder="1" applyAlignment="1">
      <alignment vertical="center"/>
    </xf>
    <xf numFmtId="0" fontId="28" fillId="0" borderId="0" xfId="37" applyFont="1" applyAlignment="1">
      <alignment horizontal="right" vertical="center"/>
    </xf>
    <xf numFmtId="0" fontId="32" fillId="0" borderId="0" xfId="36" quotePrefix="1" applyFont="1" applyAlignment="1">
      <alignment vertical="center"/>
    </xf>
    <xf numFmtId="0" fontId="34" fillId="0" borderId="0" xfId="40" applyFont="1" applyAlignment="1">
      <alignment vertical="center"/>
    </xf>
    <xf numFmtId="0" fontId="34" fillId="0" borderId="12" xfId="40" applyFont="1" applyBorder="1" applyAlignment="1">
      <alignment vertical="center"/>
    </xf>
    <xf numFmtId="0" fontId="34" fillId="0" borderId="12" xfId="37" applyFont="1" applyBorder="1" applyAlignment="1">
      <alignment vertical="center"/>
    </xf>
    <xf numFmtId="0" fontId="33" fillId="0" borderId="12" xfId="41" applyNumberFormat="1" applyFont="1" applyFill="1" applyBorder="1" applyAlignment="1" applyProtection="1">
      <alignment horizontal="left" vertical="center"/>
    </xf>
    <xf numFmtId="0" fontId="28" fillId="0" borderId="0" xfId="40" applyFont="1" applyAlignment="1">
      <alignment horizontal="right" vertical="center"/>
    </xf>
    <xf numFmtId="171" fontId="28" fillId="0" borderId="0" xfId="42" applyNumberFormat="1" applyFont="1" applyAlignment="1">
      <alignment horizontal="right" vertical="center" wrapText="1"/>
    </xf>
    <xf numFmtId="0" fontId="37" fillId="0" borderId="0" xfId="40" applyFont="1" applyAlignment="1">
      <alignment horizontal="right" vertical="center"/>
    </xf>
    <xf numFmtId="184" fontId="28" fillId="0" borderId="0" xfId="37" applyNumberFormat="1" applyFont="1" applyAlignment="1">
      <alignment horizontal="right" vertical="center" wrapText="1"/>
    </xf>
    <xf numFmtId="0" fontId="34" fillId="0" borderId="0" xfId="40" applyFont="1" applyAlignment="1">
      <alignment horizontal="right" vertical="center"/>
    </xf>
    <xf numFmtId="0" fontId="49" fillId="0" borderId="0" xfId="40" applyFont="1" applyAlignment="1">
      <alignment horizontal="right" vertical="center"/>
    </xf>
    <xf numFmtId="0" fontId="38" fillId="0" borderId="0" xfId="40" applyFont="1" applyAlignment="1">
      <alignment horizontal="right" vertical="center"/>
    </xf>
    <xf numFmtId="184" fontId="28" fillId="0" borderId="0" xfId="42" applyNumberFormat="1" applyFont="1" applyAlignment="1">
      <alignment horizontal="right" vertical="center" wrapText="1"/>
    </xf>
    <xf numFmtId="0" fontId="50" fillId="0" borderId="0" xfId="40" applyFont="1" applyAlignment="1">
      <alignment horizontal="right" vertical="center"/>
    </xf>
    <xf numFmtId="0" fontId="32" fillId="0" borderId="13" xfId="37" applyFont="1" applyBorder="1" applyAlignment="1">
      <alignment vertical="center"/>
    </xf>
    <xf numFmtId="0" fontId="28" fillId="0" borderId="13" xfId="36" applyFont="1" applyBorder="1" applyAlignment="1">
      <alignment vertical="center"/>
    </xf>
    <xf numFmtId="171" fontId="32" fillId="0" borderId="13" xfId="37" applyNumberFormat="1" applyFont="1" applyBorder="1" applyAlignment="1">
      <alignment horizontal="right" vertical="center" wrapText="1"/>
    </xf>
    <xf numFmtId="0" fontId="28" fillId="0" borderId="13" xfId="40" applyFont="1" applyBorder="1" applyAlignment="1">
      <alignment vertical="center"/>
    </xf>
    <xf numFmtId="0" fontId="28" fillId="0" borderId="13" xfId="38" applyFont="1" applyBorder="1" applyAlignment="1">
      <alignment vertical="center"/>
    </xf>
    <xf numFmtId="171" fontId="28" fillId="0" borderId="13" xfId="37" applyNumberFormat="1" applyFont="1" applyBorder="1" applyAlignment="1">
      <alignment horizontal="right" vertical="center" wrapText="1"/>
    </xf>
    <xf numFmtId="0" fontId="28" fillId="0" borderId="13" xfId="37" applyFont="1" applyBorder="1" applyAlignment="1">
      <alignment vertical="center"/>
    </xf>
    <xf numFmtId="0" fontId="28" fillId="0" borderId="13" xfId="36" applyFont="1" applyBorder="1" applyAlignment="1">
      <alignment horizontal="right" vertical="center"/>
    </xf>
    <xf numFmtId="185" fontId="51" fillId="0" borderId="0" xfId="40" applyNumberFormat="1" applyFont="1" applyAlignment="1">
      <alignment horizontal="right" vertical="center"/>
    </xf>
    <xf numFmtId="0" fontId="48" fillId="0" borderId="0" xfId="41" applyAlignment="1">
      <alignment horizontal="right" vertical="center"/>
    </xf>
    <xf numFmtId="186" fontId="51" fillId="0" borderId="0" xfId="40" applyNumberFormat="1" applyFont="1" applyAlignment="1">
      <alignment horizontal="right" vertical="center"/>
    </xf>
    <xf numFmtId="0" fontId="32" fillId="0" borderId="0" xfId="40" applyFont="1" applyAlignment="1">
      <alignment vertical="center"/>
    </xf>
    <xf numFmtId="0" fontId="28" fillId="0" borderId="14" xfId="36" applyFont="1" applyBorder="1" applyAlignment="1">
      <alignment vertical="center"/>
    </xf>
    <xf numFmtId="0" fontId="29" fillId="0" borderId="14" xfId="37" applyFont="1" applyBorder="1" applyAlignment="1">
      <alignment vertical="center"/>
    </xf>
    <xf numFmtId="0" fontId="30" fillId="0" borderId="14" xfId="37" applyFont="1" applyBorder="1" applyAlignment="1">
      <alignment horizontal="right" vertical="center"/>
    </xf>
    <xf numFmtId="0" fontId="28" fillId="0" borderId="14" xfId="37" applyFont="1" applyBorder="1" applyAlignment="1">
      <alignment vertical="center"/>
    </xf>
    <xf numFmtId="0" fontId="28" fillId="0" borderId="0" xfId="40" applyFont="1"/>
    <xf numFmtId="0" fontId="44" fillId="10" borderId="0" xfId="0" applyFont="1" applyFill="1"/>
    <xf numFmtId="1" fontId="1" fillId="0" borderId="0" xfId="0" applyNumberFormat="1" applyFont="1" applyAlignment="1">
      <alignment horizontal="center" vertical="center"/>
    </xf>
    <xf numFmtId="175" fontId="1" fillId="0" borderId="0" xfId="0" applyNumberFormat="1" applyFont="1"/>
    <xf numFmtId="3" fontId="53" fillId="0" borderId="0" xfId="0" applyNumberFormat="1" applyFont="1"/>
    <xf numFmtId="1" fontId="1" fillId="0" borderId="0" xfId="0" applyNumberFormat="1" applyFont="1" applyAlignment="1">
      <alignment horizontal="left" vertical="center" indent="1"/>
    </xf>
    <xf numFmtId="175" fontId="53" fillId="0" borderId="0" xfId="0" applyNumberFormat="1" applyFont="1"/>
    <xf numFmtId="175" fontId="42" fillId="0" borderId="0" xfId="0" applyNumberFormat="1" applyFont="1"/>
    <xf numFmtId="3" fontId="1" fillId="0" borderId="0" xfId="0" applyNumberFormat="1" applyFont="1"/>
    <xf numFmtId="0" fontId="1" fillId="0" borderId="0" xfId="0" applyFont="1" applyAlignment="1">
      <alignment horizontal="left" indent="1"/>
    </xf>
    <xf numFmtId="0" fontId="1" fillId="2" borderId="0" xfId="0" applyFont="1" applyFill="1"/>
    <xf numFmtId="17" fontId="1" fillId="0" borderId="0" xfId="0" applyNumberFormat="1" applyFont="1" applyAlignment="1">
      <alignment horizontal="center"/>
    </xf>
    <xf numFmtId="3" fontId="54" fillId="3" borderId="0" xfId="0" applyNumberFormat="1" applyFont="1" applyFill="1"/>
    <xf numFmtId="3" fontId="42" fillId="0" borderId="0" xfId="0" applyNumberFormat="1" applyFont="1"/>
    <xf numFmtId="171" fontId="14" fillId="2" borderId="0" xfId="8" applyNumberFormat="1" applyFont="1" applyFill="1" applyAlignment="1">
      <alignment horizontal="right"/>
    </xf>
    <xf numFmtId="0" fontId="24" fillId="0" borderId="0" xfId="45" applyFont="1" applyAlignment="1">
      <alignment horizontal="center" vertical="center"/>
    </xf>
    <xf numFmtId="0" fontId="63" fillId="0" borderId="0" xfId="44" applyFont="1" applyProtection="1">
      <alignment vertical="center"/>
    </xf>
    <xf numFmtId="0" fontId="64" fillId="0" borderId="0" xfId="45" applyFont="1" applyAlignment="1">
      <alignment vertical="center"/>
    </xf>
    <xf numFmtId="0" fontId="66" fillId="0" borderId="0" xfId="44" applyFont="1" applyProtection="1">
      <alignment vertical="center"/>
    </xf>
    <xf numFmtId="167" fontId="0" fillId="0" borderId="0" xfId="0" applyNumberFormat="1"/>
    <xf numFmtId="0" fontId="12" fillId="11" borderId="0" xfId="0" applyFont="1" applyFill="1" applyAlignment="1">
      <alignment horizontal="center" vertical="center"/>
    </xf>
    <xf numFmtId="0" fontId="12" fillId="11" borderId="0" xfId="0" applyFont="1" applyFill="1"/>
    <xf numFmtId="0" fontId="12" fillId="0" borderId="0" xfId="0" applyFont="1" applyAlignment="1">
      <alignment horizontal="center" vertical="center"/>
    </xf>
    <xf numFmtId="0" fontId="67" fillId="0" borderId="0" xfId="0" applyFont="1" applyAlignment="1">
      <alignment horizontal="left" vertical="center"/>
    </xf>
    <xf numFmtId="188" fontId="65" fillId="15" borderId="0" xfId="44" applyNumberFormat="1" applyFont="1" applyFill="1" applyAlignment="1" applyProtection="1">
      <alignment horizontal="center" vertical="center"/>
    </xf>
    <xf numFmtId="0" fontId="0" fillId="0" borderId="0" xfId="0" applyAlignment="1">
      <alignment vertical="center"/>
    </xf>
    <xf numFmtId="0" fontId="0" fillId="0" borderId="0" xfId="0" applyAlignment="1">
      <alignment horizontal="left" vertical="center" indent="1"/>
    </xf>
    <xf numFmtId="175" fontId="0" fillId="0" borderId="0" xfId="0" applyNumberFormat="1" applyAlignment="1">
      <alignment horizontal="right" vertical="center"/>
    </xf>
    <xf numFmtId="171" fontId="0" fillId="0" borderId="0" xfId="0" applyNumberFormat="1" applyAlignment="1">
      <alignment horizontal="right" vertical="center"/>
    </xf>
    <xf numFmtId="10" fontId="54" fillId="3" borderId="0" xfId="0" applyNumberFormat="1" applyFont="1" applyFill="1"/>
    <xf numFmtId="171" fontId="42" fillId="0" borderId="0" xfId="0" applyNumberFormat="1" applyFont="1"/>
    <xf numFmtId="175" fontId="54" fillId="3" borderId="0" xfId="0" applyNumberFormat="1" applyFont="1" applyFill="1"/>
    <xf numFmtId="1" fontId="1" fillId="0" borderId="0" xfId="0" applyNumberFormat="1" applyFont="1" applyAlignment="1">
      <alignment horizontal="left" vertical="center" indent="2"/>
    </xf>
    <xf numFmtId="1" fontId="1" fillId="0" borderId="0" xfId="0" applyNumberFormat="1" applyFont="1" applyAlignment="1">
      <alignment horizontal="left" vertical="center" indent="3"/>
    </xf>
    <xf numFmtId="0" fontId="3" fillId="0" borderId="0" xfId="0" applyFont="1" applyAlignment="1">
      <alignment horizontal="center"/>
    </xf>
    <xf numFmtId="0" fontId="44" fillId="10" borderId="0" xfId="0" applyFont="1" applyFill="1" applyAlignment="1">
      <alignment horizontal="center"/>
    </xf>
    <xf numFmtId="0" fontId="4" fillId="0" borderId="0" xfId="0" applyFont="1" applyAlignment="1">
      <alignment horizontal="center"/>
    </xf>
    <xf numFmtId="0" fontId="1" fillId="0" borderId="0" xfId="0" quotePrefix="1" applyFont="1" applyAlignment="1">
      <alignment horizontal="center"/>
    </xf>
    <xf numFmtId="0" fontId="68" fillId="0" borderId="0" xfId="0" applyFont="1"/>
    <xf numFmtId="0" fontId="68" fillId="0" borderId="0" xfId="0" applyFont="1" applyAlignment="1">
      <alignment horizontal="center"/>
    </xf>
    <xf numFmtId="0" fontId="1" fillId="0" borderId="0" xfId="0" applyFont="1" applyAlignment="1">
      <alignment horizontal="left"/>
    </xf>
    <xf numFmtId="0" fontId="43" fillId="0" borderId="0" xfId="0" applyFont="1" applyAlignment="1">
      <alignment horizontal="center"/>
    </xf>
    <xf numFmtId="0" fontId="42" fillId="0" borderId="0" xfId="0" applyFont="1"/>
    <xf numFmtId="0" fontId="42" fillId="0" borderId="0" xfId="0" applyFont="1" applyAlignment="1">
      <alignment horizontal="center"/>
    </xf>
    <xf numFmtId="0" fontId="42" fillId="0" borderId="0" xfId="39" applyFont="1" applyFill="1" applyBorder="1" applyAlignment="1">
      <alignment horizontal="center" vertical="center"/>
    </xf>
    <xf numFmtId="0" fontId="1" fillId="11" borderId="0" xfId="0" applyFont="1" applyFill="1" applyAlignment="1">
      <alignment horizontal="center"/>
    </xf>
    <xf numFmtId="0" fontId="43" fillId="11" borderId="0" xfId="0" applyFont="1" applyFill="1" applyAlignment="1">
      <alignment horizontal="left"/>
    </xf>
    <xf numFmtId="0" fontId="1" fillId="11" borderId="0" xfId="0" applyFont="1" applyFill="1" applyAlignment="1">
      <alignment horizontal="left"/>
    </xf>
    <xf numFmtId="0" fontId="1" fillId="10" borderId="0" xfId="0" applyFont="1" applyFill="1"/>
    <xf numFmtId="0" fontId="43" fillId="10" borderId="0" xfId="0" applyFont="1" applyFill="1"/>
    <xf numFmtId="0" fontId="43" fillId="0" borderId="0" xfId="39" applyFont="1" applyFill="1" applyBorder="1" applyAlignment="1">
      <alignment horizontal="center" vertical="center"/>
    </xf>
    <xf numFmtId="0" fontId="41" fillId="0" borderId="0" xfId="39" applyFont="1" applyFill="1" applyBorder="1" applyAlignment="1">
      <alignment horizontal="center" vertical="center"/>
    </xf>
    <xf numFmtId="2" fontId="68" fillId="0" borderId="0" xfId="0" applyNumberFormat="1" applyFont="1" applyAlignment="1">
      <alignment horizontal="center"/>
    </xf>
    <xf numFmtId="0" fontId="42" fillId="0" borderId="0" xfId="0" applyFont="1" applyAlignment="1">
      <alignment horizontal="left" indent="1"/>
    </xf>
    <xf numFmtId="1" fontId="1" fillId="0" borderId="0" xfId="0" applyNumberFormat="1" applyFont="1" applyAlignment="1">
      <alignment horizontal="left" vertical="center" indent="4"/>
    </xf>
    <xf numFmtId="1" fontId="4" fillId="0" borderId="0" xfId="0" applyNumberFormat="1" applyFont="1" applyAlignment="1">
      <alignment horizontal="left" vertical="center" indent="1"/>
    </xf>
    <xf numFmtId="1" fontId="52" fillId="0" borderId="0" xfId="0" applyNumberFormat="1" applyFont="1" applyAlignment="1">
      <alignment horizontal="left" vertical="center"/>
    </xf>
    <xf numFmtId="1" fontId="4" fillId="0" borderId="0" xfId="0" applyNumberFormat="1" applyFont="1" applyAlignment="1">
      <alignment horizontal="left" vertical="center" indent="2"/>
    </xf>
    <xf numFmtId="175" fontId="42" fillId="3" borderId="0" xfId="0" applyNumberFormat="1" applyFont="1" applyFill="1"/>
    <xf numFmtId="1" fontId="1" fillId="0" borderId="0" xfId="0" applyNumberFormat="1" applyFont="1" applyAlignment="1">
      <alignment horizontal="left" vertical="center" indent="5"/>
    </xf>
    <xf numFmtId="0" fontId="3" fillId="0" borderId="0" xfId="0" applyFont="1" applyAlignment="1">
      <alignment horizontal="left" indent="1"/>
    </xf>
    <xf numFmtId="10" fontId="54" fillId="0" borderId="0" xfId="0" applyNumberFormat="1" applyFont="1"/>
    <xf numFmtId="171" fontId="54" fillId="3" borderId="0" xfId="0" applyNumberFormat="1" applyFont="1" applyFill="1"/>
    <xf numFmtId="0" fontId="1" fillId="0" borderId="0" xfId="0" applyFont="1" applyAlignment="1">
      <alignment horizontal="left" indent="2"/>
    </xf>
    <xf numFmtId="190" fontId="53" fillId="0" borderId="0" xfId="0" applyNumberFormat="1" applyFont="1"/>
    <xf numFmtId="171" fontId="53" fillId="0" borderId="0" xfId="0" applyNumberFormat="1" applyFont="1"/>
    <xf numFmtId="0" fontId="1" fillId="14" borderId="0" xfId="0" applyFont="1" applyFill="1"/>
    <xf numFmtId="0" fontId="43" fillId="14" borderId="0" xfId="0" applyFont="1" applyFill="1" applyAlignment="1">
      <alignment horizontal="left"/>
    </xf>
    <xf numFmtId="0" fontId="43" fillId="14" borderId="0" xfId="0" applyFont="1" applyFill="1" applyAlignment="1">
      <alignment horizontal="center"/>
    </xf>
    <xf numFmtId="0" fontId="43" fillId="14" borderId="9" xfId="39" applyFont="1" applyFill="1" applyBorder="1" applyAlignment="1">
      <alignment horizontal="center" vertical="center"/>
    </xf>
    <xf numFmtId="172" fontId="41" fillId="0" borderId="0" xfId="0" applyNumberFormat="1" applyFont="1"/>
    <xf numFmtId="0" fontId="41" fillId="0" borderId="0" xfId="0" applyFont="1"/>
    <xf numFmtId="1" fontId="41" fillId="0" borderId="0" xfId="0" applyNumberFormat="1" applyFont="1" applyAlignment="1">
      <alignment horizontal="center" vertical="center"/>
    </xf>
    <xf numFmtId="172" fontId="41" fillId="0" borderId="0" xfId="7" applyNumberFormat="1" applyFont="1" applyFill="1"/>
    <xf numFmtId="175" fontId="41" fillId="0" borderId="0" xfId="7" applyNumberFormat="1" applyFont="1" applyFill="1"/>
    <xf numFmtId="171" fontId="41" fillId="0" borderId="0" xfId="0" applyNumberFormat="1" applyFont="1"/>
    <xf numFmtId="0" fontId="43" fillId="0" borderId="0" xfId="0" applyFont="1" applyAlignment="1">
      <alignment horizontal="left"/>
    </xf>
    <xf numFmtId="0" fontId="4" fillId="0" borderId="0" xfId="0" applyFont="1" applyAlignment="1">
      <alignment horizontal="left" indent="1"/>
    </xf>
    <xf numFmtId="175" fontId="55" fillId="0" borderId="0" xfId="7" applyNumberFormat="1" applyFont="1" applyFill="1"/>
    <xf numFmtId="175" fontId="53" fillId="0" borderId="0" xfId="7" applyNumberFormat="1" applyFont="1" applyFill="1"/>
    <xf numFmtId="0" fontId="1" fillId="0" borderId="0" xfId="0" applyFont="1" applyAlignment="1">
      <alignment horizontal="left" indent="3"/>
    </xf>
    <xf numFmtId="0" fontId="41" fillId="0" borderId="0" xfId="0" applyFont="1" applyAlignment="1">
      <alignment horizontal="left" indent="2"/>
    </xf>
    <xf numFmtId="0" fontId="42" fillId="0" borderId="0" xfId="0" applyFont="1" applyAlignment="1">
      <alignment horizontal="left" indent="3"/>
    </xf>
    <xf numFmtId="172" fontId="41" fillId="0" borderId="0" xfId="7" applyNumberFormat="1" applyFont="1" applyFill="1" applyBorder="1"/>
    <xf numFmtId="175" fontId="41" fillId="0" borderId="0" xfId="7" applyNumberFormat="1" applyFont="1" applyFill="1" applyBorder="1"/>
    <xf numFmtId="175" fontId="42" fillId="0" borderId="0" xfId="7" applyNumberFormat="1" applyFont="1" applyFill="1"/>
    <xf numFmtId="171" fontId="42" fillId="0" borderId="0" xfId="7" applyNumberFormat="1" applyFont="1" applyFill="1" applyBorder="1"/>
    <xf numFmtId="0" fontId="1" fillId="0" borderId="0" xfId="0" applyFont="1" applyAlignment="1">
      <alignment horizontal="left" indent="4"/>
    </xf>
    <xf numFmtId="175" fontId="68" fillId="0" borderId="0" xfId="7" applyNumberFormat="1" applyFont="1" applyFill="1"/>
    <xf numFmtId="0" fontId="43" fillId="10" borderId="0" xfId="0" applyFont="1" applyFill="1" applyAlignment="1">
      <alignment horizontal="left"/>
    </xf>
    <xf numFmtId="0" fontId="43" fillId="10" borderId="0" xfId="0" applyFont="1" applyFill="1" applyAlignment="1">
      <alignment horizontal="center"/>
    </xf>
    <xf numFmtId="0" fontId="43" fillId="10" borderId="9" xfId="39" applyFont="1" applyFill="1" applyBorder="1" applyAlignment="1">
      <alignment horizontal="center" vertical="center"/>
    </xf>
    <xf numFmtId="0" fontId="1" fillId="0" borderId="0" xfId="0" quotePrefix="1" applyFont="1" applyAlignment="1">
      <alignment horizontal="right"/>
    </xf>
    <xf numFmtId="175" fontId="41" fillId="0" borderId="0" xfId="0" applyNumberFormat="1" applyFont="1"/>
    <xf numFmtId="3" fontId="55" fillId="0" borderId="0" xfId="0" applyNumberFormat="1" applyFont="1"/>
    <xf numFmtId="0" fontId="1" fillId="0" borderId="0" xfId="0" quotePrefix="1" applyFont="1" applyAlignment="1">
      <alignment horizontal="left" indent="2"/>
    </xf>
    <xf numFmtId="0" fontId="3" fillId="0" borderId="0" xfId="0" applyFont="1" applyAlignment="1">
      <alignment horizontal="left" indent="2"/>
    </xf>
    <xf numFmtId="0" fontId="68" fillId="0" borderId="0" xfId="0" applyFont="1" applyAlignment="1">
      <alignment horizontal="left" indent="3"/>
    </xf>
    <xf numFmtId="172" fontId="68" fillId="0" borderId="0" xfId="7" applyNumberFormat="1" applyFont="1"/>
    <xf numFmtId="2" fontId="68" fillId="0" borderId="0" xfId="0" applyNumberFormat="1" applyFont="1"/>
    <xf numFmtId="2" fontId="43" fillId="11" borderId="2" xfId="39" applyNumberFormat="1" applyFont="1" applyFill="1" applyBorder="1" applyAlignment="1">
      <alignment horizontal="center" vertical="center"/>
    </xf>
    <xf numFmtId="181" fontId="1" fillId="0" borderId="0" xfId="0" applyNumberFormat="1" applyFont="1"/>
    <xf numFmtId="164" fontId="42" fillId="0" borderId="0" xfId="0" applyNumberFormat="1" applyFont="1"/>
    <xf numFmtId="0" fontId="4" fillId="0" borderId="0" xfId="0" applyFont="1"/>
    <xf numFmtId="171" fontId="54" fillId="0" borderId="0" xfId="0" applyNumberFormat="1" applyFont="1"/>
    <xf numFmtId="0" fontId="42" fillId="0" borderId="0" xfId="0" applyFont="1" applyAlignment="1">
      <alignment horizontal="left" indent="2"/>
    </xf>
    <xf numFmtId="167" fontId="3" fillId="0" borderId="0" xfId="0" applyNumberFormat="1" applyFont="1"/>
    <xf numFmtId="167" fontId="53" fillId="0" borderId="0" xfId="0" applyNumberFormat="1" applyFont="1"/>
    <xf numFmtId="2" fontId="53" fillId="0" borderId="0" xfId="0" applyNumberFormat="1" applyFont="1"/>
    <xf numFmtId="167" fontId="55" fillId="0" borderId="0" xfId="0" applyNumberFormat="1" applyFont="1"/>
    <xf numFmtId="0" fontId="1" fillId="0" borderId="0" xfId="0" quotePrefix="1" applyFont="1"/>
    <xf numFmtId="167" fontId="42" fillId="0" borderId="0" xfId="0" applyNumberFormat="1" applyFont="1"/>
    <xf numFmtId="190" fontId="42" fillId="0" borderId="0" xfId="0" applyNumberFormat="1" applyFont="1"/>
    <xf numFmtId="181" fontId="54" fillId="3" borderId="0" xfId="0" applyNumberFormat="1" applyFont="1" applyFill="1"/>
    <xf numFmtId="0" fontId="3" fillId="0" borderId="0" xfId="0" applyFont="1" applyAlignment="1">
      <alignment horizontal="left" indent="3"/>
    </xf>
    <xf numFmtId="2" fontId="43" fillId="11" borderId="16" xfId="39" applyNumberFormat="1" applyFont="1" applyFill="1" applyBorder="1" applyAlignment="1">
      <alignment horizontal="center" vertical="center"/>
    </xf>
    <xf numFmtId="0" fontId="43" fillId="11" borderId="16" xfId="39" applyFont="1" applyFill="1" applyBorder="1" applyAlignment="1">
      <alignment horizontal="center" vertical="center"/>
    </xf>
    <xf numFmtId="0" fontId="43" fillId="11" borderId="17" xfId="39" applyFont="1" applyFill="1" applyBorder="1" applyAlignment="1">
      <alignment horizontal="center" vertical="center"/>
    </xf>
    <xf numFmtId="17" fontId="1" fillId="0" borderId="18" xfId="0" applyNumberFormat="1" applyFont="1" applyBorder="1" applyAlignment="1">
      <alignment horizontal="center"/>
    </xf>
    <xf numFmtId="17" fontId="1" fillId="0" borderId="15" xfId="0" applyNumberFormat="1" applyFont="1" applyBorder="1" applyAlignment="1">
      <alignment horizontal="center"/>
    </xf>
    <xf numFmtId="0" fontId="6" fillId="4" borderId="0" xfId="1" applyFont="1" applyFill="1"/>
    <xf numFmtId="167" fontId="70" fillId="2" borderId="0" xfId="1" applyNumberFormat="1" applyFont="1" applyFill="1" applyAlignment="1">
      <alignment horizontal="right"/>
    </xf>
    <xf numFmtId="0" fontId="70" fillId="2" borderId="0" xfId="1" applyFont="1" applyFill="1"/>
    <xf numFmtId="0" fontId="6" fillId="0" borderId="0" xfId="1" applyFont="1"/>
    <xf numFmtId="0" fontId="6" fillId="2" borderId="0" xfId="1" applyFont="1" applyFill="1" applyAlignment="1">
      <alignment horizontal="left" indent="1"/>
    </xf>
    <xf numFmtId="175" fontId="6" fillId="2" borderId="0" xfId="1" applyNumberFormat="1" applyFont="1" applyFill="1" applyAlignment="1">
      <alignment horizontal="right"/>
    </xf>
    <xf numFmtId="181" fontId="6" fillId="2" borderId="0" xfId="1" applyNumberFormat="1" applyFont="1" applyFill="1" applyAlignment="1">
      <alignment horizontal="right"/>
    </xf>
    <xf numFmtId="175" fontId="54" fillId="0" borderId="0" xfId="0" applyNumberFormat="1" applyFont="1"/>
    <xf numFmtId="1" fontId="71" fillId="0" borderId="0" xfId="0" applyNumberFormat="1" applyFont="1" applyAlignment="1">
      <alignment horizontal="left" vertical="center"/>
    </xf>
    <xf numFmtId="172" fontId="41" fillId="0" borderId="19" xfId="0" applyNumberFormat="1" applyFont="1" applyBorder="1"/>
    <xf numFmtId="0" fontId="42" fillId="0" borderId="19" xfId="0" applyFont="1" applyBorder="1" applyAlignment="1">
      <alignment horizontal="left" indent="3"/>
    </xf>
    <xf numFmtId="0" fontId="1" fillId="0" borderId="19" xfId="0" applyFont="1" applyBorder="1" applyAlignment="1">
      <alignment horizontal="center"/>
    </xf>
    <xf numFmtId="172" fontId="41" fillId="0" borderId="19" xfId="7" applyNumberFormat="1" applyFont="1" applyFill="1" applyBorder="1"/>
    <xf numFmtId="175" fontId="53" fillId="0" borderId="19" xfId="7" applyNumberFormat="1" applyFont="1" applyFill="1" applyBorder="1"/>
    <xf numFmtId="175" fontId="54" fillId="0" borderId="19" xfId="0" applyNumberFormat="1" applyFont="1" applyBorder="1"/>
    <xf numFmtId="4" fontId="54" fillId="0" borderId="0" xfId="0" applyNumberFormat="1" applyFont="1" applyAlignment="1">
      <alignment horizontal="center"/>
    </xf>
    <xf numFmtId="10" fontId="54" fillId="0" borderId="0" xfId="0" applyNumberFormat="1" applyFont="1" applyAlignment="1">
      <alignment horizontal="center"/>
    </xf>
    <xf numFmtId="10" fontId="42" fillId="0" borderId="0" xfId="0" applyNumberFormat="1" applyFont="1" applyAlignment="1">
      <alignment horizontal="center"/>
    </xf>
    <xf numFmtId="2" fontId="1" fillId="0" borderId="0" xfId="0" applyNumberFormat="1" applyFont="1" applyAlignment="1">
      <alignment horizontal="center"/>
    </xf>
    <xf numFmtId="168" fontId="54" fillId="0" borderId="0" xfId="0" applyNumberFormat="1" applyFont="1" applyAlignment="1">
      <alignment horizontal="center"/>
    </xf>
    <xf numFmtId="0" fontId="72" fillId="17" borderId="0" xfId="0" applyFont="1" applyFill="1" applyAlignment="1">
      <alignment horizontal="center" vertical="center"/>
    </xf>
    <xf numFmtId="17" fontId="73" fillId="0" borderId="9" xfId="44" applyNumberFormat="1" applyFont="1" applyBorder="1" applyAlignment="1" applyProtection="1">
      <alignment horizontal="center" vertical="center"/>
    </xf>
    <xf numFmtId="0" fontId="12" fillId="0" borderId="0" xfId="0" applyFont="1" applyAlignment="1">
      <alignment horizontal="center" vertical="center" wrapText="1"/>
    </xf>
    <xf numFmtId="0" fontId="12" fillId="0" borderId="0" xfId="0" applyFont="1"/>
    <xf numFmtId="0" fontId="8" fillId="0" borderId="0" xfId="1" applyFont="1"/>
    <xf numFmtId="0" fontId="6" fillId="0" borderId="0" xfId="1" applyFont="1" applyAlignment="1">
      <alignment horizontal="right"/>
    </xf>
    <xf numFmtId="170" fontId="6" fillId="0" borderId="0" xfId="1" applyNumberFormat="1" applyFont="1" applyAlignment="1">
      <alignment horizontal="right"/>
    </xf>
    <xf numFmtId="14" fontId="6" fillId="0" borderId="0" xfId="1" applyNumberFormat="1" applyFont="1" applyAlignment="1">
      <alignment horizontal="right"/>
    </xf>
    <xf numFmtId="14" fontId="6" fillId="0" borderId="0" xfId="1" applyNumberFormat="1" applyFont="1"/>
    <xf numFmtId="0" fontId="43" fillId="14" borderId="2" xfId="45" applyFont="1" applyFill="1" applyBorder="1" applyAlignment="1">
      <alignment horizontal="center" vertical="center"/>
    </xf>
    <xf numFmtId="17" fontId="41" fillId="0" borderId="9" xfId="44" applyNumberFormat="1" applyFont="1" applyBorder="1" applyAlignment="1" applyProtection="1">
      <alignment horizontal="center" vertical="center"/>
    </xf>
    <xf numFmtId="0" fontId="0" fillId="14" borderId="0" xfId="0" applyFill="1"/>
    <xf numFmtId="0" fontId="12" fillId="14" borderId="0" xfId="0" applyFont="1" applyFill="1"/>
    <xf numFmtId="14" fontId="54" fillId="0" borderId="0" xfId="0" applyNumberFormat="1" applyFont="1" applyAlignment="1">
      <alignment horizontal="right"/>
    </xf>
    <xf numFmtId="0" fontId="0" fillId="10" borderId="0" xfId="0" applyFill="1"/>
    <xf numFmtId="0" fontId="12" fillId="10" borderId="0" xfId="0" applyFont="1" applyFill="1"/>
    <xf numFmtId="0" fontId="52" fillId="0" borderId="0" xfId="0" applyFont="1"/>
    <xf numFmtId="0" fontId="74" fillId="0" borderId="0" xfId="0" applyFont="1"/>
    <xf numFmtId="0" fontId="53" fillId="0" borderId="0" xfId="0" applyFont="1" applyAlignment="1">
      <alignment horizontal="left" indent="1"/>
    </xf>
    <xf numFmtId="181" fontId="53" fillId="0" borderId="0" xfId="0" applyNumberFormat="1" applyFont="1"/>
    <xf numFmtId="14" fontId="53" fillId="0" borderId="0" xfId="0" applyNumberFormat="1" applyFont="1" applyAlignment="1">
      <alignment horizontal="right"/>
    </xf>
    <xf numFmtId="0" fontId="0" fillId="11" borderId="0" xfId="0" applyFill="1"/>
    <xf numFmtId="0" fontId="75" fillId="0" borderId="0" xfId="1" applyFont="1" applyAlignment="1">
      <alignment horizontal="left" vertical="center"/>
    </xf>
    <xf numFmtId="0" fontId="76" fillId="0" borderId="0" xfId="1" applyFont="1" applyAlignment="1">
      <alignment horizontal="center" vertical="center"/>
    </xf>
    <xf numFmtId="192" fontId="24" fillId="0" borderId="0" xfId="8" applyNumberFormat="1" applyFont="1" applyFill="1" applyAlignment="1">
      <alignment horizontal="center" vertical="center"/>
    </xf>
    <xf numFmtId="0" fontId="24" fillId="0" borderId="0" xfId="1" applyFont="1" applyAlignment="1">
      <alignment horizontal="center" vertical="center"/>
    </xf>
    <xf numFmtId="192" fontId="28" fillId="0" borderId="0" xfId="8" applyNumberFormat="1" applyFont="1" applyFill="1" applyBorder="1" applyAlignment="1">
      <alignment horizontal="center" vertical="center"/>
    </xf>
    <xf numFmtId="0" fontId="43" fillId="11" borderId="2" xfId="39" applyFont="1" applyFill="1" applyBorder="1" applyAlignment="1">
      <alignment horizontal="center" vertical="center"/>
    </xf>
    <xf numFmtId="0" fontId="43" fillId="11" borderId="21" xfId="39" applyFont="1" applyFill="1" applyBorder="1" applyAlignment="1">
      <alignment horizontal="center" vertical="center"/>
    </xf>
    <xf numFmtId="0" fontId="43" fillId="11" borderId="22" xfId="39" applyFont="1" applyFill="1" applyBorder="1" applyAlignment="1">
      <alignment horizontal="center" vertical="center"/>
    </xf>
    <xf numFmtId="0" fontId="77" fillId="0" borderId="0" xfId="1" applyFont="1" applyAlignment="1">
      <alignment horizontal="center" vertical="center"/>
    </xf>
    <xf numFmtId="17" fontId="1" fillId="0" borderId="1" xfId="0" applyNumberFormat="1" applyFont="1" applyBorder="1" applyAlignment="1">
      <alignment horizontal="center"/>
    </xf>
    <xf numFmtId="17" fontId="1" fillId="0" borderId="23" xfId="0" applyNumberFormat="1" applyFont="1" applyBorder="1" applyAlignment="1">
      <alignment horizontal="center"/>
    </xf>
    <xf numFmtId="17" fontId="1" fillId="0" borderId="24" xfId="0" applyNumberFormat="1" applyFont="1" applyBorder="1" applyAlignment="1">
      <alignment horizontal="center"/>
    </xf>
    <xf numFmtId="17" fontId="32" fillId="0" borderId="0" xfId="52" applyNumberFormat="1" applyFont="1" applyAlignment="1">
      <alignment horizontal="center" vertical="center"/>
    </xf>
    <xf numFmtId="17" fontId="42" fillId="0" borderId="9" xfId="44" applyNumberFormat="1" applyFont="1" applyBorder="1" applyAlignment="1" applyProtection="1">
      <alignment horizontal="center" vertical="center"/>
    </xf>
    <xf numFmtId="0" fontId="54" fillId="0" borderId="0" xfId="0" applyFont="1"/>
    <xf numFmtId="0" fontId="7" fillId="0" borderId="0" xfId="1" applyFont="1" applyAlignment="1">
      <alignment vertical="center"/>
    </xf>
    <xf numFmtId="0" fontId="7" fillId="0" borderId="0" xfId="1" applyFont="1" applyAlignment="1">
      <alignment horizontal="center" vertical="center"/>
    </xf>
    <xf numFmtId="193" fontId="7" fillId="0" borderId="0" xfId="1" applyNumberFormat="1" applyFont="1" applyAlignment="1">
      <alignment horizontal="center" vertical="center"/>
    </xf>
    <xf numFmtId="193" fontId="76" fillId="0" borderId="0" xfId="1" applyNumberFormat="1" applyFont="1" applyAlignment="1">
      <alignment horizontal="center" vertical="center"/>
    </xf>
    <xf numFmtId="0" fontId="79" fillId="0" borderId="0" xfId="1" applyFont="1" applyAlignment="1">
      <alignment horizontal="left" vertical="center"/>
    </xf>
    <xf numFmtId="0" fontId="79" fillId="0" borderId="0" xfId="1" applyFont="1" applyAlignment="1">
      <alignment horizontal="center" vertical="center"/>
    </xf>
    <xf numFmtId="193" fontId="79" fillId="0" borderId="0" xfId="1" applyNumberFormat="1" applyFont="1" applyAlignment="1">
      <alignment horizontal="center" vertical="center"/>
    </xf>
    <xf numFmtId="0" fontId="7" fillId="0" borderId="0" xfId="1" quotePrefix="1" applyFont="1" applyAlignment="1">
      <alignment horizontal="left" vertical="center" indent="1"/>
    </xf>
    <xf numFmtId="191" fontId="1" fillId="0" borderId="0" xfId="8" applyNumberFormat="1" applyFont="1" applyFill="1" applyAlignment="1">
      <alignment horizontal="center" vertical="center"/>
    </xf>
    <xf numFmtId="191" fontId="24" fillId="0" borderId="0" xfId="8" applyNumberFormat="1" applyFont="1" applyFill="1" applyAlignment="1">
      <alignment horizontal="center" vertical="center"/>
    </xf>
    <xf numFmtId="0" fontId="53" fillId="0" borderId="0" xfId="0" applyFont="1"/>
    <xf numFmtId="0" fontId="53" fillId="0" borderId="0" xfId="0" applyFont="1" applyAlignment="1">
      <alignment horizontal="center"/>
    </xf>
    <xf numFmtId="0" fontId="79" fillId="0" borderId="0" xfId="1" applyFont="1" applyAlignment="1">
      <alignment vertical="center"/>
    </xf>
    <xf numFmtId="14" fontId="6" fillId="0" borderId="0" xfId="1" applyNumberFormat="1" applyFont="1" applyAlignment="1">
      <alignment horizontal="center"/>
    </xf>
    <xf numFmtId="0" fontId="28" fillId="0" borderId="0" xfId="9" applyFont="1" applyProtection="1">
      <protection locked="0"/>
    </xf>
    <xf numFmtId="3" fontId="28" fillId="0" borderId="0" xfId="9" applyNumberFormat="1" applyFont="1" applyProtection="1">
      <protection locked="0"/>
    </xf>
    <xf numFmtId="0" fontId="24" fillId="0" borderId="0" xfId="10" applyFont="1"/>
    <xf numFmtId="0" fontId="80" fillId="0" borderId="0" xfId="11" applyFont="1" applyAlignment="1" applyProtection="1">
      <alignment vertical="center"/>
      <protection locked="0"/>
    </xf>
    <xf numFmtId="37" fontId="32" fillId="0" borderId="0" xfId="11" applyNumberFormat="1" applyFont="1" applyAlignment="1" applyProtection="1">
      <alignment horizontal="right"/>
      <protection locked="0"/>
    </xf>
    <xf numFmtId="0" fontId="32" fillId="0" borderId="0" xfId="11" applyFont="1" applyAlignment="1" applyProtection="1">
      <alignment horizontal="right"/>
      <protection locked="0"/>
    </xf>
    <xf numFmtId="0" fontId="28" fillId="0" borderId="0" xfId="12" applyFont="1" applyProtection="1">
      <protection locked="0"/>
    </xf>
    <xf numFmtId="0" fontId="26" fillId="11" borderId="0" xfId="12" applyFont="1" applyFill="1" applyAlignment="1" applyProtection="1">
      <alignment vertical="center"/>
      <protection locked="0"/>
    </xf>
    <xf numFmtId="0" fontId="62" fillId="11" borderId="0" xfId="11" applyFont="1" applyFill="1" applyAlignment="1" applyProtection="1">
      <alignment vertical="center"/>
      <protection locked="0"/>
    </xf>
    <xf numFmtId="37" fontId="62" fillId="11" borderId="0" xfId="11" applyNumberFormat="1" applyFont="1" applyFill="1" applyAlignment="1" applyProtection="1">
      <alignment horizontal="right" vertical="center"/>
      <protection locked="0"/>
    </xf>
    <xf numFmtId="0" fontId="81" fillId="0" borderId="0" xfId="9" quotePrefix="1" applyFont="1" applyProtection="1">
      <protection locked="0"/>
    </xf>
    <xf numFmtId="0" fontId="82" fillId="0" borderId="0" xfId="13" applyFont="1" applyProtection="1">
      <protection locked="0"/>
    </xf>
    <xf numFmtId="173" fontId="28" fillId="0" borderId="0" xfId="13" applyNumberFormat="1" applyFont="1" applyAlignment="1" applyProtection="1">
      <alignment horizontal="right"/>
      <protection locked="0"/>
    </xf>
    <xf numFmtId="0" fontId="83" fillId="0" borderId="0" xfId="12" quotePrefix="1" applyFont="1" applyProtection="1">
      <protection locked="0"/>
    </xf>
    <xf numFmtId="174" fontId="28" fillId="0" borderId="0" xfId="13" applyNumberFormat="1" applyFont="1" applyProtection="1">
      <protection locked="0"/>
    </xf>
    <xf numFmtId="0" fontId="61" fillId="6" borderId="0" xfId="14" applyFont="1" applyFill="1" applyAlignment="1" applyProtection="1">
      <alignment horizontal="left"/>
      <protection locked="0"/>
    </xf>
    <xf numFmtId="0" fontId="28" fillId="0" borderId="0" xfId="13" applyFont="1" applyAlignment="1" applyProtection="1">
      <alignment horizontal="left"/>
      <protection locked="0"/>
    </xf>
    <xf numFmtId="173" fontId="28" fillId="0" borderId="0" xfId="13" applyNumberFormat="1" applyFont="1" applyProtection="1">
      <protection locked="0"/>
    </xf>
    <xf numFmtId="15" fontId="61" fillId="6" borderId="0" xfId="14" quotePrefix="1" applyNumberFormat="1" applyFont="1" applyFill="1" applyAlignment="1" applyProtection="1">
      <alignment horizontal="left"/>
      <protection locked="0"/>
    </xf>
    <xf numFmtId="0" fontId="28" fillId="0" borderId="0" xfId="13" applyFont="1" applyProtection="1">
      <protection locked="0"/>
    </xf>
    <xf numFmtId="173" fontId="32" fillId="0" borderId="0" xfId="13" applyNumberFormat="1" applyFont="1" applyAlignment="1" applyProtection="1">
      <alignment horizontal="right"/>
      <protection locked="0"/>
    </xf>
    <xf numFmtId="1" fontId="61" fillId="6" borderId="0" xfId="14" quotePrefix="1" applyNumberFormat="1" applyFont="1" applyFill="1" applyAlignment="1" applyProtection="1">
      <alignment horizontal="left"/>
      <protection locked="0"/>
    </xf>
    <xf numFmtId="0" fontId="83" fillId="0" borderId="0" xfId="9" quotePrefix="1" applyFont="1" applyProtection="1">
      <protection locked="0"/>
    </xf>
    <xf numFmtId="0" fontId="32" fillId="0" borderId="0" xfId="13" applyFont="1" applyAlignment="1" applyProtection="1">
      <alignment horizontal="right"/>
      <protection locked="0"/>
    </xf>
    <xf numFmtId="173" fontId="28" fillId="0" borderId="0" xfId="13" applyNumberFormat="1" applyFont="1" applyAlignment="1" applyProtection="1">
      <alignment vertical="center"/>
      <protection locked="0"/>
    </xf>
    <xf numFmtId="0" fontId="84" fillId="0" borderId="0" xfId="15" applyFont="1"/>
    <xf numFmtId="0" fontId="28" fillId="7" borderId="0" xfId="9" applyFont="1" applyFill="1" applyAlignment="1" applyProtection="1">
      <alignment horizontal="left"/>
      <protection locked="0"/>
    </xf>
    <xf numFmtId="173" fontId="31" fillId="0" borderId="0" xfId="13" applyNumberFormat="1" applyFont="1" applyProtection="1">
      <protection locked="0"/>
    </xf>
    <xf numFmtId="4" fontId="28" fillId="0" borderId="0" xfId="9" applyNumberFormat="1" applyFont="1" applyAlignment="1" applyProtection="1">
      <alignment horizontal="left"/>
      <protection locked="0"/>
    </xf>
    <xf numFmtId="4" fontId="28" fillId="0" borderId="0" xfId="13" applyNumberFormat="1" applyFont="1" applyProtection="1">
      <protection locked="0"/>
    </xf>
    <xf numFmtId="4" fontId="28" fillId="0" borderId="0" xfId="9" applyNumberFormat="1" applyFont="1" applyAlignment="1" applyProtection="1">
      <alignment horizontal="right"/>
      <protection locked="0"/>
    </xf>
    <xf numFmtId="175" fontId="28" fillId="0" borderId="0" xfId="9" applyNumberFormat="1" applyFont="1" applyAlignment="1" applyProtection="1">
      <alignment horizontal="left" wrapText="1"/>
      <protection locked="0"/>
    </xf>
    <xf numFmtId="0" fontId="61" fillId="0" borderId="0" xfId="14" applyFont="1" applyAlignment="1" applyProtection="1">
      <alignment horizontal="left"/>
      <protection locked="0"/>
    </xf>
    <xf numFmtId="0" fontId="83" fillId="0" borderId="0" xfId="9" quotePrefix="1" applyFont="1" applyAlignment="1" applyProtection="1">
      <alignment vertical="center"/>
      <protection locked="0"/>
    </xf>
    <xf numFmtId="0" fontId="28" fillId="0" borderId="0" xfId="10" applyFont="1" applyAlignment="1">
      <alignment vertical="center"/>
    </xf>
    <xf numFmtId="0" fontId="61" fillId="7" borderId="0" xfId="14" applyFont="1" applyFill="1" applyAlignment="1" applyProtection="1">
      <alignment vertical="center" wrapText="1"/>
      <protection locked="0"/>
    </xf>
    <xf numFmtId="0" fontId="61" fillId="7" borderId="0" xfId="14" applyFont="1" applyFill="1" applyAlignment="1" applyProtection="1">
      <alignment vertical="center"/>
      <protection locked="0"/>
    </xf>
    <xf numFmtId="173" fontId="32" fillId="0" borderId="0" xfId="13" applyNumberFormat="1" applyFont="1" applyAlignment="1" applyProtection="1">
      <alignment vertical="center"/>
      <protection locked="0"/>
    </xf>
    <xf numFmtId="4" fontId="61" fillId="7" borderId="0" xfId="14" applyNumberFormat="1" applyFont="1" applyFill="1" applyProtection="1">
      <protection locked="0"/>
    </xf>
    <xf numFmtId="173" fontId="31" fillId="0" borderId="0" xfId="13" applyNumberFormat="1" applyFont="1" applyAlignment="1" applyProtection="1">
      <alignment vertical="center"/>
      <protection locked="0"/>
    </xf>
    <xf numFmtId="0" fontId="61" fillId="0" borderId="0" xfId="14" applyFont="1" applyAlignment="1" applyProtection="1">
      <alignment horizontal="right"/>
      <protection locked="0"/>
    </xf>
    <xf numFmtId="0" fontId="85" fillId="0" borderId="0" xfId="17" applyFont="1" applyFill="1" applyBorder="1" applyAlignment="1" applyProtection="1">
      <protection locked="0"/>
    </xf>
    <xf numFmtId="0" fontId="72" fillId="8" borderId="0" xfId="11" applyFont="1" applyFill="1" applyAlignment="1" applyProtection="1">
      <alignment vertical="center"/>
      <protection locked="0"/>
    </xf>
    <xf numFmtId="0" fontId="32" fillId="8" borderId="0" xfId="11" applyFont="1" applyFill="1" applyAlignment="1" applyProtection="1">
      <alignment horizontal="right"/>
      <protection locked="0"/>
    </xf>
    <xf numFmtId="0" fontId="32" fillId="0" borderId="0" xfId="11" applyFont="1" applyProtection="1">
      <protection locked="0"/>
    </xf>
    <xf numFmtId="0" fontId="32" fillId="9" borderId="0" xfId="9" quotePrefix="1" applyFont="1" applyFill="1" applyProtection="1">
      <protection locked="0"/>
    </xf>
    <xf numFmtId="173" fontId="28" fillId="7" borderId="0" xfId="18" applyNumberFormat="1" applyFont="1" applyFill="1" applyAlignment="1" applyProtection="1">
      <alignment horizontal="left"/>
      <protection locked="0"/>
    </xf>
    <xf numFmtId="0" fontId="28" fillId="7" borderId="0" xfId="19" applyFont="1" applyFill="1" applyAlignment="1" applyProtection="1">
      <alignment horizontal="right"/>
      <protection locked="0"/>
    </xf>
    <xf numFmtId="37" fontId="32" fillId="8" borderId="0" xfId="11" applyNumberFormat="1" applyFont="1" applyFill="1" applyAlignment="1" applyProtection="1">
      <alignment horizontal="right"/>
      <protection locked="0"/>
    </xf>
    <xf numFmtId="0" fontId="84" fillId="0" borderId="0" xfId="27" applyFont="1"/>
    <xf numFmtId="171" fontId="28" fillId="7" borderId="0" xfId="21" applyNumberFormat="1" applyFont="1" applyFill="1" applyBorder="1" applyAlignment="1" applyProtection="1">
      <alignment horizontal="right"/>
      <protection locked="0"/>
    </xf>
    <xf numFmtId="173" fontId="28" fillId="7" borderId="0" xfId="18" applyNumberFormat="1" applyFont="1" applyFill="1" applyAlignment="1" applyProtection="1">
      <alignment horizontal="left" indent="1"/>
      <protection locked="0"/>
    </xf>
    <xf numFmtId="0" fontId="83" fillId="0" borderId="0" xfId="11" applyFont="1" applyAlignment="1" applyProtection="1">
      <alignment vertical="center"/>
      <protection locked="0"/>
    </xf>
    <xf numFmtId="173" fontId="83" fillId="0" borderId="0" xfId="20" quotePrefix="1" applyNumberFormat="1" applyFont="1" applyFill="1" applyBorder="1" applyAlignment="1" applyProtection="1">
      <protection locked="0"/>
    </xf>
    <xf numFmtId="173" fontId="28" fillId="7" borderId="0" xfId="20" applyNumberFormat="1" applyFont="1" applyFill="1" applyBorder="1" applyAlignment="1" applyProtection="1">
      <alignment horizontal="left" indent="1"/>
      <protection locked="0"/>
    </xf>
    <xf numFmtId="176" fontId="28" fillId="7" borderId="0" xfId="22" applyNumberFormat="1" applyFont="1" applyFill="1" applyBorder="1" applyProtection="1">
      <protection locked="0"/>
    </xf>
    <xf numFmtId="0" fontId="32" fillId="0" borderId="0" xfId="9" applyFont="1" applyProtection="1">
      <protection locked="0"/>
    </xf>
    <xf numFmtId="173" fontId="32" fillId="0" borderId="4" xfId="20" applyNumberFormat="1" applyFont="1" applyFill="1" applyBorder="1" applyProtection="1">
      <protection locked="0"/>
    </xf>
    <xf numFmtId="176" fontId="32" fillId="0" borderId="4" xfId="23" applyNumberFormat="1" applyFont="1" applyFill="1" applyBorder="1" applyAlignment="1" applyProtection="1">
      <alignment horizontal="right"/>
      <protection locked="0"/>
    </xf>
    <xf numFmtId="173" fontId="83" fillId="0" borderId="0" xfId="18" quotePrefix="1" applyNumberFormat="1" applyFont="1" applyProtection="1">
      <protection locked="0"/>
    </xf>
    <xf numFmtId="173" fontId="32" fillId="0" borderId="5" xfId="20" quotePrefix="1" applyNumberFormat="1" applyFont="1" applyFill="1" applyBorder="1" applyAlignment="1" applyProtection="1">
      <alignment horizontal="left"/>
      <protection locked="0"/>
    </xf>
    <xf numFmtId="176" fontId="32" fillId="0" borderId="5" xfId="23" applyNumberFormat="1" applyFont="1" applyFill="1" applyBorder="1" applyAlignment="1" applyProtection="1">
      <alignment horizontal="right"/>
      <protection locked="0"/>
    </xf>
    <xf numFmtId="173" fontId="32" fillId="0" borderId="0" xfId="20" applyNumberFormat="1" applyFont="1" applyFill="1" applyBorder="1" applyProtection="1">
      <protection locked="0"/>
    </xf>
    <xf numFmtId="176" fontId="32" fillId="0" borderId="0" xfId="23" applyNumberFormat="1" applyFont="1" applyFill="1" applyBorder="1" applyAlignment="1" applyProtection="1">
      <alignment horizontal="right"/>
      <protection locked="0"/>
    </xf>
    <xf numFmtId="173" fontId="32" fillId="0" borderId="0" xfId="20" quotePrefix="1" applyNumberFormat="1" applyFont="1" applyFill="1" applyBorder="1" applyAlignment="1" applyProtection="1">
      <alignment horizontal="left"/>
      <protection locked="0"/>
    </xf>
    <xf numFmtId="173" fontId="28" fillId="0" borderId="0" xfId="18" applyNumberFormat="1" applyFont="1" applyAlignment="1" applyProtection="1">
      <alignment horizontal="left"/>
      <protection locked="0"/>
    </xf>
    <xf numFmtId="177" fontId="86" fillId="0" borderId="0" xfId="23" applyNumberFormat="1" applyFont="1" applyFill="1" applyBorder="1" applyAlignment="1" applyProtection="1">
      <alignment horizontal="right"/>
      <protection locked="0"/>
    </xf>
    <xf numFmtId="166" fontId="86" fillId="0" borderId="0" xfId="23" applyNumberFormat="1" applyFont="1" applyFill="1" applyBorder="1" applyAlignment="1" applyProtection="1">
      <alignment horizontal="right"/>
      <protection locked="0"/>
    </xf>
    <xf numFmtId="0" fontId="32" fillId="6" borderId="0" xfId="11" applyFont="1" applyFill="1" applyAlignment="1" applyProtection="1">
      <alignment vertical="center"/>
      <protection locked="0"/>
    </xf>
    <xf numFmtId="0" fontId="32" fillId="6" borderId="0" xfId="11" applyFont="1" applyFill="1" applyAlignment="1" applyProtection="1">
      <alignment horizontal="right"/>
      <protection locked="0"/>
    </xf>
    <xf numFmtId="173" fontId="28" fillId="7" borderId="0" xfId="24" applyNumberFormat="1" applyFont="1" applyFill="1" applyAlignment="1" applyProtection="1">
      <alignment horizontal="left" indent="1"/>
      <protection locked="0"/>
    </xf>
    <xf numFmtId="173" fontId="32" fillId="0" borderId="4" xfId="24" applyNumberFormat="1" applyFont="1" applyBorder="1" applyProtection="1">
      <protection locked="0"/>
    </xf>
    <xf numFmtId="173" fontId="32" fillId="0" borderId="5" xfId="24" applyNumberFormat="1" applyFont="1" applyBorder="1" applyProtection="1">
      <protection locked="0"/>
    </xf>
    <xf numFmtId="173" fontId="32" fillId="0" borderId="0" xfId="24" applyNumberFormat="1" applyFont="1" applyProtection="1">
      <protection locked="0"/>
    </xf>
    <xf numFmtId="178" fontId="32" fillId="0" borderId="0" xfId="23" applyNumberFormat="1" applyFont="1" applyFill="1" applyBorder="1" applyAlignment="1" applyProtection="1">
      <alignment horizontal="right"/>
      <protection locked="0"/>
    </xf>
    <xf numFmtId="2" fontId="28" fillId="7" borderId="0" xfId="22" applyNumberFormat="1" applyFont="1" applyFill="1" applyBorder="1" applyProtection="1">
      <protection locked="0"/>
    </xf>
    <xf numFmtId="173" fontId="32" fillId="0" borderId="6" xfId="24" applyNumberFormat="1" applyFont="1" applyBorder="1" applyProtection="1">
      <protection locked="0"/>
    </xf>
    <xf numFmtId="173" fontId="32" fillId="0" borderId="7" xfId="24" applyNumberFormat="1" applyFont="1" applyBorder="1" applyProtection="1">
      <protection locked="0"/>
    </xf>
    <xf numFmtId="173" fontId="32" fillId="0" borderId="8" xfId="24" applyNumberFormat="1" applyFont="1" applyBorder="1" applyProtection="1">
      <protection locked="0"/>
    </xf>
    <xf numFmtId="37" fontId="32" fillId="0" borderId="0" xfId="23" applyNumberFormat="1" applyFont="1" applyFill="1" applyBorder="1" applyAlignment="1" applyProtection="1">
      <alignment horizontal="right"/>
      <protection locked="0"/>
    </xf>
    <xf numFmtId="173" fontId="31" fillId="0" borderId="0" xfId="24" applyNumberFormat="1" applyFont="1" applyProtection="1">
      <protection locked="0"/>
    </xf>
    <xf numFmtId="0" fontId="87" fillId="0" borderId="0" xfId="9" quotePrefix="1" applyFont="1" applyProtection="1">
      <protection locked="0"/>
    </xf>
    <xf numFmtId="0" fontId="58" fillId="0" borderId="0" xfId="9" applyFont="1" applyProtection="1">
      <protection locked="0"/>
    </xf>
    <xf numFmtId="0" fontId="88" fillId="0" borderId="0" xfId="10" applyFont="1"/>
    <xf numFmtId="173" fontId="28" fillId="0" borderId="0" xfId="18" applyNumberFormat="1" applyFont="1" applyProtection="1">
      <protection locked="0"/>
    </xf>
    <xf numFmtId="174" fontId="28" fillId="0" borderId="0" xfId="18" applyNumberFormat="1" applyFont="1" applyProtection="1">
      <protection locked="0"/>
    </xf>
    <xf numFmtId="176" fontId="32" fillId="0" borderId="0" xfId="22" applyNumberFormat="1" applyFont="1" applyFill="1" applyBorder="1" applyProtection="1">
      <protection locked="0"/>
    </xf>
    <xf numFmtId="173" fontId="28" fillId="0" borderId="0" xfId="24" applyNumberFormat="1" applyFont="1" applyProtection="1">
      <protection locked="0"/>
    </xf>
    <xf numFmtId="176" fontId="28" fillId="0" borderId="0" xfId="22" applyNumberFormat="1" applyFont="1" applyFill="1" applyBorder="1" applyProtection="1">
      <protection locked="0"/>
    </xf>
    <xf numFmtId="0" fontId="83" fillId="0" borderId="0" xfId="9" applyFont="1" applyProtection="1">
      <protection locked="0"/>
    </xf>
    <xf numFmtId="173" fontId="32" fillId="0" borderId="0" xfId="18" applyNumberFormat="1" applyFont="1" applyProtection="1">
      <protection locked="0"/>
    </xf>
    <xf numFmtId="166" fontId="28" fillId="0" borderId="0" xfId="23" applyNumberFormat="1" applyFont="1" applyFill="1" applyBorder="1" applyAlignment="1" applyProtection="1">
      <alignment horizontal="right"/>
      <protection locked="0"/>
    </xf>
    <xf numFmtId="0" fontId="32" fillId="0" borderId="0" xfId="11" applyFont="1" applyAlignment="1" applyProtection="1">
      <alignment vertical="center"/>
      <protection locked="0"/>
    </xf>
    <xf numFmtId="3" fontId="28" fillId="7" borderId="0" xfId="14" applyNumberFormat="1" applyFont="1" applyFill="1" applyAlignment="1" applyProtection="1">
      <alignment horizontal="left" indent="1"/>
      <protection locked="0"/>
    </xf>
    <xf numFmtId="0" fontId="28" fillId="7" borderId="0" xfId="22" applyNumberFormat="1" applyFont="1" applyFill="1" applyBorder="1" applyProtection="1">
      <protection locked="0"/>
    </xf>
    <xf numFmtId="179" fontId="28" fillId="7" borderId="0" xfId="22" applyNumberFormat="1" applyFont="1" applyFill="1" applyBorder="1" applyProtection="1">
      <protection locked="0"/>
    </xf>
    <xf numFmtId="3" fontId="28" fillId="0" borderId="0" xfId="14" applyNumberFormat="1" applyFont="1" applyProtection="1">
      <protection locked="0"/>
    </xf>
    <xf numFmtId="173" fontId="31" fillId="0" borderId="0" xfId="20" applyNumberFormat="1" applyFont="1" applyFill="1" applyBorder="1" applyAlignment="1" applyProtection="1">
      <alignment horizontal="left"/>
      <protection locked="0"/>
    </xf>
    <xf numFmtId="173" fontId="28" fillId="7" borderId="0" xfId="20" quotePrefix="1" applyNumberFormat="1" applyFont="1" applyFill="1" applyBorder="1" applyAlignment="1" applyProtection="1">
      <alignment horizontal="left" vertical="center" indent="1"/>
      <protection locked="0"/>
    </xf>
    <xf numFmtId="173" fontId="28" fillId="0" borderId="4" xfId="20" applyNumberFormat="1" applyFont="1" applyFill="1" applyBorder="1" applyAlignment="1" applyProtection="1">
      <alignment horizontal="left"/>
      <protection locked="0"/>
    </xf>
    <xf numFmtId="176" fontId="28" fillId="0" borderId="4" xfId="23" applyNumberFormat="1" applyFont="1" applyFill="1" applyBorder="1" applyAlignment="1" applyProtection="1">
      <alignment horizontal="right"/>
      <protection locked="0"/>
    </xf>
    <xf numFmtId="173" fontId="28" fillId="0" borderId="0" xfId="20" applyNumberFormat="1" applyFont="1" applyFill="1" applyBorder="1" applyAlignment="1" applyProtection="1">
      <alignment horizontal="left"/>
      <protection locked="0"/>
    </xf>
    <xf numFmtId="173" fontId="28" fillId="7" borderId="0" xfId="20" applyNumberFormat="1" applyFont="1" applyFill="1" applyBorder="1" applyAlignment="1" applyProtection="1">
      <alignment horizontal="left"/>
      <protection locked="0"/>
    </xf>
    <xf numFmtId="173" fontId="32" fillId="0" borderId="0" xfId="20" applyNumberFormat="1" applyFont="1" applyFill="1" applyBorder="1" applyAlignment="1" applyProtection="1">
      <alignment horizontal="left"/>
      <protection locked="0"/>
    </xf>
    <xf numFmtId="0" fontId="28" fillId="7" borderId="0" xfId="18" applyFont="1" applyFill="1" applyProtection="1">
      <protection locked="0"/>
    </xf>
    <xf numFmtId="176" fontId="28" fillId="0" borderId="0" xfId="25" applyNumberFormat="1" applyFont="1" applyFill="1" applyBorder="1" applyAlignment="1" applyProtection="1">
      <alignment horizontal="right"/>
      <protection locked="0"/>
    </xf>
    <xf numFmtId="173" fontId="28" fillId="7" borderId="0" xfId="20" applyNumberFormat="1" applyFont="1" applyFill="1" applyBorder="1" applyProtection="1">
      <protection locked="0"/>
    </xf>
    <xf numFmtId="179" fontId="28" fillId="0" borderId="0" xfId="25" applyNumberFormat="1" applyFont="1" applyFill="1" applyBorder="1" applyProtection="1">
      <protection locked="0"/>
    </xf>
    <xf numFmtId="0" fontId="28" fillId="0" borderId="0" xfId="18" applyFont="1" applyProtection="1">
      <protection locked="0"/>
    </xf>
    <xf numFmtId="37" fontId="28" fillId="0" borderId="0" xfId="22" applyNumberFormat="1" applyFont="1" applyFill="1" applyBorder="1" applyProtection="1">
      <protection locked="0"/>
    </xf>
    <xf numFmtId="176" fontId="28" fillId="0" borderId="0" xfId="25" applyNumberFormat="1" applyFont="1" applyFill="1" applyBorder="1" applyProtection="1">
      <protection locked="0"/>
    </xf>
    <xf numFmtId="165" fontId="28" fillId="7" borderId="0" xfId="25" applyFont="1" applyFill="1" applyBorder="1" applyProtection="1">
      <protection locked="0"/>
    </xf>
    <xf numFmtId="171" fontId="28" fillId="7" borderId="0" xfId="21" applyNumberFormat="1" applyFont="1" applyFill="1" applyBorder="1" applyProtection="1">
      <protection locked="0"/>
    </xf>
    <xf numFmtId="171" fontId="28" fillId="7" borderId="0" xfId="26" applyNumberFormat="1" applyFont="1" applyFill="1" applyBorder="1" applyAlignment="1" applyProtection="1">
      <alignment horizontal="right"/>
      <protection locked="0"/>
    </xf>
    <xf numFmtId="173" fontId="28" fillId="0" borderId="0" xfId="20" applyNumberFormat="1" applyFont="1" applyFill="1" applyBorder="1" applyProtection="1">
      <protection locked="0"/>
    </xf>
    <xf numFmtId="171" fontId="28" fillId="0" borderId="0" xfId="21" applyNumberFormat="1" applyFont="1" applyFill="1" applyBorder="1" applyProtection="1">
      <protection locked="0"/>
    </xf>
    <xf numFmtId="0" fontId="31" fillId="0" borderId="0" xfId="11" applyFont="1" applyAlignment="1" applyProtection="1">
      <alignment vertical="center"/>
      <protection locked="0"/>
    </xf>
    <xf numFmtId="0" fontId="31" fillId="0" borderId="0" xfId="18" applyFont="1" applyProtection="1">
      <protection locked="0"/>
    </xf>
    <xf numFmtId="176" fontId="28" fillId="7" borderId="0" xfId="25" applyNumberFormat="1" applyFont="1" applyFill="1" applyBorder="1" applyProtection="1">
      <protection locked="0"/>
    </xf>
    <xf numFmtId="176" fontId="28" fillId="0" borderId="0" xfId="23" applyNumberFormat="1" applyFont="1" applyFill="1" applyBorder="1" applyAlignment="1" applyProtection="1">
      <alignment horizontal="right"/>
      <protection locked="0"/>
    </xf>
    <xf numFmtId="0" fontId="28" fillId="7" borderId="0" xfId="9" applyFont="1" applyFill="1" applyProtection="1">
      <protection locked="0"/>
    </xf>
    <xf numFmtId="0" fontId="28" fillId="0" borderId="0" xfId="9" quotePrefix="1" applyFont="1" applyProtection="1">
      <protection locked="0"/>
    </xf>
    <xf numFmtId="0" fontId="28" fillId="0" borderId="0" xfId="9" applyFont="1" applyAlignment="1" applyProtection="1">
      <alignment horizontal="left"/>
      <protection locked="0"/>
    </xf>
    <xf numFmtId="164" fontId="4" fillId="13" borderId="20" xfId="0" applyNumberFormat="1" applyFont="1" applyFill="1" applyBorder="1" applyAlignment="1">
      <alignment horizontal="center"/>
    </xf>
    <xf numFmtId="164" fontId="4" fillId="0" borderId="0" xfId="0" applyNumberFormat="1" applyFont="1" applyAlignment="1">
      <alignment horizontal="center"/>
    </xf>
    <xf numFmtId="3" fontId="61" fillId="0" borderId="0" xfId="14" applyNumberFormat="1" applyFont="1" applyAlignment="1" applyProtection="1">
      <alignment horizontal="right"/>
      <protection locked="0"/>
    </xf>
    <xf numFmtId="0" fontId="34" fillId="19" borderId="25" xfId="14" applyFont="1" applyFill="1" applyBorder="1" applyAlignment="1" applyProtection="1">
      <alignment horizontal="left"/>
      <protection locked="0"/>
    </xf>
    <xf numFmtId="171" fontId="28" fillId="0" borderId="0" xfId="9" applyNumberFormat="1" applyFont="1" applyAlignment="1" applyProtection="1">
      <alignment horizontal="right"/>
      <protection locked="0"/>
    </xf>
    <xf numFmtId="165" fontId="28" fillId="0" borderId="0" xfId="7" applyFont="1" applyFill="1" applyAlignment="1" applyProtection="1">
      <alignment horizontal="right"/>
      <protection locked="0"/>
    </xf>
    <xf numFmtId="14" fontId="28" fillId="0" borderId="0" xfId="9" applyNumberFormat="1" applyFont="1" applyAlignment="1" applyProtection="1">
      <alignment horizontal="right"/>
      <protection locked="0"/>
    </xf>
    <xf numFmtId="171" fontId="28" fillId="0" borderId="0" xfId="9" applyNumberFormat="1" applyFont="1" applyAlignment="1" applyProtection="1">
      <alignment horizontal="left"/>
      <protection locked="0"/>
    </xf>
    <xf numFmtId="164" fontId="28" fillId="19" borderId="25" xfId="14" applyNumberFormat="1" applyFont="1" applyFill="1" applyBorder="1" applyAlignment="1" applyProtection="1">
      <alignment horizontal="left"/>
      <protection locked="0"/>
    </xf>
    <xf numFmtId="164" fontId="37" fillId="19" borderId="25" xfId="14" applyNumberFormat="1" applyFont="1" applyFill="1" applyBorder="1" applyAlignment="1" applyProtection="1">
      <alignment horizontal="left"/>
      <protection locked="0"/>
    </xf>
    <xf numFmtId="4" fontId="34" fillId="19" borderId="25" xfId="14" applyNumberFormat="1" applyFont="1" applyFill="1" applyBorder="1" applyAlignment="1" applyProtection="1">
      <alignment horizontal="left"/>
      <protection locked="0"/>
    </xf>
    <xf numFmtId="0" fontId="28" fillId="0" borderId="0" xfId="13" applyFont="1" applyAlignment="1" applyProtection="1">
      <alignment vertical="center"/>
      <protection locked="0"/>
    </xf>
    <xf numFmtId="0" fontId="34" fillId="19" borderId="25" xfId="14" applyFont="1" applyFill="1" applyBorder="1" applyAlignment="1" applyProtection="1">
      <alignment vertical="center"/>
      <protection locked="0"/>
    </xf>
    <xf numFmtId="0" fontId="61" fillId="19" borderId="25" xfId="14" applyFont="1" applyFill="1" applyBorder="1" applyAlignment="1" applyProtection="1">
      <alignment vertical="center"/>
      <protection locked="0"/>
    </xf>
    <xf numFmtId="0" fontId="32" fillId="0" borderId="0" xfId="13" applyFont="1" applyAlignment="1" applyProtection="1">
      <alignment horizontal="center"/>
      <protection locked="0"/>
    </xf>
    <xf numFmtId="0" fontId="84" fillId="0" borderId="0" xfId="15" applyFont="1" applyAlignment="1">
      <alignment horizontal="center"/>
    </xf>
    <xf numFmtId="0" fontId="84" fillId="0" borderId="0" xfId="15" applyFont="1" applyAlignment="1">
      <alignment horizontal="center" vertical="center"/>
    </xf>
    <xf numFmtId="0" fontId="84" fillId="0" borderId="0" xfId="15" applyFont="1" applyAlignment="1">
      <alignment horizontal="center" vertical="center" wrapText="1"/>
    </xf>
    <xf numFmtId="0" fontId="84" fillId="0" borderId="0" xfId="27" applyFont="1" applyAlignment="1">
      <alignment horizontal="center"/>
    </xf>
    <xf numFmtId="0" fontId="24" fillId="0" borderId="0" xfId="10" applyFont="1" applyAlignment="1">
      <alignment horizontal="center"/>
    </xf>
    <xf numFmtId="0" fontId="38" fillId="0" borderId="0" xfId="18" applyFont="1" applyAlignment="1" applyProtection="1">
      <alignment horizontal="left"/>
      <protection locked="0"/>
    </xf>
    <xf numFmtId="176" fontId="38" fillId="0" borderId="4" xfId="23" applyNumberFormat="1" applyFont="1" applyFill="1" applyBorder="1" applyAlignment="1" applyProtection="1">
      <alignment horizontal="right"/>
      <protection locked="0"/>
    </xf>
    <xf numFmtId="194" fontId="38" fillId="0" borderId="4" xfId="23" applyNumberFormat="1" applyFont="1" applyFill="1" applyBorder="1" applyAlignment="1" applyProtection="1">
      <alignment horizontal="right"/>
      <protection locked="0"/>
    </xf>
    <xf numFmtId="176" fontId="38" fillId="0" borderId="0" xfId="23" applyNumberFormat="1" applyFont="1" applyFill="1" applyBorder="1" applyAlignment="1" applyProtection="1">
      <alignment horizontal="right"/>
      <protection locked="0"/>
    </xf>
    <xf numFmtId="194" fontId="38" fillId="0" borderId="0" xfId="23" applyNumberFormat="1" applyFont="1" applyFill="1" applyBorder="1" applyAlignment="1" applyProtection="1">
      <alignment horizontal="right"/>
      <protection locked="0"/>
    </xf>
    <xf numFmtId="165" fontId="28" fillId="7" borderId="0" xfId="22" applyFont="1" applyFill="1" applyBorder="1" applyProtection="1">
      <protection locked="0"/>
    </xf>
    <xf numFmtId="0" fontId="28" fillId="7" borderId="0" xfId="14" applyFont="1" applyFill="1" applyProtection="1">
      <protection locked="0"/>
    </xf>
    <xf numFmtId="165" fontId="28" fillId="7" borderId="0" xfId="25" applyFont="1" applyFill="1" applyBorder="1" applyAlignment="1" applyProtection="1">
      <alignment horizontal="right"/>
      <protection locked="0"/>
    </xf>
    <xf numFmtId="2" fontId="28" fillId="7" borderId="0" xfId="25" applyNumberFormat="1" applyFont="1" applyFill="1" applyBorder="1" applyAlignment="1" applyProtection="1">
      <alignment horizontal="right"/>
      <protection locked="0"/>
    </xf>
    <xf numFmtId="176" fontId="28" fillId="7" borderId="0" xfId="25" applyNumberFormat="1" applyFont="1" applyFill="1" applyBorder="1" applyAlignment="1" applyProtection="1">
      <alignment horizontal="right"/>
      <protection locked="0"/>
    </xf>
    <xf numFmtId="0" fontId="12" fillId="14" borderId="0" xfId="11" applyFont="1" applyFill="1" applyAlignment="1" applyProtection="1">
      <alignment vertical="center"/>
      <protection locked="0"/>
    </xf>
    <xf numFmtId="37" fontId="62" fillId="14" borderId="0" xfId="11" applyNumberFormat="1" applyFont="1" applyFill="1" applyAlignment="1" applyProtection="1">
      <alignment horizontal="right"/>
      <protection locked="0"/>
    </xf>
    <xf numFmtId="0" fontId="62" fillId="14" borderId="0" xfId="11" applyFont="1" applyFill="1" applyAlignment="1" applyProtection="1">
      <alignment horizontal="right"/>
      <protection locked="0"/>
    </xf>
    <xf numFmtId="37" fontId="62" fillId="0" borderId="0" xfId="11" applyNumberFormat="1" applyFont="1" applyAlignment="1" applyProtection="1">
      <alignment horizontal="right"/>
      <protection locked="0"/>
    </xf>
    <xf numFmtId="0" fontId="62" fillId="0" borderId="0" xfId="11" applyFont="1" applyAlignment="1" applyProtection="1">
      <alignment horizontal="right"/>
      <protection locked="0"/>
    </xf>
    <xf numFmtId="0" fontId="89" fillId="0" borderId="0" xfId="11" applyFont="1" applyAlignment="1" applyProtection="1">
      <alignment vertical="center"/>
      <protection locked="0"/>
    </xf>
    <xf numFmtId="173" fontId="28" fillId="7" borderId="0" xfId="18" quotePrefix="1" applyNumberFormat="1" applyFont="1" applyFill="1" applyAlignment="1" applyProtection="1">
      <alignment horizontal="left" vertical="center"/>
      <protection locked="0"/>
    </xf>
    <xf numFmtId="195" fontId="28" fillId="7" borderId="0" xfId="25" applyNumberFormat="1" applyFont="1" applyFill="1" applyBorder="1" applyAlignment="1" applyProtection="1">
      <alignment horizontal="right"/>
      <protection locked="0"/>
    </xf>
    <xf numFmtId="180" fontId="28" fillId="7" borderId="0" xfId="22" applyNumberFormat="1" applyFont="1" applyFill="1" applyBorder="1" applyProtection="1">
      <protection locked="0"/>
    </xf>
    <xf numFmtId="1" fontId="3" fillId="0" borderId="0" xfId="0" applyNumberFormat="1" applyFont="1" applyAlignment="1">
      <alignment horizontal="left" vertical="center" indent="2"/>
    </xf>
    <xf numFmtId="1" fontId="3" fillId="0" borderId="0" xfId="0" applyNumberFormat="1" applyFont="1" applyAlignment="1">
      <alignment horizontal="left" vertical="center" indent="3"/>
    </xf>
    <xf numFmtId="1" fontId="3" fillId="0" borderId="0" xfId="0" applyNumberFormat="1" applyFont="1" applyAlignment="1">
      <alignment horizontal="center" vertical="center"/>
    </xf>
    <xf numFmtId="175" fontId="55" fillId="0" borderId="0" xfId="0" applyNumberFormat="1" applyFont="1"/>
    <xf numFmtId="3" fontId="41" fillId="0" borderId="0" xfId="0" applyNumberFormat="1" applyFont="1"/>
    <xf numFmtId="196" fontId="42" fillId="0" borderId="0" xfId="0" applyNumberFormat="1" applyFont="1"/>
    <xf numFmtId="175" fontId="42" fillId="20" borderId="0" xfId="0" applyNumberFormat="1" applyFont="1" applyFill="1"/>
    <xf numFmtId="175" fontId="55" fillId="20" borderId="0" xfId="0" applyNumberFormat="1" applyFont="1" applyFill="1"/>
    <xf numFmtId="3" fontId="42" fillId="0" borderId="0" xfId="0" applyNumberFormat="1" applyFont="1" applyAlignment="1">
      <alignment horizontal="left" indent="1"/>
    </xf>
    <xf numFmtId="175" fontId="68" fillId="0" borderId="0" xfId="7" applyNumberFormat="1" applyFont="1" applyFill="1" applyBorder="1"/>
    <xf numFmtId="1" fontId="3" fillId="0" borderId="0" xfId="0" applyNumberFormat="1" applyFont="1" applyAlignment="1">
      <alignment horizontal="left" vertical="center" indent="1"/>
    </xf>
    <xf numFmtId="171" fontId="90" fillId="0" borderId="0" xfId="0" applyNumberFormat="1" applyFont="1" applyAlignment="1">
      <alignment horizontal="center"/>
    </xf>
    <xf numFmtId="175" fontId="41" fillId="20" borderId="0" xfId="0" applyNumberFormat="1" applyFont="1" applyFill="1"/>
    <xf numFmtId="167" fontId="68" fillId="0" borderId="0" xfId="7" applyNumberFormat="1" applyFont="1" applyFill="1"/>
    <xf numFmtId="175" fontId="68" fillId="0" borderId="0" xfId="0" applyNumberFormat="1" applyFont="1"/>
    <xf numFmtId="175" fontId="91" fillId="0" borderId="0" xfId="7" applyNumberFormat="1" applyFont="1" applyFill="1"/>
    <xf numFmtId="0" fontId="1" fillId="0" borderId="0" xfId="0" quotePrefix="1" applyFont="1" applyAlignment="1">
      <alignment horizontal="left"/>
    </xf>
    <xf numFmtId="175" fontId="3" fillId="0" borderId="0" xfId="0" applyNumberFormat="1" applyFont="1"/>
    <xf numFmtId="175" fontId="1" fillId="0" borderId="0" xfId="0" quotePrefix="1" applyNumberFormat="1" applyFont="1" applyAlignment="1">
      <alignment horizontal="right"/>
    </xf>
    <xf numFmtId="175" fontId="54" fillId="16" borderId="0" xfId="0" applyNumberFormat="1" applyFont="1" applyFill="1"/>
    <xf numFmtId="1" fontId="56" fillId="0" borderId="0" xfId="0" applyNumberFormat="1" applyFont="1" applyAlignment="1">
      <alignment horizontal="left" vertical="center" indent="1"/>
    </xf>
    <xf numFmtId="175" fontId="53" fillId="3" borderId="0" xfId="0" applyNumberFormat="1" applyFont="1" applyFill="1"/>
    <xf numFmtId="4" fontId="1" fillId="0" borderId="0" xfId="0" applyNumberFormat="1" applyFont="1"/>
    <xf numFmtId="10" fontId="54" fillId="16" borderId="0" xfId="0" applyNumberFormat="1" applyFont="1" applyFill="1"/>
    <xf numFmtId="4" fontId="53" fillId="0" borderId="0" xfId="0" applyNumberFormat="1" applyFont="1"/>
    <xf numFmtId="175" fontId="53" fillId="0" borderId="0" xfId="7" applyNumberFormat="1" applyFont="1" applyFill="1" applyBorder="1"/>
    <xf numFmtId="182" fontId="42" fillId="0" borderId="0" xfId="0" applyNumberFormat="1" applyFont="1"/>
    <xf numFmtId="182" fontId="54" fillId="3" borderId="0" xfId="0" applyNumberFormat="1" applyFont="1" applyFill="1"/>
    <xf numFmtId="10" fontId="42" fillId="0" borderId="0" xfId="0" applyNumberFormat="1" applyFont="1"/>
    <xf numFmtId="0" fontId="88" fillId="0" borderId="0" xfId="0" applyFont="1"/>
    <xf numFmtId="1" fontId="88" fillId="0" borderId="0" xfId="0" applyNumberFormat="1" applyFont="1" applyAlignment="1">
      <alignment horizontal="left" vertical="center" indent="2"/>
    </xf>
    <xf numFmtId="0" fontId="88" fillId="0" borderId="0" xfId="0" applyFont="1" applyAlignment="1">
      <alignment horizontal="center"/>
    </xf>
    <xf numFmtId="171" fontId="58" fillId="0" borderId="0" xfId="0" applyNumberFormat="1" applyFont="1"/>
    <xf numFmtId="0" fontId="93" fillId="0" borderId="0" xfId="0" applyFont="1"/>
    <xf numFmtId="0" fontId="94" fillId="0" borderId="0" xfId="0" applyFont="1"/>
    <xf numFmtId="0" fontId="58" fillId="0" borderId="0" xfId="0" applyFont="1"/>
    <xf numFmtId="175" fontId="54" fillId="0" borderId="0" xfId="7" applyNumberFormat="1" applyFont="1" applyFill="1" applyBorder="1"/>
    <xf numFmtId="175" fontId="42" fillId="0" borderId="0" xfId="7" applyNumberFormat="1" applyFont="1" applyFill="1" applyBorder="1"/>
    <xf numFmtId="175" fontId="55" fillId="0" borderId="0" xfId="7" applyNumberFormat="1" applyFont="1" applyFill="1" applyBorder="1"/>
    <xf numFmtId="2" fontId="68" fillId="0" borderId="0" xfId="0" applyNumberFormat="1" applyFont="1" applyAlignment="1">
      <alignment horizontal="left" indent="2"/>
    </xf>
    <xf numFmtId="0" fontId="95" fillId="0" borderId="0" xfId="0" applyFont="1"/>
    <xf numFmtId="175" fontId="55" fillId="6" borderId="0" xfId="0" applyNumberFormat="1" applyFont="1" applyFill="1"/>
    <xf numFmtId="175" fontId="53" fillId="6" borderId="0" xfId="0" applyNumberFormat="1" applyFont="1" applyFill="1"/>
    <xf numFmtId="175" fontId="42" fillId="6" borderId="0" xfId="0" applyNumberFormat="1" applyFont="1" applyFill="1"/>
    <xf numFmtId="175" fontId="1" fillId="6" borderId="0" xfId="0" applyNumberFormat="1" applyFont="1" applyFill="1"/>
    <xf numFmtId="0" fontId="6" fillId="2" borderId="0" xfId="1" applyFont="1" applyFill="1" applyAlignment="1">
      <alignment horizontal="left" indent="2"/>
    </xf>
    <xf numFmtId="0" fontId="8" fillId="2" borderId="0" xfId="1" applyFont="1" applyFill="1" applyAlignment="1">
      <alignment horizontal="left" indent="1"/>
    </xf>
    <xf numFmtId="0" fontId="1" fillId="0" borderId="0" xfId="0" quotePrefix="1" applyFont="1" applyAlignment="1">
      <alignment horizontal="left" indent="1"/>
    </xf>
    <xf numFmtId="171" fontId="14" fillId="2" borderId="0" xfId="1" applyNumberFormat="1" applyFont="1" applyFill="1" applyAlignment="1">
      <alignment horizontal="right"/>
    </xf>
    <xf numFmtId="175" fontId="8" fillId="2" borderId="0" xfId="1" applyNumberFormat="1" applyFont="1" applyFill="1" applyAlignment="1">
      <alignment horizontal="right"/>
    </xf>
    <xf numFmtId="0" fontId="15" fillId="11" borderId="1" xfId="1" applyFont="1" applyFill="1" applyBorder="1"/>
    <xf numFmtId="170" fontId="15" fillId="11" borderId="1" xfId="1" applyNumberFormat="1" applyFont="1" applyFill="1" applyBorder="1" applyAlignment="1">
      <alignment horizontal="right"/>
    </xf>
    <xf numFmtId="0" fontId="6" fillId="2" borderId="0" xfId="1" applyFont="1" applyFill="1" applyAlignment="1">
      <alignment horizontal="center"/>
    </xf>
    <xf numFmtId="170" fontId="6" fillId="2" borderId="0" xfId="1" applyNumberFormat="1" applyFont="1" applyFill="1" applyAlignment="1">
      <alignment horizontal="center"/>
    </xf>
    <xf numFmtId="17" fontId="6" fillId="2" borderId="0" xfId="1" applyNumberFormat="1" applyFont="1" applyFill="1" applyAlignment="1">
      <alignment horizontal="center"/>
    </xf>
    <xf numFmtId="0" fontId="8" fillId="2" borderId="0" xfId="1" applyFont="1" applyFill="1" applyAlignment="1">
      <alignment horizontal="left"/>
    </xf>
    <xf numFmtId="0" fontId="6" fillId="2" borderId="0" xfId="1" applyFont="1" applyFill="1" applyAlignment="1">
      <alignment horizontal="left"/>
    </xf>
    <xf numFmtId="0" fontId="15" fillId="11" borderId="1" xfId="1" applyFont="1" applyFill="1" applyBorder="1" applyAlignment="1">
      <alignment horizontal="left"/>
    </xf>
    <xf numFmtId="0" fontId="7" fillId="2" borderId="0" xfId="1" applyFont="1" applyFill="1" applyAlignment="1">
      <alignment horizontal="left"/>
    </xf>
    <xf numFmtId="176" fontId="28" fillId="18" borderId="0" xfId="19" applyNumberFormat="1" applyFont="1" applyFill="1" applyAlignment="1" applyProtection="1">
      <alignment horizontal="right"/>
      <protection locked="0"/>
    </xf>
    <xf numFmtId="165" fontId="28" fillId="18" borderId="0" xfId="19" applyNumberFormat="1" applyFont="1" applyFill="1" applyAlignment="1" applyProtection="1">
      <alignment horizontal="right"/>
      <protection locked="0"/>
    </xf>
    <xf numFmtId="176" fontId="28" fillId="17" borderId="0" xfId="19" applyNumberFormat="1" applyFont="1" applyFill="1" applyAlignment="1" applyProtection="1">
      <alignment horizontal="right"/>
      <protection locked="0"/>
    </xf>
    <xf numFmtId="165" fontId="28" fillId="17" borderId="0" xfId="19" applyNumberFormat="1" applyFont="1" applyFill="1" applyAlignment="1" applyProtection="1">
      <alignment horizontal="right"/>
      <protection locked="0"/>
    </xf>
    <xf numFmtId="176" fontId="28" fillId="17" borderId="26" xfId="19" applyNumberFormat="1" applyFont="1" applyFill="1" applyBorder="1" applyAlignment="1" applyProtection="1">
      <alignment horizontal="right"/>
      <protection locked="0"/>
    </xf>
    <xf numFmtId="176" fontId="28" fillId="17" borderId="27" xfId="19" applyNumberFormat="1" applyFont="1" applyFill="1" applyBorder="1" applyAlignment="1" applyProtection="1">
      <alignment horizontal="right"/>
      <protection locked="0"/>
    </xf>
    <xf numFmtId="176" fontId="28" fillId="17" borderId="28" xfId="19" applyNumberFormat="1" applyFont="1" applyFill="1" applyBorder="1" applyAlignment="1" applyProtection="1">
      <alignment horizontal="right"/>
      <protection locked="0"/>
    </xf>
    <xf numFmtId="176" fontId="28" fillId="17" borderId="29" xfId="19" applyNumberFormat="1" applyFont="1" applyFill="1" applyBorder="1" applyAlignment="1" applyProtection="1">
      <alignment horizontal="right"/>
      <protection locked="0"/>
    </xf>
    <xf numFmtId="176" fontId="28" fillId="17" borderId="30" xfId="19" applyNumberFormat="1" applyFont="1" applyFill="1" applyBorder="1" applyAlignment="1" applyProtection="1">
      <alignment horizontal="right"/>
      <protection locked="0"/>
    </xf>
    <xf numFmtId="165" fontId="28" fillId="17" borderId="29" xfId="19" applyNumberFormat="1" applyFont="1" applyFill="1" applyBorder="1" applyAlignment="1" applyProtection="1">
      <alignment horizontal="right"/>
      <protection locked="0"/>
    </xf>
    <xf numFmtId="165" fontId="28" fillId="17" borderId="30" xfId="19" applyNumberFormat="1" applyFont="1" applyFill="1" applyBorder="1" applyAlignment="1" applyProtection="1">
      <alignment horizontal="right"/>
      <protection locked="0"/>
    </xf>
    <xf numFmtId="165" fontId="28" fillId="17" borderId="31" xfId="19" applyNumberFormat="1" applyFont="1" applyFill="1" applyBorder="1" applyAlignment="1" applyProtection="1">
      <alignment horizontal="right"/>
      <protection locked="0"/>
    </xf>
    <xf numFmtId="165" fontId="28" fillId="17" borderId="32" xfId="19" applyNumberFormat="1" applyFont="1" applyFill="1" applyBorder="1" applyAlignment="1" applyProtection="1">
      <alignment horizontal="right"/>
      <protection locked="0"/>
    </xf>
    <xf numFmtId="165" fontId="28" fillId="17" borderId="33" xfId="19" applyNumberFormat="1" applyFont="1" applyFill="1" applyBorder="1" applyAlignment="1" applyProtection="1">
      <alignment horizontal="right"/>
      <protection locked="0"/>
    </xf>
    <xf numFmtId="176" fontId="28" fillId="18" borderId="34" xfId="19" applyNumberFormat="1" applyFont="1" applyFill="1" applyBorder="1" applyAlignment="1" applyProtection="1">
      <alignment horizontal="right"/>
      <protection locked="0"/>
    </xf>
    <xf numFmtId="176" fontId="28" fillId="18" borderId="35" xfId="19" applyNumberFormat="1" applyFont="1" applyFill="1" applyBorder="1" applyAlignment="1" applyProtection="1">
      <alignment horizontal="right"/>
      <protection locked="0"/>
    </xf>
    <xf numFmtId="176" fontId="28" fillId="18" borderId="36" xfId="19" applyNumberFormat="1" applyFont="1" applyFill="1" applyBorder="1" applyAlignment="1" applyProtection="1">
      <alignment horizontal="right"/>
      <protection locked="0"/>
    </xf>
    <xf numFmtId="176" fontId="28" fillId="18" borderId="37" xfId="19" applyNumberFormat="1" applyFont="1" applyFill="1" applyBorder="1" applyAlignment="1" applyProtection="1">
      <alignment horizontal="right"/>
      <protection locked="0"/>
    </xf>
    <xf numFmtId="176" fontId="28" fillId="18" borderId="38" xfId="19" applyNumberFormat="1" applyFont="1" applyFill="1" applyBorder="1" applyAlignment="1" applyProtection="1">
      <alignment horizontal="right"/>
      <protection locked="0"/>
    </xf>
    <xf numFmtId="165" fontId="28" fillId="18" borderId="37" xfId="19" applyNumberFormat="1" applyFont="1" applyFill="1" applyBorder="1" applyAlignment="1" applyProtection="1">
      <alignment horizontal="right"/>
      <protection locked="0"/>
    </xf>
    <xf numFmtId="165" fontId="28" fillId="18" borderId="38" xfId="19" applyNumberFormat="1" applyFont="1" applyFill="1" applyBorder="1" applyAlignment="1" applyProtection="1">
      <alignment horizontal="right"/>
      <protection locked="0"/>
    </xf>
    <xf numFmtId="165" fontId="28" fillId="18" borderId="39" xfId="19" applyNumberFormat="1" applyFont="1" applyFill="1" applyBorder="1" applyAlignment="1" applyProtection="1">
      <alignment horizontal="right"/>
      <protection locked="0"/>
    </xf>
    <xf numFmtId="165" fontId="28" fillId="18" borderId="40" xfId="19" applyNumberFormat="1" applyFont="1" applyFill="1" applyBorder="1" applyAlignment="1" applyProtection="1">
      <alignment horizontal="right"/>
      <protection locked="0"/>
    </xf>
    <xf numFmtId="165" fontId="28" fillId="18" borderId="41" xfId="19" applyNumberFormat="1" applyFont="1" applyFill="1" applyBorder="1" applyAlignment="1" applyProtection="1">
      <alignment horizontal="right"/>
      <protection locked="0"/>
    </xf>
    <xf numFmtId="0" fontId="96" fillId="0" borderId="0" xfId="15" applyFont="1"/>
    <xf numFmtId="37" fontId="32" fillId="0" borderId="0" xfId="4" applyNumberFormat="1" applyFont="1" applyAlignment="1" applyProtection="1">
      <alignment horizontal="right"/>
      <protection locked="0"/>
    </xf>
    <xf numFmtId="0" fontId="28" fillId="0" borderId="0" xfId="19" applyFont="1" applyAlignment="1" applyProtection="1">
      <alignment horizontal="right"/>
      <protection locked="0"/>
    </xf>
    <xf numFmtId="171" fontId="28" fillId="0" borderId="0" xfId="21" applyNumberFormat="1" applyFont="1" applyFill="1" applyBorder="1" applyAlignment="1" applyProtection="1">
      <alignment horizontal="right"/>
      <protection locked="0"/>
    </xf>
    <xf numFmtId="37" fontId="62" fillId="21" borderId="0" xfId="11" applyNumberFormat="1" applyFont="1" applyFill="1" applyAlignment="1" applyProtection="1">
      <alignment horizontal="left"/>
      <protection locked="0"/>
    </xf>
    <xf numFmtId="37" fontId="62" fillId="21" borderId="0" xfId="11" applyNumberFormat="1" applyFont="1" applyFill="1" applyAlignment="1" applyProtection="1">
      <alignment horizontal="center"/>
      <protection locked="0"/>
    </xf>
    <xf numFmtId="0" fontId="62" fillId="21" borderId="0" xfId="10" applyFont="1" applyFill="1" applyAlignment="1">
      <alignment horizontal="center"/>
    </xf>
    <xf numFmtId="173" fontId="28" fillId="0" borderId="0" xfId="18" applyNumberFormat="1" applyFont="1" applyAlignment="1" applyProtection="1">
      <alignment horizontal="left" indent="1"/>
      <protection locked="0"/>
    </xf>
    <xf numFmtId="173" fontId="28" fillId="13" borderId="0" xfId="18" applyNumberFormat="1" applyFont="1" applyFill="1" applyAlignment="1" applyProtection="1">
      <alignment horizontal="left"/>
      <protection locked="0"/>
    </xf>
    <xf numFmtId="0" fontId="28" fillId="13" borderId="0" xfId="19" applyFont="1" applyFill="1" applyAlignment="1" applyProtection="1">
      <alignment horizontal="right"/>
      <protection locked="0"/>
    </xf>
    <xf numFmtId="0" fontId="32" fillId="0" borderId="0" xfId="4" applyFont="1" applyAlignment="1" applyProtection="1">
      <alignment vertical="center"/>
      <protection locked="0"/>
    </xf>
    <xf numFmtId="175" fontId="1" fillId="0" borderId="15" xfId="0" applyNumberFormat="1" applyFont="1" applyBorder="1" applyAlignment="1">
      <alignment horizontal="center"/>
    </xf>
    <xf numFmtId="4" fontId="28" fillId="0" borderId="25" xfId="14" applyNumberFormat="1" applyFont="1" applyBorder="1" applyAlignment="1" applyProtection="1">
      <alignment horizontal="left"/>
      <protection locked="0"/>
    </xf>
    <xf numFmtId="164" fontId="28" fillId="0" borderId="25" xfId="14" applyNumberFormat="1" applyFont="1" applyBorder="1" applyAlignment="1" applyProtection="1">
      <alignment horizontal="left"/>
      <protection locked="0"/>
    </xf>
    <xf numFmtId="8" fontId="6" fillId="2" borderId="0" xfId="1" applyNumberFormat="1" applyFont="1" applyFill="1" applyAlignment="1">
      <alignment horizontal="right"/>
    </xf>
    <xf numFmtId="1" fontId="42" fillId="0" borderId="0" xfId="0" applyNumberFormat="1" applyFont="1" applyAlignment="1">
      <alignment horizontal="center" vertical="center"/>
    </xf>
    <xf numFmtId="167" fontId="42" fillId="0" borderId="0" xfId="7" applyNumberFormat="1" applyFont="1" applyFill="1"/>
    <xf numFmtId="175" fontId="42" fillId="16" borderId="0" xfId="0" applyNumberFormat="1" applyFont="1" applyFill="1"/>
    <xf numFmtId="171" fontId="6" fillId="2" borderId="0" xfId="1" applyNumberFormat="1" applyFont="1" applyFill="1"/>
    <xf numFmtId="0" fontId="96" fillId="0" borderId="0" xfId="27" applyFont="1"/>
    <xf numFmtId="0" fontId="96" fillId="0" borderId="0" xfId="27" applyFont="1" applyAlignment="1">
      <alignment horizontal="left" vertical="center" wrapText="1" indent="1"/>
    </xf>
    <xf numFmtId="2" fontId="28" fillId="19" borderId="25" xfId="14" applyNumberFormat="1" applyFont="1" applyFill="1" applyBorder="1" applyAlignment="1" applyProtection="1">
      <alignment horizontal="left"/>
      <protection locked="0"/>
    </xf>
    <xf numFmtId="0" fontId="98" fillId="16" borderId="0" xfId="0" applyFont="1" applyFill="1"/>
    <xf numFmtId="0" fontId="99" fillId="16" borderId="0" xfId="0" applyFont="1" applyFill="1"/>
    <xf numFmtId="0" fontId="98" fillId="22" borderId="0" xfId="0" applyFont="1" applyFill="1" applyAlignment="1">
      <alignment horizontal="left"/>
    </xf>
    <xf numFmtId="0" fontId="98" fillId="22" borderId="0" xfId="0" applyFont="1" applyFill="1"/>
    <xf numFmtId="0" fontId="99" fillId="22" borderId="0" xfId="0" applyFont="1" applyFill="1"/>
    <xf numFmtId="0" fontId="100" fillId="23" borderId="46" xfId="0" applyFont="1" applyFill="1" applyBorder="1" applyAlignment="1">
      <alignment horizontal="center" vertical="center"/>
    </xf>
    <xf numFmtId="0" fontId="100" fillId="23" borderId="47" xfId="0" applyFont="1" applyFill="1" applyBorder="1" applyAlignment="1">
      <alignment horizontal="center" vertical="center"/>
    </xf>
    <xf numFmtId="0" fontId="100" fillId="23" borderId="51" xfId="0" applyFont="1" applyFill="1" applyBorder="1" applyAlignment="1">
      <alignment horizontal="center" vertical="center" wrapText="1"/>
    </xf>
    <xf numFmtId="0" fontId="102" fillId="22" borderId="43" xfId="0" applyFont="1" applyFill="1" applyBorder="1" applyAlignment="1">
      <alignment horizontal="left"/>
    </xf>
    <xf numFmtId="2" fontId="103" fillId="24" borderId="52" xfId="0" applyNumberFormat="1" applyFont="1" applyFill="1" applyBorder="1"/>
    <xf numFmtId="187" fontId="98" fillId="22" borderId="54" xfId="0" applyNumberFormat="1" applyFont="1" applyFill="1" applyBorder="1"/>
    <xf numFmtId="0" fontId="102" fillId="22" borderId="48" xfId="0" applyFont="1" applyFill="1" applyBorder="1" applyAlignment="1">
      <alignment horizontal="left"/>
    </xf>
    <xf numFmtId="197" fontId="103" fillId="24" borderId="0" xfId="0" applyNumberFormat="1" applyFont="1" applyFill="1"/>
    <xf numFmtId="187" fontId="98" fillId="22" borderId="56" xfId="0" applyNumberFormat="1" applyFont="1" applyFill="1" applyBorder="1"/>
    <xf numFmtId="0" fontId="101" fillId="24" borderId="0" xfId="0" applyFont="1" applyFill="1" applyAlignment="1">
      <alignment horizontal="right"/>
    </xf>
    <xf numFmtId="187" fontId="98" fillId="22" borderId="51" xfId="0" applyNumberFormat="1" applyFont="1" applyFill="1" applyBorder="1"/>
    <xf numFmtId="0" fontId="103" fillId="22" borderId="0" xfId="0" applyFont="1" applyFill="1"/>
    <xf numFmtId="0" fontId="98" fillId="0" borderId="0" xfId="0" applyFont="1"/>
    <xf numFmtId="0" fontId="104" fillId="22" borderId="0" xfId="0" applyFont="1" applyFill="1"/>
    <xf numFmtId="188" fontId="98" fillId="22" borderId="53" xfId="54" applyNumberFormat="1" applyFont="1" applyFill="1" applyBorder="1"/>
    <xf numFmtId="0" fontId="101" fillId="22" borderId="48" xfId="0" applyFont="1" applyFill="1" applyBorder="1"/>
    <xf numFmtId="0" fontId="102" fillId="22" borderId="0" xfId="0" applyFont="1" applyFill="1"/>
    <xf numFmtId="188" fontId="98" fillId="22" borderId="55" xfId="0" applyNumberFormat="1" applyFont="1" applyFill="1" applyBorder="1" applyAlignment="1">
      <alignment horizontal="right"/>
    </xf>
    <xf numFmtId="0" fontId="74" fillId="2" borderId="0" xfId="0" applyFont="1" applyFill="1"/>
    <xf numFmtId="171" fontId="107" fillId="22" borderId="0" xfId="51" applyNumberFormat="1" applyFont="1" applyFill="1" applyAlignment="1">
      <alignment horizontal="left"/>
    </xf>
    <xf numFmtId="0" fontId="103" fillId="22" borderId="48" xfId="0" applyFont="1" applyFill="1" applyBorder="1"/>
    <xf numFmtId="172" fontId="103" fillId="22" borderId="0" xfId="54" applyNumberFormat="1" applyFont="1" applyFill="1" applyBorder="1" applyAlignment="1">
      <alignment horizontal="right"/>
    </xf>
    <xf numFmtId="172" fontId="101" fillId="22" borderId="0" xfId="54" applyNumberFormat="1" applyFont="1" applyFill="1" applyBorder="1" applyAlignment="1">
      <alignment horizontal="right"/>
    </xf>
    <xf numFmtId="0" fontId="103" fillId="0" borderId="48" xfId="0" applyFont="1" applyBorder="1"/>
    <xf numFmtId="0" fontId="101" fillId="22" borderId="58" xfId="0" applyFont="1" applyFill="1" applyBorder="1"/>
    <xf numFmtId="172" fontId="101" fillId="22" borderId="57" xfId="54" applyNumberFormat="1" applyFont="1" applyFill="1" applyBorder="1" applyAlignment="1">
      <alignment horizontal="right"/>
    </xf>
    <xf numFmtId="188" fontId="102" fillId="22" borderId="53" xfId="0" applyNumberFormat="1" applyFont="1" applyFill="1" applyBorder="1" applyAlignment="1">
      <alignment horizontal="right"/>
    </xf>
    <xf numFmtId="0" fontId="103" fillId="22" borderId="43" xfId="0" applyFont="1" applyFill="1" applyBorder="1"/>
    <xf numFmtId="172" fontId="103" fillId="22" borderId="52" xfId="54" applyNumberFormat="1" applyFont="1" applyFill="1" applyBorder="1" applyAlignment="1">
      <alignment horizontal="right"/>
    </xf>
    <xf numFmtId="0" fontId="103" fillId="22" borderId="23" xfId="0" applyFont="1" applyFill="1" applyBorder="1"/>
    <xf numFmtId="172" fontId="103" fillId="22" borderId="57" xfId="54" applyNumberFormat="1" applyFont="1" applyFill="1" applyBorder="1" applyAlignment="1">
      <alignment horizontal="right"/>
    </xf>
    <xf numFmtId="0" fontId="19" fillId="2" borderId="0" xfId="55" applyFont="1" applyFill="1" applyAlignment="1">
      <alignment horizontal="left"/>
    </xf>
    <xf numFmtId="187" fontId="102" fillId="2" borderId="0" xfId="0" applyNumberFormat="1" applyFont="1" applyFill="1"/>
    <xf numFmtId="187" fontId="102" fillId="22" borderId="0" xfId="0" applyNumberFormat="1" applyFont="1" applyFill="1" applyAlignment="1">
      <alignment horizontal="right"/>
    </xf>
    <xf numFmtId="0" fontId="103" fillId="22" borderId="18" xfId="0" applyFont="1" applyFill="1" applyBorder="1"/>
    <xf numFmtId="0" fontId="103" fillId="22" borderId="18" xfId="0" applyFont="1" applyFill="1" applyBorder="1" applyAlignment="1">
      <alignment horizontal="left" indent="1"/>
    </xf>
    <xf numFmtId="171" fontId="98" fillId="22" borderId="0" xfId="51" applyNumberFormat="1" applyFont="1" applyFill="1"/>
    <xf numFmtId="0" fontId="104" fillId="22" borderId="63" xfId="0" applyFont="1" applyFill="1" applyBorder="1"/>
    <xf numFmtId="187" fontId="103" fillId="22" borderId="64" xfId="0" applyNumberFormat="1" applyFont="1" applyFill="1" applyBorder="1" applyAlignment="1">
      <alignment horizontal="left"/>
    </xf>
    <xf numFmtId="0" fontId="101" fillId="22" borderId="65" xfId="0" applyFont="1" applyFill="1" applyBorder="1"/>
    <xf numFmtId="187" fontId="101" fillId="22" borderId="65" xfId="0" applyNumberFormat="1" applyFont="1" applyFill="1" applyBorder="1" applyAlignment="1">
      <alignment horizontal="left"/>
    </xf>
    <xf numFmtId="187" fontId="101" fillId="22" borderId="66" xfId="0" applyNumberFormat="1" applyFont="1" applyFill="1" applyBorder="1" applyAlignment="1">
      <alignment horizontal="left"/>
    </xf>
    <xf numFmtId="188" fontId="98" fillId="22" borderId="52" xfId="0" applyNumberFormat="1" applyFont="1" applyFill="1" applyBorder="1"/>
    <xf numFmtId="188" fontId="98" fillId="22" borderId="0" xfId="0" applyNumberFormat="1" applyFont="1" applyFill="1"/>
    <xf numFmtId="188" fontId="98" fillId="22" borderId="57" xfId="0" applyNumberFormat="1" applyFont="1" applyFill="1" applyBorder="1"/>
    <xf numFmtId="188" fontId="98" fillId="17" borderId="55" xfId="0" applyNumberFormat="1" applyFont="1" applyFill="1" applyBorder="1" applyAlignment="1">
      <alignment horizontal="right"/>
    </xf>
    <xf numFmtId="9" fontId="98" fillId="17" borderId="55" xfId="8" applyFont="1" applyFill="1" applyBorder="1"/>
    <xf numFmtId="188" fontId="98" fillId="17" borderId="50" xfId="51" applyNumberFormat="1" applyFont="1" applyFill="1" applyBorder="1"/>
    <xf numFmtId="188" fontId="98" fillId="17" borderId="55" xfId="54" applyNumberFormat="1" applyFont="1" applyFill="1" applyBorder="1"/>
    <xf numFmtId="188" fontId="102" fillId="17" borderId="55" xfId="54" applyNumberFormat="1" applyFont="1" applyFill="1" applyBorder="1"/>
    <xf numFmtId="188" fontId="98" fillId="17" borderId="55" xfId="54" applyNumberFormat="1" applyFont="1" applyFill="1" applyBorder="1" applyAlignment="1">
      <alignment horizontal="right"/>
    </xf>
    <xf numFmtId="188" fontId="102" fillId="17" borderId="55" xfId="0" applyNumberFormat="1" applyFont="1" applyFill="1" applyBorder="1"/>
    <xf numFmtId="188" fontId="102" fillId="17" borderId="61" xfId="0" applyNumberFormat="1" applyFont="1" applyFill="1" applyBorder="1"/>
    <xf numFmtId="188" fontId="102" fillId="17" borderId="55" xfId="54" applyNumberFormat="1" applyFont="1" applyFill="1" applyBorder="1" applyAlignment="1">
      <alignment horizontal="right"/>
    </xf>
    <xf numFmtId="199" fontId="98" fillId="17" borderId="53" xfId="0" applyNumberFormat="1" applyFont="1" applyFill="1" applyBorder="1" applyAlignment="1">
      <alignment horizontal="right"/>
    </xf>
    <xf numFmtId="199" fontId="98" fillId="17" borderId="64" xfId="0" applyNumberFormat="1" applyFont="1" applyFill="1" applyBorder="1" applyAlignment="1">
      <alignment horizontal="right"/>
    </xf>
    <xf numFmtId="188" fontId="98" fillId="24" borderId="51" xfId="51" applyNumberFormat="1" applyFont="1" applyFill="1" applyBorder="1"/>
    <xf numFmtId="188" fontId="98" fillId="22" borderId="54" xfId="54" applyNumberFormat="1" applyFont="1" applyFill="1" applyBorder="1"/>
    <xf numFmtId="188" fontId="98" fillId="24" borderId="56" xfId="54" applyNumberFormat="1" applyFont="1" applyFill="1" applyBorder="1"/>
    <xf numFmtId="188" fontId="98" fillId="24" borderId="55" xfId="54" applyNumberFormat="1" applyFont="1" applyFill="1" applyBorder="1"/>
    <xf numFmtId="188" fontId="102" fillId="24" borderId="56" xfId="54" applyNumberFormat="1" applyFont="1" applyFill="1" applyBorder="1"/>
    <xf numFmtId="188" fontId="98" fillId="22" borderId="56" xfId="0" applyNumberFormat="1" applyFont="1" applyFill="1" applyBorder="1" applyAlignment="1">
      <alignment horizontal="right"/>
    </xf>
    <xf numFmtId="188" fontId="98" fillId="24" borderId="56" xfId="54" applyNumberFormat="1" applyFont="1" applyFill="1" applyBorder="1" applyAlignment="1">
      <alignment horizontal="right"/>
    </xf>
    <xf numFmtId="188" fontId="102" fillId="24" borderId="56" xfId="54" applyNumberFormat="1" applyFont="1" applyFill="1" applyBorder="1" applyAlignment="1">
      <alignment horizontal="right"/>
    </xf>
    <xf numFmtId="188" fontId="98" fillId="24" borderId="56" xfId="0" applyNumberFormat="1" applyFont="1" applyFill="1" applyBorder="1" applyAlignment="1">
      <alignment horizontal="right"/>
    </xf>
    <xf numFmtId="188" fontId="102" fillId="22" borderId="54" xfId="0" applyNumberFormat="1" applyFont="1" applyFill="1" applyBorder="1" applyAlignment="1">
      <alignment horizontal="right"/>
    </xf>
    <xf numFmtId="188" fontId="102" fillId="24" borderId="56" xfId="0" applyNumberFormat="1" applyFont="1" applyFill="1" applyBorder="1"/>
    <xf numFmtId="188" fontId="102" fillId="24" borderId="51" xfId="0" applyNumberFormat="1" applyFont="1" applyFill="1" applyBorder="1"/>
    <xf numFmtId="9" fontId="98" fillId="24" borderId="56" xfId="0" applyNumberFormat="1" applyFont="1" applyFill="1" applyBorder="1"/>
    <xf numFmtId="199" fontId="98" fillId="24" borderId="64" xfId="0" applyNumberFormat="1" applyFont="1" applyFill="1" applyBorder="1" applyAlignment="1">
      <alignment horizontal="right"/>
    </xf>
    <xf numFmtId="0" fontId="97" fillId="2" borderId="0" xfId="0" applyFont="1" applyFill="1"/>
    <xf numFmtId="0" fontId="109" fillId="0" borderId="0" xfId="0" applyFont="1" applyAlignment="1">
      <alignment horizontal="left" vertical="top" indent="1"/>
    </xf>
    <xf numFmtId="0" fontId="12" fillId="0" borderId="0" xfId="0" applyFont="1" applyAlignment="1">
      <alignment horizontal="center" vertical="top"/>
    </xf>
    <xf numFmtId="0" fontId="0" fillId="0" borderId="0" xfId="0" applyAlignment="1">
      <alignment vertical="top"/>
    </xf>
    <xf numFmtId="0" fontId="97" fillId="0" borderId="0" xfId="0" applyFont="1"/>
    <xf numFmtId="167" fontId="59" fillId="0" borderId="0" xfId="0" applyNumberFormat="1" applyFont="1" applyAlignment="1">
      <alignment horizontal="right" vertical="center"/>
    </xf>
    <xf numFmtId="175" fontId="97" fillId="0" borderId="0" xfId="0" applyNumberFormat="1" applyFont="1" applyAlignment="1">
      <alignment horizontal="right" vertical="center"/>
    </xf>
    <xf numFmtId="171" fontId="97" fillId="0" borderId="0" xfId="0" applyNumberFormat="1" applyFont="1" applyAlignment="1">
      <alignment horizontal="right" vertical="center"/>
    </xf>
    <xf numFmtId="0" fontId="97" fillId="0" borderId="0" xfId="0" applyFont="1" applyAlignment="1">
      <alignment vertical="center"/>
    </xf>
    <xf numFmtId="188" fontId="111" fillId="15" borderId="0" xfId="44" applyNumberFormat="1" applyFont="1" applyFill="1" applyAlignment="1" applyProtection="1">
      <alignment horizontal="center" vertical="center"/>
    </xf>
    <xf numFmtId="0" fontId="97" fillId="0" borderId="0" xfId="0" applyFont="1" applyAlignment="1">
      <alignment horizontal="left" vertical="center" indent="1"/>
    </xf>
    <xf numFmtId="0" fontId="0" fillId="0" borderId="0" xfId="0" applyAlignment="1">
      <alignment horizontal="left" vertical="center" indent="2"/>
    </xf>
    <xf numFmtId="0" fontId="12" fillId="17" borderId="0" xfId="0" applyFont="1" applyFill="1" applyAlignment="1">
      <alignment horizontal="center" vertical="center"/>
    </xf>
    <xf numFmtId="175" fontId="65" fillId="15" borderId="0" xfId="44" applyNumberFormat="1" applyFont="1" applyFill="1" applyAlignment="1" applyProtection="1">
      <alignment horizontal="center" vertical="center"/>
    </xf>
    <xf numFmtId="175" fontId="0" fillId="0" borderId="0" xfId="0" applyNumberFormat="1"/>
    <xf numFmtId="175" fontId="59" fillId="13" borderId="0" xfId="0" applyNumberFormat="1" applyFont="1" applyFill="1" applyAlignment="1">
      <alignment horizontal="right" vertical="center"/>
    </xf>
    <xf numFmtId="175" fontId="112" fillId="6" borderId="0" xfId="0" applyNumberFormat="1" applyFont="1" applyFill="1" applyAlignment="1">
      <alignment horizontal="right" vertical="center"/>
    </xf>
    <xf numFmtId="167" fontId="110" fillId="0" borderId="0" xfId="0" applyNumberFormat="1" applyFont="1" applyAlignment="1">
      <alignment horizontal="right" vertical="center"/>
    </xf>
    <xf numFmtId="188" fontId="111" fillId="0" borderId="0" xfId="44" applyNumberFormat="1" applyFont="1" applyAlignment="1" applyProtection="1">
      <alignment horizontal="center" vertical="center"/>
    </xf>
    <xf numFmtId="175" fontId="112" fillId="0" borderId="0" xfId="0" applyNumberFormat="1" applyFont="1" applyAlignment="1">
      <alignment horizontal="right" vertical="center"/>
    </xf>
    <xf numFmtId="3" fontId="0" fillId="0" borderId="0" xfId="0" applyNumberFormat="1" applyAlignment="1">
      <alignment horizontal="right" vertical="center"/>
    </xf>
    <xf numFmtId="175" fontId="59" fillId="0" borderId="0" xfId="0" applyNumberFormat="1" applyFont="1" applyAlignment="1">
      <alignment horizontal="right" vertical="center"/>
    </xf>
    <xf numFmtId="175" fontId="12" fillId="0" borderId="0" xfId="0" applyNumberFormat="1" applyFont="1" applyAlignment="1">
      <alignment horizontal="center" vertical="top"/>
    </xf>
    <xf numFmtId="175" fontId="73" fillId="0" borderId="9" xfId="44" applyNumberFormat="1" applyFont="1" applyBorder="1" applyAlignment="1" applyProtection="1">
      <alignment horizontal="center" vertical="center"/>
    </xf>
    <xf numFmtId="175" fontId="110" fillId="13" borderId="0" xfId="0" applyNumberFormat="1" applyFont="1" applyFill="1" applyAlignment="1">
      <alignment horizontal="right" vertical="center"/>
    </xf>
    <xf numFmtId="175" fontId="97" fillId="0" borderId="0" xfId="0" applyNumberFormat="1" applyFont="1"/>
    <xf numFmtId="0" fontId="12" fillId="11" borderId="67" xfId="0" applyFont="1" applyFill="1" applyBorder="1" applyAlignment="1">
      <alignment horizontal="center" vertical="center"/>
    </xf>
    <xf numFmtId="0" fontId="12" fillId="11" borderId="68" xfId="0" applyFont="1" applyFill="1" applyBorder="1" applyAlignment="1">
      <alignment horizontal="center" vertical="center"/>
    </xf>
    <xf numFmtId="0" fontId="12" fillId="0" borderId="67" xfId="0" applyFont="1" applyBorder="1" applyAlignment="1">
      <alignment horizontal="center" vertical="center"/>
    </xf>
    <xf numFmtId="0" fontId="12" fillId="0" borderId="68" xfId="0" applyFont="1" applyBorder="1" applyAlignment="1">
      <alignment horizontal="center" vertical="center"/>
    </xf>
    <xf numFmtId="175" fontId="0" fillId="0" borderId="67" xfId="0" applyNumberFormat="1" applyBorder="1" applyAlignment="1">
      <alignment horizontal="right" vertical="center"/>
    </xf>
    <xf numFmtId="171" fontId="0" fillId="0" borderId="68" xfId="0" applyNumberFormat="1" applyBorder="1" applyAlignment="1">
      <alignment horizontal="right" vertical="center"/>
    </xf>
    <xf numFmtId="0" fontId="12" fillId="11" borderId="67" xfId="0" applyFont="1" applyFill="1" applyBorder="1" applyAlignment="1">
      <alignment horizontal="center" vertical="center" wrapText="1"/>
    </xf>
    <xf numFmtId="0" fontId="12" fillId="11" borderId="68" xfId="0" applyFont="1" applyFill="1" applyBorder="1" applyAlignment="1">
      <alignment horizontal="center" vertical="center" wrapText="1"/>
    </xf>
    <xf numFmtId="175" fontId="97" fillId="0" borderId="67" xfId="0" applyNumberFormat="1" applyFont="1" applyBorder="1" applyAlignment="1">
      <alignment horizontal="right" vertical="center"/>
    </xf>
    <xf numFmtId="171" fontId="97" fillId="0" borderId="68" xfId="0" applyNumberFormat="1" applyFont="1" applyBorder="1" applyAlignment="1">
      <alignment horizontal="right" vertical="center"/>
    </xf>
    <xf numFmtId="171" fontId="0" fillId="0" borderId="67" xfId="0" applyNumberFormat="1" applyBorder="1" applyAlignment="1">
      <alignment horizontal="right" vertical="center"/>
    </xf>
    <xf numFmtId="200" fontId="0" fillId="0" borderId="68" xfId="0" applyNumberFormat="1" applyBorder="1" applyAlignment="1">
      <alignment horizontal="right" vertical="center"/>
    </xf>
    <xf numFmtId="171" fontId="97" fillId="0" borderId="67" xfId="0" applyNumberFormat="1" applyFont="1" applyBorder="1" applyAlignment="1">
      <alignment horizontal="right" vertical="center"/>
    </xf>
    <xf numFmtId="200" fontId="97" fillId="0" borderId="68" xfId="0" applyNumberFormat="1" applyFont="1" applyBorder="1" applyAlignment="1">
      <alignment horizontal="right" vertical="center"/>
    </xf>
    <xf numFmtId="3" fontId="0" fillId="0" borderId="67" xfId="0" applyNumberFormat="1" applyBorder="1" applyAlignment="1">
      <alignment horizontal="right" vertical="center"/>
    </xf>
    <xf numFmtId="201" fontId="0" fillId="2" borderId="3" xfId="0" applyNumberFormat="1" applyFill="1" applyBorder="1"/>
    <xf numFmtId="0" fontId="113" fillId="0" borderId="0" xfId="0" applyFont="1"/>
    <xf numFmtId="0" fontId="92" fillId="0" borderId="0" xfId="0" applyFont="1"/>
    <xf numFmtId="0" fontId="114" fillId="0" borderId="0" xfId="1" applyFont="1" applyAlignment="1">
      <alignment vertical="center"/>
    </xf>
    <xf numFmtId="0" fontId="114" fillId="0" borderId="0" xfId="1" applyFont="1" applyAlignment="1">
      <alignment horizontal="center" vertical="center"/>
    </xf>
    <xf numFmtId="193" fontId="114" fillId="0" borderId="0" xfId="1" applyNumberFormat="1" applyFont="1" applyAlignment="1">
      <alignment horizontal="center" vertical="center"/>
    </xf>
    <xf numFmtId="193" fontId="115" fillId="0" borderId="0" xfId="1" applyNumberFormat="1" applyFont="1" applyAlignment="1">
      <alignment horizontal="center" vertical="center"/>
    </xf>
    <xf numFmtId="202" fontId="1" fillId="0" borderId="0" xfId="0" applyNumberFormat="1" applyFont="1"/>
    <xf numFmtId="171" fontId="1" fillId="6" borderId="0" xfId="0" applyNumberFormat="1" applyFont="1" applyFill="1"/>
    <xf numFmtId="3" fontId="1" fillId="6" borderId="0" xfId="0" applyNumberFormat="1" applyFont="1" applyFill="1"/>
    <xf numFmtId="202" fontId="1" fillId="6" borderId="0" xfId="0" applyNumberFormat="1" applyFont="1" applyFill="1"/>
    <xf numFmtId="171" fontId="53" fillId="6" borderId="0" xfId="0" applyNumberFormat="1" applyFont="1" applyFill="1"/>
    <xf numFmtId="3" fontId="53" fillId="6" borderId="0" xfId="0" applyNumberFormat="1" applyFont="1" applyFill="1"/>
    <xf numFmtId="202" fontId="53" fillId="0" borderId="0" xfId="0" applyNumberFormat="1" applyFont="1"/>
    <xf numFmtId="202" fontId="53" fillId="6" borderId="0" xfId="0" applyNumberFormat="1" applyFont="1" applyFill="1"/>
    <xf numFmtId="171" fontId="114" fillId="0" borderId="0" xfId="1" applyNumberFormat="1" applyFont="1" applyAlignment="1">
      <alignment horizontal="center" vertical="center"/>
    </xf>
    <xf numFmtId="171" fontId="79" fillId="0" borderId="0" xfId="1" applyNumberFormat="1" applyFont="1" applyAlignment="1">
      <alignment horizontal="center" vertical="center"/>
    </xf>
    <xf numFmtId="175" fontId="114" fillId="0" borderId="0" xfId="1" applyNumberFormat="1" applyFont="1" applyAlignment="1">
      <alignment horizontal="center" vertical="center"/>
    </xf>
    <xf numFmtId="175" fontId="79" fillId="0" borderId="0" xfId="1" applyNumberFormat="1" applyFont="1" applyAlignment="1">
      <alignment horizontal="center" vertical="center"/>
    </xf>
    <xf numFmtId="0" fontId="43" fillId="14" borderId="2" xfId="39" applyFont="1" applyFill="1" applyBorder="1" applyAlignment="1">
      <alignment horizontal="center" vertical="center"/>
    </xf>
    <xf numFmtId="0" fontId="43" fillId="14" borderId="0" xfId="39" applyFont="1" applyFill="1" applyBorder="1" applyAlignment="1">
      <alignment horizontal="center" vertical="center"/>
    </xf>
    <xf numFmtId="17" fontId="1" fillId="0" borderId="9" xfId="0" applyNumberFormat="1" applyFont="1" applyBorder="1" applyAlignment="1">
      <alignment horizontal="center"/>
    </xf>
    <xf numFmtId="202" fontId="3" fillId="0" borderId="0" xfId="0" applyNumberFormat="1" applyFont="1" applyAlignment="1">
      <alignment horizontal="center"/>
    </xf>
    <xf numFmtId="202" fontId="88" fillId="0" borderId="0" xfId="0" applyNumberFormat="1" applyFont="1" applyAlignment="1">
      <alignment horizontal="center"/>
    </xf>
    <xf numFmtId="0" fontId="7" fillId="0" borderId="0" xfId="1" applyFont="1" applyAlignment="1">
      <alignment horizontal="left" vertical="center"/>
    </xf>
    <xf numFmtId="8" fontId="7" fillId="0" borderId="0" xfId="1" applyNumberFormat="1" applyFont="1" applyAlignment="1">
      <alignment horizontal="center" vertical="center"/>
    </xf>
    <xf numFmtId="8" fontId="79" fillId="0" borderId="0" xfId="1" applyNumberFormat="1" applyFont="1" applyAlignment="1">
      <alignment horizontal="center" vertical="center"/>
    </xf>
    <xf numFmtId="2" fontId="43" fillId="14" borderId="16" xfId="39" applyNumberFormat="1" applyFont="1" applyFill="1" applyBorder="1" applyAlignment="1">
      <alignment horizontal="center" vertical="center"/>
    </xf>
    <xf numFmtId="0" fontId="44" fillId="11" borderId="0" xfId="0" applyFont="1" applyFill="1"/>
    <xf numFmtId="0" fontId="44" fillId="14" borderId="0" xfId="0" applyFont="1" applyFill="1"/>
    <xf numFmtId="17" fontId="41" fillId="0" borderId="1" xfId="44" applyNumberFormat="1" applyFont="1" applyBorder="1" applyAlignment="1" applyProtection="1">
      <alignment horizontal="center" vertical="center"/>
    </xf>
    <xf numFmtId="0" fontId="0" fillId="21" borderId="9" xfId="0" applyFill="1" applyBorder="1"/>
    <xf numFmtId="2" fontId="43" fillId="21" borderId="69" xfId="39" applyNumberFormat="1" applyFont="1" applyFill="1" applyBorder="1" applyAlignment="1">
      <alignment horizontal="center" vertical="center"/>
    </xf>
    <xf numFmtId="0" fontId="43" fillId="21" borderId="9" xfId="45" applyFont="1" applyFill="1" applyBorder="1" applyAlignment="1">
      <alignment horizontal="center" vertical="center"/>
    </xf>
    <xf numFmtId="0" fontId="43" fillId="26" borderId="9" xfId="45" applyFont="1" applyFill="1" applyBorder="1" applyAlignment="1">
      <alignment horizontal="center" vertical="center"/>
    </xf>
    <xf numFmtId="0" fontId="43" fillId="21" borderId="70" xfId="39" applyFont="1" applyFill="1" applyBorder="1" applyAlignment="1">
      <alignment horizontal="center" vertical="center"/>
    </xf>
    <xf numFmtId="0" fontId="43" fillId="21" borderId="69" xfId="39" applyFont="1" applyFill="1" applyBorder="1" applyAlignment="1">
      <alignment horizontal="center" vertical="center"/>
    </xf>
    <xf numFmtId="0" fontId="43" fillId="26" borderId="70" xfId="39" applyFont="1" applyFill="1" applyBorder="1" applyAlignment="1">
      <alignment horizontal="center" vertical="center"/>
    </xf>
    <xf numFmtId="0" fontId="43" fillId="26" borderId="69" xfId="39" applyFont="1" applyFill="1" applyBorder="1" applyAlignment="1">
      <alignment horizontal="center" vertical="center"/>
    </xf>
    <xf numFmtId="15" fontId="3" fillId="0" borderId="0" xfId="0" applyNumberFormat="1" applyFont="1" applyAlignment="1">
      <alignment horizontal="center"/>
    </xf>
    <xf numFmtId="17" fontId="3" fillId="0" borderId="18" xfId="0" applyNumberFormat="1" applyFont="1" applyBorder="1" applyAlignment="1">
      <alignment horizontal="center"/>
    </xf>
    <xf numFmtId="17" fontId="3" fillId="0" borderId="15" xfId="0" applyNumberFormat="1" applyFont="1" applyBorder="1" applyAlignment="1">
      <alignment horizontal="center"/>
    </xf>
    <xf numFmtId="0" fontId="43" fillId="27" borderId="70" xfId="39" applyFont="1" applyFill="1" applyBorder="1" applyAlignment="1">
      <alignment horizontal="center" vertical="center"/>
    </xf>
    <xf numFmtId="0" fontId="43" fillId="27" borderId="69" xfId="39" applyFont="1" applyFill="1" applyBorder="1" applyAlignment="1">
      <alignment horizontal="center" vertical="center"/>
    </xf>
    <xf numFmtId="0" fontId="43" fillId="27" borderId="9" xfId="45" applyFont="1" applyFill="1" applyBorder="1" applyAlignment="1">
      <alignment horizontal="center" vertical="center"/>
    </xf>
    <xf numFmtId="0" fontId="43" fillId="28" borderId="70" xfId="39" applyFont="1" applyFill="1" applyBorder="1" applyAlignment="1">
      <alignment horizontal="center" vertical="center"/>
    </xf>
    <xf numFmtId="0" fontId="43" fillId="28" borderId="69" xfId="39" applyFont="1" applyFill="1" applyBorder="1" applyAlignment="1">
      <alignment horizontal="center" vertical="center"/>
    </xf>
    <xf numFmtId="0" fontId="43" fillId="28" borderId="9" xfId="45" applyFont="1" applyFill="1" applyBorder="1" applyAlignment="1">
      <alignment horizontal="center" vertical="center"/>
    </xf>
    <xf numFmtId="0" fontId="116" fillId="0" borderId="0" xfId="44" applyFont="1" applyProtection="1">
      <alignment vertical="center"/>
    </xf>
    <xf numFmtId="0" fontId="117" fillId="0" borderId="0" xfId="45" applyFont="1" applyAlignment="1">
      <alignment vertical="center"/>
    </xf>
    <xf numFmtId="188" fontId="118" fillId="17" borderId="0" xfId="44" applyNumberFormat="1" applyFont="1" applyFill="1" applyAlignment="1" applyProtection="1">
      <alignment horizontal="center" vertical="center"/>
    </xf>
    <xf numFmtId="0" fontId="42" fillId="11" borderId="0" xfId="0" applyFont="1" applyFill="1" applyAlignment="1">
      <alignment horizontal="center" vertical="center"/>
    </xf>
    <xf numFmtId="0" fontId="119" fillId="2" borderId="0" xfId="1" applyFont="1" applyFill="1" applyAlignment="1">
      <alignment horizontal="left" indent="2"/>
    </xf>
    <xf numFmtId="0" fontId="6" fillId="2" borderId="0" xfId="1" applyFont="1" applyFill="1" applyAlignment="1">
      <alignment horizontal="left" indent="3"/>
    </xf>
    <xf numFmtId="0" fontId="120" fillId="2" borderId="0" xfId="1" applyFont="1" applyFill="1"/>
    <xf numFmtId="203" fontId="118" fillId="15" borderId="0" xfId="44" applyNumberFormat="1" applyFont="1" applyFill="1" applyAlignment="1" applyProtection="1">
      <alignment horizontal="center" vertical="center"/>
    </xf>
    <xf numFmtId="0" fontId="0" fillId="0" borderId="0" xfId="0" applyAlignment="1">
      <alignment horizontal="center"/>
    </xf>
    <xf numFmtId="0" fontId="97" fillId="0" borderId="0" xfId="0" applyFont="1" applyAlignment="1">
      <alignment horizontal="center"/>
    </xf>
    <xf numFmtId="175" fontId="0" fillId="0" borderId="0" xfId="0" applyNumberFormat="1" applyAlignment="1">
      <alignment horizontal="center"/>
    </xf>
    <xf numFmtId="0" fontId="97" fillId="0" borderId="9" xfId="0" applyFont="1" applyBorder="1"/>
    <xf numFmtId="175" fontId="97" fillId="0" borderId="9" xfId="0" applyNumberFormat="1" applyFont="1" applyBorder="1" applyAlignment="1">
      <alignment horizontal="center"/>
    </xf>
    <xf numFmtId="175" fontId="112" fillId="13" borderId="0" xfId="0" applyNumberFormat="1" applyFont="1" applyFill="1" applyAlignment="1">
      <alignment horizontal="right" vertical="center"/>
    </xf>
    <xf numFmtId="3" fontId="54" fillId="0" borderId="0" xfId="0" applyNumberFormat="1" applyFont="1"/>
    <xf numFmtId="175" fontId="121" fillId="3" borderId="0" xfId="0" applyNumberFormat="1" applyFont="1" applyFill="1"/>
    <xf numFmtId="181" fontId="54" fillId="0" borderId="0" xfId="0" applyNumberFormat="1" applyFont="1"/>
    <xf numFmtId="0" fontId="0" fillId="0" borderId="0" xfId="0" quotePrefix="1"/>
    <xf numFmtId="1" fontId="122" fillId="0" borderId="0" xfId="0" applyNumberFormat="1" applyFont="1" applyAlignment="1">
      <alignment horizontal="left" vertical="center" indent="3"/>
    </xf>
    <xf numFmtId="0" fontId="12" fillId="11" borderId="0" xfId="0" applyFont="1" applyFill="1" applyAlignment="1">
      <alignment horizontal="left" indent="1"/>
    </xf>
    <xf numFmtId="0" fontId="62" fillId="11" borderId="0" xfId="0" applyFont="1" applyFill="1" applyAlignment="1">
      <alignment horizontal="center" vertical="center"/>
    </xf>
    <xf numFmtId="0" fontId="46" fillId="2" borderId="0" xfId="0" applyFont="1" applyFill="1" applyAlignment="1">
      <alignment horizontal="left" indent="1"/>
    </xf>
    <xf numFmtId="0" fontId="46" fillId="2" borderId="0" xfId="0" applyFont="1" applyFill="1"/>
    <xf numFmtId="175" fontId="46" fillId="2" borderId="0" xfId="0" applyNumberFormat="1" applyFont="1" applyFill="1"/>
    <xf numFmtId="0" fontId="24" fillId="2" borderId="0" xfId="0" applyFont="1" applyFill="1"/>
    <xf numFmtId="175" fontId="24" fillId="0" borderId="0" xfId="0" applyNumberFormat="1" applyFont="1"/>
    <xf numFmtId="0" fontId="46" fillId="2" borderId="3" xfId="0" applyFont="1" applyFill="1" applyBorder="1" applyAlignment="1">
      <alignment horizontal="left" indent="1"/>
    </xf>
    <xf numFmtId="0" fontId="24" fillId="2" borderId="3" xfId="0" applyFont="1" applyFill="1" applyBorder="1"/>
    <xf numFmtId="201" fontId="24" fillId="2" borderId="3" xfId="0" applyNumberFormat="1" applyFont="1" applyFill="1" applyBorder="1"/>
    <xf numFmtId="171" fontId="97" fillId="0" borderId="0" xfId="0" applyNumberFormat="1" applyFont="1"/>
    <xf numFmtId="8" fontId="46" fillId="2" borderId="0" xfId="0" applyNumberFormat="1" applyFont="1" applyFill="1"/>
    <xf numFmtId="167" fontId="46" fillId="2" borderId="0" xfId="0" applyNumberFormat="1" applyFont="1" applyFill="1"/>
    <xf numFmtId="8" fontId="24" fillId="0" borderId="0" xfId="0" applyNumberFormat="1" applyFont="1"/>
    <xf numFmtId="167" fontId="24" fillId="2" borderId="0" xfId="0" applyNumberFormat="1" applyFont="1" applyFill="1"/>
    <xf numFmtId="171" fontId="24" fillId="2" borderId="3" xfId="0" applyNumberFormat="1" applyFont="1" applyFill="1" applyBorder="1"/>
    <xf numFmtId="0" fontId="0" fillId="2" borderId="0" xfId="0" applyFill="1" applyAlignment="1">
      <alignment horizontal="left" indent="1"/>
    </xf>
    <xf numFmtId="0" fontId="0" fillId="0" borderId="0" xfId="0" applyAlignment="1">
      <alignment horizontal="left" indent="1"/>
    </xf>
    <xf numFmtId="175" fontId="0" fillId="13" borderId="0" xfId="0" applyNumberFormat="1" applyFill="1" applyAlignment="1">
      <alignment horizontal="right" vertical="center"/>
    </xf>
    <xf numFmtId="175" fontId="97" fillId="13" borderId="0" xfId="0" applyNumberFormat="1" applyFont="1" applyFill="1" applyAlignment="1">
      <alignment horizontal="right" vertical="center"/>
    </xf>
    <xf numFmtId="200" fontId="97" fillId="0" borderId="0" xfId="0" applyNumberFormat="1" applyFont="1" applyAlignment="1">
      <alignment horizontal="right" vertical="center"/>
    </xf>
    <xf numFmtId="167" fontId="42" fillId="17" borderId="0" xfId="0" applyNumberFormat="1" applyFont="1" applyFill="1" applyAlignment="1">
      <alignment horizontal="center" vertical="center"/>
    </xf>
    <xf numFmtId="167" fontId="54" fillId="18" borderId="0" xfId="0" applyNumberFormat="1" applyFont="1" applyFill="1" applyAlignment="1">
      <alignment horizontal="center" vertical="center"/>
    </xf>
    <xf numFmtId="167" fontId="42" fillId="15" borderId="0" xfId="0" applyNumberFormat="1" applyFont="1" applyFill="1" applyAlignment="1">
      <alignment horizontal="center" vertical="center"/>
    </xf>
    <xf numFmtId="167" fontId="54" fillId="7" borderId="0" xfId="0" applyNumberFormat="1" applyFont="1" applyFill="1" applyAlignment="1">
      <alignment horizontal="center" vertical="center"/>
    </xf>
    <xf numFmtId="167" fontId="42" fillId="24" borderId="0" xfId="0" applyNumberFormat="1" applyFont="1" applyFill="1" applyAlignment="1">
      <alignment horizontal="center" vertical="center"/>
    </xf>
    <xf numFmtId="167" fontId="42" fillId="0" borderId="0" xfId="0" applyNumberFormat="1" applyFont="1" applyAlignment="1">
      <alignment horizontal="center" vertical="center"/>
    </xf>
    <xf numFmtId="1" fontId="0" fillId="0" borderId="0" xfId="0" applyNumberFormat="1" applyAlignment="1">
      <alignment horizontal="left" vertical="center" indent="2"/>
    </xf>
    <xf numFmtId="175" fontId="121" fillId="0" borderId="0" xfId="0" applyNumberFormat="1" applyFont="1"/>
    <xf numFmtId="0" fontId="118" fillId="0" borderId="0" xfId="0" applyFont="1"/>
    <xf numFmtId="1" fontId="118" fillId="0" borderId="0" xfId="0" applyNumberFormat="1" applyFont="1" applyAlignment="1">
      <alignment horizontal="center" vertical="center"/>
    </xf>
    <xf numFmtId="175" fontId="118" fillId="0" borderId="0" xfId="0" applyNumberFormat="1" applyFont="1"/>
    <xf numFmtId="167" fontId="118" fillId="0" borderId="0" xfId="7" applyNumberFormat="1" applyFont="1" applyFill="1"/>
    <xf numFmtId="0" fontId="118" fillId="0" borderId="0" xfId="0" applyFont="1" applyAlignment="1">
      <alignment horizontal="left" indent="3"/>
    </xf>
    <xf numFmtId="0" fontId="121" fillId="3" borderId="20" xfId="0" applyFont="1" applyFill="1" applyBorder="1" applyAlignment="1">
      <alignment horizontal="center"/>
    </xf>
    <xf numFmtId="1" fontId="71" fillId="0" borderId="0" xfId="0" applyNumberFormat="1" applyFont="1" applyAlignment="1">
      <alignment horizontal="left" vertical="center" indent="1"/>
    </xf>
    <xf numFmtId="0" fontId="118" fillId="0" borderId="0" xfId="0" applyFont="1" applyAlignment="1">
      <alignment horizontal="left" indent="4"/>
    </xf>
    <xf numFmtId="175" fontId="41" fillId="20" borderId="0" xfId="7" applyNumberFormat="1" applyFont="1" applyFill="1" applyBorder="1"/>
    <xf numFmtId="175" fontId="55" fillId="20" borderId="0" xfId="7" applyNumberFormat="1" applyFont="1" applyFill="1"/>
    <xf numFmtId="175" fontId="54" fillId="20" borderId="0" xfId="0" applyNumberFormat="1" applyFont="1" applyFill="1"/>
    <xf numFmtId="0" fontId="75" fillId="4" borderId="0" xfId="1" applyFont="1" applyFill="1" applyAlignment="1">
      <alignment horizontal="left" vertical="center"/>
    </xf>
    <xf numFmtId="1" fontId="0" fillId="0" borderId="0" xfId="0" applyNumberFormat="1" applyAlignment="1">
      <alignment horizontal="left" vertical="center" indent="4"/>
    </xf>
    <xf numFmtId="1" fontId="97" fillId="0" borderId="0" xfId="0" applyNumberFormat="1" applyFont="1" applyAlignment="1">
      <alignment horizontal="left" vertical="center" indent="3"/>
    </xf>
    <xf numFmtId="1" fontId="97" fillId="0" borderId="0" xfId="0" applyNumberFormat="1" applyFont="1" applyAlignment="1">
      <alignment horizontal="left" vertical="center" indent="2"/>
    </xf>
    <xf numFmtId="9" fontId="98" fillId="25" borderId="0" xfId="8" applyFont="1" applyFill="1" applyBorder="1"/>
    <xf numFmtId="188" fontId="98" fillId="25" borderId="0" xfId="51" applyNumberFormat="1" applyFont="1" applyFill="1" applyBorder="1"/>
    <xf numFmtId="188" fontId="98" fillId="22" borderId="0" xfId="54" applyNumberFormat="1" applyFont="1" applyFill="1" applyBorder="1"/>
    <xf numFmtId="188" fontId="98" fillId="25" borderId="0" xfId="54" applyNumberFormat="1" applyFont="1" applyFill="1" applyBorder="1"/>
    <xf numFmtId="188" fontId="102" fillId="25" borderId="0" xfId="54" applyNumberFormat="1" applyFont="1" applyFill="1" applyBorder="1"/>
    <xf numFmtId="188" fontId="98" fillId="25" borderId="0" xfId="54" applyNumberFormat="1" applyFont="1" applyFill="1" applyBorder="1" applyAlignment="1">
      <alignment horizontal="right"/>
    </xf>
    <xf numFmtId="188" fontId="102" fillId="25" borderId="0" xfId="54" applyNumberFormat="1" applyFont="1" applyFill="1" applyBorder="1" applyAlignment="1">
      <alignment horizontal="right"/>
    </xf>
    <xf numFmtId="0" fontId="104" fillId="22" borderId="42" xfId="0" applyFont="1" applyFill="1" applyBorder="1"/>
    <xf numFmtId="0" fontId="19" fillId="2" borderId="2" xfId="55" applyFont="1" applyFill="1" applyBorder="1" applyAlignment="1">
      <alignment horizontal="left"/>
    </xf>
    <xf numFmtId="175" fontId="111" fillId="15" borderId="0" xfId="44" applyNumberFormat="1" applyFont="1" applyFill="1" applyAlignment="1" applyProtection="1">
      <alignment horizontal="center" vertical="center"/>
    </xf>
    <xf numFmtId="175" fontId="72" fillId="6" borderId="0" xfId="0" applyNumberFormat="1" applyFont="1" applyFill="1" applyAlignment="1">
      <alignment horizontal="right" vertical="center"/>
    </xf>
    <xf numFmtId="1" fontId="97" fillId="0" borderId="0" xfId="0" applyNumberFormat="1" applyFont="1" applyAlignment="1">
      <alignment horizontal="left" vertical="center" indent="1"/>
    </xf>
    <xf numFmtId="175" fontId="72" fillId="13" borderId="0" xfId="0" applyNumberFormat="1" applyFont="1" applyFill="1" applyAlignment="1">
      <alignment horizontal="right" vertical="center"/>
    </xf>
    <xf numFmtId="204" fontId="1" fillId="0" borderId="0" xfId="0" applyNumberFormat="1" applyFont="1" applyAlignment="1">
      <alignment horizontal="center"/>
    </xf>
    <xf numFmtId="188" fontId="34" fillId="6" borderId="0" xfId="0" applyNumberFormat="1" applyFont="1" applyFill="1" applyAlignment="1">
      <alignment horizontal="center"/>
    </xf>
    <xf numFmtId="171" fontId="54" fillId="29" borderId="0" xfId="0" applyNumberFormat="1" applyFont="1" applyFill="1"/>
    <xf numFmtId="167" fontId="98" fillId="25" borderId="0" xfId="51" applyNumberFormat="1" applyFont="1" applyFill="1" applyBorder="1" applyAlignment="1">
      <alignment horizontal="right"/>
    </xf>
    <xf numFmtId="187" fontId="98" fillId="22" borderId="0" xfId="54" applyNumberFormat="1" applyFont="1" applyFill="1" applyBorder="1" applyAlignment="1">
      <alignment horizontal="right"/>
    </xf>
    <xf numFmtId="1" fontId="1" fillId="10" borderId="0" xfId="0" applyNumberFormat="1" applyFont="1" applyFill="1" applyAlignment="1">
      <alignment horizontal="left" vertical="center" indent="2"/>
    </xf>
    <xf numFmtId="1" fontId="1" fillId="10" borderId="0" xfId="0" applyNumberFormat="1" applyFont="1" applyFill="1" applyAlignment="1">
      <alignment horizontal="center" vertical="center"/>
    </xf>
    <xf numFmtId="175" fontId="53" fillId="10" borderId="0" xfId="0" applyNumberFormat="1" applyFont="1" applyFill="1"/>
    <xf numFmtId="175" fontId="42" fillId="10" borderId="0" xfId="0" applyNumberFormat="1" applyFont="1" applyFill="1"/>
    <xf numFmtId="0" fontId="1" fillId="10" borderId="0" xfId="0" applyFont="1" applyFill="1" applyAlignment="1">
      <alignment horizontal="center"/>
    </xf>
    <xf numFmtId="175" fontId="42" fillId="0" borderId="0" xfId="0" applyNumberFormat="1" applyFont="1" applyAlignment="1">
      <alignment horizontal="center"/>
    </xf>
    <xf numFmtId="175" fontId="41" fillId="30" borderId="0" xfId="0" applyNumberFormat="1" applyFont="1" applyFill="1"/>
    <xf numFmtId="1" fontId="1" fillId="18" borderId="0" xfId="0" applyNumberFormat="1" applyFont="1" applyFill="1" applyAlignment="1">
      <alignment horizontal="left" vertical="center" indent="2"/>
    </xf>
    <xf numFmtId="1" fontId="1" fillId="18" borderId="0" xfId="0" applyNumberFormat="1" applyFont="1" applyFill="1" applyAlignment="1">
      <alignment vertical="center"/>
    </xf>
    <xf numFmtId="190" fontId="41" fillId="0" borderId="0" xfId="0" applyNumberFormat="1" applyFont="1"/>
    <xf numFmtId="164" fontId="54" fillId="4" borderId="0" xfId="0" applyNumberFormat="1" applyFont="1" applyFill="1" applyAlignment="1">
      <alignment horizontal="center"/>
    </xf>
    <xf numFmtId="175" fontId="6" fillId="0" borderId="0" xfId="1" applyNumberFormat="1" applyFont="1" applyAlignment="1">
      <alignment horizontal="right"/>
    </xf>
    <xf numFmtId="170" fontId="15" fillId="11" borderId="0" xfId="1" applyNumberFormat="1" applyFont="1" applyFill="1" applyAlignment="1">
      <alignment horizontal="right"/>
    </xf>
    <xf numFmtId="206" fontId="0" fillId="0" borderId="0" xfId="0" applyNumberFormat="1"/>
    <xf numFmtId="205" fontId="0" fillId="0" borderId="0" xfId="0" applyNumberFormat="1"/>
    <xf numFmtId="207" fontId="0" fillId="0" borderId="0" xfId="0" applyNumberFormat="1"/>
    <xf numFmtId="0" fontId="1" fillId="0" borderId="0" xfId="0" quotePrefix="1" applyFont="1" applyAlignment="1">
      <alignment horizontal="left" indent="3"/>
    </xf>
    <xf numFmtId="205" fontId="8" fillId="2" borderId="0" xfId="1" applyNumberFormat="1" applyFont="1" applyFill="1" applyAlignment="1">
      <alignment horizontal="right"/>
    </xf>
    <xf numFmtId="172" fontId="1" fillId="0" borderId="0" xfId="7" applyNumberFormat="1" applyFont="1" applyBorder="1"/>
    <xf numFmtId="172" fontId="3" fillId="0" borderId="0" xfId="7" applyNumberFormat="1" applyFont="1" applyBorder="1"/>
    <xf numFmtId="10" fontId="42" fillId="0" borderId="0" xfId="7" applyNumberFormat="1" applyFont="1" applyFill="1" applyBorder="1"/>
    <xf numFmtId="175" fontId="42" fillId="3" borderId="0" xfId="7" applyNumberFormat="1" applyFont="1" applyFill="1" applyBorder="1"/>
    <xf numFmtId="172" fontId="1" fillId="0" borderId="0" xfId="7" applyNumberFormat="1" applyFont="1" applyFill="1" applyBorder="1"/>
    <xf numFmtId="175" fontId="91" fillId="0" borderId="0" xfId="7" applyNumberFormat="1" applyFont="1" applyFill="1" applyBorder="1"/>
    <xf numFmtId="0" fontId="56" fillId="0" borderId="0" xfId="0" applyFont="1" applyAlignment="1">
      <alignment horizontal="left" indent="1"/>
    </xf>
    <xf numFmtId="172" fontId="41" fillId="0" borderId="0" xfId="0" applyNumberFormat="1" applyFont="1" applyAlignment="1">
      <alignment horizontal="left"/>
    </xf>
    <xf numFmtId="0" fontId="41" fillId="0" borderId="0" xfId="0" applyFont="1" applyAlignment="1">
      <alignment horizontal="left" indent="4"/>
    </xf>
    <xf numFmtId="0" fontId="41" fillId="0" borderId="0" xfId="0" applyFont="1" applyAlignment="1">
      <alignment horizontal="left" indent="1"/>
    </xf>
    <xf numFmtId="167" fontId="3" fillId="0" borderId="0" xfId="0" applyNumberFormat="1" applyFont="1" applyAlignment="1">
      <alignment horizontal="left" indent="2"/>
    </xf>
    <xf numFmtId="167" fontId="3" fillId="0" borderId="0" xfId="7" applyNumberFormat="1" applyFont="1" applyBorder="1"/>
    <xf numFmtId="0" fontId="42" fillId="0" borderId="0" xfId="0" applyFont="1" applyAlignment="1">
      <alignment horizontal="left" indent="4"/>
    </xf>
    <xf numFmtId="171" fontId="54" fillId="16" borderId="0" xfId="0" applyNumberFormat="1" applyFont="1" applyFill="1"/>
    <xf numFmtId="206" fontId="42" fillId="0" borderId="0" xfId="7" applyNumberFormat="1" applyFont="1" applyFill="1" applyBorder="1"/>
    <xf numFmtId="208" fontId="42" fillId="0" borderId="0" xfId="0" applyNumberFormat="1" applyFont="1"/>
    <xf numFmtId="4" fontId="54" fillId="0" borderId="0" xfId="0" applyNumberFormat="1" applyFont="1"/>
    <xf numFmtId="171" fontId="54" fillId="30" borderId="0" xfId="7" applyNumberFormat="1" applyFont="1" applyFill="1" applyBorder="1"/>
    <xf numFmtId="172" fontId="1" fillId="4" borderId="0" xfId="7" applyNumberFormat="1" applyFont="1" applyFill="1"/>
    <xf numFmtId="0" fontId="100" fillId="23" borderId="43" xfId="0" applyFont="1" applyFill="1" applyBorder="1" applyAlignment="1">
      <alignment horizontal="left" vertical="center" wrapText="1"/>
    </xf>
    <xf numFmtId="0" fontId="101" fillId="23" borderId="44" xfId="0" applyFont="1" applyFill="1" applyBorder="1" applyAlignment="1">
      <alignment horizontal="left" vertical="center" wrapText="1"/>
    </xf>
    <xf numFmtId="0" fontId="101" fillId="23" borderId="48" xfId="0" applyFont="1" applyFill="1" applyBorder="1" applyAlignment="1">
      <alignment horizontal="left" vertical="center" wrapText="1"/>
    </xf>
    <xf numFmtId="0" fontId="101" fillId="23" borderId="49" xfId="0" applyFont="1" applyFill="1" applyBorder="1" applyAlignment="1">
      <alignment horizontal="left" vertical="center" wrapText="1"/>
    </xf>
    <xf numFmtId="0" fontId="100" fillId="23" borderId="0" xfId="0" applyFont="1" applyFill="1" applyAlignment="1">
      <alignment horizontal="left" wrapText="1"/>
    </xf>
    <xf numFmtId="0" fontId="100" fillId="23" borderId="59" xfId="0" applyFont="1" applyFill="1" applyBorder="1" applyAlignment="1">
      <alignment horizontal="left" wrapText="1"/>
    </xf>
    <xf numFmtId="0" fontId="100" fillId="23" borderId="60" xfId="0" applyFont="1" applyFill="1" applyBorder="1" applyAlignment="1">
      <alignment horizontal="left" wrapText="1"/>
    </xf>
    <xf numFmtId="0" fontId="100" fillId="23" borderId="45" xfId="0" applyFont="1" applyFill="1" applyBorder="1" applyAlignment="1">
      <alignment horizontal="left" wrapText="1"/>
    </xf>
    <xf numFmtId="0" fontId="100" fillId="23" borderId="62" xfId="0" applyFont="1" applyFill="1" applyBorder="1" applyAlignment="1">
      <alignment horizontal="left" wrapText="1"/>
    </xf>
    <xf numFmtId="0" fontId="100" fillId="23" borderId="44" xfId="0" applyFont="1" applyFill="1" applyBorder="1" applyAlignment="1">
      <alignment horizontal="left" vertical="center" wrapText="1"/>
    </xf>
    <xf numFmtId="0" fontId="100" fillId="23" borderId="48" xfId="0" applyFont="1" applyFill="1" applyBorder="1" applyAlignment="1">
      <alignment horizontal="left" vertical="center" wrapText="1"/>
    </xf>
    <xf numFmtId="0" fontId="100" fillId="23" borderId="49" xfId="0" applyFont="1" applyFill="1" applyBorder="1" applyAlignment="1">
      <alignment horizontal="left" vertical="center" wrapText="1"/>
    </xf>
    <xf numFmtId="0" fontId="100" fillId="23" borderId="0" xfId="0" applyFont="1" applyFill="1" applyBorder="1" applyAlignment="1">
      <alignment horizontal="center" vertical="center"/>
    </xf>
    <xf numFmtId="0" fontId="100" fillId="23" borderId="0" xfId="0" applyFont="1" applyFill="1" applyBorder="1" applyAlignment="1">
      <alignment horizontal="center" vertical="center" wrapText="1"/>
    </xf>
    <xf numFmtId="188" fontId="98" fillId="22" borderId="0" xfId="0" applyNumberFormat="1" applyFont="1" applyFill="1" applyBorder="1"/>
    <xf numFmtId="188" fontId="98" fillId="25" borderId="0" xfId="0" applyNumberFormat="1" applyFont="1" applyFill="1" applyBorder="1" applyAlignment="1">
      <alignment horizontal="right"/>
    </xf>
    <xf numFmtId="188" fontId="98" fillId="22" borderId="0" xfId="0" applyNumberFormat="1" applyFont="1" applyFill="1" applyBorder="1" applyAlignment="1">
      <alignment horizontal="right"/>
    </xf>
    <xf numFmtId="188" fontId="102" fillId="22" borderId="0" xfId="0" applyNumberFormat="1" applyFont="1" applyFill="1" applyBorder="1" applyAlignment="1">
      <alignment horizontal="right"/>
    </xf>
    <xf numFmtId="188" fontId="102" fillId="25" borderId="0" xfId="0" applyNumberFormat="1" applyFont="1" applyFill="1" applyBorder="1"/>
    <xf numFmtId="0" fontId="104" fillId="22" borderId="0" xfId="0" applyFont="1" applyFill="1" applyBorder="1"/>
    <xf numFmtId="0" fontId="104" fillId="22" borderId="0" xfId="0" applyFont="1" applyFill="1" applyBorder="1" applyAlignment="1">
      <alignment horizontal="left"/>
    </xf>
    <xf numFmtId="0" fontId="106" fillId="22" borderId="0" xfId="0" applyFont="1" applyFill="1" applyBorder="1"/>
    <xf numFmtId="198" fontId="102" fillId="24" borderId="71" xfId="56" applyNumberFormat="1" applyFont="1" applyFill="1" applyBorder="1"/>
    <xf numFmtId="171" fontId="102" fillId="24" borderId="18" xfId="8" applyNumberFormat="1" applyFont="1" applyFill="1" applyBorder="1"/>
    <xf numFmtId="4" fontId="102" fillId="24" borderId="18" xfId="8" applyNumberFormat="1" applyFont="1" applyFill="1" applyBorder="1"/>
    <xf numFmtId="171" fontId="102" fillId="24" borderId="71" xfId="8" applyNumberFormat="1" applyFont="1" applyFill="1" applyBorder="1"/>
    <xf numFmtId="198" fontId="102" fillId="24" borderId="18" xfId="56" applyNumberFormat="1" applyFont="1" applyFill="1" applyBorder="1"/>
    <xf numFmtId="198" fontId="102" fillId="24" borderId="23" xfId="56" applyNumberFormat="1" applyFont="1" applyFill="1" applyBorder="1"/>
    <xf numFmtId="3" fontId="102" fillId="24" borderId="23" xfId="56" applyNumberFormat="1" applyFont="1" applyFill="1" applyBorder="1"/>
    <xf numFmtId="3" fontId="102" fillId="24" borderId="45" xfId="56" applyNumberFormat="1" applyFont="1" applyFill="1" applyBorder="1"/>
    <xf numFmtId="3" fontId="102" fillId="24" borderId="18" xfId="56" applyNumberFormat="1" applyFont="1" applyFill="1" applyBorder="1"/>
    <xf numFmtId="8" fontId="102" fillId="24" borderId="23" xfId="56" applyNumberFormat="1" applyFont="1" applyFill="1" applyBorder="1"/>
    <xf numFmtId="0" fontId="98" fillId="16" borderId="0" xfId="0" applyFont="1" applyFill="1" applyBorder="1"/>
    <xf numFmtId="0" fontId="98" fillId="22" borderId="0" xfId="0" applyFont="1" applyFill="1" applyBorder="1"/>
    <xf numFmtId="187" fontId="98" fillId="22" borderId="0" xfId="0" applyNumberFormat="1" applyFont="1" applyFill="1" applyBorder="1"/>
    <xf numFmtId="188" fontId="102" fillId="25" borderId="0" xfId="0" applyNumberFormat="1" applyFont="1" applyFill="1" applyBorder="1" applyAlignment="1">
      <alignment horizontal="right"/>
    </xf>
    <xf numFmtId="187" fontId="102" fillId="2" borderId="0" xfId="0" applyNumberFormat="1" applyFont="1" applyFill="1" applyBorder="1"/>
    <xf numFmtId="187" fontId="98" fillId="22" borderId="0" xfId="0" applyNumberFormat="1" applyFont="1" applyFill="1" applyBorder="1" applyAlignment="1">
      <alignment horizontal="right"/>
    </xf>
    <xf numFmtId="187" fontId="98" fillId="2" borderId="0" xfId="0" applyNumberFormat="1" applyFont="1" applyFill="1" applyBorder="1"/>
    <xf numFmtId="171" fontId="98" fillId="22" borderId="0" xfId="51" applyNumberFormat="1" applyFont="1" applyFill="1" applyBorder="1"/>
    <xf numFmtId="0" fontId="0" fillId="2" borderId="0" xfId="0" applyFill="1" applyBorder="1"/>
    <xf numFmtId="9" fontId="98" fillId="0" borderId="0" xfId="8" applyFont="1" applyFill="1" applyBorder="1"/>
    <xf numFmtId="188" fontId="98" fillId="0" borderId="0" xfId="51" applyNumberFormat="1" applyFont="1" applyFill="1" applyBorder="1"/>
    <xf numFmtId="188" fontId="98" fillId="0" borderId="0" xfId="54" applyNumberFormat="1" applyFont="1" applyFill="1" applyBorder="1"/>
    <xf numFmtId="188" fontId="102" fillId="0" borderId="0" xfId="54" applyNumberFormat="1" applyFont="1" applyFill="1" applyBorder="1"/>
    <xf numFmtId="188" fontId="98" fillId="0" borderId="0" xfId="54" applyNumberFormat="1" applyFont="1" applyFill="1" applyBorder="1" applyAlignment="1">
      <alignment horizontal="right"/>
    </xf>
    <xf numFmtId="188" fontId="102" fillId="0" borderId="0" xfId="54" applyNumberFormat="1" applyFont="1" applyFill="1" applyBorder="1" applyAlignment="1">
      <alignment horizontal="right"/>
    </xf>
    <xf numFmtId="0" fontId="98" fillId="0" borderId="0" xfId="0" applyFont="1" applyFill="1" applyBorder="1"/>
    <xf numFmtId="0" fontId="100" fillId="0" borderId="0" xfId="0" applyFont="1" applyFill="1" applyBorder="1" applyAlignment="1">
      <alignment horizontal="center" vertical="center"/>
    </xf>
    <xf numFmtId="0" fontId="100" fillId="0" borderId="0" xfId="0" applyFont="1" applyFill="1" applyBorder="1" applyAlignment="1">
      <alignment horizontal="center" vertical="center" wrapText="1"/>
    </xf>
    <xf numFmtId="188" fontId="98" fillId="0" borderId="0" xfId="0" applyNumberFormat="1" applyFont="1" applyFill="1" applyBorder="1"/>
    <xf numFmtId="188" fontId="98" fillId="0" borderId="0" xfId="0" applyNumberFormat="1" applyFont="1" applyFill="1" applyBorder="1" applyAlignment="1">
      <alignment horizontal="right"/>
    </xf>
    <xf numFmtId="188" fontId="102" fillId="0" borderId="0" xfId="0" applyNumberFormat="1" applyFont="1" applyFill="1" applyBorder="1" applyAlignment="1">
      <alignment horizontal="right"/>
    </xf>
    <xf numFmtId="188" fontId="102" fillId="0" borderId="0" xfId="0" applyNumberFormat="1" applyFont="1" applyFill="1" applyBorder="1"/>
    <xf numFmtId="187" fontId="102" fillId="0" borderId="0" xfId="0" applyNumberFormat="1" applyFont="1" applyFill="1" applyBorder="1"/>
    <xf numFmtId="187" fontId="98" fillId="0" borderId="0" xfId="0" applyNumberFormat="1" applyFont="1" applyFill="1" applyBorder="1" applyAlignment="1">
      <alignment horizontal="right"/>
    </xf>
    <xf numFmtId="187" fontId="98" fillId="0" borderId="0" xfId="0" applyNumberFormat="1" applyFont="1" applyFill="1" applyBorder="1"/>
    <xf numFmtId="171" fontId="98" fillId="0" borderId="0" xfId="51" applyNumberFormat="1" applyFont="1" applyFill="1" applyBorder="1"/>
    <xf numFmtId="0" fontId="0" fillId="0" borderId="0" xfId="0" applyFill="1" applyBorder="1"/>
    <xf numFmtId="171" fontId="107" fillId="0" borderId="0" xfId="51" applyNumberFormat="1" applyFont="1" applyFill="1" applyBorder="1" applyAlignment="1">
      <alignment horizontal="left"/>
    </xf>
    <xf numFmtId="171" fontId="107" fillId="22" borderId="0" xfId="51" applyNumberFormat="1" applyFont="1" applyFill="1" applyBorder="1" applyAlignment="1">
      <alignment horizontal="left"/>
    </xf>
    <xf numFmtId="209" fontId="0" fillId="2" borderId="0" xfId="0" applyNumberFormat="1" applyFill="1"/>
    <xf numFmtId="205" fontId="6" fillId="2" borderId="0" xfId="1" applyNumberFormat="1" applyFont="1" applyFill="1" applyAlignment="1">
      <alignment horizontal="right"/>
    </xf>
    <xf numFmtId="188" fontId="102" fillId="17" borderId="55" xfId="0" applyNumberFormat="1" applyFont="1" applyFill="1" applyBorder="1" applyAlignment="1">
      <alignment horizontal="right"/>
    </xf>
  </cellXfs>
  <cellStyles count="57">
    <cellStyle name="_Capital CSL template" xfId="37" xr:uid="{36CE7C8C-3B06-4E9C-A964-89FC27809469}"/>
    <cellStyle name="_Capital CSL template 2" xfId="38" xr:uid="{635E1D79-9D25-4680-8009-C6F835E95607}"/>
    <cellStyle name="Comma" xfId="7" builtinId="3"/>
    <cellStyle name="Comma 2" xfId="31" xr:uid="{455F1AED-2E80-432A-BABF-5F3E87006F8B}"/>
    <cellStyle name="Comma 2 2 2" xfId="54" xr:uid="{1B4A941D-D5D9-4BB8-A9E6-731E064B2BBF}"/>
    <cellStyle name="Comma 3" xfId="29" xr:uid="{575C6F72-671A-4161-97F4-7CEA1ACD1BCE}"/>
    <cellStyle name="Comma 3 2" xfId="34" xr:uid="{380483B4-F07F-4D64-8BEA-660502AA67AB}"/>
    <cellStyle name="Comma 3 5" xfId="5" xr:uid="{00000000-0005-0000-0000-000001000000}"/>
    <cellStyle name="Comma 3 5 2" xfId="30" xr:uid="{284260EA-A6F9-436B-BD7D-319F368297B7}"/>
    <cellStyle name="Comma 3 6" xfId="25" xr:uid="{3832192B-0B9F-479E-A252-764A40FAA318}"/>
    <cellStyle name="Comma 3 6 2" xfId="33" xr:uid="{8CDE0949-FDF3-492E-9A75-95E18342824B}"/>
    <cellStyle name="Comma 36 2" xfId="16" xr:uid="{8F8A11B9-B30A-4625-BF81-F191D3D1C9A6}"/>
    <cellStyle name="Comma 36 2 2" xfId="32" xr:uid="{390D50E8-A7CC-42E5-A227-E7CA2E5372EA}"/>
    <cellStyle name="Comma 4" xfId="56" xr:uid="{1E3578B2-BCD7-4BFF-9435-B98169ECA2B6}"/>
    <cellStyle name="Comma_ACE-IN 2" xfId="23" xr:uid="{331C4AFC-6463-410C-AF02-4BB77AD31CD1}"/>
    <cellStyle name="Comma_Financial ResearchWise Sheet1 2" xfId="22" xr:uid="{9FE7C784-9908-4098-A2B5-9FB919449130}"/>
    <cellStyle name="Comma_SSEML" xfId="20" xr:uid="{5CE77801-5307-4AED-81E9-3AD76C9F5348}"/>
    <cellStyle name="Currency 81 2" xfId="48" xr:uid="{D32F3CB3-58B1-403A-BFFB-2604593DD200}"/>
    <cellStyle name="Hyperlink 2" xfId="41" xr:uid="{203C1766-1332-454F-AFFD-DCB042152131}"/>
    <cellStyle name="Hyperlink 3" xfId="3" xr:uid="{00000000-0005-0000-0000-000005000000}"/>
    <cellStyle name="Hyperlink 7" xfId="17" xr:uid="{7A9DF700-CF42-4C19-97A2-39BC8BA8B53F}"/>
    <cellStyle name="Normal" xfId="0" builtinId="0"/>
    <cellStyle name="Normal 107" xfId="27" xr:uid="{8A17C229-64A6-408C-93B7-8A6845C0A1A6}"/>
    <cellStyle name="Normal 107 2" xfId="15" xr:uid="{5696228A-2ECA-4230-93A5-EF6FA840BBEC}"/>
    <cellStyle name="Normal 2" xfId="1" xr:uid="{00000000-0005-0000-0000-000007000000}"/>
    <cellStyle name="Normal 2 10 2" xfId="4" xr:uid="{00000000-0005-0000-0000-000008000000}"/>
    <cellStyle name="Normal 2 2" xfId="49" xr:uid="{890E17DA-08BE-4DF1-9DBD-7699D3E5687E}"/>
    <cellStyle name="Normal 22" xfId="55" xr:uid="{5B38903C-5228-483A-A8C2-D5C0276A0157}"/>
    <cellStyle name="Normal 25 2 2 3" xfId="45" xr:uid="{0A51C86D-71CF-4BB9-8F89-144753E612CC}"/>
    <cellStyle name="Normal 3" xfId="35" xr:uid="{6C192BAD-9F87-495D-8F34-8FA08CB3F783}"/>
    <cellStyle name="Normal 3 10" xfId="2" xr:uid="{00000000-0005-0000-0000-000009000000}"/>
    <cellStyle name="Normal 3 14" xfId="10" xr:uid="{5635FAED-CDBA-40CF-8F8D-7AFCD438E248}"/>
    <cellStyle name="Normal 34" xfId="53" xr:uid="{14FDB632-0E76-4D20-A5FF-FAC2BFAE528F}"/>
    <cellStyle name="Normal 398 2" xfId="46" xr:uid="{499BA303-0975-4675-88DC-8A0D159A33C6}"/>
    <cellStyle name="Normal 4" xfId="40" xr:uid="{A57B8B14-F397-4E08-A430-09B28BDA89A7}"/>
    <cellStyle name="Normal 5" xfId="44" xr:uid="{5599A8CD-3005-4DD6-AB55-B6A906652BC5}"/>
    <cellStyle name="Normal 5 2" xfId="36" xr:uid="{E91CC3FD-ED7D-4D68-A8DD-B1A8D99D082A}"/>
    <cellStyle name="Normal 92" xfId="28" xr:uid="{1647AEC8-43FA-4800-8F21-35E9281D0126}"/>
    <cellStyle name="Normal_ACE-IN 2" xfId="18" xr:uid="{36ED2F3C-CDFB-4413-9774-C6DAC4E23D21}"/>
    <cellStyle name="Normal_ACE-IN_ELECmay 2" xfId="13" xr:uid="{7A8AFCF1-4379-4056-B263-C3A839FC2912}"/>
    <cellStyle name="Normal_Dumpsheet" xfId="9" xr:uid="{1BB7E0EA-B54E-426B-8045-DFF18D448A4B}"/>
    <cellStyle name="Normal_ELECmay" xfId="14" xr:uid="{73BDF0B2-E1D1-4627-953A-3007BAE84E6D}"/>
    <cellStyle name="Normal_Financial ResearchWise Sheet1 2" xfId="11" xr:uid="{F06B6496-5911-4635-95BF-36154DA5BB5D}"/>
    <cellStyle name="Normal_Industrial ResearchWise Sheet 17March2009 2" xfId="12" xr:uid="{862F53B8-FEB9-4FEB-9836-9894DCBD350A}"/>
    <cellStyle name="Normal_Sheet1_Financial ResearchWise Sheet1 2" xfId="19" xr:uid="{8DBED2CD-01EA-43F0-AF51-D8D3A9780CCC}"/>
    <cellStyle name="Normal_SSEML" xfId="24" xr:uid="{D5CD08D7-04F0-488A-B09E-14AC1BE6CDC9}"/>
    <cellStyle name="Normal_TLS_data" xfId="52" xr:uid="{70AA680F-E249-4F45-A1C3-459FFE03F561}"/>
    <cellStyle name="Percent" xfId="8" builtinId="5"/>
    <cellStyle name="Percent 146 2" xfId="47" xr:uid="{7CE0FF01-4839-44F7-9A3C-700B57C9B0E8}"/>
    <cellStyle name="Percent 17" xfId="43" xr:uid="{CDABF324-F99C-4540-8413-0156CDCE4609}"/>
    <cellStyle name="Percent 2" xfId="42" xr:uid="{9DA0E736-E732-4FB0-A700-034573537D13}"/>
    <cellStyle name="Percent 2 2 2" xfId="51" xr:uid="{21C105CB-9050-444A-926E-FE8E793145EE}"/>
    <cellStyle name="Percent 2 2 3" xfId="26" xr:uid="{B9266E4C-53A8-4EF1-8CA5-7EAD7D9ED3F7}"/>
    <cellStyle name="Percent 2 9" xfId="6" xr:uid="{00000000-0005-0000-0000-000013000000}"/>
    <cellStyle name="Percent 35 2" xfId="21" xr:uid="{AD360AB3-B3D3-4230-8DA4-CB0B4510A087}"/>
    <cellStyle name="Style 1" xfId="39" xr:uid="{2A8B7920-4B65-4039-825A-E40BB61A5F7E}"/>
    <cellStyle name="Style 1 2" xfId="50" xr:uid="{25AA7F37-D78A-46FA-B8EB-BFD7A618DE9A}"/>
  </cellStyles>
  <dxfs count="0"/>
  <tableStyles count="0" defaultTableStyle="TableStyleMedium2" defaultPivotStyle="PivotStyleLight16"/>
  <colors>
    <mruColors>
      <color rgb="FF0000FF"/>
      <color rgb="FFFFFFCC"/>
      <color rgb="FFF8E4E4"/>
      <color rgb="FFFF00FF"/>
      <color rgb="FF9966FF"/>
      <color rgb="FF9900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calcChain" Target="calcChain.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externalLink" Target="externalLinks/externalLink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476250</xdr:colOff>
      <xdr:row>3</xdr:row>
      <xdr:rowOff>180975</xdr:rowOff>
    </xdr:from>
    <xdr:to>
      <xdr:col>15</xdr:col>
      <xdr:colOff>398917</xdr:colOff>
      <xdr:row>25</xdr:row>
      <xdr:rowOff>94737</xdr:rowOff>
    </xdr:to>
    <xdr:pic>
      <xdr:nvPicPr>
        <xdr:cNvPr id="2" name="Picture 1">
          <a:extLst>
            <a:ext uri="{FF2B5EF4-FFF2-40B4-BE49-F238E27FC236}">
              <a16:creationId xmlns:a16="http://schemas.microsoft.com/office/drawing/2014/main" id="{663357D2-8627-B3B1-317A-6BBC55D0E869}"/>
            </a:ext>
          </a:extLst>
        </xdr:cNvPr>
        <xdr:cNvPicPr>
          <a:picLocks noChangeAspect="1"/>
        </xdr:cNvPicPr>
      </xdr:nvPicPr>
      <xdr:blipFill>
        <a:blip xmlns:r="http://schemas.openxmlformats.org/officeDocument/2006/relationships" r:embed="rId1"/>
        <a:stretch>
          <a:fillRect/>
        </a:stretch>
      </xdr:blipFill>
      <xdr:spPr>
        <a:xfrm>
          <a:off x="476250" y="752475"/>
          <a:ext cx="9066667" cy="4104762"/>
        </a:xfrm>
        <a:prstGeom prst="rect">
          <a:avLst/>
        </a:prstGeom>
      </xdr:spPr>
    </xdr:pic>
    <xdr:clientData/>
  </xdr:twoCellAnchor>
  <xdr:twoCellAnchor editAs="oneCell">
    <xdr:from>
      <xdr:col>1</xdr:col>
      <xdr:colOff>352425</xdr:colOff>
      <xdr:row>31</xdr:row>
      <xdr:rowOff>57150</xdr:rowOff>
    </xdr:from>
    <xdr:to>
      <xdr:col>10</xdr:col>
      <xdr:colOff>580311</xdr:colOff>
      <xdr:row>44</xdr:row>
      <xdr:rowOff>104459</xdr:rowOff>
    </xdr:to>
    <xdr:pic>
      <xdr:nvPicPr>
        <xdr:cNvPr id="3" name="Picture 2">
          <a:extLst>
            <a:ext uri="{FF2B5EF4-FFF2-40B4-BE49-F238E27FC236}">
              <a16:creationId xmlns:a16="http://schemas.microsoft.com/office/drawing/2014/main" id="{A3573256-A191-EAEC-BFD5-70330B88982E}"/>
            </a:ext>
          </a:extLst>
        </xdr:cNvPr>
        <xdr:cNvPicPr>
          <a:picLocks noChangeAspect="1"/>
        </xdr:cNvPicPr>
      </xdr:nvPicPr>
      <xdr:blipFill>
        <a:blip xmlns:r="http://schemas.openxmlformats.org/officeDocument/2006/relationships" r:embed="rId2"/>
        <a:stretch>
          <a:fillRect/>
        </a:stretch>
      </xdr:blipFill>
      <xdr:spPr>
        <a:xfrm>
          <a:off x="962025" y="5962650"/>
          <a:ext cx="5714286" cy="2523809"/>
        </a:xfrm>
        <a:prstGeom prst="rect">
          <a:avLst/>
        </a:prstGeom>
      </xdr:spPr>
    </xdr:pic>
    <xdr:clientData/>
  </xdr:twoCellAnchor>
  <xdr:twoCellAnchor editAs="oneCell">
    <xdr:from>
      <xdr:col>1</xdr:col>
      <xdr:colOff>400050</xdr:colOff>
      <xdr:row>49</xdr:row>
      <xdr:rowOff>76200</xdr:rowOff>
    </xdr:from>
    <xdr:to>
      <xdr:col>16</xdr:col>
      <xdr:colOff>608431</xdr:colOff>
      <xdr:row>78</xdr:row>
      <xdr:rowOff>189795</xdr:rowOff>
    </xdr:to>
    <xdr:pic>
      <xdr:nvPicPr>
        <xdr:cNvPr id="4" name="Picture 3">
          <a:extLst>
            <a:ext uri="{FF2B5EF4-FFF2-40B4-BE49-F238E27FC236}">
              <a16:creationId xmlns:a16="http://schemas.microsoft.com/office/drawing/2014/main" id="{C55CAA1B-CB5F-1218-C2F8-A70D980572B2}"/>
            </a:ext>
          </a:extLst>
        </xdr:cNvPr>
        <xdr:cNvPicPr>
          <a:picLocks noChangeAspect="1"/>
        </xdr:cNvPicPr>
      </xdr:nvPicPr>
      <xdr:blipFill>
        <a:blip xmlns:r="http://schemas.openxmlformats.org/officeDocument/2006/relationships" r:embed="rId3"/>
        <a:stretch>
          <a:fillRect/>
        </a:stretch>
      </xdr:blipFill>
      <xdr:spPr>
        <a:xfrm>
          <a:off x="1009650" y="9410700"/>
          <a:ext cx="9352381" cy="5638095"/>
        </a:xfrm>
        <a:prstGeom prst="rect">
          <a:avLst/>
        </a:prstGeom>
      </xdr:spPr>
    </xdr:pic>
    <xdr:clientData/>
  </xdr:twoCellAnchor>
  <xdr:twoCellAnchor editAs="oneCell">
    <xdr:from>
      <xdr:col>1</xdr:col>
      <xdr:colOff>390525</xdr:colOff>
      <xdr:row>84</xdr:row>
      <xdr:rowOff>114300</xdr:rowOff>
    </xdr:from>
    <xdr:to>
      <xdr:col>16</xdr:col>
      <xdr:colOff>437001</xdr:colOff>
      <xdr:row>117</xdr:row>
      <xdr:rowOff>113514</xdr:rowOff>
    </xdr:to>
    <xdr:pic>
      <xdr:nvPicPr>
        <xdr:cNvPr id="5" name="Picture 4">
          <a:extLst>
            <a:ext uri="{FF2B5EF4-FFF2-40B4-BE49-F238E27FC236}">
              <a16:creationId xmlns:a16="http://schemas.microsoft.com/office/drawing/2014/main" id="{CB10F564-159F-1CA3-45C4-09D4B9C441F6}"/>
            </a:ext>
          </a:extLst>
        </xdr:cNvPr>
        <xdr:cNvPicPr>
          <a:picLocks noChangeAspect="1"/>
        </xdr:cNvPicPr>
      </xdr:nvPicPr>
      <xdr:blipFill>
        <a:blip xmlns:r="http://schemas.openxmlformats.org/officeDocument/2006/relationships" r:embed="rId4"/>
        <a:stretch>
          <a:fillRect/>
        </a:stretch>
      </xdr:blipFill>
      <xdr:spPr>
        <a:xfrm>
          <a:off x="1000125" y="16116300"/>
          <a:ext cx="9190476" cy="6285714"/>
        </a:xfrm>
        <a:prstGeom prst="rect">
          <a:avLst/>
        </a:prstGeom>
      </xdr:spPr>
    </xdr:pic>
    <xdr:clientData/>
  </xdr:twoCellAnchor>
  <xdr:twoCellAnchor editAs="oneCell">
    <xdr:from>
      <xdr:col>16</xdr:col>
      <xdr:colOff>447675</xdr:colOff>
      <xdr:row>6</xdr:row>
      <xdr:rowOff>104775</xdr:rowOff>
    </xdr:from>
    <xdr:to>
      <xdr:col>24</xdr:col>
      <xdr:colOff>580399</xdr:colOff>
      <xdr:row>37</xdr:row>
      <xdr:rowOff>37370</xdr:rowOff>
    </xdr:to>
    <xdr:pic>
      <xdr:nvPicPr>
        <xdr:cNvPr id="6" name="Picture 5">
          <a:extLst>
            <a:ext uri="{FF2B5EF4-FFF2-40B4-BE49-F238E27FC236}">
              <a16:creationId xmlns:a16="http://schemas.microsoft.com/office/drawing/2014/main" id="{41E8A17F-E827-45D4-F5B2-9B8B597502CC}"/>
            </a:ext>
          </a:extLst>
        </xdr:cNvPr>
        <xdr:cNvPicPr>
          <a:picLocks noChangeAspect="1"/>
        </xdr:cNvPicPr>
      </xdr:nvPicPr>
      <xdr:blipFill>
        <a:blip xmlns:r="http://schemas.openxmlformats.org/officeDocument/2006/relationships" r:embed="rId5"/>
        <a:stretch>
          <a:fillRect/>
        </a:stretch>
      </xdr:blipFill>
      <xdr:spPr>
        <a:xfrm>
          <a:off x="10201275" y="1247775"/>
          <a:ext cx="5009524" cy="5838095"/>
        </a:xfrm>
        <a:prstGeom prst="rect">
          <a:avLst/>
        </a:prstGeom>
      </xdr:spPr>
    </xdr:pic>
    <xdr:clientData/>
  </xdr:twoCellAnchor>
  <xdr:twoCellAnchor editAs="oneCell">
    <xdr:from>
      <xdr:col>17</xdr:col>
      <xdr:colOff>523875</xdr:colOff>
      <xdr:row>38</xdr:row>
      <xdr:rowOff>57150</xdr:rowOff>
    </xdr:from>
    <xdr:to>
      <xdr:col>26</xdr:col>
      <xdr:colOff>181693</xdr:colOff>
      <xdr:row>58</xdr:row>
      <xdr:rowOff>86261</xdr:rowOff>
    </xdr:to>
    <xdr:pic>
      <xdr:nvPicPr>
        <xdr:cNvPr id="7" name="Picture 6">
          <a:extLst>
            <a:ext uri="{FF2B5EF4-FFF2-40B4-BE49-F238E27FC236}">
              <a16:creationId xmlns:a16="http://schemas.microsoft.com/office/drawing/2014/main" id="{D660782F-8A85-438F-A87B-83603F8809F2}"/>
            </a:ext>
          </a:extLst>
        </xdr:cNvPr>
        <xdr:cNvPicPr>
          <a:picLocks noChangeAspect="1"/>
        </xdr:cNvPicPr>
      </xdr:nvPicPr>
      <xdr:blipFill>
        <a:blip xmlns:r="http://schemas.openxmlformats.org/officeDocument/2006/relationships" r:embed="rId6"/>
        <a:stretch>
          <a:fillRect/>
        </a:stretch>
      </xdr:blipFill>
      <xdr:spPr>
        <a:xfrm>
          <a:off x="10887075" y="7296150"/>
          <a:ext cx="5144218" cy="38391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aumason\AppData\Local\Microsoft\Windows\Temporary%20Internet%20Files\Content.IE5\LJ67GIF2\PRIC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paulmason\Downloads\Chinastee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U:\EQU\RESEARCH\Industrials\Tourism%20&amp;%20Leisure\horizon\FGL%20Work%2010%20February%202003%20-%20Revised%20Forma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CONSOL\INDONESI\INDOSAT.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Startup" Target="GAMING/Industry%20-%20Gaming/gaming%20macau_wi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CONSOL\PHILIPPI\ICT089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EXCEL\M032\CPM\BASEMETS\METALPR\Metalpr.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EXCEL\M031\BRL\WES\W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OFFICE\Manop\oil&amp;gas\oil_pric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EXCEL\M031\MNC\COMPANY\CHEM\WES\PROFIT.WES\PROF_W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David\CEY\CEY_R.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Paul%20Young\MCC\MCC.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MEDIA\Companies\Data\Price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X:\GEM%20Telecom\Emerging%20Europe\korea\KT07My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rajl\Desktop\Copy%20of%20Adelaide%20Brighton%20Model%20(Chan)%20(3).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CONSOL\PHILIPPI\PLT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vidan\Downloads\ALL%20AU-Broker%20Estimates.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C:\Program%20Files\IRESS%20Market%20Technology\Iress\ExcelAddins\ddeiress.xla" TargetMode="External"/><Relationship Id="rId1" Type="http://schemas.openxmlformats.org/officeDocument/2006/relationships/externalLinkPath" Target="file:///C:\Program%20Files\IRESS%20Market%20Technology\Iress\ExcelAddins\ddeiress.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ng Term Prices"/>
      <sheetName val="Slides"/>
      <sheetName val="IP and Price Charts"/>
      <sheetName val="Very Long Term"/>
      <sheetName val="Charts"/>
      <sheetName val="Equitchart"/>
      <sheetName val="Sheet2"/>
      <sheetName val="Daily"/>
      <sheetName val="Derivative"/>
    </sheetNames>
    <sheetDataSet>
      <sheetData sheetId="0" refreshError="1">
        <row r="270">
          <cell r="U270">
            <v>131.5</v>
          </cell>
          <cell r="BI270">
            <v>49.237711165048545</v>
          </cell>
        </row>
        <row r="271">
          <cell r="U271">
            <v>131.5</v>
          </cell>
          <cell r="BI271">
            <v>57.276065217391313</v>
          </cell>
        </row>
        <row r="272">
          <cell r="U272">
            <v>132</v>
          </cell>
          <cell r="BI272">
            <v>62.346644927536239</v>
          </cell>
        </row>
        <row r="273">
          <cell r="U273">
            <v>134.5</v>
          </cell>
          <cell r="BI273">
            <v>61.364783132530114</v>
          </cell>
        </row>
        <row r="274">
          <cell r="U274">
            <v>133</v>
          </cell>
          <cell r="BI274">
            <v>61.597875000000002</v>
          </cell>
        </row>
        <row r="275">
          <cell r="U275">
            <v>132</v>
          </cell>
          <cell r="BI275">
            <v>60.140438848920859</v>
          </cell>
        </row>
        <row r="276">
          <cell r="U276">
            <v>130.5</v>
          </cell>
          <cell r="BI276">
            <v>58.63464832535886</v>
          </cell>
        </row>
        <row r="277">
          <cell r="U277">
            <v>132.5</v>
          </cell>
          <cell r="BI277">
            <v>57.310124105011937</v>
          </cell>
        </row>
        <row r="278">
          <cell r="U278">
            <v>139</v>
          </cell>
          <cell r="BI278">
            <v>57.916802850356291</v>
          </cell>
        </row>
        <row r="279">
          <cell r="U279">
            <v>139.5</v>
          </cell>
          <cell r="BI279">
            <v>56.738296208530805</v>
          </cell>
        </row>
        <row r="280">
          <cell r="U280">
            <v>139</v>
          </cell>
          <cell r="BI280">
            <v>56.533599056603776</v>
          </cell>
        </row>
        <row r="281">
          <cell r="U281">
            <v>143</v>
          </cell>
          <cell r="BI281">
            <v>58.493519999999997</v>
          </cell>
        </row>
        <row r="282">
          <cell r="U282">
            <v>143.5</v>
          </cell>
          <cell r="BI282">
            <v>60.061039812646364</v>
          </cell>
        </row>
        <row r="283">
          <cell r="U283">
            <v>148.5</v>
          </cell>
          <cell r="BI283">
            <v>63.721297674418601</v>
          </cell>
        </row>
        <row r="284">
          <cell r="U284">
            <v>151</v>
          </cell>
          <cell r="BI284">
            <v>69.159649769585258</v>
          </cell>
        </row>
        <row r="285">
          <cell r="U285">
            <v>147.5</v>
          </cell>
          <cell r="BI285">
            <v>71.400185354691089</v>
          </cell>
        </row>
        <row r="286">
          <cell r="U286">
            <v>147.5</v>
          </cell>
          <cell r="BI286">
            <v>72.793113895216408</v>
          </cell>
        </row>
        <row r="287">
          <cell r="U287">
            <v>149</v>
          </cell>
          <cell r="BI287">
            <v>77.571644796380085</v>
          </cell>
        </row>
        <row r="288">
          <cell r="U288">
            <v>150.5</v>
          </cell>
          <cell r="BI288">
            <v>85.577144796380097</v>
          </cell>
        </row>
        <row r="289">
          <cell r="U289">
            <v>153</v>
          </cell>
          <cell r="BI289">
            <v>78.434133333333335</v>
          </cell>
        </row>
        <row r="290">
          <cell r="U290">
            <v>151.5</v>
          </cell>
          <cell r="BI290">
            <v>79.224537610619478</v>
          </cell>
        </row>
        <row r="291">
          <cell r="U291">
            <v>149.5</v>
          </cell>
          <cell r="BI291">
            <v>83.332105263157885</v>
          </cell>
        </row>
        <row r="292">
          <cell r="U292">
            <v>147</v>
          </cell>
          <cell r="BI292">
            <v>85.698189542483661</v>
          </cell>
        </row>
        <row r="293">
          <cell r="U293">
            <v>147</v>
          </cell>
          <cell r="BI293">
            <v>103.1051533477322</v>
          </cell>
        </row>
        <row r="294">
          <cell r="U294">
            <v>149.5</v>
          </cell>
          <cell r="BI294">
            <v>97.400250000000014</v>
          </cell>
        </row>
        <row r="295">
          <cell r="U295">
            <v>150.5</v>
          </cell>
          <cell r="BI295">
            <v>110.62897674418606</v>
          </cell>
        </row>
        <row r="296">
          <cell r="U296">
            <v>161.5</v>
          </cell>
          <cell r="BI296">
            <v>119.55773221757325</v>
          </cell>
        </row>
        <row r="297">
          <cell r="U297">
            <v>203.5</v>
          </cell>
          <cell r="BI297">
            <v>117.61002286902286</v>
          </cell>
        </row>
        <row r="298">
          <cell r="U298">
            <v>219.5</v>
          </cell>
          <cell r="BI298">
            <v>110.86171604938272</v>
          </cell>
        </row>
        <row r="299">
          <cell r="U299">
            <v>224.5</v>
          </cell>
          <cell r="BI299">
            <v>93.775083673469382</v>
          </cell>
        </row>
        <row r="300">
          <cell r="U300">
            <v>231</v>
          </cell>
          <cell r="BI300">
            <v>89.585099391480739</v>
          </cell>
        </row>
        <row r="301">
          <cell r="U301">
            <v>239.5</v>
          </cell>
          <cell r="BI301">
            <v>88.728961923847706</v>
          </cell>
        </row>
        <row r="302">
          <cell r="U302">
            <v>230</v>
          </cell>
          <cell r="BI302">
            <v>85.827960474308298</v>
          </cell>
        </row>
        <row r="303">
          <cell r="U303">
            <v>201</v>
          </cell>
          <cell r="BI303">
            <v>84.875741176470598</v>
          </cell>
        </row>
        <row r="304">
          <cell r="U304">
            <v>197.5</v>
          </cell>
          <cell r="BI304">
            <v>83.495551456310679</v>
          </cell>
        </row>
        <row r="305">
          <cell r="U305">
            <v>189.5</v>
          </cell>
          <cell r="BI305">
            <v>82.982294797687871</v>
          </cell>
        </row>
        <row r="306">
          <cell r="U306">
            <v>192</v>
          </cell>
          <cell r="BI306">
            <v>82.939497131931176</v>
          </cell>
        </row>
        <row r="307">
          <cell r="U307">
            <v>190</v>
          </cell>
          <cell r="BI307">
            <v>83.061712927756659</v>
          </cell>
        </row>
        <row r="308">
          <cell r="U308">
            <v>185</v>
          </cell>
          <cell r="BI308">
            <v>82.90881250000001</v>
          </cell>
        </row>
        <row r="309">
          <cell r="U309">
            <v>185</v>
          </cell>
          <cell r="BI309">
            <v>72.92893018867926</v>
          </cell>
        </row>
        <row r="310">
          <cell r="U310">
            <v>180</v>
          </cell>
          <cell r="BI310">
            <v>64.017197740112991</v>
          </cell>
        </row>
        <row r="311">
          <cell r="U311">
            <v>189.5</v>
          </cell>
          <cell r="BI311">
            <v>53.157185046728976</v>
          </cell>
        </row>
        <row r="312">
          <cell r="U312">
            <v>186</v>
          </cell>
          <cell r="BI312">
            <v>53.587433333333323</v>
          </cell>
        </row>
        <row r="313">
          <cell r="U313">
            <v>178</v>
          </cell>
          <cell r="BI313">
            <v>57.046162361623615</v>
          </cell>
        </row>
        <row r="314">
          <cell r="U314">
            <v>190</v>
          </cell>
          <cell r="BI314">
            <v>53.184280219780227</v>
          </cell>
        </row>
        <row r="315">
          <cell r="U315">
            <v>186</v>
          </cell>
          <cell r="BI315">
            <v>50.615628415300549</v>
          </cell>
        </row>
        <row r="316">
          <cell r="U316">
            <v>183</v>
          </cell>
          <cell r="BI316">
            <v>49.136430379746841</v>
          </cell>
        </row>
        <row r="317">
          <cell r="U317">
            <v>192</v>
          </cell>
          <cell r="BI317">
            <v>48.308169064748199</v>
          </cell>
        </row>
        <row r="318">
          <cell r="U318">
            <v>197.5</v>
          </cell>
          <cell r="BI318">
            <v>48.584553763440873</v>
          </cell>
        </row>
        <row r="319">
          <cell r="U319">
            <v>201</v>
          </cell>
          <cell r="BI319">
            <v>50.276640429338102</v>
          </cell>
        </row>
        <row r="320">
          <cell r="U320">
            <v>209.5</v>
          </cell>
          <cell r="BI320">
            <v>55.152176785714296</v>
          </cell>
        </row>
        <row r="321">
          <cell r="U321">
            <v>199.5</v>
          </cell>
          <cell r="BI321">
            <v>70.123042780748662</v>
          </cell>
        </row>
        <row r="322">
          <cell r="U322">
            <v>199</v>
          </cell>
          <cell r="BI322">
            <v>68.914170212765953</v>
          </cell>
        </row>
        <row r="323">
          <cell r="U323">
            <v>194.5</v>
          </cell>
          <cell r="BI323">
            <v>67.758878306878302</v>
          </cell>
        </row>
        <row r="324">
          <cell r="U324">
            <v>210</v>
          </cell>
          <cell r="BI324">
            <v>72.143131578947376</v>
          </cell>
        </row>
        <row r="325">
          <cell r="U325">
            <v>212</v>
          </cell>
          <cell r="BI325">
            <v>67.772759162303672</v>
          </cell>
        </row>
        <row r="326">
          <cell r="U326">
            <v>212.5</v>
          </cell>
          <cell r="BI326">
            <v>67.185046874999998</v>
          </cell>
        </row>
        <row r="327">
          <cell r="U327">
            <v>210</v>
          </cell>
          <cell r="BI327">
            <v>64.680015544041453</v>
          </cell>
        </row>
        <row r="328">
          <cell r="U328">
            <v>206</v>
          </cell>
          <cell r="BI328">
            <v>63.704122203098102</v>
          </cell>
        </row>
        <row r="329">
          <cell r="U329">
            <v>202</v>
          </cell>
          <cell r="BI329">
            <v>65.975311643835624</v>
          </cell>
        </row>
        <row r="330">
          <cell r="U330">
            <v>204</v>
          </cell>
          <cell r="BI330">
            <v>76.715207836456557</v>
          </cell>
        </row>
        <row r="331">
          <cell r="U331">
            <v>208.5</v>
          </cell>
          <cell r="BI331">
            <v>87.969000000000008</v>
          </cell>
        </row>
        <row r="332">
          <cell r="U332">
            <v>216.5</v>
          </cell>
          <cell r="BI332">
            <v>95.122771812080529</v>
          </cell>
        </row>
        <row r="333">
          <cell r="U333">
            <v>217.5</v>
          </cell>
          <cell r="BI333">
            <v>87.16507</v>
          </cell>
        </row>
        <row r="334">
          <cell r="U334">
            <v>208</v>
          </cell>
          <cell r="BI334">
            <v>88.459445182724252</v>
          </cell>
        </row>
        <row r="335">
          <cell r="U335">
            <v>210</v>
          </cell>
          <cell r="BI335">
            <v>75.582505785123971</v>
          </cell>
        </row>
        <row r="336">
          <cell r="U336">
            <v>206</v>
          </cell>
          <cell r="BI336">
            <v>74.399067434210522</v>
          </cell>
        </row>
        <row r="337">
          <cell r="U337">
            <v>200</v>
          </cell>
          <cell r="BI337">
            <v>72.644926350245498</v>
          </cell>
        </row>
        <row r="338">
          <cell r="U338">
            <v>196.5</v>
          </cell>
          <cell r="BI338">
            <v>76.584063621533446</v>
          </cell>
        </row>
        <row r="339">
          <cell r="U339">
            <v>187.5</v>
          </cell>
          <cell r="BI339">
            <v>80.511301948051951</v>
          </cell>
        </row>
        <row r="340">
          <cell r="U340">
            <v>188</v>
          </cell>
          <cell r="BI340">
            <v>82.370569354838722</v>
          </cell>
        </row>
        <row r="341">
          <cell r="U341">
            <v>185</v>
          </cell>
          <cell r="BI341">
            <v>88.690146067415739</v>
          </cell>
        </row>
        <row r="342">
          <cell r="U342">
            <v>190</v>
          </cell>
          <cell r="BI342">
            <v>85.213248803827753</v>
          </cell>
        </row>
        <row r="343">
          <cell r="U343">
            <v>192</v>
          </cell>
          <cell r="BI343">
            <v>74.61351904761905</v>
          </cell>
        </row>
        <row r="344">
          <cell r="U344">
            <v>193.5</v>
          </cell>
          <cell r="BI344">
            <v>73.92390378548896</v>
          </cell>
        </row>
        <row r="345">
          <cell r="U345">
            <v>198</v>
          </cell>
          <cell r="BI345">
            <v>72.265262910798128</v>
          </cell>
        </row>
        <row r="346">
          <cell r="U346">
            <v>199</v>
          </cell>
          <cell r="BI346">
            <v>67.993655813953495</v>
          </cell>
        </row>
        <row r="347">
          <cell r="U347">
            <v>194.5</v>
          </cell>
          <cell r="BI347">
            <v>70.719355384615383</v>
          </cell>
        </row>
        <row r="348">
          <cell r="U348">
            <v>187</v>
          </cell>
          <cell r="BI348">
            <v>71.676045801526712</v>
          </cell>
        </row>
        <row r="349">
          <cell r="U349">
            <v>183.5</v>
          </cell>
          <cell r="BI349">
            <v>78.189614567526547</v>
          </cell>
        </row>
        <row r="350">
          <cell r="U350">
            <v>186</v>
          </cell>
          <cell r="BI350">
            <v>84.027654135338352</v>
          </cell>
        </row>
        <row r="351">
          <cell r="U351">
            <v>183</v>
          </cell>
          <cell r="BI351">
            <v>99.772470938897314</v>
          </cell>
        </row>
        <row r="352">
          <cell r="U352">
            <v>176.5</v>
          </cell>
          <cell r="BI352">
            <v>96.129253333333324</v>
          </cell>
        </row>
        <row r="353">
          <cell r="U353">
            <v>173</v>
          </cell>
          <cell r="BI353">
            <v>101.99512665684831</v>
          </cell>
        </row>
        <row r="354">
          <cell r="U354">
            <v>167.5</v>
          </cell>
          <cell r="BI354">
            <v>116.78290948905111</v>
          </cell>
        </row>
        <row r="355">
          <cell r="U355">
            <v>184</v>
          </cell>
          <cell r="BI355">
            <v>122.86154479768786</v>
          </cell>
        </row>
        <row r="356">
          <cell r="U356">
            <v>218</v>
          </cell>
          <cell r="BI356">
            <v>135.69774248927035</v>
          </cell>
        </row>
        <row r="357">
          <cell r="U357">
            <v>253.5</v>
          </cell>
          <cell r="BI357">
            <v>132.54557932011352</v>
          </cell>
        </row>
        <row r="358">
          <cell r="U358">
            <v>309.5</v>
          </cell>
          <cell r="BI358">
            <v>139.92308403361343</v>
          </cell>
        </row>
        <row r="359">
          <cell r="U359">
            <v>306</v>
          </cell>
          <cell r="BI359">
            <v>154.31223407202216</v>
          </cell>
        </row>
        <row r="360">
          <cell r="U360">
            <v>265</v>
          </cell>
          <cell r="BI360">
            <v>140.47763835616439</v>
          </cell>
        </row>
        <row r="361">
          <cell r="U361">
            <v>258</v>
          </cell>
          <cell r="BI361">
            <v>132.6694681139756</v>
          </cell>
        </row>
        <row r="362">
          <cell r="U362">
            <v>268</v>
          </cell>
          <cell r="BI362">
            <v>133.3556572580645</v>
          </cell>
        </row>
        <row r="363">
          <cell r="U363">
            <v>269</v>
          </cell>
          <cell r="BI363">
            <v>141.39264893617022</v>
          </cell>
        </row>
        <row r="364">
          <cell r="U364">
            <v>268</v>
          </cell>
          <cell r="BI364">
            <v>129.89508947368421</v>
          </cell>
        </row>
        <row r="365">
          <cell r="U365">
            <v>283</v>
          </cell>
          <cell r="BI365">
            <v>123.38255656697009</v>
          </cell>
        </row>
        <row r="366">
          <cell r="U366">
            <v>299</v>
          </cell>
          <cell r="BI366">
            <v>115.55061153846154</v>
          </cell>
        </row>
        <row r="367">
          <cell r="U367">
            <v>317</v>
          </cell>
          <cell r="BI367">
            <v>119.18399240506331</v>
          </cell>
        </row>
        <row r="368">
          <cell r="U368">
            <v>306</v>
          </cell>
          <cell r="BI368">
            <v>112.6433483146069</v>
          </cell>
        </row>
        <row r="369">
          <cell r="U369">
            <v>283</v>
          </cell>
          <cell r="BI369">
            <v>96.501404202719414</v>
          </cell>
        </row>
        <row r="370">
          <cell r="U370">
            <v>273</v>
          </cell>
          <cell r="BI370">
            <v>77.285247246022038</v>
          </cell>
        </row>
        <row r="371">
          <cell r="U371">
            <v>286</v>
          </cell>
          <cell r="BI371">
            <v>72.113112727272721</v>
          </cell>
        </row>
        <row r="372">
          <cell r="U372">
            <v>301</v>
          </cell>
          <cell r="BI372">
            <v>79.120271186440775</v>
          </cell>
        </row>
        <row r="373">
          <cell r="U373">
            <v>299</v>
          </cell>
          <cell r="BI373">
            <v>82.646524038461536</v>
          </cell>
        </row>
        <row r="374">
          <cell r="U374">
            <v>302</v>
          </cell>
          <cell r="BI374">
            <v>84.830098927294387</v>
          </cell>
        </row>
        <row r="375">
          <cell r="U375">
            <v>304</v>
          </cell>
          <cell r="BI375">
            <v>82.968191263282179</v>
          </cell>
        </row>
        <row r="376">
          <cell r="U376">
            <v>293</v>
          </cell>
          <cell r="BI376">
            <v>76.673653037383275</v>
          </cell>
        </row>
        <row r="377">
          <cell r="U377">
            <v>291</v>
          </cell>
          <cell r="BI377">
            <v>69.356291666666664</v>
          </cell>
        </row>
        <row r="378">
          <cell r="U378">
            <v>291</v>
          </cell>
          <cell r="BI378">
            <v>65.178316513761473</v>
          </cell>
        </row>
        <row r="379">
          <cell r="U379">
            <v>289</v>
          </cell>
          <cell r="BI379">
            <v>63.14641363636364</v>
          </cell>
        </row>
        <row r="380">
          <cell r="U380">
            <v>286</v>
          </cell>
          <cell r="BI380">
            <v>66.387220090293539</v>
          </cell>
        </row>
        <row r="381">
          <cell r="U381">
            <v>286</v>
          </cell>
          <cell r="BI381">
            <v>68.648235690235765</v>
          </cell>
        </row>
        <row r="382">
          <cell r="U382">
            <v>288</v>
          </cell>
          <cell r="BI382">
            <v>62.639839464882947</v>
          </cell>
        </row>
        <row r="383">
          <cell r="U383">
            <v>279</v>
          </cell>
          <cell r="BI383">
            <v>63.4975226519337</v>
          </cell>
        </row>
        <row r="384">
          <cell r="U384">
            <v>292</v>
          </cell>
          <cell r="BI384">
            <v>69.114636065573777</v>
          </cell>
        </row>
        <row r="385">
          <cell r="U385">
            <v>273</v>
          </cell>
          <cell r="BI385">
            <v>72.053359002169202</v>
          </cell>
        </row>
        <row r="386">
          <cell r="U386">
            <v>254</v>
          </cell>
          <cell r="BI386">
            <v>66.132557465091381</v>
          </cell>
        </row>
        <row r="387">
          <cell r="U387">
            <v>237</v>
          </cell>
          <cell r="BI387">
            <v>61.840249464668091</v>
          </cell>
        </row>
        <row r="388">
          <cell r="U388">
            <v>232</v>
          </cell>
          <cell r="BI388">
            <v>57.244730277185504</v>
          </cell>
        </row>
        <row r="389">
          <cell r="U389">
            <v>249</v>
          </cell>
          <cell r="BI389">
            <v>57.765510095642995</v>
          </cell>
        </row>
        <row r="390">
          <cell r="U390">
            <v>255</v>
          </cell>
          <cell r="BI390">
            <v>55.356298728813549</v>
          </cell>
        </row>
        <row r="391">
          <cell r="U391">
            <v>260</v>
          </cell>
          <cell r="BI391">
            <v>52.618574445617746</v>
          </cell>
        </row>
        <row r="392">
          <cell r="U392">
            <v>258</v>
          </cell>
          <cell r="BI392">
            <v>52.133904963041182</v>
          </cell>
        </row>
        <row r="393">
          <cell r="U393">
            <v>246</v>
          </cell>
          <cell r="BI393">
            <v>48.776434736842113</v>
          </cell>
        </row>
        <row r="394">
          <cell r="U394">
            <v>236</v>
          </cell>
          <cell r="BI394">
            <v>48.322388946819601</v>
          </cell>
        </row>
        <row r="395">
          <cell r="U395">
            <v>236</v>
          </cell>
          <cell r="BI395">
            <v>43.255376288659797</v>
          </cell>
        </row>
        <row r="396">
          <cell r="U396">
            <v>230</v>
          </cell>
          <cell r="BI396">
            <v>45.67377230769231</v>
          </cell>
        </row>
        <row r="397">
          <cell r="U397">
            <v>225</v>
          </cell>
          <cell r="BI397">
            <v>43.145757420675537</v>
          </cell>
        </row>
        <row r="398">
          <cell r="U398">
            <v>200</v>
          </cell>
          <cell r="BI398">
            <v>42.517553735926306</v>
          </cell>
        </row>
        <row r="399">
          <cell r="U399">
            <v>179</v>
          </cell>
          <cell r="BI399">
            <v>40.878917431192711</v>
          </cell>
        </row>
        <row r="400">
          <cell r="U400">
            <v>157</v>
          </cell>
          <cell r="BI400">
            <v>38.048816326530613</v>
          </cell>
        </row>
        <row r="401">
          <cell r="U401">
            <v>162</v>
          </cell>
          <cell r="BI401">
            <v>36.962048106448307</v>
          </cell>
        </row>
        <row r="402">
          <cell r="U402">
            <v>172</v>
          </cell>
          <cell r="BI402">
            <v>39.148902962206336</v>
          </cell>
        </row>
        <row r="403">
          <cell r="U403">
            <v>191</v>
          </cell>
          <cell r="BI403">
            <v>37.409828571428577</v>
          </cell>
        </row>
        <row r="404">
          <cell r="U404">
            <v>217</v>
          </cell>
          <cell r="BI404">
            <v>36.428697247706459</v>
          </cell>
        </row>
        <row r="405">
          <cell r="U405">
            <v>221</v>
          </cell>
          <cell r="BI405">
            <v>37.33919331983806</v>
          </cell>
        </row>
        <row r="406">
          <cell r="U406">
            <v>228</v>
          </cell>
          <cell r="BI406">
            <v>35.203397177419355</v>
          </cell>
        </row>
        <row r="407">
          <cell r="U407">
            <v>223</v>
          </cell>
          <cell r="BI407">
            <v>33.09763279678068</v>
          </cell>
        </row>
        <row r="408">
          <cell r="U408">
            <v>218</v>
          </cell>
          <cell r="BI408">
            <v>32.574595190380762</v>
          </cell>
        </row>
        <row r="409">
          <cell r="U409">
            <v>220</v>
          </cell>
          <cell r="BI409">
            <v>32.057544455544459</v>
          </cell>
        </row>
        <row r="410">
          <cell r="U410">
            <v>223</v>
          </cell>
          <cell r="BI410">
            <v>32.503960159362549</v>
          </cell>
        </row>
        <row r="411">
          <cell r="U411">
            <v>212</v>
          </cell>
          <cell r="BI411">
            <v>33.534502976190481</v>
          </cell>
        </row>
        <row r="412">
          <cell r="U412">
            <v>208</v>
          </cell>
          <cell r="BI412">
            <v>32.27890801186944</v>
          </cell>
        </row>
        <row r="413">
          <cell r="U413">
            <v>211</v>
          </cell>
          <cell r="BI413">
            <v>31.974630177514793</v>
          </cell>
        </row>
        <row r="414">
          <cell r="U414">
            <v>212</v>
          </cell>
          <cell r="BI414">
            <v>31.386020568070528</v>
          </cell>
        </row>
        <row r="415">
          <cell r="U415">
            <v>211</v>
          </cell>
          <cell r="BI415">
            <v>31.784453216374271</v>
          </cell>
        </row>
        <row r="416">
          <cell r="U416">
            <v>216</v>
          </cell>
          <cell r="BI416">
            <v>36.000113702623906</v>
          </cell>
        </row>
        <row r="417">
          <cell r="U417">
            <v>223</v>
          </cell>
          <cell r="BI417">
            <v>37.596659244917717</v>
          </cell>
        </row>
        <row r="418">
          <cell r="U418">
            <v>218</v>
          </cell>
          <cell r="BI418">
            <v>35.296391304347829</v>
          </cell>
        </row>
        <row r="419">
          <cell r="U419">
            <v>217</v>
          </cell>
          <cell r="BI419">
            <v>37.650639344262295</v>
          </cell>
        </row>
        <row r="420">
          <cell r="U420">
            <v>211</v>
          </cell>
          <cell r="BI420">
            <v>38.225429394812679</v>
          </cell>
        </row>
        <row r="421">
          <cell r="U421">
            <v>215</v>
          </cell>
          <cell r="BI421">
            <v>36.094614942528736</v>
          </cell>
        </row>
        <row r="422">
          <cell r="U422">
            <v>214</v>
          </cell>
          <cell r="BI422">
            <v>30.922656160458455</v>
          </cell>
        </row>
        <row r="423">
          <cell r="U423">
            <v>216</v>
          </cell>
          <cell r="BI423">
            <v>31.607294957183633</v>
          </cell>
        </row>
        <row r="424">
          <cell r="U424">
            <v>216</v>
          </cell>
          <cell r="BI424">
            <v>33.728353276353275</v>
          </cell>
        </row>
        <row r="425">
          <cell r="U425">
            <v>220</v>
          </cell>
          <cell r="BI425">
            <v>31.748826540284359</v>
          </cell>
        </row>
        <row r="426">
          <cell r="U426">
            <v>222</v>
          </cell>
          <cell r="BI426">
            <v>32.027049195837279</v>
          </cell>
        </row>
        <row r="427">
          <cell r="U427">
            <v>231</v>
          </cell>
          <cell r="BI427">
            <v>27.930132643461903</v>
          </cell>
        </row>
        <row r="428">
          <cell r="U428">
            <v>236</v>
          </cell>
          <cell r="BI428">
            <v>26.570064606741578</v>
          </cell>
        </row>
        <row r="429">
          <cell r="U429">
            <v>249</v>
          </cell>
          <cell r="BI429">
            <v>29.345186915887847</v>
          </cell>
        </row>
        <row r="430">
          <cell r="U430">
            <v>255</v>
          </cell>
          <cell r="BI430">
            <v>28.273155783582087</v>
          </cell>
        </row>
        <row r="431">
          <cell r="U431">
            <v>252</v>
          </cell>
          <cell r="BI431">
            <v>29.188839069767447</v>
          </cell>
        </row>
        <row r="432">
          <cell r="U432">
            <v>231</v>
          </cell>
          <cell r="BI432">
            <v>30.173623955431754</v>
          </cell>
        </row>
        <row r="433">
          <cell r="U433">
            <v>223</v>
          </cell>
          <cell r="BI433">
            <v>30.902499536607969</v>
          </cell>
        </row>
        <row r="434">
          <cell r="U434">
            <v>208</v>
          </cell>
          <cell r="BI434">
            <v>29.864489361702127</v>
          </cell>
        </row>
        <row r="435">
          <cell r="U435">
            <v>194</v>
          </cell>
          <cell r="BI435">
            <v>29.231347465437789</v>
          </cell>
        </row>
        <row r="436">
          <cell r="U436">
            <v>183</v>
          </cell>
          <cell r="BI436">
            <v>29.142957798165142</v>
          </cell>
        </row>
        <row r="437">
          <cell r="U437">
            <v>186</v>
          </cell>
          <cell r="BI437">
            <v>28.706073972602741</v>
          </cell>
        </row>
        <row r="438">
          <cell r="S438">
            <v>29.177</v>
          </cell>
          <cell r="U438">
            <v>183</v>
          </cell>
          <cell r="BI438">
            <v>27.023317561419468</v>
          </cell>
        </row>
        <row r="439">
          <cell r="S439">
            <v>27.58</v>
          </cell>
          <cell r="U439">
            <v>181</v>
          </cell>
          <cell r="BI439">
            <v>26.980148587055609</v>
          </cell>
        </row>
        <row r="440">
          <cell r="S440">
            <v>28.353000000000002</v>
          </cell>
          <cell r="U440">
            <v>187</v>
          </cell>
          <cell r="BI440">
            <v>27.126896425297893</v>
          </cell>
        </row>
        <row r="441">
          <cell r="S441">
            <v>29.908999999999999</v>
          </cell>
          <cell r="U441">
            <v>181</v>
          </cell>
          <cell r="BI441">
            <v>27.395290708371665</v>
          </cell>
        </row>
        <row r="442">
          <cell r="S442">
            <v>32.063000000000002</v>
          </cell>
          <cell r="U442">
            <v>183</v>
          </cell>
          <cell r="BI442">
            <v>27.837269724770643</v>
          </cell>
        </row>
        <row r="443">
          <cell r="S443">
            <v>36.454000000000001</v>
          </cell>
          <cell r="U443">
            <v>185</v>
          </cell>
          <cell r="BI443">
            <v>30.825159049360142</v>
          </cell>
        </row>
        <row r="444">
          <cell r="S444">
            <v>36.576000000000001</v>
          </cell>
          <cell r="U444">
            <v>177</v>
          </cell>
          <cell r="BI444">
            <v>27.961980821917805</v>
          </cell>
        </row>
        <row r="445">
          <cell r="S445">
            <v>37.011000000000003</v>
          </cell>
          <cell r="U445">
            <v>173</v>
          </cell>
          <cell r="BI445">
            <v>28.845446167883217</v>
          </cell>
        </row>
        <row r="446">
          <cell r="S446">
            <v>39.478000000000002</v>
          </cell>
          <cell r="U446">
            <v>169</v>
          </cell>
          <cell r="BI446">
            <v>29.840299090909092</v>
          </cell>
        </row>
        <row r="447">
          <cell r="S447">
            <v>40.167000000000002</v>
          </cell>
          <cell r="U447">
            <v>165</v>
          </cell>
          <cell r="BI447">
            <v>31.789535390199639</v>
          </cell>
        </row>
        <row r="448">
          <cell r="S448">
            <v>37.170999999999999</v>
          </cell>
          <cell r="U448">
            <v>165</v>
          </cell>
          <cell r="BI448">
            <v>34.566421195652175</v>
          </cell>
        </row>
        <row r="449">
          <cell r="S449">
            <v>36.18</v>
          </cell>
          <cell r="U449">
            <v>162</v>
          </cell>
          <cell r="BI449">
            <v>37.704203068592065</v>
          </cell>
        </row>
        <row r="450">
          <cell r="P450">
            <v>80.40929049728588</v>
          </cell>
          <cell r="Q450">
            <v>61.055</v>
          </cell>
          <cell r="R450">
            <v>53.134465876802999</v>
          </cell>
          <cell r="S450">
            <v>34.427</v>
          </cell>
          <cell r="U450">
            <v>160</v>
          </cell>
          <cell r="BI450">
            <v>33.544121973094178</v>
          </cell>
        </row>
        <row r="451">
          <cell r="P451">
            <v>86.271198886516572</v>
          </cell>
          <cell r="Q451">
            <v>62.588000000000001</v>
          </cell>
          <cell r="R451">
            <v>58.215788079470201</v>
          </cell>
          <cell r="S451">
            <v>33.555999999999997</v>
          </cell>
          <cell r="U451">
            <v>168</v>
          </cell>
          <cell r="BI451">
            <v>33.169844504021448</v>
          </cell>
        </row>
        <row r="452">
          <cell r="P452">
            <v>87.931783524515765</v>
          </cell>
          <cell r="Q452">
            <v>66.483999999999995</v>
          </cell>
          <cell r="R452">
            <v>62.0183036151683</v>
          </cell>
          <cell r="S452">
            <v>33.158000000000001</v>
          </cell>
          <cell r="U452">
            <v>171</v>
          </cell>
          <cell r="BI452">
            <v>34.960597506678539</v>
          </cell>
        </row>
        <row r="453">
          <cell r="P453">
            <v>90.162949620255617</v>
          </cell>
          <cell r="Q453">
            <v>67.323999999999998</v>
          </cell>
          <cell r="R453">
            <v>63.546856958178303</v>
          </cell>
          <cell r="S453">
            <v>34.531999999999996</v>
          </cell>
          <cell r="U453">
            <v>177</v>
          </cell>
          <cell r="BI453">
            <v>39.697880319148936</v>
          </cell>
        </row>
        <row r="454">
          <cell r="P454">
            <v>89.714331388039341</v>
          </cell>
          <cell r="Q454">
            <v>68.965999999999994</v>
          </cell>
          <cell r="R454">
            <v>64.0291156672412</v>
          </cell>
          <cell r="S454">
            <v>38.008000000000003</v>
          </cell>
          <cell r="U454">
            <v>202</v>
          </cell>
          <cell r="BI454">
            <v>49.393596816976135</v>
          </cell>
        </row>
        <row r="455">
          <cell r="P455">
            <v>92.716895039999997</v>
          </cell>
          <cell r="Q455">
            <v>71.299000000000007</v>
          </cell>
          <cell r="R455">
            <v>66.784000000000006</v>
          </cell>
          <cell r="S455">
            <v>39.798999999999999</v>
          </cell>
          <cell r="U455">
            <v>202</v>
          </cell>
          <cell r="BI455">
            <v>44.645696302816908</v>
          </cell>
        </row>
        <row r="456">
          <cell r="P456">
            <v>110.92000500000002</v>
          </cell>
          <cell r="Q456">
            <v>76.867000000000004</v>
          </cell>
          <cell r="R456">
            <v>77.400000000000006</v>
          </cell>
          <cell r="S456">
            <v>37.594000000000001</v>
          </cell>
          <cell r="U456">
            <v>216</v>
          </cell>
          <cell r="BI456">
            <v>46.958415276558391</v>
          </cell>
        </row>
        <row r="457">
          <cell r="P457">
            <v>115.268125602</v>
          </cell>
          <cell r="Q457">
            <v>79.665000000000006</v>
          </cell>
          <cell r="R457">
            <v>82.117000000000004</v>
          </cell>
          <cell r="S457">
            <v>36.44</v>
          </cell>
          <cell r="U457">
            <v>240</v>
          </cell>
          <cell r="BI457">
            <v>46.45771416083916</v>
          </cell>
        </row>
        <row r="458">
          <cell r="P458">
            <v>110.10562286999999</v>
          </cell>
          <cell r="Q458">
            <v>82.146000000000001</v>
          </cell>
          <cell r="R458">
            <v>79.209999999999994</v>
          </cell>
          <cell r="S458">
            <v>34.283999999999999</v>
          </cell>
          <cell r="U458">
            <v>242</v>
          </cell>
          <cell r="BI458">
            <v>45.418737804878049</v>
          </cell>
        </row>
        <row r="459">
          <cell r="P459">
            <v>131.75228167500001</v>
          </cell>
          <cell r="Q459">
            <v>89.161000000000001</v>
          </cell>
          <cell r="R459">
            <v>89.025000000000006</v>
          </cell>
          <cell r="S459">
            <v>34.889000000000003</v>
          </cell>
          <cell r="U459">
            <v>258</v>
          </cell>
          <cell r="BI459">
            <v>42.116395308427457</v>
          </cell>
        </row>
        <row r="460">
          <cell r="P460">
            <v>108.12390321300001</v>
          </cell>
          <cell r="Q460">
            <v>114.483</v>
          </cell>
          <cell r="R460">
            <v>76.248999999999995</v>
          </cell>
          <cell r="S460">
            <v>38.421999999999997</v>
          </cell>
          <cell r="U460">
            <v>269</v>
          </cell>
          <cell r="BI460">
            <v>44.820018181818185</v>
          </cell>
        </row>
        <row r="461">
          <cell r="P461">
            <v>114.507954756</v>
          </cell>
          <cell r="Q461">
            <v>130.13</v>
          </cell>
          <cell r="R461">
            <v>82.731999999999999</v>
          </cell>
          <cell r="S461">
            <v>39.253999999999998</v>
          </cell>
          <cell r="U461">
            <v>348</v>
          </cell>
          <cell r="BI461">
            <v>45.912653414001724</v>
          </cell>
        </row>
        <row r="462">
          <cell r="P462">
            <v>127.24856098999997</v>
          </cell>
          <cell r="Q462">
            <v>120.79900000000001</v>
          </cell>
          <cell r="R462">
            <v>90.83</v>
          </cell>
          <cell r="S462">
            <v>39.81</v>
          </cell>
          <cell r="U462">
            <v>367</v>
          </cell>
          <cell r="BI462">
            <v>46.284645994832047</v>
          </cell>
        </row>
        <row r="463">
          <cell r="P463">
            <v>134.75967499999999</v>
          </cell>
          <cell r="Q463">
            <v>105.69799999999999</v>
          </cell>
          <cell r="R463">
            <v>97</v>
          </cell>
          <cell r="S463">
            <v>39.722000000000001</v>
          </cell>
          <cell r="U463">
            <v>394</v>
          </cell>
          <cell r="BI463">
            <v>45.479323580034425</v>
          </cell>
        </row>
        <row r="464">
          <cell r="P464">
            <v>155.11637159999998</v>
          </cell>
          <cell r="Q464">
            <v>107.018</v>
          </cell>
          <cell r="R464">
            <v>114.6</v>
          </cell>
          <cell r="S464">
            <v>44.500999999999998</v>
          </cell>
          <cell r="U464">
            <v>709</v>
          </cell>
          <cell r="BI464">
            <v>44.841174957118362</v>
          </cell>
        </row>
        <row r="465">
          <cell r="P465">
            <v>150.16484880000002</v>
          </cell>
          <cell r="Q465">
            <v>103.706</v>
          </cell>
          <cell r="R465">
            <v>113.9</v>
          </cell>
          <cell r="S465">
            <v>48.462000000000003</v>
          </cell>
          <cell r="U465">
            <v>821</v>
          </cell>
          <cell r="BI465">
            <v>44.648042662116048</v>
          </cell>
        </row>
        <row r="466">
          <cell r="P466">
            <v>170.165234</v>
          </cell>
          <cell r="Q466">
            <v>111.039</v>
          </cell>
          <cell r="R466">
            <v>137</v>
          </cell>
          <cell r="S466">
            <v>53.332000000000001</v>
          </cell>
          <cell r="U466">
            <v>775</v>
          </cell>
          <cell r="BI466">
            <v>45.786558673469386</v>
          </cell>
        </row>
        <row r="467">
          <cell r="P467">
            <v>207.68264540000004</v>
          </cell>
          <cell r="Q467">
            <v>115.22499999999999</v>
          </cell>
          <cell r="R467">
            <v>164.9</v>
          </cell>
          <cell r="S467">
            <v>61.866999999999997</v>
          </cell>
          <cell r="U467">
            <v>710</v>
          </cell>
          <cell r="BI467">
            <v>46.211822184589337</v>
          </cell>
        </row>
        <row r="468">
          <cell r="P468">
            <v>152.39278079999997</v>
          </cell>
          <cell r="Q468">
            <v>100.40300000000001</v>
          </cell>
          <cell r="R468">
            <v>122.6</v>
          </cell>
          <cell r="S468">
            <v>56.081000000000003</v>
          </cell>
          <cell r="U468">
            <v>663</v>
          </cell>
          <cell r="BI468">
            <v>42.085500000000003</v>
          </cell>
        </row>
        <row r="469">
          <cell r="P469">
            <v>155.1617372</v>
          </cell>
          <cell r="Q469">
            <v>99.820999999999998</v>
          </cell>
          <cell r="R469">
            <v>125.2</v>
          </cell>
          <cell r="S469">
            <v>59.344999999999999</v>
          </cell>
          <cell r="U469">
            <v>645</v>
          </cell>
          <cell r="BI469">
            <v>40.74358487394958</v>
          </cell>
        </row>
        <row r="470">
          <cell r="P470">
            <v>140.3754898</v>
          </cell>
          <cell r="Q470">
            <v>110.474</v>
          </cell>
          <cell r="R470">
            <v>109.9</v>
          </cell>
          <cell r="S470">
            <v>60.298000000000002</v>
          </cell>
          <cell r="U470">
            <v>540</v>
          </cell>
          <cell r="BI470">
            <v>41.096982441471575</v>
          </cell>
        </row>
        <row r="471">
          <cell r="P471">
            <v>128.99706</v>
          </cell>
          <cell r="Q471">
            <v>133.334</v>
          </cell>
          <cell r="R471">
            <v>106.5</v>
          </cell>
          <cell r="S471">
            <v>68.850999999999999</v>
          </cell>
          <cell r="U471">
            <v>526</v>
          </cell>
          <cell r="BI471">
            <v>44.005047499999996</v>
          </cell>
        </row>
        <row r="472">
          <cell r="P472">
            <v>125.72594880000001</v>
          </cell>
          <cell r="Q472">
            <v>149.89699999999999</v>
          </cell>
          <cell r="R472">
            <v>110.4</v>
          </cell>
          <cell r="S472">
            <v>70.634</v>
          </cell>
          <cell r="U472">
            <v>607</v>
          </cell>
          <cell r="BI472">
            <v>46.287984219269106</v>
          </cell>
        </row>
        <row r="473">
          <cell r="P473">
            <v>132.67094449999999</v>
          </cell>
          <cell r="Q473">
            <v>158.708</v>
          </cell>
          <cell r="R473">
            <v>113.5</v>
          </cell>
          <cell r="S473">
            <v>72.236000000000004</v>
          </cell>
          <cell r="U473">
            <v>769</v>
          </cell>
          <cell r="BI473">
            <v>48.770813741721852</v>
          </cell>
        </row>
        <row r="474">
          <cell r="P474">
            <v>122.3846592</v>
          </cell>
          <cell r="Q474">
            <v>154</v>
          </cell>
          <cell r="R474">
            <v>108.8</v>
          </cell>
          <cell r="S474">
            <v>80.400000000000006</v>
          </cell>
          <cell r="U474">
            <v>806</v>
          </cell>
          <cell r="BI474">
            <v>44.878318219291017</v>
          </cell>
        </row>
        <row r="475">
          <cell r="P475">
            <v>123.83938875000001</v>
          </cell>
          <cell r="Q475">
            <v>140.6</v>
          </cell>
          <cell r="R475">
            <v>99.022000000000006</v>
          </cell>
          <cell r="S475">
            <v>90.9</v>
          </cell>
          <cell r="U475">
            <v>842</v>
          </cell>
          <cell r="BI475">
            <v>41.222514379622027</v>
          </cell>
        </row>
        <row r="476">
          <cell r="P476">
            <v>114.79501651864285</v>
          </cell>
          <cell r="Q476">
            <v>148.1</v>
          </cell>
          <cell r="R476">
            <v>94.063049986392102</v>
          </cell>
          <cell r="S476">
            <v>89.4</v>
          </cell>
          <cell r="U476">
            <v>780</v>
          </cell>
          <cell r="BI476">
            <v>38.838348323793952</v>
          </cell>
        </row>
        <row r="477">
          <cell r="P477">
            <v>121.62383262269795</v>
          </cell>
          <cell r="Q477">
            <v>141.4</v>
          </cell>
          <cell r="R477">
            <v>96.423387462578205</v>
          </cell>
          <cell r="S477">
            <v>76.099999999999994</v>
          </cell>
          <cell r="U477">
            <v>694</v>
          </cell>
          <cell r="BI477">
            <v>39.709821428571423</v>
          </cell>
        </row>
        <row r="478">
          <cell r="P478">
            <v>136.93431339199901</v>
          </cell>
          <cell r="Q478">
            <v>124.1</v>
          </cell>
          <cell r="R478">
            <v>102.481629320512</v>
          </cell>
          <cell r="S478">
            <v>78.2</v>
          </cell>
          <cell r="U478">
            <v>612</v>
          </cell>
          <cell r="BI478">
            <v>41.816558966074318</v>
          </cell>
        </row>
        <row r="479">
          <cell r="P479">
            <v>114.9212036</v>
          </cell>
          <cell r="Q479">
            <v>115.6</v>
          </cell>
          <cell r="R479">
            <v>86.8</v>
          </cell>
          <cell r="S479">
            <v>75.599999999999994</v>
          </cell>
          <cell r="U479">
            <v>552</v>
          </cell>
          <cell r="BI479">
            <v>43.292344883158748</v>
          </cell>
        </row>
        <row r="480">
          <cell r="P480">
            <v>105.79476799999999</v>
          </cell>
          <cell r="Q480">
            <v>113.5</v>
          </cell>
          <cell r="R480">
            <v>79.599999999999994</v>
          </cell>
          <cell r="S480">
            <v>75.599999999999994</v>
          </cell>
          <cell r="U480">
            <v>558</v>
          </cell>
          <cell r="BI480">
            <v>44.546388443017662</v>
          </cell>
        </row>
        <row r="481">
          <cell r="P481">
            <v>106.58306399999999</v>
          </cell>
          <cell r="Q481">
            <v>131.30000000000001</v>
          </cell>
          <cell r="R481">
            <v>81.599999999999994</v>
          </cell>
          <cell r="S481">
            <v>82</v>
          </cell>
          <cell r="U481">
            <v>587</v>
          </cell>
          <cell r="BI481">
            <v>45.403049759229546</v>
          </cell>
        </row>
        <row r="482">
          <cell r="P482">
            <v>100.3348884</v>
          </cell>
          <cell r="Q482">
            <v>130.80000000000001</v>
          </cell>
          <cell r="R482">
            <v>77.900000000000006</v>
          </cell>
          <cell r="S482">
            <v>75.599999999999994</v>
          </cell>
          <cell r="U482">
            <v>512</v>
          </cell>
          <cell r="BI482">
            <v>47.145636509207371</v>
          </cell>
        </row>
        <row r="483">
          <cell r="P483">
            <v>105.47821760000001</v>
          </cell>
          <cell r="Q483">
            <v>129.80000000000001</v>
          </cell>
          <cell r="R483">
            <v>82.6</v>
          </cell>
          <cell r="S483">
            <v>73.900000000000006</v>
          </cell>
          <cell r="U483">
            <v>474</v>
          </cell>
          <cell r="BI483">
            <v>48.337768924302793</v>
          </cell>
        </row>
        <row r="484">
          <cell r="P484">
            <v>100.8317708</v>
          </cell>
          <cell r="Q484">
            <v>117.4</v>
          </cell>
          <cell r="R484">
            <v>78.8</v>
          </cell>
          <cell r="S484">
            <v>65.7</v>
          </cell>
          <cell r="U484">
            <v>445</v>
          </cell>
          <cell r="BI484">
            <v>44.369023034154083</v>
          </cell>
        </row>
        <row r="485">
          <cell r="P485">
            <v>93.443139934682037</v>
          </cell>
          <cell r="Q485">
            <v>110.2</v>
          </cell>
          <cell r="R485">
            <v>74.0723940850948</v>
          </cell>
          <cell r="S485">
            <v>68.3</v>
          </cell>
          <cell r="U485">
            <v>400</v>
          </cell>
          <cell r="BI485">
            <v>45.319462025316462</v>
          </cell>
        </row>
        <row r="486">
          <cell r="O486">
            <v>69.309625328857805</v>
          </cell>
          <cell r="P486">
            <v>89.919050349269668</v>
          </cell>
          <cell r="Q486">
            <v>107.3</v>
          </cell>
          <cell r="R486">
            <v>69.309625328857805</v>
          </cell>
          <cell r="S486">
            <v>58.7</v>
          </cell>
          <cell r="U486">
            <v>320.62833339243787</v>
          </cell>
          <cell r="BI486">
            <v>44.753840125391854</v>
          </cell>
          <cell r="BZ486">
            <v>500</v>
          </cell>
        </row>
        <row r="487">
          <cell r="O487">
            <v>65.953007348271797</v>
          </cell>
          <cell r="P487">
            <v>86.848832713417409</v>
          </cell>
          <cell r="Q487">
            <v>107.1</v>
          </cell>
          <cell r="R487">
            <v>65.953007348271797</v>
          </cell>
          <cell r="S487">
            <v>63.3</v>
          </cell>
          <cell r="U487">
            <v>316.98206493636093</v>
          </cell>
          <cell r="BI487">
            <v>49.162060889929741</v>
          </cell>
          <cell r="BZ487">
            <v>490</v>
          </cell>
        </row>
        <row r="488">
          <cell r="O488">
            <v>71.078653724031597</v>
          </cell>
          <cell r="P488">
            <v>94.243755601923283</v>
          </cell>
          <cell r="Q488">
            <v>119.1</v>
          </cell>
          <cell r="R488">
            <v>71.078653724031597</v>
          </cell>
          <cell r="S488">
            <v>75.599999999999994</v>
          </cell>
          <cell r="U488">
            <v>421.02700032411281</v>
          </cell>
          <cell r="BI488">
            <v>66.401244167962673</v>
          </cell>
          <cell r="BZ488">
            <v>490</v>
          </cell>
        </row>
        <row r="489">
          <cell r="O489">
            <v>69.218905923977104</v>
          </cell>
          <cell r="P489">
            <v>92.181239680667645</v>
          </cell>
          <cell r="Q489">
            <v>121.9</v>
          </cell>
          <cell r="R489">
            <v>69.218905923977104</v>
          </cell>
          <cell r="S489">
            <v>76.5</v>
          </cell>
          <cell r="U489">
            <v>406.07308384450073</v>
          </cell>
          <cell r="BI489">
            <v>52.266744186046509</v>
          </cell>
          <cell r="BZ489">
            <v>480</v>
          </cell>
        </row>
        <row r="490">
          <cell r="O490">
            <v>69.264265626417497</v>
          </cell>
          <cell r="P490">
            <v>90.058852717046193</v>
          </cell>
          <cell r="Q490">
            <v>124.3</v>
          </cell>
          <cell r="R490">
            <v>69.264265626417497</v>
          </cell>
          <cell r="S490">
            <v>80.5</v>
          </cell>
          <cell r="U490">
            <v>395.09022394961926</v>
          </cell>
          <cell r="BI490">
            <v>51.497368421052634</v>
          </cell>
          <cell r="BZ490">
            <v>440</v>
          </cell>
        </row>
        <row r="491">
          <cell r="O491">
            <v>71.033294021591203</v>
          </cell>
          <cell r="P491">
            <v>90.02951474190327</v>
          </cell>
          <cell r="Q491">
            <v>117.3</v>
          </cell>
          <cell r="R491">
            <v>71.033294021591203</v>
          </cell>
          <cell r="S491">
            <v>77.8</v>
          </cell>
          <cell r="U491">
            <v>382.32482349835908</v>
          </cell>
          <cell r="BI491">
            <v>52.001538461538466</v>
          </cell>
          <cell r="BZ491">
            <v>420</v>
          </cell>
        </row>
        <row r="492">
          <cell r="O492">
            <v>71.260092533792999</v>
          </cell>
          <cell r="P492">
            <v>90.191262496598057</v>
          </cell>
          <cell r="Q492">
            <v>131.4</v>
          </cell>
          <cell r="R492">
            <v>71.260092533792999</v>
          </cell>
          <cell r="S492">
            <v>74.3</v>
          </cell>
          <cell r="U492">
            <v>423.16094878441231</v>
          </cell>
          <cell r="BI492">
            <v>53.942113323124047</v>
          </cell>
          <cell r="BZ492">
            <v>420</v>
          </cell>
        </row>
        <row r="493">
          <cell r="O493">
            <v>80.830989748707296</v>
          </cell>
          <cell r="P493">
            <v>99.033320330218686</v>
          </cell>
          <cell r="Q493">
            <v>134.19999999999999</v>
          </cell>
          <cell r="R493">
            <v>80.830989748707296</v>
          </cell>
          <cell r="S493">
            <v>73.3</v>
          </cell>
          <cell r="U493">
            <v>498.12748599841166</v>
          </cell>
          <cell r="BI493">
            <v>53.491571753986342</v>
          </cell>
          <cell r="BZ493">
            <v>420</v>
          </cell>
        </row>
        <row r="494">
          <cell r="O494">
            <v>93.7</v>
          </cell>
          <cell r="P494">
            <v>113.3695977</v>
          </cell>
          <cell r="Q494">
            <v>137.5</v>
          </cell>
          <cell r="R494">
            <v>93.7</v>
          </cell>
          <cell r="S494">
            <v>69.7</v>
          </cell>
          <cell r="U494">
            <v>492.68127840625596</v>
          </cell>
          <cell r="BI494">
            <v>51.116063348416297</v>
          </cell>
          <cell r="BZ494">
            <v>420</v>
          </cell>
        </row>
        <row r="495">
          <cell r="O495">
            <v>88.269980948924996</v>
          </cell>
          <cell r="P495">
            <v>112.48879216184345</v>
          </cell>
          <cell r="Q495">
            <v>124.6</v>
          </cell>
          <cell r="R495">
            <v>88.269980948924996</v>
          </cell>
          <cell r="S495">
            <v>61.4</v>
          </cell>
          <cell r="U495">
            <v>415.57985148184866</v>
          </cell>
          <cell r="BI495">
            <v>45.974157303370795</v>
          </cell>
          <cell r="BZ495">
            <v>420</v>
          </cell>
        </row>
        <row r="496">
          <cell r="O496">
            <v>73.391998548489497</v>
          </cell>
          <cell r="P496">
            <v>94.760519277873499</v>
          </cell>
          <cell r="Q496">
            <v>117.3</v>
          </cell>
          <cell r="R496">
            <v>73.391998548489497</v>
          </cell>
          <cell r="S496">
            <v>58</v>
          </cell>
          <cell r="U496">
            <v>390.10021104441006</v>
          </cell>
          <cell r="BI496">
            <v>42.148206278026905</v>
          </cell>
          <cell r="BZ496">
            <v>420</v>
          </cell>
        </row>
        <row r="497">
          <cell r="O497">
            <v>69.099999999999994</v>
          </cell>
          <cell r="P497">
            <v>89.357286899999991</v>
          </cell>
          <cell r="Q497">
            <v>112.9</v>
          </cell>
          <cell r="R497">
            <v>69.099999999999994</v>
          </cell>
          <cell r="S497">
            <v>57.4</v>
          </cell>
          <cell r="U497">
            <v>370.4253153938227</v>
          </cell>
          <cell r="BI497">
            <v>37.619955323901713</v>
          </cell>
          <cell r="BZ497">
            <v>420</v>
          </cell>
        </row>
        <row r="498">
          <cell r="O498">
            <v>68.7</v>
          </cell>
          <cell r="P498">
            <v>87.527097600000019</v>
          </cell>
          <cell r="Q498">
            <v>111.1</v>
          </cell>
          <cell r="R498">
            <v>68.7</v>
          </cell>
          <cell r="S498">
            <v>54.7</v>
          </cell>
          <cell r="U498">
            <v>389.04457663699623</v>
          </cell>
          <cell r="BI498">
            <v>36.028709198813054</v>
          </cell>
          <cell r="BZ498">
            <v>420</v>
          </cell>
        </row>
        <row r="499">
          <cell r="O499">
            <v>68.220992470289403</v>
          </cell>
          <cell r="P499">
            <v>86.894647192234416</v>
          </cell>
          <cell r="Q499">
            <v>111.1</v>
          </cell>
          <cell r="R499">
            <v>68.220992470289403</v>
          </cell>
          <cell r="S499">
            <v>53.9</v>
          </cell>
          <cell r="U499">
            <v>393.65514238281429</v>
          </cell>
          <cell r="BI499">
            <v>35.606375092661231</v>
          </cell>
          <cell r="BZ499">
            <v>430</v>
          </cell>
        </row>
        <row r="500">
          <cell r="O500">
            <v>67.858114850766597</v>
          </cell>
          <cell r="P500">
            <v>87.536289576340394</v>
          </cell>
          <cell r="Q500">
            <v>109.6</v>
          </cell>
          <cell r="R500">
            <v>67.858114850766597</v>
          </cell>
          <cell r="S500">
            <v>54.4</v>
          </cell>
          <cell r="U500">
            <v>394.83901987644134</v>
          </cell>
          <cell r="BI500">
            <v>36.133876945885838</v>
          </cell>
          <cell r="BZ500">
            <v>445</v>
          </cell>
        </row>
        <row r="501">
          <cell r="O501">
            <v>63.140705796970003</v>
          </cell>
          <cell r="P501">
            <v>80.773568719949239</v>
          </cell>
          <cell r="Q501">
            <v>112.2</v>
          </cell>
          <cell r="R501">
            <v>63.140705796970003</v>
          </cell>
          <cell r="S501">
            <v>56.89</v>
          </cell>
          <cell r="U501">
            <v>409.62895668014914</v>
          </cell>
          <cell r="BI501">
            <v>35.922115384615388</v>
          </cell>
          <cell r="BZ501">
            <v>450</v>
          </cell>
        </row>
        <row r="502">
          <cell r="O502">
            <v>58.786174362696201</v>
          </cell>
          <cell r="P502">
            <v>77.258730291209318</v>
          </cell>
          <cell r="Q502">
            <v>104.7</v>
          </cell>
          <cell r="R502">
            <v>58.786174362696201</v>
          </cell>
          <cell r="S502">
            <v>49.82</v>
          </cell>
          <cell r="U502">
            <v>383.6121633746622</v>
          </cell>
          <cell r="BI502">
            <v>33.03669859985262</v>
          </cell>
          <cell r="BZ502">
            <v>440</v>
          </cell>
        </row>
        <row r="503">
          <cell r="O503">
            <v>57.833620611448801</v>
          </cell>
          <cell r="P503">
            <v>75.294400344733759</v>
          </cell>
          <cell r="Q503">
            <v>100.7</v>
          </cell>
          <cell r="R503">
            <v>57.833620611448801</v>
          </cell>
          <cell r="S503">
            <v>48.15</v>
          </cell>
          <cell r="U503">
            <v>375.72688263737064</v>
          </cell>
          <cell r="BI503">
            <v>32.67817781043351</v>
          </cell>
          <cell r="BZ503">
            <v>440</v>
          </cell>
        </row>
        <row r="504">
          <cell r="O504">
            <v>58.831534065136502</v>
          </cell>
          <cell r="P504">
            <v>75.667589494692862</v>
          </cell>
          <cell r="Q504">
            <v>101.1</v>
          </cell>
          <cell r="R504">
            <v>58.831534065136502</v>
          </cell>
          <cell r="S504">
            <v>48.22</v>
          </cell>
          <cell r="U504">
            <v>387.72333041324686</v>
          </cell>
          <cell r="BI504">
            <v>32.499706529713862</v>
          </cell>
          <cell r="BZ504">
            <v>428</v>
          </cell>
        </row>
        <row r="505">
          <cell r="O505">
            <v>56.971786265082102</v>
          </cell>
          <cell r="P505">
            <v>72.594019776830265</v>
          </cell>
          <cell r="Q505">
            <v>101.4</v>
          </cell>
          <cell r="R505">
            <v>56.971786265082102</v>
          </cell>
          <cell r="S505">
            <v>47.46</v>
          </cell>
          <cell r="U505">
            <v>369.59830243933629</v>
          </cell>
          <cell r="BI505">
            <v>32.014191660570596</v>
          </cell>
          <cell r="BZ505">
            <v>428</v>
          </cell>
        </row>
        <row r="506">
          <cell r="O506">
            <v>54.9759593577066</v>
          </cell>
          <cell r="P506">
            <v>68.762940397350988</v>
          </cell>
          <cell r="Q506">
            <v>105.4</v>
          </cell>
          <cell r="R506">
            <v>54.9759593577066</v>
          </cell>
          <cell r="U506">
            <v>348.55807134022882</v>
          </cell>
          <cell r="BI506">
            <v>31.791028446389497</v>
          </cell>
          <cell r="BZ506">
            <v>405</v>
          </cell>
        </row>
        <row r="507">
          <cell r="O507">
            <v>52.1636578064048</v>
          </cell>
          <cell r="P507">
            <v>66.560723033656913</v>
          </cell>
          <cell r="Q507">
            <v>107.3</v>
          </cell>
          <cell r="R507">
            <v>52.1636578064048</v>
          </cell>
          <cell r="U507">
            <v>337.76500179662236</v>
          </cell>
          <cell r="BI507">
            <v>30.708157319737801</v>
          </cell>
          <cell r="BZ507">
            <v>400</v>
          </cell>
        </row>
        <row r="508">
          <cell r="O508">
            <v>51.483262269799503</v>
          </cell>
          <cell r="P508">
            <v>65.600487616801232</v>
          </cell>
          <cell r="Q508">
            <v>107.8</v>
          </cell>
          <cell r="R508">
            <v>51.483262269799503</v>
          </cell>
          <cell r="U508">
            <v>328.72958129918516</v>
          </cell>
          <cell r="BI508">
            <v>29.67150108774474</v>
          </cell>
          <cell r="BZ508">
            <v>393</v>
          </cell>
        </row>
        <row r="509">
          <cell r="O509">
            <v>49.759593577066099</v>
          </cell>
          <cell r="P509">
            <v>65.490392452145471</v>
          </cell>
          <cell r="Q509">
            <v>100.3</v>
          </cell>
          <cell r="R509">
            <v>49.759593577066099</v>
          </cell>
          <cell r="U509">
            <v>322.9891868225053</v>
          </cell>
          <cell r="BI509">
            <v>31.129284164859001</v>
          </cell>
          <cell r="BZ509">
            <v>393</v>
          </cell>
        </row>
        <row r="510">
          <cell r="O510">
            <v>53.388369772294297</v>
          </cell>
          <cell r="P510">
            <v>71.203481493241398</v>
          </cell>
          <cell r="Q510">
            <v>97</v>
          </cell>
          <cell r="R510">
            <v>53.388369772294297</v>
          </cell>
          <cell r="U510">
            <v>341.10599146750502</v>
          </cell>
          <cell r="BI510">
            <v>29.949927745664741</v>
          </cell>
          <cell r="BZ510">
            <v>410</v>
          </cell>
        </row>
        <row r="511">
          <cell r="O511">
            <v>57.470742991926002</v>
          </cell>
          <cell r="P511">
            <v>76.160515966615293</v>
          </cell>
          <cell r="Q511">
            <v>100.2</v>
          </cell>
          <cell r="R511">
            <v>57.470742991926002</v>
          </cell>
          <cell r="U511">
            <v>356.73267955475325</v>
          </cell>
          <cell r="BI511">
            <v>29.372098053352559</v>
          </cell>
          <cell r="BZ511">
            <v>410</v>
          </cell>
        </row>
        <row r="512">
          <cell r="O512">
            <v>58.060419123650497</v>
          </cell>
          <cell r="P512">
            <v>75.560177810033508</v>
          </cell>
          <cell r="Q512">
            <v>101</v>
          </cell>
          <cell r="R512">
            <v>58.060419123650497</v>
          </cell>
          <cell r="U512">
            <v>336.56800058719665</v>
          </cell>
          <cell r="BI512">
            <v>30.161206896551729</v>
          </cell>
          <cell r="BZ512">
            <v>410</v>
          </cell>
        </row>
        <row r="513">
          <cell r="O513">
            <v>59.738728113943601</v>
          </cell>
          <cell r="P513">
            <v>78.676084142248058</v>
          </cell>
          <cell r="Q513">
            <v>100</v>
          </cell>
          <cell r="R513">
            <v>59.738728113943601</v>
          </cell>
          <cell r="U513">
            <v>336.69521278043385</v>
          </cell>
          <cell r="BI513">
            <v>30.861505376344088</v>
          </cell>
          <cell r="BZ513">
            <v>390</v>
          </cell>
        </row>
        <row r="514">
          <cell r="O514">
            <v>59.285131089540101</v>
          </cell>
          <cell r="P514">
            <v>78.119839381293716</v>
          </cell>
          <cell r="Q514">
            <v>101</v>
          </cell>
          <cell r="R514">
            <v>59.285131089540101</v>
          </cell>
          <cell r="U514">
            <v>332.40482068994822</v>
          </cell>
          <cell r="BI514">
            <v>30.031759656652362</v>
          </cell>
          <cell r="BZ514">
            <v>385</v>
          </cell>
        </row>
        <row r="515">
          <cell r="O515">
            <v>57.833620611448801</v>
          </cell>
          <cell r="P515">
            <v>77.235065317971532</v>
          </cell>
          <cell r="Q515">
            <v>104.3</v>
          </cell>
          <cell r="R515">
            <v>57.833620611448801</v>
          </cell>
          <cell r="U515">
            <v>326.33123333561502</v>
          </cell>
          <cell r="BI515">
            <v>31.595649072753215</v>
          </cell>
          <cell r="BZ515">
            <v>385</v>
          </cell>
        </row>
        <row r="516">
          <cell r="O516">
            <v>59.557289304182198</v>
          </cell>
          <cell r="P516">
            <v>80.028618570262225</v>
          </cell>
          <cell r="Q516">
            <v>114.3</v>
          </cell>
          <cell r="R516">
            <v>59.557289304182198</v>
          </cell>
          <cell r="U516">
            <v>340.1946820767298</v>
          </cell>
          <cell r="BI516">
            <v>35.934281650071128</v>
          </cell>
          <cell r="BZ516">
            <v>385</v>
          </cell>
        </row>
        <row r="517">
          <cell r="O517">
            <v>59.1944116846594</v>
          </cell>
          <cell r="P517">
            <v>82.975056246031087</v>
          </cell>
          <cell r="Q517">
            <v>114.5</v>
          </cell>
          <cell r="R517">
            <v>59.1944116846594</v>
          </cell>
          <cell r="U517">
            <v>329.79152869882336</v>
          </cell>
          <cell r="BI517">
            <v>37.372888573456358</v>
          </cell>
          <cell r="BZ517">
            <v>385</v>
          </cell>
        </row>
        <row r="518">
          <cell r="O518">
            <v>57.606822099246997</v>
          </cell>
          <cell r="P518">
            <v>80.681810759321365</v>
          </cell>
          <cell r="Q518">
            <v>109.9</v>
          </cell>
          <cell r="R518">
            <v>57.606822099246997</v>
          </cell>
          <cell r="U518">
            <v>313.8718608277988</v>
          </cell>
          <cell r="BI518">
            <v>35.529603399433427</v>
          </cell>
          <cell r="BZ518">
            <v>385</v>
          </cell>
        </row>
        <row r="519">
          <cell r="O519">
            <v>53.252290664973202</v>
          </cell>
          <cell r="P519">
            <v>76.577912274335418</v>
          </cell>
          <cell r="Q519">
            <v>102.2</v>
          </cell>
          <cell r="R519">
            <v>53.252290664973202</v>
          </cell>
          <cell r="U519">
            <v>286.08104798105796</v>
          </cell>
          <cell r="BI519">
            <v>30.611847672778559</v>
          </cell>
          <cell r="BZ519">
            <v>385</v>
          </cell>
        </row>
        <row r="520">
          <cell r="O520">
            <v>52.571895128367998</v>
          </cell>
          <cell r="P520">
            <v>77.050999228885118</v>
          </cell>
          <cell r="Q520">
            <v>97.9</v>
          </cell>
          <cell r="R520">
            <v>52.571895128367998</v>
          </cell>
          <cell r="U520">
            <v>252.4914130542312</v>
          </cell>
          <cell r="BI520">
            <v>26.14704641350211</v>
          </cell>
          <cell r="BZ520">
            <v>380</v>
          </cell>
        </row>
        <row r="521">
          <cell r="O521">
            <v>54.749160845504903</v>
          </cell>
          <cell r="P521">
            <v>79.507935861380815</v>
          </cell>
          <cell r="Q521">
            <v>100.3</v>
          </cell>
          <cell r="R521">
            <v>54.749160845504903</v>
          </cell>
          <cell r="U521">
            <v>259.74241970649513</v>
          </cell>
          <cell r="BI521">
            <v>25.735533707865169</v>
          </cell>
          <cell r="BZ521">
            <v>370</v>
          </cell>
        </row>
        <row r="522">
          <cell r="O522">
            <v>54.749160845504854</v>
          </cell>
          <cell r="P522">
            <v>80.679567903474549</v>
          </cell>
          <cell r="Q522">
            <v>102.4</v>
          </cell>
          <cell r="R522">
            <v>54.749160845504854</v>
          </cell>
          <cell r="U522">
            <v>269.10760130997636</v>
          </cell>
          <cell r="BI522">
            <v>24.666806722689078</v>
          </cell>
          <cell r="BZ522">
            <v>350</v>
          </cell>
        </row>
        <row r="523">
          <cell r="O523">
            <v>54.522362333303093</v>
          </cell>
          <cell r="P523">
            <v>78.370498140252195</v>
          </cell>
          <cell r="Q523">
            <v>100.3</v>
          </cell>
          <cell r="R523">
            <v>54.522362333303093</v>
          </cell>
          <cell r="U523">
            <v>273.97238526367357</v>
          </cell>
          <cell r="BI523">
            <v>23.355586592178778</v>
          </cell>
          <cell r="BZ523">
            <v>350</v>
          </cell>
        </row>
        <row r="524">
          <cell r="O524">
            <v>52.299736913725845</v>
          </cell>
          <cell r="P524">
            <v>74.09994085094803</v>
          </cell>
          <cell r="Q524">
            <v>97.7</v>
          </cell>
          <cell r="R524">
            <v>52.299736913725845</v>
          </cell>
          <cell r="U524">
            <v>270.97640409685118</v>
          </cell>
          <cell r="BI524">
            <v>22.826778242677822</v>
          </cell>
          <cell r="BZ524">
            <v>365</v>
          </cell>
        </row>
        <row r="525">
          <cell r="O525">
            <v>50.303910006350357</v>
          </cell>
          <cell r="P525">
            <v>70.691279869364053</v>
          </cell>
          <cell r="Q525">
            <v>88.6</v>
          </cell>
          <cell r="R525">
            <v>50.303910006350357</v>
          </cell>
          <cell r="U525">
            <v>271.00361967141731</v>
          </cell>
          <cell r="BI525">
            <v>23.612856150104243</v>
          </cell>
          <cell r="BZ525">
            <v>365</v>
          </cell>
        </row>
        <row r="526">
          <cell r="O526">
            <v>50.984305542955639</v>
          </cell>
          <cell r="P526">
            <v>75.320287217635851</v>
          </cell>
          <cell r="Q526">
            <v>81.420665880431827</v>
          </cell>
          <cell r="R526">
            <v>50.984305542955639</v>
          </cell>
          <cell r="U526">
            <v>261.51302360736236</v>
          </cell>
          <cell r="BI526">
            <v>22.760103001416617</v>
          </cell>
          <cell r="BZ526">
            <v>375</v>
          </cell>
        </row>
        <row r="527">
          <cell r="O527">
            <v>52.844053343010074</v>
          </cell>
          <cell r="P527">
            <v>78.61356164383561</v>
          </cell>
          <cell r="Q527">
            <v>84.096888324412589</v>
          </cell>
          <cell r="R527">
            <v>52.844053343010074</v>
          </cell>
          <cell r="U527">
            <v>251.03687215525085</v>
          </cell>
          <cell r="BI527">
            <v>22.052700831024929</v>
          </cell>
          <cell r="BZ527">
            <v>375</v>
          </cell>
        </row>
        <row r="528">
          <cell r="O528">
            <v>54.522362333303093</v>
          </cell>
          <cell r="P528">
            <v>79.781046176177085</v>
          </cell>
          <cell r="Q528">
            <v>87.40814660255829</v>
          </cell>
          <cell r="R528">
            <v>54.522362333303093</v>
          </cell>
          <cell r="U528">
            <v>228.54278741914712</v>
          </cell>
          <cell r="BI528">
            <v>21.653112033195022</v>
          </cell>
          <cell r="BZ528">
            <v>383</v>
          </cell>
        </row>
        <row r="529">
          <cell r="O529">
            <v>53.161571260092536</v>
          </cell>
          <cell r="P529">
            <v>79.250984486981778</v>
          </cell>
          <cell r="Q529">
            <v>88.360700353805683</v>
          </cell>
          <cell r="R529">
            <v>53.161571260092536</v>
          </cell>
          <cell r="U529">
            <v>214.25137082257132</v>
          </cell>
          <cell r="BI529">
            <v>21.608281573498967</v>
          </cell>
          <cell r="BZ529">
            <v>365</v>
          </cell>
        </row>
        <row r="530">
          <cell r="O530">
            <v>50.576068220992475</v>
          </cell>
          <cell r="P530">
            <v>78.376063911820737</v>
          </cell>
          <cell r="Q530">
            <v>84.459765943935409</v>
          </cell>
          <cell r="R530">
            <v>50.576068220992475</v>
          </cell>
          <cell r="U530">
            <v>197.52115598565328</v>
          </cell>
          <cell r="BI530">
            <v>20.842866988283944</v>
          </cell>
          <cell r="BZ530">
            <v>365</v>
          </cell>
        </row>
        <row r="531">
          <cell r="O531">
            <v>49.305996552662613</v>
          </cell>
          <cell r="P531">
            <v>74.021909280595111</v>
          </cell>
          <cell r="Q531">
            <v>74.662070216819373</v>
          </cell>
          <cell r="R531">
            <v>49.305996552662613</v>
          </cell>
          <cell r="U531">
            <v>201.89420398980326</v>
          </cell>
          <cell r="BI531">
            <v>21.245435827041867</v>
          </cell>
          <cell r="BZ531">
            <v>365</v>
          </cell>
        </row>
        <row r="532">
          <cell r="O532">
            <v>47.038011430645014</v>
          </cell>
          <cell r="P532">
            <v>71.497777374580423</v>
          </cell>
          <cell r="Q532">
            <v>73.936314977773748</v>
          </cell>
          <cell r="R532">
            <v>47.038011430645014</v>
          </cell>
          <cell r="U532">
            <v>210.29185817221853</v>
          </cell>
          <cell r="BI532">
            <v>22.329276643232895</v>
          </cell>
          <cell r="BZ532">
            <v>365</v>
          </cell>
        </row>
        <row r="533">
          <cell r="O533">
            <v>49.651594285541499</v>
          </cell>
          <cell r="P533">
            <v>73.329794129590525</v>
          </cell>
          <cell r="Q533">
            <v>78.209999999999994</v>
          </cell>
          <cell r="R533">
            <v>49.651594285541499</v>
          </cell>
          <cell r="U533">
            <v>232.28708888822652</v>
          </cell>
          <cell r="BI533">
            <v>25.396954051719124</v>
          </cell>
          <cell r="BZ533">
            <v>350</v>
          </cell>
        </row>
        <row r="534">
          <cell r="U534">
            <v>253.08896771325669</v>
          </cell>
          <cell r="BI534">
            <v>26.99751860119601</v>
          </cell>
          <cell r="BZ534">
            <v>345</v>
          </cell>
        </row>
        <row r="535">
          <cell r="U535">
            <v>264.31539222178878</v>
          </cell>
          <cell r="BI535">
            <v>26.624373275991417</v>
          </cell>
          <cell r="BZ535">
            <v>345</v>
          </cell>
        </row>
        <row r="536">
          <cell r="U536">
            <v>253.54463137293109</v>
          </cell>
          <cell r="BI536">
            <v>24.719013417468581</v>
          </cell>
          <cell r="BZ536">
            <v>358</v>
          </cell>
        </row>
        <row r="537">
          <cell r="U537">
            <v>245.37466535586273</v>
          </cell>
          <cell r="BI537">
            <v>24.072669773285213</v>
          </cell>
          <cell r="BZ537">
            <v>358</v>
          </cell>
        </row>
        <row r="538">
          <cell r="U538">
            <v>276.17911476807797</v>
          </cell>
          <cell r="BI538">
            <v>25.886883596677752</v>
          </cell>
          <cell r="BZ538">
            <v>405</v>
          </cell>
        </row>
        <row r="539">
          <cell r="U539">
            <v>285.03778428935601</v>
          </cell>
          <cell r="BI539">
            <v>28.627362187305039</v>
          </cell>
          <cell r="BZ539">
            <v>425</v>
          </cell>
        </row>
        <row r="540">
          <cell r="U540">
            <v>282.54950318616619</v>
          </cell>
          <cell r="BI540">
            <v>31.524967014398204</v>
          </cell>
          <cell r="BZ540">
            <v>435</v>
          </cell>
        </row>
        <row r="541">
          <cell r="U541">
            <v>273.85995902112057</v>
          </cell>
          <cell r="BI541">
            <v>31.14360684482039</v>
          </cell>
          <cell r="BZ541">
            <v>435</v>
          </cell>
        </row>
        <row r="542">
          <cell r="U542">
            <v>288.78817293600792</v>
          </cell>
          <cell r="BI542">
            <v>33.138935742971881</v>
          </cell>
          <cell r="BZ542">
            <v>435</v>
          </cell>
        </row>
        <row r="543">
          <cell r="U543">
            <v>306.19249359894008</v>
          </cell>
          <cell r="BI543">
            <v>34.639926421404681</v>
          </cell>
          <cell r="BZ543">
            <v>435</v>
          </cell>
        </row>
        <row r="544">
          <cell r="U544">
            <v>342.85438595478422</v>
          </cell>
          <cell r="BI544">
            <v>35.912301534356239</v>
          </cell>
          <cell r="BZ544">
            <v>490</v>
          </cell>
        </row>
        <row r="545">
          <cell r="U545">
            <v>388.27099454781325</v>
          </cell>
          <cell r="BI545">
            <v>34.075785619174439</v>
          </cell>
          <cell r="BZ545">
            <v>515</v>
          </cell>
        </row>
        <row r="546">
          <cell r="U546">
            <v>435.2655959282045</v>
          </cell>
          <cell r="BI546">
            <v>35.719918837384114</v>
          </cell>
          <cell r="BZ546">
            <v>510</v>
          </cell>
        </row>
        <row r="547">
          <cell r="U547">
            <v>385.95086681604994</v>
          </cell>
          <cell r="BI547">
            <v>31.013818903241191</v>
          </cell>
          <cell r="BZ547">
            <v>530</v>
          </cell>
        </row>
        <row r="548">
          <cell r="U548">
            <v>341.81381154910656</v>
          </cell>
          <cell r="BI548">
            <v>31.230472060440498</v>
          </cell>
          <cell r="BZ548">
            <v>580</v>
          </cell>
        </row>
        <row r="549">
          <cell r="U549">
            <v>335.66631286419732</v>
          </cell>
        </row>
        <row r="835">
          <cell r="DI835">
            <v>17.599564546856573</v>
          </cell>
        </row>
        <row r="836">
          <cell r="DI836">
            <v>18.325319785902206</v>
          </cell>
        </row>
        <row r="837">
          <cell r="DI837">
            <v>19.459312346911005</v>
          </cell>
        </row>
        <row r="838">
          <cell r="DI838">
            <v>21.818016873809309</v>
          </cell>
        </row>
        <row r="839">
          <cell r="DI839">
            <v>25.582872176358524</v>
          </cell>
        </row>
        <row r="840">
          <cell r="DI840">
            <v>32.477546947292026</v>
          </cell>
        </row>
        <row r="841">
          <cell r="DI841">
            <v>35.743445522997369</v>
          </cell>
        </row>
        <row r="842">
          <cell r="DI842">
            <v>39.735099337748345</v>
          </cell>
        </row>
        <row r="843">
          <cell r="DI843">
            <v>44.134990474462491</v>
          </cell>
        </row>
        <row r="844">
          <cell r="DI844">
            <v>48.670960718497689</v>
          </cell>
        </row>
        <row r="845">
          <cell r="DI845">
            <v>55.837793704073306</v>
          </cell>
        </row>
        <row r="846">
          <cell r="DI846">
            <v>58.060419123650547</v>
          </cell>
        </row>
        <row r="847">
          <cell r="DI847">
            <v>54.749160845504854</v>
          </cell>
        </row>
        <row r="848">
          <cell r="DI848">
            <v>52.889413045450425</v>
          </cell>
        </row>
        <row r="849">
          <cell r="DI849">
            <v>50.984305542955639</v>
          </cell>
        </row>
        <row r="850">
          <cell r="DI850">
            <v>49.12455774290121</v>
          </cell>
        </row>
        <row r="851">
          <cell r="DI851">
            <v>45.450421845232697</v>
          </cell>
        </row>
        <row r="852">
          <cell r="DI852">
            <v>45.677220357434457</v>
          </cell>
        </row>
        <row r="853">
          <cell r="DI853">
            <v>51.301823460038101</v>
          </cell>
        </row>
        <row r="854">
          <cell r="DI854">
            <v>60.6</v>
          </cell>
        </row>
        <row r="855">
          <cell r="DI855">
            <v>63.70000000000001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ualData"/>
      <sheetName val="Methodology"/>
      <sheetName val="ForecasterTable"/>
      <sheetName val="ChinaTable"/>
      <sheetName val="Charts"/>
      <sheetName val="Annual (summary)"/>
      <sheetName val="Summary"/>
      <sheetName val="IronOreSum"/>
      <sheetName val="ChinaFE"/>
      <sheetName val="MonthlyData"/>
      <sheetName val="LRDATA"/>
      <sheetName val="Taiwan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wth (LS)"/>
      <sheetName val="Growth"/>
      <sheetName val="Summary"/>
      <sheetName val="Tables 2003"/>
      <sheetName val="TABLES"/>
      <sheetName val="Ratios"/>
      <sheetName val="valuation"/>
      <sheetName val="Fin"/>
      <sheetName val="Depreciation"/>
      <sheetName val="Division"/>
      <sheetName val="Equity"/>
      <sheetName val="Tax"/>
      <sheetName val="Econ"/>
      <sheetName val="Strat"/>
      <sheetName val="Bal"/>
      <sheetName val="CUB"/>
      <sheetName val="ALH"/>
      <sheetName val="Mol"/>
      <sheetName val="Asia"/>
      <sheetName val="Intern"/>
      <sheetName val="Beringer BLass"/>
      <sheetName val="Beringer P&amp;L"/>
      <sheetName val="Ber COGS"/>
      <sheetName val="Berringer"/>
      <sheetName val="Beringer ws"/>
      <sheetName val="ROIC"/>
      <sheetName val="Beringer ROICl"/>
      <sheetName val="Res Fin"/>
      <sheetName val="Molson USA"/>
      <sheetName val="Foster's USA LLC"/>
      <sheetName val="Assoc "/>
      <sheetName val="DCF"/>
      <sheetName val="GRAPH1"/>
      <sheetName val="assumpt"/>
      <sheetName val="Cou"/>
      <sheetName val="Revenue"/>
      <sheetName val="EBIT"/>
      <sheetName val="Sheet2"/>
      <sheetName val="Sheet1"/>
      <sheetName val="BU_B3"/>
      <sheetName val="BU_B4 (old)"/>
      <sheetName val="BU_B4"/>
      <sheetName val="Check"/>
      <sheetName val="SHEET"/>
      <sheetName val="Chart1"/>
      <sheetName val="BU_FXya"/>
      <sheetName val="BU_B2wrong"/>
      <sheetName val="BU_B2"/>
      <sheetName val="leecheck"/>
      <sheetName val="three-years"/>
      <sheetName val="TEST2"/>
      <sheetName val="Magazines"/>
      <sheetName val="YQAD"/>
      <sheetName val="Quarter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A7" t="str">
            <v>Year 30 June</v>
          </cell>
        </row>
        <row r="14">
          <cell r="C14">
            <v>7.8331312494902701</v>
          </cell>
          <cell r="D14">
            <v>7.1468655227907751</v>
          </cell>
          <cell r="E14">
            <v>10.455338944107316</v>
          </cell>
          <cell r="F14">
            <v>7.8083681778056659</v>
          </cell>
        </row>
        <row r="16">
          <cell r="C16">
            <v>13.963256094854962</v>
          </cell>
          <cell r="D16">
            <v>8.3548605417224238</v>
          </cell>
          <cell r="E16">
            <v>14.081387758652729</v>
          </cell>
          <cell r="F16">
            <v>9.1053609983836505</v>
          </cell>
        </row>
        <row r="17">
          <cell r="C17">
            <v>4.5833333333333339</v>
          </cell>
          <cell r="D17">
            <v>5.416666666666667</v>
          </cell>
          <cell r="E17">
            <v>4.5833333333333339</v>
          </cell>
          <cell r="F17">
            <v>5.8333333333333339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LL"/>
      <sheetName val="Interface"/>
      <sheetName val="Page Details"/>
      <sheetName val="Page Sizes"/>
      <sheetName val="Sample Layout"/>
      <sheetName val="INDOSAT"/>
      <sheetName val="old"/>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Gaming"/>
      <sheetName val="Monthly Data"/>
      <sheetName val="Quarterly"/>
      <sheetName val="Rooms Project"/>
      <sheetName val="Mainland China Visitors"/>
      <sheetName val="Sensitivity"/>
      <sheetName val="Win per Visitor"/>
      <sheetName val="Macau Market Share"/>
      <sheetName val="Exhibits"/>
      <sheetName val="Exhibits2"/>
      <sheetName val="Charts"/>
      <sheetName val="Charts2"/>
      <sheetName val="Timeline"/>
      <sheetName val="Conferences"/>
      <sheetName val="Condos"/>
      <sheetName val="List"/>
      <sheetName val="Gaming Detail"/>
      <sheetName val="Projects"/>
      <sheetName val="IVS"/>
      <sheetName val="China GDP"/>
      <sheetName val="Macau Airlines"/>
      <sheetName val="DSF Taxes"/>
      <sheetName val="HK Visitation"/>
      <sheetName val="Macau Stats"/>
      <sheetName val="Notes"/>
      <sheetName val="Links"/>
    </sheetNames>
    <sheetDataSet>
      <sheetData sheetId="0" refreshError="1"/>
      <sheetData sheetId="1" refreshError="1">
        <row r="1">
          <cell r="A1" t="str">
            <v>Macau Gaming Market</v>
          </cell>
          <cell r="BN1" t="str">
            <v>GamingTag</v>
          </cell>
        </row>
        <row r="2">
          <cell r="A2" t="str">
            <v>Days in Quarter</v>
          </cell>
          <cell r="B2">
            <v>365</v>
          </cell>
          <cell r="C2">
            <v>365</v>
          </cell>
          <cell r="D2">
            <v>365</v>
          </cell>
          <cell r="E2">
            <v>366</v>
          </cell>
          <cell r="F2">
            <v>365</v>
          </cell>
          <cell r="G2">
            <v>365</v>
          </cell>
          <cell r="H2">
            <v>365</v>
          </cell>
          <cell r="I2">
            <v>91</v>
          </cell>
          <cell r="J2">
            <v>91</v>
          </cell>
          <cell r="K2">
            <v>92</v>
          </cell>
          <cell r="L2">
            <v>92</v>
          </cell>
          <cell r="M2">
            <v>366</v>
          </cell>
          <cell r="N2">
            <v>90</v>
          </cell>
          <cell r="O2">
            <v>91</v>
          </cell>
          <cell r="P2">
            <v>92</v>
          </cell>
          <cell r="Q2">
            <v>92</v>
          </cell>
          <cell r="R2">
            <v>365</v>
          </cell>
          <cell r="S2">
            <v>90</v>
          </cell>
          <cell r="T2">
            <v>91</v>
          </cell>
          <cell r="U2">
            <v>92</v>
          </cell>
          <cell r="V2">
            <v>92</v>
          </cell>
          <cell r="W2">
            <v>365</v>
          </cell>
          <cell r="X2">
            <v>90</v>
          </cell>
          <cell r="Y2">
            <v>91</v>
          </cell>
          <cell r="Z2">
            <v>92</v>
          </cell>
          <cell r="AA2">
            <v>92</v>
          </cell>
          <cell r="AB2">
            <v>365</v>
          </cell>
          <cell r="AC2">
            <v>91</v>
          </cell>
          <cell r="AD2">
            <v>91</v>
          </cell>
          <cell r="AE2">
            <v>92</v>
          </cell>
          <cell r="AF2">
            <v>92</v>
          </cell>
          <cell r="AG2">
            <v>366</v>
          </cell>
          <cell r="AH2">
            <v>90</v>
          </cell>
          <cell r="AI2">
            <v>91</v>
          </cell>
          <cell r="AJ2">
            <v>92</v>
          </cell>
          <cell r="AK2">
            <v>92</v>
          </cell>
          <cell r="AL2">
            <v>365</v>
          </cell>
          <cell r="AM2">
            <v>90</v>
          </cell>
          <cell r="AN2">
            <v>91</v>
          </cell>
          <cell r="AO2">
            <v>92</v>
          </cell>
          <cell r="AP2">
            <v>92</v>
          </cell>
          <cell r="AQ2">
            <v>365</v>
          </cell>
          <cell r="AR2">
            <v>90</v>
          </cell>
          <cell r="AS2">
            <v>91</v>
          </cell>
          <cell r="AT2">
            <v>92</v>
          </cell>
          <cell r="AU2">
            <v>92</v>
          </cell>
          <cell r="AV2">
            <v>365</v>
          </cell>
          <cell r="AW2">
            <v>365</v>
          </cell>
          <cell r="AX2">
            <v>365</v>
          </cell>
          <cell r="AY2">
            <v>365</v>
          </cell>
          <cell r="AZ2">
            <v>365</v>
          </cell>
          <cell r="BA2">
            <v>366</v>
          </cell>
          <cell r="BB2">
            <v>365</v>
          </cell>
          <cell r="BC2">
            <v>365</v>
          </cell>
          <cell r="BD2">
            <v>365</v>
          </cell>
          <cell r="BE2">
            <v>366</v>
          </cell>
          <cell r="BF2">
            <v>365</v>
          </cell>
          <cell r="BG2">
            <v>365</v>
          </cell>
          <cell r="BH2">
            <v>365</v>
          </cell>
          <cell r="BI2">
            <v>366</v>
          </cell>
          <cell r="BK2">
            <v>365</v>
          </cell>
          <cell r="BN2" t="str">
            <v>gt:daysRow</v>
          </cell>
        </row>
        <row r="3">
          <cell r="B3">
            <v>34334</v>
          </cell>
          <cell r="C3">
            <v>34699</v>
          </cell>
          <cell r="D3">
            <v>35064</v>
          </cell>
          <cell r="E3">
            <v>35430</v>
          </cell>
          <cell r="F3">
            <v>35795</v>
          </cell>
          <cell r="G3">
            <v>36160</v>
          </cell>
          <cell r="H3">
            <v>36525</v>
          </cell>
          <cell r="I3">
            <v>36616</v>
          </cell>
          <cell r="J3">
            <v>36707</v>
          </cell>
          <cell r="K3">
            <v>36799</v>
          </cell>
          <cell r="L3">
            <v>36891</v>
          </cell>
          <cell r="M3">
            <v>36891</v>
          </cell>
          <cell r="N3">
            <v>36981</v>
          </cell>
          <cell r="O3">
            <v>37072</v>
          </cell>
          <cell r="P3">
            <v>37164</v>
          </cell>
          <cell r="Q3">
            <v>37256</v>
          </cell>
          <cell r="R3">
            <v>37256</v>
          </cell>
          <cell r="S3">
            <v>37346</v>
          </cell>
          <cell r="T3">
            <v>37437</v>
          </cell>
          <cell r="U3">
            <v>37529</v>
          </cell>
          <cell r="V3">
            <v>37621</v>
          </cell>
          <cell r="W3">
            <v>37621</v>
          </cell>
          <cell r="X3">
            <v>37711</v>
          </cell>
          <cell r="Y3">
            <v>37802</v>
          </cell>
          <cell r="Z3">
            <v>37894</v>
          </cell>
          <cell r="AA3">
            <v>37986</v>
          </cell>
          <cell r="AB3">
            <v>37986</v>
          </cell>
          <cell r="AC3">
            <v>38077</v>
          </cell>
          <cell r="AD3">
            <v>38168</v>
          </cell>
          <cell r="AE3">
            <v>38260</v>
          </cell>
          <cell r="AF3">
            <v>38352</v>
          </cell>
          <cell r="AG3">
            <v>38352</v>
          </cell>
          <cell r="AH3">
            <v>38442</v>
          </cell>
          <cell r="AI3">
            <v>38533</v>
          </cell>
          <cell r="AJ3">
            <v>38625</v>
          </cell>
          <cell r="AK3">
            <v>38717</v>
          </cell>
          <cell r="AL3">
            <v>38717</v>
          </cell>
          <cell r="AM3">
            <v>38807</v>
          </cell>
          <cell r="AN3">
            <v>38898</v>
          </cell>
          <cell r="AO3">
            <v>38990</v>
          </cell>
          <cell r="AP3">
            <v>39082</v>
          </cell>
          <cell r="AQ3">
            <v>39082</v>
          </cell>
          <cell r="AR3">
            <v>39172</v>
          </cell>
          <cell r="AS3">
            <v>39263</v>
          </cell>
          <cell r="AT3">
            <v>39355</v>
          </cell>
          <cell r="AU3">
            <v>39447</v>
          </cell>
          <cell r="AV3">
            <v>39447</v>
          </cell>
          <cell r="AW3">
            <v>39813</v>
          </cell>
          <cell r="AX3">
            <v>40178</v>
          </cell>
          <cell r="AY3">
            <v>40543</v>
          </cell>
          <cell r="AZ3">
            <v>40908</v>
          </cell>
          <cell r="BA3">
            <v>41274</v>
          </cell>
          <cell r="BB3">
            <v>41639</v>
          </cell>
          <cell r="BC3">
            <v>42004</v>
          </cell>
          <cell r="BD3">
            <v>42369</v>
          </cell>
          <cell r="BE3">
            <v>42735</v>
          </cell>
          <cell r="BF3">
            <v>43100</v>
          </cell>
          <cell r="BG3">
            <v>43465</v>
          </cell>
          <cell r="BH3">
            <v>43830</v>
          </cell>
          <cell r="BI3">
            <v>44196</v>
          </cell>
          <cell r="BK3">
            <v>39447</v>
          </cell>
        </row>
        <row r="5">
          <cell r="B5">
            <v>1993</v>
          </cell>
          <cell r="C5">
            <v>1994</v>
          </cell>
          <cell r="D5">
            <v>1995</v>
          </cell>
          <cell r="E5">
            <v>1996</v>
          </cell>
          <cell r="F5">
            <v>1997</v>
          </cell>
          <cell r="G5">
            <v>1998</v>
          </cell>
          <cell r="H5">
            <v>1999</v>
          </cell>
          <cell r="I5" t="str">
            <v>1Q00</v>
          </cell>
          <cell r="J5" t="str">
            <v>2Q00</v>
          </cell>
          <cell r="K5" t="str">
            <v>3Q00</v>
          </cell>
          <cell r="L5" t="str">
            <v>4Q00</v>
          </cell>
          <cell r="M5">
            <v>2000</v>
          </cell>
          <cell r="N5" t="str">
            <v>1Q01</v>
          </cell>
          <cell r="O5" t="str">
            <v>2Q01</v>
          </cell>
          <cell r="P5" t="str">
            <v>3Q01</v>
          </cell>
          <cell r="Q5" t="str">
            <v>4Q01</v>
          </cell>
          <cell r="R5">
            <v>2001</v>
          </cell>
          <cell r="S5" t="str">
            <v>1Q02</v>
          </cell>
          <cell r="T5" t="str">
            <v>2Q02</v>
          </cell>
          <cell r="U5" t="str">
            <v>3Q02</v>
          </cell>
          <cell r="V5" t="str">
            <v>4Q02</v>
          </cell>
          <cell r="W5">
            <v>2002</v>
          </cell>
          <cell r="X5" t="str">
            <v>1Q03</v>
          </cell>
          <cell r="Y5" t="str">
            <v>2Q03</v>
          </cell>
          <cell r="Z5" t="str">
            <v>3Q03</v>
          </cell>
          <cell r="AA5" t="str">
            <v>4Q03</v>
          </cell>
          <cell r="AB5">
            <v>2003</v>
          </cell>
          <cell r="AC5" t="str">
            <v>1Q04</v>
          </cell>
          <cell r="AD5" t="str">
            <v>2Q04</v>
          </cell>
          <cell r="AE5" t="str">
            <v>3Q04</v>
          </cell>
          <cell r="AF5" t="str">
            <v>4Q04</v>
          </cell>
          <cell r="AG5">
            <v>2004</v>
          </cell>
          <cell r="AH5" t="str">
            <v>1Q05</v>
          </cell>
          <cell r="AI5" t="str">
            <v>2Q05</v>
          </cell>
          <cell r="AJ5" t="str">
            <v>3Q05</v>
          </cell>
          <cell r="AK5" t="str">
            <v>4Q05</v>
          </cell>
          <cell r="AL5">
            <v>2005</v>
          </cell>
          <cell r="AM5" t="str">
            <v>1Q06</v>
          </cell>
          <cell r="AN5" t="str">
            <v>2Q06</v>
          </cell>
          <cell r="AO5" t="str">
            <v>3Q06</v>
          </cell>
          <cell r="AP5" t="str">
            <v>4Q06</v>
          </cell>
          <cell r="AQ5">
            <v>2006</v>
          </cell>
          <cell r="AR5" t="str">
            <v>1Q07E</v>
          </cell>
          <cell r="AS5" t="str">
            <v>2Q07E</v>
          </cell>
          <cell r="AT5" t="str">
            <v>3Q07E</v>
          </cell>
          <cell r="AU5" t="str">
            <v>4Q07E</v>
          </cell>
          <cell r="AV5" t="str">
            <v>2007E</v>
          </cell>
          <cell r="AW5" t="str">
            <v>2008E</v>
          </cell>
          <cell r="AX5" t="str">
            <v>2009E</v>
          </cell>
          <cell r="AY5" t="str">
            <v>2010E</v>
          </cell>
          <cell r="AZ5" t="str">
            <v>2011E</v>
          </cell>
          <cell r="BA5" t="str">
            <v>2012E</v>
          </cell>
          <cell r="BB5" t="str">
            <v>2013E</v>
          </cell>
          <cell r="BC5" t="str">
            <v>2014E</v>
          </cell>
          <cell r="BD5" t="str">
            <v>2015E</v>
          </cell>
          <cell r="BE5" t="str">
            <v>2016E</v>
          </cell>
          <cell r="BF5" t="str">
            <v>2017E</v>
          </cell>
          <cell r="BG5" t="str">
            <v>2018E</v>
          </cell>
          <cell r="BH5" t="str">
            <v>2019E</v>
          </cell>
          <cell r="BI5" t="str">
            <v>2020E</v>
          </cell>
          <cell r="BK5" t="str">
            <v>2007E</v>
          </cell>
          <cell r="BN5" t="str">
            <v>gt:dateRow</v>
          </cell>
        </row>
        <row r="7">
          <cell r="A7" t="str">
            <v>Market Stats</v>
          </cell>
        </row>
        <row r="8">
          <cell r="A8" t="str">
            <v>Total Casino Revenue (US$ mm)</v>
          </cell>
          <cell r="C8">
            <v>1932.6084017502599</v>
          </cell>
          <cell r="D8">
            <v>2185.8227182330293</v>
          </cell>
          <cell r="E8">
            <v>2055.1445888483158</v>
          </cell>
          <cell r="F8">
            <v>2224.660161928372</v>
          </cell>
          <cell r="G8">
            <v>1814.9949815199464</v>
          </cell>
          <cell r="H8">
            <v>1621.756107296324</v>
          </cell>
          <cell r="I8">
            <v>525.02414254733333</v>
          </cell>
          <cell r="J8">
            <v>475.49036163673679</v>
          </cell>
          <cell r="K8">
            <v>511.76567318805417</v>
          </cell>
          <cell r="L8">
            <v>474.46814492903269</v>
          </cell>
          <cell r="M8">
            <v>1986.748322301157</v>
          </cell>
          <cell r="N8">
            <v>548.46985485693131</v>
          </cell>
          <cell r="O8">
            <v>560.85132357778127</v>
          </cell>
          <cell r="P8">
            <v>565.63051125219295</v>
          </cell>
          <cell r="Q8">
            <v>580.99063184734734</v>
          </cell>
          <cell r="R8">
            <v>2255.9423215342531</v>
          </cell>
          <cell r="S8">
            <v>609.58509393554687</v>
          </cell>
          <cell r="T8">
            <v>669.27221552802428</v>
          </cell>
          <cell r="U8">
            <v>667.43454308014293</v>
          </cell>
          <cell r="V8">
            <v>748.1803776184322</v>
          </cell>
          <cell r="W8">
            <v>2694.4722301621464</v>
          </cell>
          <cell r="X8">
            <v>835.80358172344654</v>
          </cell>
          <cell r="Y8">
            <v>648.36718437499371</v>
          </cell>
          <cell r="Z8">
            <v>949.70951060080347</v>
          </cell>
          <cell r="AA8">
            <v>1044.1917159822819</v>
          </cell>
          <cell r="AB8">
            <v>3478.0719926815259</v>
          </cell>
          <cell r="AC8">
            <v>1132.7191437639356</v>
          </cell>
          <cell r="AD8">
            <v>1165.1180179880098</v>
          </cell>
          <cell r="AE8">
            <v>1357.7733684226248</v>
          </cell>
          <cell r="AF8">
            <v>1356.9500868402138</v>
          </cell>
          <cell r="AG8">
            <v>5012.5606170147839</v>
          </cell>
          <cell r="AH8">
            <v>1319.8510694529909</v>
          </cell>
          <cell r="AI8">
            <v>1413.5250785261996</v>
          </cell>
          <cell r="AJ8">
            <v>1423.9329589758054</v>
          </cell>
          <cell r="AK8">
            <v>1425.7426089644091</v>
          </cell>
          <cell r="AL8">
            <v>5583.0517159194042</v>
          </cell>
          <cell r="AM8">
            <v>1545.7648858328209</v>
          </cell>
          <cell r="AN8">
            <v>1584.3034551048329</v>
          </cell>
          <cell r="AO8">
            <v>1691.4330745215916</v>
          </cell>
          <cell r="AP8">
            <v>2050.9176096994534</v>
          </cell>
          <cell r="AQ8">
            <v>6872.4190251586988</v>
          </cell>
          <cell r="AR8">
            <v>2223.1274359793588</v>
          </cell>
          <cell r="AS8">
            <v>1984.7636679356945</v>
          </cell>
          <cell r="AT8">
            <v>2098.9240474876715</v>
          </cell>
          <cell r="AU8">
            <v>2404.494797420567</v>
          </cell>
          <cell r="AV8">
            <v>8711.3099488232911</v>
          </cell>
          <cell r="AW8">
            <v>9975.4970811944731</v>
          </cell>
          <cell r="AX8">
            <v>11495.287373279902</v>
          </cell>
          <cell r="AY8">
            <v>12937.576081668471</v>
          </cell>
          <cell r="AZ8">
            <v>14045.846276805547</v>
          </cell>
          <cell r="BA8">
            <v>15168.088569510193</v>
          </cell>
          <cell r="BB8">
            <v>16316.725313575316</v>
          </cell>
          <cell r="BC8">
            <v>17500.770938002101</v>
          </cell>
          <cell r="BD8">
            <v>18742.048273832959</v>
          </cell>
          <cell r="BE8">
            <v>20042.936251620598</v>
          </cell>
          <cell r="BF8">
            <v>21405.905174473188</v>
          </cell>
          <cell r="BG8">
            <v>22833.520061594307</v>
          </cell>
          <cell r="BH8">
            <v>24328.444110237579</v>
          </cell>
          <cell r="BI8">
            <v>25893.442280172581</v>
          </cell>
          <cell r="BK8">
            <v>7942.8300614254713</v>
          </cell>
          <cell r="BL8">
            <v>768.47988739781977</v>
          </cell>
        </row>
        <row r="9">
          <cell r="A9" t="str">
            <v xml:space="preserve">  Year-over-Year growth</v>
          </cell>
          <cell r="D9">
            <v>0.1310220509511637</v>
          </cell>
          <cell r="E9">
            <v>-5.978441357327946E-2</v>
          </cell>
          <cell r="F9">
            <v>8.2483526463240864E-2</v>
          </cell>
          <cell r="G9">
            <v>-0.18414730816832769</v>
          </cell>
          <cell r="H9">
            <v>-0.10646799368106064</v>
          </cell>
          <cell r="I9" t="str">
            <v>N.M.</v>
          </cell>
          <cell r="J9" t="str">
            <v>N.M.</v>
          </cell>
          <cell r="K9" t="str">
            <v>N.M.</v>
          </cell>
          <cell r="L9" t="str">
            <v>N.M.</v>
          </cell>
          <cell r="M9">
            <v>0.22505986773394793</v>
          </cell>
          <cell r="N9">
            <v>4.465644607473318E-2</v>
          </cell>
          <cell r="O9">
            <v>0.17952196054450886</v>
          </cell>
          <cell r="P9">
            <v>0.10525293290694293</v>
          </cell>
          <cell r="Q9">
            <v>0.22450924905453351</v>
          </cell>
          <cell r="R9">
            <v>0.13549476610167788</v>
          </cell>
          <cell r="S9">
            <v>0.11142862007349064</v>
          </cell>
          <cell r="T9">
            <v>0.19331485438708551</v>
          </cell>
          <cell r="U9">
            <v>0.17998327495201094</v>
          </cell>
          <cell r="V9">
            <v>0.28776668091786584</v>
          </cell>
          <cell r="W9">
            <v>0.19438879462558756</v>
          </cell>
          <cell r="X9">
            <v>0.37110239413403101</v>
          </cell>
          <cell r="Y9">
            <v>-3.1235468420779289E-2</v>
          </cell>
          <cell r="Z9">
            <v>0.42292531971448488</v>
          </cell>
          <cell r="AA9">
            <v>0.39564167574949938</v>
          </cell>
          <cell r="AB9">
            <v>0.29081753144370848</v>
          </cell>
          <cell r="AC9">
            <v>0.35524562054190079</v>
          </cell>
          <cell r="AD9">
            <v>0.79700337411608557</v>
          </cell>
          <cell r="AE9">
            <v>0.42967228743836916</v>
          </cell>
          <cell r="AF9">
            <v>0.29952198056246471</v>
          </cell>
          <cell r="AG9">
            <v>0.44118943701053093</v>
          </cell>
          <cell r="AH9">
            <v>0.16520593539827622</v>
          </cell>
          <cell r="AI9">
            <v>0.21320334653063977</v>
          </cell>
          <cell r="AJ9">
            <v>4.8726534259572851E-2</v>
          </cell>
          <cell r="AK9">
            <v>5.069642781363104E-2</v>
          </cell>
          <cell r="AL9">
            <v>0.11381230921539953</v>
          </cell>
          <cell r="AM9">
            <v>0.17116614261142304</v>
          </cell>
          <cell r="AN9">
            <v>0.1208173658699383</v>
          </cell>
          <cell r="AO9">
            <v>0.1878600490701412</v>
          </cell>
          <cell r="AP9">
            <v>0.43849078845244116</v>
          </cell>
          <cell r="AQ9">
            <v>0.23094310689668474</v>
          </cell>
          <cell r="AR9">
            <v>0.43820541943646951</v>
          </cell>
          <cell r="AS9">
            <v>0.25276736697160285</v>
          </cell>
          <cell r="AT9">
            <v>0.24091462979186185</v>
          </cell>
          <cell r="AU9">
            <v>0.17239950841951557</v>
          </cell>
          <cell r="AV9">
            <v>0.26757549516883961</v>
          </cell>
          <cell r="AW9">
            <v>0.14512021036996225</v>
          </cell>
          <cell r="AX9">
            <v>0.15235233690263872</v>
          </cell>
          <cell r="AY9">
            <v>0.12546782534041578</v>
          </cell>
          <cell r="AZ9">
            <v>8.5662892967053317E-2</v>
          </cell>
          <cell r="BA9">
            <v>7.9898517368643729E-2</v>
          </cell>
          <cell r="BB9">
            <v>7.5727191254277848E-2</v>
          </cell>
          <cell r="BC9">
            <v>7.2566376014289613E-2</v>
          </cell>
          <cell r="BD9">
            <v>7.0927008885961929E-2</v>
          </cell>
          <cell r="BE9">
            <v>6.9410128433181839E-2</v>
          </cell>
          <cell r="BF9">
            <v>6.800245761108914E-2</v>
          </cell>
          <cell r="BG9">
            <v>6.6692572702955255E-2</v>
          </cell>
          <cell r="BH9">
            <v>6.5470590807315654E-2</v>
          </cell>
          <cell r="BI9">
            <v>6.4327918499171188E-2</v>
          </cell>
          <cell r="BK9">
            <v>0.21000660614596334</v>
          </cell>
          <cell r="BL9">
            <v>5.7568889022876268E-2</v>
          </cell>
        </row>
        <row r="10">
          <cell r="A10" t="str">
            <v>VIP Revenues (US$ mm)</v>
          </cell>
          <cell r="C10">
            <v>1158.4249182304775</v>
          </cell>
          <cell r="D10">
            <v>1373.1958703116916</v>
          </cell>
          <cell r="E10">
            <v>1311.6412933882118</v>
          </cell>
          <cell r="F10">
            <v>1543.9553513896376</v>
          </cell>
          <cell r="G10">
            <v>1152.1755032529654</v>
          </cell>
          <cell r="H10">
            <v>1070.2080149186154</v>
          </cell>
          <cell r="I10">
            <v>356.7836313191666</v>
          </cell>
          <cell r="J10">
            <v>323.12262262629986</v>
          </cell>
          <cell r="K10">
            <v>347.77375070532207</v>
          </cell>
          <cell r="L10">
            <v>322.42796849630065</v>
          </cell>
          <cell r="M10">
            <v>1350.1079731470891</v>
          </cell>
          <cell r="N10">
            <v>386.33383027944319</v>
          </cell>
          <cell r="O10">
            <v>395.05514867652977</v>
          </cell>
          <cell r="P10">
            <v>398.421535841712</v>
          </cell>
          <cell r="Q10">
            <v>409.2409713503929</v>
          </cell>
          <cell r="R10">
            <v>1589.0514861480779</v>
          </cell>
          <cell r="S10">
            <v>448.8076265927283</v>
          </cell>
          <cell r="T10">
            <v>492.75232872959464</v>
          </cell>
          <cell r="U10">
            <v>491.39934057749974</v>
          </cell>
          <cell r="V10">
            <v>550.84854088916359</v>
          </cell>
          <cell r="W10">
            <v>1983.8078367889864</v>
          </cell>
          <cell r="X10">
            <v>646.14830969658385</v>
          </cell>
          <cell r="Y10">
            <v>501.2437962789877</v>
          </cell>
          <cell r="Z10">
            <v>734.20742432344173</v>
          </cell>
          <cell r="AA10">
            <v>807.25032416093984</v>
          </cell>
          <cell r="AB10">
            <v>2688.8498544599533</v>
          </cell>
          <cell r="AC10">
            <v>851.76682704702944</v>
          </cell>
          <cell r="AD10">
            <v>827.74883397630197</v>
          </cell>
          <cell r="AE10">
            <v>954.29704649257633</v>
          </cell>
          <cell r="AF10">
            <v>973.19097327333657</v>
          </cell>
          <cell r="AG10">
            <v>3607.0036807892443</v>
          </cell>
          <cell r="AH10">
            <v>871.38028739791866</v>
          </cell>
          <cell r="AI10">
            <v>926.51373647604282</v>
          </cell>
          <cell r="AJ10">
            <v>873.66750231017863</v>
          </cell>
          <cell r="AK10">
            <v>826.27410821960814</v>
          </cell>
          <cell r="AL10">
            <v>3497.8356344037484</v>
          </cell>
          <cell r="AM10">
            <v>973.27110396866146</v>
          </cell>
          <cell r="AN10">
            <v>1013.2898875543249</v>
          </cell>
          <cell r="AO10">
            <v>1104.6934295107803</v>
          </cell>
          <cell r="AP10">
            <v>1371.0374881365419</v>
          </cell>
          <cell r="AQ10">
            <v>4462.2919091703079</v>
          </cell>
          <cell r="AR10">
            <v>1449.0493350188763</v>
          </cell>
          <cell r="AS10">
            <v>1317.2768538206224</v>
          </cell>
          <cell r="AT10">
            <v>1270.3974439373974</v>
          </cell>
          <cell r="AU10">
            <v>1508.1412369501963</v>
          </cell>
          <cell r="AV10">
            <v>5544.8648697270928</v>
          </cell>
          <cell r="AW10">
            <v>5988.4540593052607</v>
          </cell>
          <cell r="AX10">
            <v>6347.7613028635769</v>
          </cell>
          <cell r="AY10">
            <v>6601.6717549781206</v>
          </cell>
          <cell r="AZ10">
            <v>6799.7219076274641</v>
          </cell>
          <cell r="BA10">
            <v>7003.713564856288</v>
          </cell>
          <cell r="BB10">
            <v>7213.824971801977</v>
          </cell>
          <cell r="BC10">
            <v>7430.2397209560368</v>
          </cell>
          <cell r="BD10">
            <v>7653.1469125847179</v>
          </cell>
          <cell r="BE10">
            <v>7882.7413199622597</v>
          </cell>
          <cell r="BF10">
            <v>8119.2235595611273</v>
          </cell>
          <cell r="BG10">
            <v>8362.800266347962</v>
          </cell>
          <cell r="BH10">
            <v>8613.6842743384004</v>
          </cell>
          <cell r="BI10">
            <v>8872.094802568552</v>
          </cell>
          <cell r="BK10">
            <v>4009.0761184965568</v>
          </cell>
          <cell r="BL10">
            <v>1535.788751230536</v>
          </cell>
        </row>
        <row r="11">
          <cell r="A11" t="str">
            <v xml:space="preserve">  Year-over-Year growth</v>
          </cell>
          <cell r="D11">
            <v>0.18539911279643562</v>
          </cell>
          <cell r="E11">
            <v>-4.4825780687432371E-2</v>
          </cell>
          <cell r="F11">
            <v>0.17711706635990065</v>
          </cell>
          <cell r="G11">
            <v>-0.2537507627950838</v>
          </cell>
          <cell r="H11">
            <v>-7.114149546048254E-2</v>
          </cell>
          <cell r="I11" t="str">
            <v>N.M.</v>
          </cell>
          <cell r="J11" t="str">
            <v>N.M.</v>
          </cell>
          <cell r="K11" t="str">
            <v>N.M.</v>
          </cell>
          <cell r="L11" t="str">
            <v>N.M.</v>
          </cell>
          <cell r="M11">
            <v>0.26153790134879418</v>
          </cell>
          <cell r="N11">
            <v>8.2823864006928094E-2</v>
          </cell>
          <cell r="O11">
            <v>0.22261680555069607</v>
          </cell>
          <cell r="P11">
            <v>0.14563429538218697</v>
          </cell>
          <cell r="Q11">
            <v>0.26924774317488609</v>
          </cell>
          <cell r="R11">
            <v>0.17698103985269698</v>
          </cell>
          <cell r="S11">
            <v>0.16170935966983913</v>
          </cell>
          <cell r="T11">
            <v>0.24730010577095163</v>
          </cell>
          <cell r="U11">
            <v>0.23336540917488624</v>
          </cell>
          <cell r="V11">
            <v>0.34602490818918041</v>
          </cell>
          <cell r="W11">
            <v>0.24842263078448967</v>
          </cell>
          <cell r="X11">
            <v>0.43969993246779859</v>
          </cell>
          <cell r="Y11">
            <v>1.723272941456333E-2</v>
          </cell>
          <cell r="Z11">
            <v>0.49411560760458162</v>
          </cell>
          <cell r="AA11">
            <v>0.46546693735069167</v>
          </cell>
          <cell r="AB11">
            <v>0.35539834282142757</v>
          </cell>
          <cell r="AC11">
            <v>0.31822186062360713</v>
          </cell>
          <cell r="AD11">
            <v>0.65138968326619362</v>
          </cell>
          <cell r="AE11">
            <v>0.29976490958524837</v>
          </cell>
          <cell r="AF11">
            <v>0.20556281508449858</v>
          </cell>
          <cell r="AG11">
            <v>0.34146712387319189</v>
          </cell>
          <cell r="AH11">
            <v>2.3026795277865775E-2</v>
          </cell>
          <cell r="AI11">
            <v>0.11931747704831985</v>
          </cell>
          <cell r="AJ11">
            <v>-8.4491033980188424E-2</v>
          </cell>
          <cell r="AK11">
            <v>-0.15096406469900991</v>
          </cell>
          <cell r="AL11">
            <v>-3.0265576652145021E-2</v>
          </cell>
          <cell r="AM11">
            <v>0.11693036673460355</v>
          </cell>
          <cell r="AN11">
            <v>9.3658785252695331E-2</v>
          </cell>
          <cell r="AO11">
            <v>0.2644323230401906</v>
          </cell>
          <cell r="AP11">
            <v>0.65930104126189804</v>
          </cell>
          <cell r="AQ11">
            <v>0.27572944402545185</v>
          </cell>
          <cell r="AR11">
            <v>0.48884450499984688</v>
          </cell>
          <cell r="AS11">
            <v>0.3</v>
          </cell>
          <cell r="AT11">
            <v>0.15</v>
          </cell>
          <cell r="AU11">
            <v>0.1</v>
          </cell>
          <cell r="AV11">
            <v>0.24260469341596069</v>
          </cell>
          <cell r="AW11">
            <v>0.08</v>
          </cell>
          <cell r="AX11">
            <v>0.06</v>
          </cell>
          <cell r="AY11">
            <v>3.9999999999999994E-2</v>
          </cell>
          <cell r="AZ11">
            <v>0.03</v>
          </cell>
          <cell r="BA11">
            <v>0.03</v>
          </cell>
          <cell r="BB11">
            <v>0.03</v>
          </cell>
          <cell r="BC11">
            <v>0.03</v>
          </cell>
          <cell r="BD11">
            <v>0.03</v>
          </cell>
          <cell r="BE11">
            <v>0.03</v>
          </cell>
          <cell r="BF11">
            <v>0.03</v>
          </cell>
          <cell r="BG11">
            <v>0.03</v>
          </cell>
          <cell r="BH11">
            <v>0.03</v>
          </cell>
          <cell r="BI11">
            <v>0.03</v>
          </cell>
          <cell r="BK11">
            <v>0.1</v>
          </cell>
          <cell r="BL11">
            <v>0.14260469341596069</v>
          </cell>
        </row>
        <row r="12">
          <cell r="A12" t="str">
            <v>Mass Market Revenues (US$ mm)</v>
          </cell>
          <cell r="C12">
            <v>774.18348351978238</v>
          </cell>
          <cell r="D12">
            <v>812.62684792133757</v>
          </cell>
          <cell r="E12">
            <v>743.50329546010403</v>
          </cell>
          <cell r="F12">
            <v>680.70481053873436</v>
          </cell>
          <cell r="G12">
            <v>662.81947826698092</v>
          </cell>
          <cell r="H12">
            <v>551.5480923777086</v>
          </cell>
          <cell r="I12">
            <v>168.24051122816675</v>
          </cell>
          <cell r="J12">
            <v>152.36773901043691</v>
          </cell>
          <cell r="K12">
            <v>163.99192248273209</v>
          </cell>
          <cell r="L12">
            <v>152.04017643273204</v>
          </cell>
          <cell r="M12">
            <v>636.64034915406774</v>
          </cell>
          <cell r="N12">
            <v>162.13602457748809</v>
          </cell>
          <cell r="O12">
            <v>165.7961749012515</v>
          </cell>
          <cell r="P12">
            <v>167.20897541048095</v>
          </cell>
          <cell r="Q12">
            <v>171.74966049695442</v>
          </cell>
          <cell r="R12">
            <v>666.8908353861749</v>
          </cell>
          <cell r="S12">
            <v>160.7774673428186</v>
          </cell>
          <cell r="T12">
            <v>176.51988679842961</v>
          </cell>
          <cell r="U12">
            <v>176.03520250264322</v>
          </cell>
          <cell r="V12">
            <v>197.33183672926856</v>
          </cell>
          <cell r="W12">
            <v>710.66439337316001</v>
          </cell>
          <cell r="X12">
            <v>189.65527202686269</v>
          </cell>
          <cell r="Y12">
            <v>147.12338809600604</v>
          </cell>
          <cell r="Z12">
            <v>215.50208627736168</v>
          </cell>
          <cell r="AA12">
            <v>236.94139182134211</v>
          </cell>
          <cell r="AB12">
            <v>789.22213822157244</v>
          </cell>
          <cell r="AC12">
            <v>280.95231671690618</v>
          </cell>
          <cell r="AD12">
            <v>337.36918401170789</v>
          </cell>
          <cell r="AE12">
            <v>403.47632193004841</v>
          </cell>
          <cell r="AF12">
            <v>383.7591135668772</v>
          </cell>
          <cell r="AG12">
            <v>1405.5569362255396</v>
          </cell>
          <cell r="AH12">
            <v>448.47078205507222</v>
          </cell>
          <cell r="AI12">
            <v>487.01134205015683</v>
          </cell>
          <cell r="AJ12">
            <v>550.26545666562674</v>
          </cell>
          <cell r="AK12">
            <v>599.46850074480096</v>
          </cell>
          <cell r="AL12">
            <v>2085.2160815156567</v>
          </cell>
          <cell r="AM12">
            <v>572.49378186415947</v>
          </cell>
          <cell r="AN12">
            <v>571.01356755050801</v>
          </cell>
          <cell r="AO12">
            <v>586.73964501081116</v>
          </cell>
          <cell r="AP12">
            <v>679.88012156291154</v>
          </cell>
          <cell r="AQ12">
            <v>2410.12711598839</v>
          </cell>
          <cell r="AR12">
            <v>774.07810096048252</v>
          </cell>
          <cell r="AS12">
            <v>667.48681411507209</v>
          </cell>
          <cell r="AT12">
            <v>828.52660355027422</v>
          </cell>
          <cell r="AU12">
            <v>896.35356047037067</v>
          </cell>
          <cell r="AV12">
            <v>3166.4450790961996</v>
          </cell>
          <cell r="AW12">
            <v>3987.0430218892116</v>
          </cell>
          <cell r="AX12">
            <v>5147.5260704163238</v>
          </cell>
          <cell r="AY12">
            <v>6335.90432669035</v>
          </cell>
          <cell r="AZ12">
            <v>7246.1243691780828</v>
          </cell>
          <cell r="BA12">
            <v>8164.3750046539062</v>
          </cell>
          <cell r="BB12">
            <v>9102.9003417733402</v>
          </cell>
          <cell r="BC12">
            <v>10070.531217046064</v>
          </cell>
          <cell r="BD12">
            <v>11088.901361248239</v>
          </cell>
          <cell r="BE12">
            <v>12160.194931658338</v>
          </cell>
          <cell r="BF12">
            <v>13286.68161491206</v>
          </cell>
          <cell r="BG12">
            <v>14470.719795246345</v>
          </cell>
          <cell r="BH12">
            <v>15714.75983589918</v>
          </cell>
          <cell r="BI12">
            <v>17021.347477604031</v>
          </cell>
          <cell r="BK12">
            <v>3933.7539429289145</v>
          </cell>
          <cell r="BL12">
            <v>-767.30886383271491</v>
          </cell>
        </row>
        <row r="13">
          <cell r="A13" t="str">
            <v xml:space="preserve">  Year-over-Year growth</v>
          </cell>
          <cell r="D13">
            <v>4.9656657911086644E-2</v>
          </cell>
          <cell r="E13">
            <v>-8.5061861588807242E-2</v>
          </cell>
          <cell r="F13">
            <v>-8.446295437400575E-2</v>
          </cell>
          <cell r="G13">
            <v>-2.6274725835415125E-2</v>
          </cell>
          <cell r="H13">
            <v>-0.16787585389042037</v>
          </cell>
          <cell r="I13" t="str">
            <v>N.M.</v>
          </cell>
          <cell r="J13" t="str">
            <v>N.M.</v>
          </cell>
          <cell r="K13" t="str">
            <v>N.M.</v>
          </cell>
          <cell r="L13" t="str">
            <v>N.M.</v>
          </cell>
          <cell r="M13">
            <v>0.15427894312811197</v>
          </cell>
          <cell r="N13">
            <v>-3.6284284956789037E-2</v>
          </cell>
          <cell r="O13">
            <v>8.8131752679579956E-2</v>
          </cell>
          <cell r="P13">
            <v>1.9617142594859249E-2</v>
          </cell>
          <cell r="Q13">
            <v>0.12963339379537331</v>
          </cell>
          <cell r="R13">
            <v>4.7515816853742177E-2</v>
          </cell>
          <cell r="S13">
            <v>-8.3791201752341227E-3</v>
          </cell>
          <cell r="T13">
            <v>6.4680092309518988E-2</v>
          </cell>
          <cell r="U13">
            <v>5.2785605978953987E-2</v>
          </cell>
          <cell r="V13">
            <v>0.14895037438963543</v>
          </cell>
          <cell r="W13">
            <v>6.5638265911447391E-2</v>
          </cell>
          <cell r="X13">
            <v>0.17961350655231589</v>
          </cell>
          <cell r="Y13">
            <v>-0.16653363672271004</v>
          </cell>
          <cell r="Z13">
            <v>0.22419881485991899</v>
          </cell>
          <cell r="AA13">
            <v>0.20072561908201503</v>
          </cell>
          <cell r="AB13">
            <v>0.11054127036749239</v>
          </cell>
          <cell r="AC13">
            <v>0.4813841646179613</v>
          </cell>
          <cell r="AD13">
            <v>1.2931036892078374</v>
          </cell>
          <cell r="AE13">
            <v>0.87226179059238773</v>
          </cell>
          <cell r="AF13">
            <v>0.61963728927632111</v>
          </cell>
          <cell r="AG13">
            <v>0.78093957094616173</v>
          </cell>
          <cell r="AH13">
            <v>0.59625230108695404</v>
          </cell>
          <cell r="AI13">
            <v>0.44355609560728526</v>
          </cell>
          <cell r="AJ13">
            <v>0.36381102621686812</v>
          </cell>
          <cell r="AK13">
            <v>0.56209580320581076</v>
          </cell>
          <cell r="AL13">
            <v>0.48355148608583787</v>
          </cell>
          <cell r="AM13">
            <v>0.27654644354034463</v>
          </cell>
          <cell r="AN13">
            <v>0.17248515228973837</v>
          </cell>
          <cell r="AO13">
            <v>6.6284713865562894E-2</v>
          </cell>
          <cell r="AP13">
            <v>0.13413819194537213</v>
          </cell>
          <cell r="AQ13">
            <v>0.15581648221155531</v>
          </cell>
          <cell r="AR13">
            <v>0.35211617223146474</v>
          </cell>
          <cell r="AS13">
            <v>0.16895088321352492</v>
          </cell>
          <cell r="AT13">
            <v>0.41208559979785919</v>
          </cell>
          <cell r="AU13">
            <v>0.31839942372462504</v>
          </cell>
          <cell r="AV13">
            <v>0.31380832906717648</v>
          </cell>
          <cell r="AW13">
            <v>0.25915432679073525</v>
          </cell>
          <cell r="AX13">
            <v>0.29106358826728473</v>
          </cell>
          <cell r="AY13">
            <v>0.23086396067109427</v>
          </cell>
          <cell r="AZ13">
            <v>0.14366063557073927</v>
          </cell>
          <cell r="BA13">
            <v>0.12672300235166678</v>
          </cell>
          <cell r="BB13">
            <v>0.11495372720930264</v>
          </cell>
          <cell r="BC13">
            <v>0.10629918366042657</v>
          </cell>
          <cell r="BD13">
            <v>0.10112377612001366</v>
          </cell>
          <cell r="BE13">
            <v>9.6609531955427874E-2</v>
          </cell>
          <cell r="BF13">
            <v>9.2637222477493619E-2</v>
          </cell>
          <cell r="BG13">
            <v>8.9114664944285327E-2</v>
          </cell>
          <cell r="BH13">
            <v>8.5969465116828792E-2</v>
          </cell>
          <cell r="BI13">
            <v>8.3143977722144324E-2</v>
          </cell>
          <cell r="BK13">
            <v>0.34732741003516732</v>
          </cell>
          <cell r="BL13">
            <v>-3.3519080967990833E-2</v>
          </cell>
        </row>
        <row r="14">
          <cell r="BL14">
            <v>0</v>
          </cell>
        </row>
        <row r="15">
          <cell r="A15" t="str">
            <v>% VIP</v>
          </cell>
          <cell r="C15">
            <v>0.59941006009357822</v>
          </cell>
          <cell r="D15">
            <v>0.62822838231901657</v>
          </cell>
          <cell r="E15">
            <v>0.6382233641883287</v>
          </cell>
          <cell r="F15">
            <v>0.69401851923815261</v>
          </cell>
          <cell r="G15">
            <v>0.63480919505798827</v>
          </cell>
          <cell r="H15">
            <v>0.6599068812528105</v>
          </cell>
          <cell r="I15">
            <v>0.67955661922156452</v>
          </cell>
          <cell r="J15">
            <v>0.6795566192215643</v>
          </cell>
          <cell r="K15">
            <v>0.67955661922156441</v>
          </cell>
          <cell r="L15">
            <v>0.6795566192215643</v>
          </cell>
          <cell r="M15">
            <v>0.6795566192215643</v>
          </cell>
          <cell r="N15">
            <v>0.70438480229732703</v>
          </cell>
          <cell r="O15">
            <v>0.70438480229732725</v>
          </cell>
          <cell r="P15">
            <v>0.70438480229732714</v>
          </cell>
          <cell r="Q15">
            <v>0.70438480229732703</v>
          </cell>
          <cell r="R15">
            <v>0.70438480229732703</v>
          </cell>
          <cell r="S15">
            <v>0.73625098621617868</v>
          </cell>
          <cell r="T15">
            <v>0.73625098621617846</v>
          </cell>
          <cell r="U15">
            <v>0.73625098621617857</v>
          </cell>
          <cell r="V15">
            <v>0.73625098621617857</v>
          </cell>
          <cell r="W15">
            <v>0.73625098621617857</v>
          </cell>
          <cell r="X15">
            <v>0.77308631337067368</v>
          </cell>
          <cell r="Y15">
            <v>0.77308631337067357</v>
          </cell>
          <cell r="Z15">
            <v>0.77308631337067346</v>
          </cell>
          <cell r="AA15">
            <v>0.77308631337067357</v>
          </cell>
          <cell r="AB15">
            <v>0.77308631337067357</v>
          </cell>
          <cell r="AC15">
            <v>0.75196647971947927</v>
          </cell>
          <cell r="AD15">
            <v>0.71044205067372013</v>
          </cell>
          <cell r="AE15">
            <v>0.70283971440772786</v>
          </cell>
          <cell r="AF15">
            <v>0.7171899561460684</v>
          </cell>
          <cell r="AG15">
            <v>0.71959302966741678</v>
          </cell>
          <cell r="AH15">
            <v>0.66021107044983496</v>
          </cell>
          <cell r="AI15">
            <v>0.65546324614351004</v>
          </cell>
          <cell r="AJ15">
            <v>0.61355943536736657</v>
          </cell>
          <cell r="AK15">
            <v>0.57953946457402572</v>
          </cell>
          <cell r="AL15">
            <v>0.6265096245535553</v>
          </cell>
          <cell r="AM15">
            <v>0.62963721901619363</v>
          </cell>
          <cell r="AN15">
            <v>0.63958068404722113</v>
          </cell>
          <cell r="AO15">
            <v>0.65311093069599224</v>
          </cell>
          <cell r="AP15">
            <v>0.66849954461966765</v>
          </cell>
          <cell r="AQ15">
            <v>0.64930439963492537</v>
          </cell>
          <cell r="AR15">
            <v>0.65180668978632961</v>
          </cell>
          <cell r="AS15">
            <v>0.66369456228040025</v>
          </cell>
          <cell r="AT15">
            <v>0.60526127444107014</v>
          </cell>
          <cell r="AU15">
            <v>0.62721750887881389</v>
          </cell>
          <cell r="AV15">
            <v>0.63651332604415989</v>
          </cell>
          <cell r="AW15">
            <v>0.60031635622394453</v>
          </cell>
          <cell r="AX15">
            <v>0.55220553403637074</v>
          </cell>
          <cell r="AY15">
            <v>0.51027114455637257</v>
          </cell>
          <cell r="AZ15">
            <v>0.48410909343754599</v>
          </cell>
          <cell r="BA15">
            <v>0.46174002299371142</v>
          </cell>
          <cell r="BB15">
            <v>0.44211230091617482</v>
          </cell>
          <cell r="BC15">
            <v>0.42456642323234006</v>
          </cell>
          <cell r="BD15">
            <v>0.40834100951867647</v>
          </cell>
          <cell r="BE15">
            <v>0.3932927401954337</v>
          </cell>
          <cell r="BF15">
            <v>0.37929830546214899</v>
          </cell>
          <cell r="BG15">
            <v>0.36625103110641649</v>
          </cell>
          <cell r="BH15">
            <v>0.35405816480938468</v>
          </cell>
          <cell r="BI15">
            <v>0.342638676873109</v>
          </cell>
          <cell r="BK15">
            <v>0.50474152002404316</v>
          </cell>
          <cell r="BL15">
            <v>0.13177180602011673</v>
          </cell>
        </row>
        <row r="16">
          <cell r="A16" t="str">
            <v>% Mass Market</v>
          </cell>
          <cell r="C16">
            <v>0.40058993990642178</v>
          </cell>
          <cell r="D16">
            <v>0.37177161768098338</v>
          </cell>
          <cell r="E16">
            <v>0.36177663581167124</v>
          </cell>
          <cell r="F16">
            <v>0.30598148076184734</v>
          </cell>
          <cell r="G16">
            <v>0.36519080494201173</v>
          </cell>
          <cell r="H16">
            <v>0.34009311874718956</v>
          </cell>
          <cell r="I16">
            <v>0.32044338077843554</v>
          </cell>
          <cell r="J16">
            <v>0.32044338077843565</v>
          </cell>
          <cell r="K16">
            <v>0.32044338077843565</v>
          </cell>
          <cell r="L16">
            <v>0.3204433807784357</v>
          </cell>
          <cell r="M16">
            <v>0.32044338077843559</v>
          </cell>
          <cell r="N16">
            <v>0.29561519770267297</v>
          </cell>
          <cell r="O16">
            <v>0.29561519770267275</v>
          </cell>
          <cell r="P16">
            <v>0.29561519770267286</v>
          </cell>
          <cell r="Q16">
            <v>0.29561519770267286</v>
          </cell>
          <cell r="R16">
            <v>0.29561519770267281</v>
          </cell>
          <cell r="S16">
            <v>0.26374901378382137</v>
          </cell>
          <cell r="T16">
            <v>0.26374901378382148</v>
          </cell>
          <cell r="U16">
            <v>0.26374901378382148</v>
          </cell>
          <cell r="V16">
            <v>0.26374901378382137</v>
          </cell>
          <cell r="W16">
            <v>0.26374901378382143</v>
          </cell>
          <cell r="X16">
            <v>0.22691368662932634</v>
          </cell>
          <cell r="Y16">
            <v>0.22691368662932643</v>
          </cell>
          <cell r="Z16">
            <v>0.22691368662932643</v>
          </cell>
          <cell r="AA16">
            <v>0.2269136866293264</v>
          </cell>
          <cell r="AB16">
            <v>0.22691368662932634</v>
          </cell>
          <cell r="AC16">
            <v>0.24803352028052073</v>
          </cell>
          <cell r="AD16">
            <v>0.28955794932627998</v>
          </cell>
          <cell r="AE16">
            <v>0.29716028559227203</v>
          </cell>
          <cell r="AF16">
            <v>0.28281004385393166</v>
          </cell>
          <cell r="AG16">
            <v>0.28040697033258322</v>
          </cell>
          <cell r="AH16">
            <v>0.33978892955016499</v>
          </cell>
          <cell r="AI16">
            <v>0.34453675385648991</v>
          </cell>
          <cell r="AJ16">
            <v>0.38644056463263349</v>
          </cell>
          <cell r="AK16">
            <v>0.42046053542597428</v>
          </cell>
          <cell r="AL16">
            <v>0.37349037544644492</v>
          </cell>
          <cell r="AM16">
            <v>0.37036278098380632</v>
          </cell>
          <cell r="AN16">
            <v>0.36041931595277887</v>
          </cell>
          <cell r="AO16">
            <v>0.34688906930400765</v>
          </cell>
          <cell r="AP16">
            <v>0.33150045538033235</v>
          </cell>
          <cell r="AQ16">
            <v>0.35069560036507452</v>
          </cell>
          <cell r="AR16">
            <v>0.34819331021367039</v>
          </cell>
          <cell r="AS16">
            <v>0.33630543771959975</v>
          </cell>
          <cell r="AT16">
            <v>0.39473872555892986</v>
          </cell>
          <cell r="AU16">
            <v>0.37278249112118611</v>
          </cell>
          <cell r="AV16">
            <v>0.36348667395584033</v>
          </cell>
          <cell r="AW16">
            <v>0.39968364377605536</v>
          </cell>
          <cell r="AX16">
            <v>0.44779446596362921</v>
          </cell>
          <cell r="AY16">
            <v>0.48972885544362743</v>
          </cell>
          <cell r="AZ16">
            <v>0.51589090656245395</v>
          </cell>
          <cell r="BA16">
            <v>0.53825997700628869</v>
          </cell>
          <cell r="BB16">
            <v>0.55788769908382529</v>
          </cell>
          <cell r="BC16">
            <v>0.57543357676765994</v>
          </cell>
          <cell r="BD16">
            <v>0.59165899048132342</v>
          </cell>
          <cell r="BE16">
            <v>0.6067072598045663</v>
          </cell>
          <cell r="BF16">
            <v>0.62070169453785096</v>
          </cell>
          <cell r="BG16">
            <v>0.63374896889358345</v>
          </cell>
          <cell r="BH16">
            <v>0.64594183519061543</v>
          </cell>
          <cell r="BI16">
            <v>0.65736132312689111</v>
          </cell>
          <cell r="BK16">
            <v>0.49525847997595679</v>
          </cell>
          <cell r="BL16">
            <v>-0.13177180602011646</v>
          </cell>
        </row>
        <row r="17">
          <cell r="BL17">
            <v>0</v>
          </cell>
        </row>
        <row r="18">
          <cell r="A18" t="str">
            <v>Gaming Revenue / Visitor / Day (US$)</v>
          </cell>
          <cell r="I18">
            <v>158.41376235097823</v>
          </cell>
          <cell r="J18">
            <v>143.48672334848223</v>
          </cell>
          <cell r="K18">
            <v>137.83435953688036</v>
          </cell>
          <cell r="L18">
            <v>134.65832092808358</v>
          </cell>
          <cell r="M18">
            <v>143.29764578663571</v>
          </cell>
          <cell r="N18">
            <v>150.11399707548483</v>
          </cell>
          <cell r="O18">
            <v>147.62293343555933</v>
          </cell>
          <cell r="P18">
            <v>140.33811733604551</v>
          </cell>
          <cell r="Q18">
            <v>148.62915352291139</v>
          </cell>
          <cell r="R18">
            <v>146.56224959002131</v>
          </cell>
          <cell r="S18">
            <v>152.46848637074407</v>
          </cell>
          <cell r="T18">
            <v>159.59939629195657</v>
          </cell>
          <cell r="U18">
            <v>150.07573464872777</v>
          </cell>
          <cell r="V18">
            <v>167.35638549096882</v>
          </cell>
          <cell r="W18">
            <v>157.48438863797563</v>
          </cell>
          <cell r="X18">
            <v>193.25457345079735</v>
          </cell>
          <cell r="Y18">
            <v>216.95186831614348</v>
          </cell>
          <cell r="Z18">
            <v>196.77973515008657</v>
          </cell>
          <cell r="AA18">
            <v>205.59245176103926</v>
          </cell>
          <cell r="AB18">
            <v>201.99492775148218</v>
          </cell>
          <cell r="AC18">
            <v>212.80687312536119</v>
          </cell>
          <cell r="AD18">
            <v>206.69640069393247</v>
          </cell>
          <cell r="AE18">
            <v>216.18897989509648</v>
          </cell>
          <cell r="AF18">
            <v>216.59383065537276</v>
          </cell>
          <cell r="AG18">
            <v>213.25454479961729</v>
          </cell>
          <cell r="AH18">
            <v>215.30415039329952</v>
          </cell>
          <cell r="AI18">
            <v>228.60781622023097</v>
          </cell>
          <cell r="AJ18">
            <v>210.57242052937389</v>
          </cell>
          <cell r="AK18">
            <v>205.75112834524049</v>
          </cell>
          <cell r="AL18">
            <v>214.69138190801422</v>
          </cell>
          <cell r="AM18">
            <v>214.81896348052675</v>
          </cell>
          <cell r="AN18">
            <v>221.83499230178845</v>
          </cell>
          <cell r="AO18">
            <v>222.30927440563593</v>
          </cell>
          <cell r="AP18">
            <v>240.23642576569631</v>
          </cell>
          <cell r="AQ18">
            <v>225.4507129639166</v>
          </cell>
          <cell r="AR18">
            <v>259.77371825818869</v>
          </cell>
          <cell r="AS18">
            <v>237.74107466696157</v>
          </cell>
          <cell r="AT18">
            <v>205.12932965058957</v>
          </cell>
          <cell r="AU18">
            <v>224.31420669942776</v>
          </cell>
          <cell r="AV18">
            <v>230.10560483419101</v>
          </cell>
          <cell r="AW18">
            <v>219.72962460523692</v>
          </cell>
          <cell r="AX18">
            <v>202.00563873280637</v>
          </cell>
          <cell r="AY18">
            <v>184.70834649115616</v>
          </cell>
          <cell r="AZ18">
            <v>175.34134827214305</v>
          </cell>
          <cell r="BA18">
            <v>168.05449221973646</v>
          </cell>
          <cell r="BB18">
            <v>162.14196381556579</v>
          </cell>
          <cell r="BC18">
            <v>157.19799950867699</v>
          </cell>
          <cell r="BD18">
            <v>152.88706598442917</v>
          </cell>
          <cell r="BE18">
            <v>149.09498057949239</v>
          </cell>
          <cell r="BF18">
            <v>145.73346248933547</v>
          </cell>
          <cell r="BG18">
            <v>142.73318231337117</v>
          </cell>
          <cell r="BH18">
            <v>140.03893569040201</v>
          </cell>
          <cell r="BI18">
            <v>137.60622040816031</v>
          </cell>
          <cell r="BK18">
            <v>220.66402160063058</v>
          </cell>
          <cell r="BL18">
            <v>9.4415832335604364</v>
          </cell>
        </row>
        <row r="19">
          <cell r="A19" t="str">
            <v xml:space="preserve">  Year-over-Year growth</v>
          </cell>
          <cell r="N19">
            <v>-5.2392955967453192E-2</v>
          </cell>
          <cell r="O19">
            <v>2.8826430700710892E-2</v>
          </cell>
          <cell r="P19">
            <v>1.8164975754795254E-2</v>
          </cell>
          <cell r="Q19">
            <v>0.10375023614240031</v>
          </cell>
          <cell r="R19">
            <v>2.2781977927581964E-2</v>
          </cell>
          <cell r="S19">
            <v>1.5684675254335367E-2</v>
          </cell>
          <cell r="T19">
            <v>8.1128741840272633E-2</v>
          </cell>
          <cell r="U19">
            <v>6.9386831585926956E-2</v>
          </cell>
          <cell r="V19">
            <v>0.12599972161700168</v>
          </cell>
          <cell r="W19">
            <v>7.4522184795244417E-2</v>
          </cell>
          <cell r="X19">
            <v>0.26750503038954143</v>
          </cell>
          <cell r="Y19">
            <v>0.35935268777127161</v>
          </cell>
          <cell r="Z19">
            <v>0.31120287773820143</v>
          </cell>
          <cell r="AA19">
            <v>0.22847091348142068</v>
          </cell>
          <cell r="AB19">
            <v>0.28263461222068931</v>
          </cell>
          <cell r="AC19">
            <v>0.10117380057523895</v>
          </cell>
          <cell r="AD19">
            <v>-4.7270704335519609E-2</v>
          </cell>
          <cell r="AE19">
            <v>9.8634367660908939E-2</v>
          </cell>
          <cell r="AF19">
            <v>5.3510616757080243E-2</v>
          </cell>
          <cell r="AG19">
            <v>5.5742078147566154E-2</v>
          </cell>
          <cell r="AH19">
            <v>1.1734946485808306E-2</v>
          </cell>
          <cell r="AI19">
            <v>0.10600772656290247</v>
          </cell>
          <cell r="AJ19">
            <v>-2.5979859697048302E-2</v>
          </cell>
          <cell r="AK19">
            <v>-5.0060069935160434E-2</v>
          </cell>
          <cell r="AL19">
            <v>6.7376623074881792E-3</v>
          </cell>
          <cell r="AM19">
            <v>-2.253495401210226E-3</v>
          </cell>
          <cell r="AN19">
            <v>-2.9626388241764556E-2</v>
          </cell>
          <cell r="AO19">
            <v>5.5737849461747535E-2</v>
          </cell>
          <cell r="AP19">
            <v>0.16760684472452159</v>
          </cell>
          <cell r="AQ19">
            <v>5.0115337468516818E-2</v>
          </cell>
          <cell r="AR19">
            <v>0.2092680927665731</v>
          </cell>
          <cell r="AS19">
            <v>7.1702314410046597E-2</v>
          </cell>
          <cell r="AT19">
            <v>-7.7279478334759122E-2</v>
          </cell>
          <cell r="AU19">
            <v>-6.6277289197590572E-2</v>
          </cell>
          <cell r="AV19">
            <v>2.064704878985868E-2</v>
          </cell>
          <cell r="AW19">
            <v>-4.5092253343549715E-2</v>
          </cell>
          <cell r="AX19">
            <v>-8.0662704923258333E-2</v>
          </cell>
          <cell r="AY19">
            <v>-8.562776935414862E-2</v>
          </cell>
          <cell r="AZ19">
            <v>-5.0712371135115952E-2</v>
          </cell>
          <cell r="BA19">
            <v>-4.1558115779381621E-2</v>
          </cell>
          <cell r="BB19">
            <v>-3.5182209806327913E-2</v>
          </cell>
          <cell r="BC19">
            <v>-3.0491577815799031E-2</v>
          </cell>
          <cell r="BD19">
            <v>-2.7423590234746387E-2</v>
          </cell>
          <cell r="BE19">
            <v>-2.4803179919241747E-2</v>
          </cell>
          <cell r="BF19">
            <v>-2.2546151970318506E-2</v>
          </cell>
          <cell r="BG19">
            <v>-2.0587448652596541E-2</v>
          </cell>
          <cell r="BH19">
            <v>-1.8876105606991489E-2</v>
          </cell>
          <cell r="BI19">
            <v>-1.7371706448983226E-2</v>
          </cell>
          <cell r="BK19">
            <v>2.3810189514658076E-2</v>
          </cell>
          <cell r="BL19">
            <v>-3.1631407247993959E-3</v>
          </cell>
        </row>
        <row r="20">
          <cell r="A20" t="str">
            <v>Mass Market Revenue / Visitor / Day (US$)</v>
          </cell>
          <cell r="I20">
            <v>50.76264156957911</v>
          </cell>
          <cell r="J20">
            <v>45.97937072660774</v>
          </cell>
          <cell r="K20">
            <v>44.16810815742835</v>
          </cell>
          <cell r="L20">
            <v>43.15036760814268</v>
          </cell>
          <cell r="M20">
            <v>45.918782073460292</v>
          </cell>
          <cell r="N20">
            <v>44.375978923407921</v>
          </cell>
          <cell r="O20">
            <v>43.639582653001376</v>
          </cell>
          <cell r="P20">
            <v>41.486080301515997</v>
          </cell>
          <cell r="Q20">
            <v>43.93703660305637</v>
          </cell>
          <cell r="R20">
            <v>43.326028388302625</v>
          </cell>
          <cell r="S20">
            <v>40.213412913395764</v>
          </cell>
          <cell r="T20">
            <v>42.094183372496836</v>
          </cell>
          <cell r="U20">
            <v>39.582327006484441</v>
          </cell>
          <cell r="V20">
            <v>44.14008162366806</v>
          </cell>
          <cell r="W20">
            <v>41.536352189614121</v>
          </cell>
          <cell r="X20">
            <v>43.85210771969836</v>
          </cell>
          <cell r="Y20">
            <v>49.229348260736273</v>
          </cell>
          <cell r="Z20">
            <v>44.652015156848591</v>
          </cell>
          <cell r="AA20">
            <v>46.651741172259364</v>
          </cell>
          <cell r="AB20">
            <v>45.835413736513246</v>
          </cell>
          <cell r="AC20">
            <v>52.78323788117347</v>
          </cell>
          <cell r="AD20">
            <v>59.850585918058158</v>
          </cell>
          <cell r="AE20">
            <v>64.242779007528839</v>
          </cell>
          <cell r="AF20">
            <v>61.254910746137007</v>
          </cell>
          <cell r="AG20">
            <v>59.798060816914834</v>
          </cell>
          <cell r="AH20">
            <v>73.157966789846967</v>
          </cell>
          <cell r="AI20">
            <v>78.763794906739406</v>
          </cell>
          <cell r="AJ20">
            <v>81.373725085431587</v>
          </cell>
          <cell r="AK20">
            <v>86.510229588538181</v>
          </cell>
          <cell r="AL20">
            <v>80.18516483394032</v>
          </cell>
          <cell r="AM20">
            <v>79.560948722706613</v>
          </cell>
          <cell r="AN20">
            <v>79.953616179800562</v>
          </cell>
          <cell r="AO20">
            <v>77.116657296220311</v>
          </cell>
          <cell r="AP20">
            <v>79.638484540271733</v>
          </cell>
          <cell r="AQ20">
            <v>79.064573135614836</v>
          </cell>
          <cell r="AR20">
            <v>79.560948722706613</v>
          </cell>
          <cell r="AS20">
            <v>79.953616179800562</v>
          </cell>
          <cell r="AT20">
            <v>80.972490161031331</v>
          </cell>
          <cell r="AU20">
            <v>83.620408767285326</v>
          </cell>
          <cell r="AV20">
            <v>83.640320959777029</v>
          </cell>
          <cell r="AW20">
            <v>87.822337007765881</v>
          </cell>
          <cell r="AX20">
            <v>90.457007117998856</v>
          </cell>
          <cell r="AY20">
            <v>90.457007117998856</v>
          </cell>
          <cell r="AZ20">
            <v>90.457007117998856</v>
          </cell>
          <cell r="BA20">
            <v>90.457007117998856</v>
          </cell>
          <cell r="BB20">
            <v>90.457007117998856</v>
          </cell>
          <cell r="BC20">
            <v>90.457007117998856</v>
          </cell>
          <cell r="BD20">
            <v>90.457007117998856</v>
          </cell>
          <cell r="BE20">
            <v>90.457007117998856</v>
          </cell>
          <cell r="BF20">
            <v>90.457007117998856</v>
          </cell>
          <cell r="BG20">
            <v>90.457007117998856</v>
          </cell>
          <cell r="BH20">
            <v>90.457007117998856</v>
          </cell>
          <cell r="BI20">
            <v>90.457007117998856</v>
          </cell>
          <cell r="BK20">
            <v>109.28572792331001</v>
          </cell>
          <cell r="BL20">
            <v>-25.645406963532977</v>
          </cell>
        </row>
        <row r="21">
          <cell r="A21" t="str">
            <v xml:space="preserve">  Year-over-Year growth</v>
          </cell>
          <cell r="N21">
            <v>-0.12581422969128087</v>
          </cell>
          <cell r="O21">
            <v>-5.0887779380859532E-2</v>
          </cell>
          <cell r="P21">
            <v>-6.0723177147474883E-2</v>
          </cell>
          <cell r="Q21">
            <v>1.8230875853888273E-2</v>
          </cell>
          <cell r="R21">
            <v>-5.6463903615949884E-2</v>
          </cell>
          <cell r="S21">
            <v>-9.3802235150613034E-2</v>
          </cell>
          <cell r="T21">
            <v>-3.5412787807636237E-2</v>
          </cell>
          <cell r="U21">
            <v>-4.588896519495933E-2</v>
          </cell>
          <cell r="V21">
            <v>4.6212725370187169E-3</v>
          </cell>
          <cell r="W21">
            <v>-4.1307183355206667E-2</v>
          </cell>
          <cell r="X21">
            <v>9.0484605575232857E-2</v>
          </cell>
          <cell r="Y21">
            <v>0.16950477041208867</v>
          </cell>
          <cell r="Z21">
            <v>0.12807958838634281</v>
          </cell>
          <cell r="AA21">
            <v>5.6902014137747869E-2</v>
          </cell>
          <cell r="AB21">
            <v>0.10350118198328628</v>
          </cell>
          <cell r="AC21">
            <v>0.20366478661784471</v>
          </cell>
          <cell r="AD21">
            <v>0.21575011720788995</v>
          </cell>
          <cell r="AE21">
            <v>0.43874310670781624</v>
          </cell>
          <cell r="AF21">
            <v>0.31302517777323957</v>
          </cell>
          <cell r="AG21">
            <v>0.30462574551342403</v>
          </cell>
          <cell r="AH21">
            <v>0.38600756085750998</v>
          </cell>
          <cell r="AI21">
            <v>0.31600708161112157</v>
          </cell>
          <cell r="AJ21">
            <v>0.26665948052924526</v>
          </cell>
          <cell r="AK21">
            <v>0.41229867997144831</v>
          </cell>
          <cell r="AL21">
            <v>0.34093252755210868</v>
          </cell>
          <cell r="AM21">
            <v>8.7522688420972772E-2</v>
          </cell>
          <cell r="AN21">
            <v>1.510619535879365E-2</v>
          </cell>
          <cell r="AO21">
            <v>-5.2315016729809538E-2</v>
          </cell>
          <cell r="AP21">
            <v>-7.9432745479349531E-2</v>
          </cell>
          <cell r="AQ21">
            <v>-1.3975050131108113E-2</v>
          </cell>
          <cell r="AR21">
            <v>0</v>
          </cell>
          <cell r="AS21">
            <v>0</v>
          </cell>
          <cell r="AT21">
            <v>0.05</v>
          </cell>
          <cell r="AU21">
            <v>0.05</v>
          </cell>
          <cell r="AV21">
            <v>5.7873553763626573E-2</v>
          </cell>
          <cell r="AW21">
            <v>0.05</v>
          </cell>
          <cell r="AX21">
            <v>0.03</v>
          </cell>
          <cell r="AY21">
            <v>0</v>
          </cell>
          <cell r="AZ21">
            <v>0</v>
          </cell>
          <cell r="BA21">
            <v>0</v>
          </cell>
          <cell r="BB21">
            <v>0</v>
          </cell>
          <cell r="BC21">
            <v>0</v>
          </cell>
          <cell r="BD21">
            <v>0</v>
          </cell>
          <cell r="BE21">
            <v>0</v>
          </cell>
          <cell r="BF21">
            <v>0</v>
          </cell>
          <cell r="BG21">
            <v>0</v>
          </cell>
          <cell r="BH21">
            <v>0</v>
          </cell>
          <cell r="BI21">
            <v>0</v>
          </cell>
          <cell r="BK21">
            <v>0.14000000000000001</v>
          </cell>
          <cell r="BL21">
            <v>-8.212644623637344E-2</v>
          </cell>
        </row>
        <row r="22">
          <cell r="BL22">
            <v>0</v>
          </cell>
        </row>
        <row r="23">
          <cell r="A23" t="str">
            <v>Total Visitors</v>
          </cell>
          <cell r="C23">
            <v>7.8338000000000001</v>
          </cell>
          <cell r="D23">
            <v>7.7525000000000004</v>
          </cell>
          <cell r="E23">
            <v>8.1510999999999996</v>
          </cell>
          <cell r="F23">
            <v>7.0004</v>
          </cell>
          <cell r="G23">
            <v>6.9485000000000001</v>
          </cell>
          <cell r="H23">
            <v>7.4439000000000002</v>
          </cell>
          <cell r="I23">
            <v>2.175767</v>
          </cell>
          <cell r="J23">
            <v>2.1899030000000002</v>
          </cell>
          <cell r="K23">
            <v>2.4746739999999998</v>
          </cell>
          <cell r="L23">
            <v>2.3218679999999998</v>
          </cell>
          <cell r="M23">
            <v>9.1622120000000002</v>
          </cell>
          <cell r="N23">
            <v>2.4530820000000002</v>
          </cell>
          <cell r="O23">
            <v>2.5566200000000001</v>
          </cell>
          <cell r="P23">
            <v>2.6891560000000001</v>
          </cell>
          <cell r="Q23">
            <v>2.5801150000000002</v>
          </cell>
          <cell r="R23">
            <v>10.278973000000001</v>
          </cell>
          <cell r="S23">
            <v>2.6729509999999999</v>
          </cell>
          <cell r="T23">
            <v>2.8038780000000001</v>
          </cell>
          <cell r="U23">
            <v>3.0133160000000001</v>
          </cell>
          <cell r="V23">
            <v>3.0406960000000001</v>
          </cell>
          <cell r="W23">
            <v>11.530841000000001</v>
          </cell>
          <cell r="X23">
            <v>2.995587</v>
          </cell>
          <cell r="Y23">
            <v>2.0730729999999999</v>
          </cell>
          <cell r="Z23">
            <v>3.3212470000000001</v>
          </cell>
          <cell r="AA23">
            <v>3.4979689999999999</v>
          </cell>
          <cell r="AB23">
            <v>11.887875999999999</v>
          </cell>
          <cell r="AC23">
            <v>3.7514470000000002</v>
          </cell>
          <cell r="AD23">
            <v>3.9834390000000002</v>
          </cell>
          <cell r="AE23">
            <v>4.4552269999999998</v>
          </cell>
          <cell r="AF23">
            <v>4.482443</v>
          </cell>
          <cell r="AG23">
            <v>16.672556</v>
          </cell>
          <cell r="AH23">
            <v>4.4570220000000003</v>
          </cell>
          <cell r="AI23">
            <v>4.4663009999999996</v>
          </cell>
          <cell r="AJ23">
            <v>4.8511319999999998</v>
          </cell>
          <cell r="AK23">
            <v>4.9367320000000001</v>
          </cell>
          <cell r="AL23">
            <v>18.711186999999999</v>
          </cell>
          <cell r="AM23">
            <v>5.2480180000000001</v>
          </cell>
          <cell r="AN23">
            <v>5.1744620000000001</v>
          </cell>
          <cell r="AO23">
            <v>5.4733140000000002</v>
          </cell>
          <cell r="AP23">
            <v>6.102328</v>
          </cell>
          <cell r="AQ23">
            <v>21.998122000000002</v>
          </cell>
          <cell r="AR23">
            <v>6.2021452000000004</v>
          </cell>
          <cell r="AS23">
            <v>5.9977077000000003</v>
          </cell>
          <cell r="AT23">
            <v>7.1657113800000003</v>
          </cell>
          <cell r="AU23">
            <v>7.4876471791448207</v>
          </cell>
          <cell r="AV23">
            <v>26.853211459144823</v>
          </cell>
          <cell r="AW23">
            <v>31.112956369452657</v>
          </cell>
          <cell r="AX23">
            <v>35.938386716715485</v>
          </cell>
          <cell r="AY23">
            <v>41.464358695646425</v>
          </cell>
          <cell r="AZ23">
            <v>46.725028260970944</v>
          </cell>
          <cell r="BA23">
            <v>51.917160814241257</v>
          </cell>
          <cell r="BB23">
            <v>57.225724977400361</v>
          </cell>
          <cell r="BC23">
            <v>62.698682591780887</v>
          </cell>
          <cell r="BD23">
            <v>68.453241363633722</v>
          </cell>
          <cell r="BE23">
            <v>74.501429399553246</v>
          </cell>
          <cell r="BF23">
            <v>80.855743837087061</v>
          </cell>
          <cell r="BG23">
            <v>87.529168173325587</v>
          </cell>
          <cell r="BH23">
            <v>94.535190211282512</v>
          </cell>
          <cell r="BI23">
            <v>101.88782064554243</v>
          </cell>
          <cell r="BK23">
            <v>25.885017569144825</v>
          </cell>
          <cell r="BL23">
            <v>0.96819388999999845</v>
          </cell>
        </row>
        <row r="24">
          <cell r="A24" t="str">
            <v xml:space="preserve">  Year-over-Year growth</v>
          </cell>
          <cell r="D24">
            <v>-1.0378105134162152E-2</v>
          </cell>
          <cell r="E24">
            <v>5.1415672363753551E-2</v>
          </cell>
          <cell r="F24">
            <v>-0.1411711302768951</v>
          </cell>
          <cell r="G24">
            <v>-7.4138620650248122E-3</v>
          </cell>
          <cell r="H24">
            <v>7.1295963157516073E-2</v>
          </cell>
          <cell r="I24" t="str">
            <v>N.M.</v>
          </cell>
          <cell r="J24" t="str">
            <v>N.M.</v>
          </cell>
          <cell r="K24" t="str">
            <v>N.M.</v>
          </cell>
          <cell r="L24" t="str">
            <v>N.M.</v>
          </cell>
          <cell r="M24">
            <v>0.23083491180698301</v>
          </cell>
          <cell r="N24">
            <v>0.12745620280112724</v>
          </cell>
          <cell r="O24">
            <v>0.16745810202552347</v>
          </cell>
          <cell r="P24">
            <v>8.667080997335419E-2</v>
          </cell>
          <cell r="Q24">
            <v>0.11122380772722673</v>
          </cell>
          <cell r="R24">
            <v>0.12188770571997254</v>
          </cell>
          <cell r="S24">
            <v>8.9629698477262432E-2</v>
          </cell>
          <cell r="T24">
            <v>9.6712847431374316E-2</v>
          </cell>
          <cell r="U24">
            <v>0.12054339725921448</v>
          </cell>
          <cell r="V24">
            <v>0.17851181052007359</v>
          </cell>
          <cell r="W24">
            <v>0.12178920987534458</v>
          </cell>
          <cell r="X24">
            <v>0.12070404582800065</v>
          </cell>
          <cell r="Y24">
            <v>-0.26064079820876662</v>
          </cell>
          <cell r="Z24">
            <v>0.10219007896948074</v>
          </cell>
          <cell r="AA24">
            <v>0.15038431990570578</v>
          </cell>
          <cell r="AB24">
            <v>3.0963483062510289E-2</v>
          </cell>
          <cell r="AC24">
            <v>0.25232450267677087</v>
          </cell>
          <cell r="AD24">
            <v>0.92151410008234169</v>
          </cell>
          <cell r="AE24">
            <v>0.34143199828257265</v>
          </cell>
          <cell r="AF24">
            <v>0.28144160225548021</v>
          </cell>
          <cell r="AG24">
            <v>0.40248400975918686</v>
          </cell>
          <cell r="AH24">
            <v>0.18808075923770207</v>
          </cell>
          <cell r="AI24">
            <v>0.12121737021704093</v>
          </cell>
          <cell r="AJ24">
            <v>8.8863036608460177E-2</v>
          </cell>
          <cell r="AK24">
            <v>0.10134852802366923</v>
          </cell>
          <cell r="AL24">
            <v>0.12227465302860563</v>
          </cell>
          <cell r="AM24">
            <v>0.17747186349988842</v>
          </cell>
          <cell r="AN24">
            <v>0.15855648779605325</v>
          </cell>
          <cell r="AO24">
            <v>0.12825501346902146</v>
          </cell>
          <cell r="AP24">
            <v>0.23610680101735304</v>
          </cell>
          <cell r="AQ24">
            <v>0.17566683503296732</v>
          </cell>
          <cell r="AR24">
            <v>0.18180715081388832</v>
          </cell>
          <cell r="AS24">
            <v>0.15909783471209193</v>
          </cell>
          <cell r="AT24">
            <v>0.3092088961093773</v>
          </cell>
          <cell r="AU24">
            <v>0.22701486697287021</v>
          </cell>
          <cell r="AV24">
            <v>0.22070472466444269</v>
          </cell>
          <cell r="AW24">
            <v>0.15863074391637366</v>
          </cell>
          <cell r="AX24">
            <v>0.15509391939367534</v>
          </cell>
          <cell r="AY24">
            <v>0.15376238289407484</v>
          </cell>
          <cell r="AZ24">
            <v>0.1268720831772292</v>
          </cell>
          <cell r="BA24">
            <v>0.11112101472193769</v>
          </cell>
          <cell r="BB24">
            <v>0.10225066394044657</v>
          </cell>
          <cell r="BC24">
            <v>9.5638065162860109E-2</v>
          </cell>
          <cell r="BD24">
            <v>9.178117520139395E-2</v>
          </cell>
          <cell r="BE24">
            <v>8.8355027686572996E-2</v>
          </cell>
          <cell r="BF24">
            <v>8.5291174796868097E-2</v>
          </cell>
          <cell r="BG24">
            <v>8.2534944575916924E-2</v>
          </cell>
          <cell r="BH24">
            <v>8.0042141198960914E-2</v>
          </cell>
          <cell r="BI24">
            <v>7.7776650343930998E-2</v>
          </cell>
          <cell r="BK24">
            <v>0.17766064791266523</v>
          </cell>
          <cell r="BL24">
            <v>4.304407675177746E-2</v>
          </cell>
        </row>
        <row r="25">
          <cell r="A25" t="str">
            <v>Avg Days Stayed for All Guests (incl. day trippers)</v>
          </cell>
          <cell r="I25">
            <v>1.5232597975794282</v>
          </cell>
          <cell r="J25">
            <v>1.5132306225435557</v>
          </cell>
          <cell r="K25">
            <v>1.500360645483001</v>
          </cell>
          <cell r="L25">
            <v>1.517526692588324</v>
          </cell>
          <cell r="M25">
            <v>1.5132248442479466</v>
          </cell>
          <cell r="N25">
            <v>1.4894279794424594</v>
          </cell>
          <cell r="O25">
            <v>1.4860305442341841</v>
          </cell>
          <cell r="P25">
            <v>1.4987913754352666</v>
          </cell>
          <cell r="Q25">
            <v>1.5150468461031128</v>
          </cell>
          <cell r="R25">
            <v>1.4974631502582991</v>
          </cell>
          <cell r="S25">
            <v>1.4957646062348318</v>
          </cell>
          <cell r="T25">
            <v>1.4955896072035468</v>
          </cell>
          <cell r="U25">
            <v>1.4758884166147859</v>
          </cell>
          <cell r="V25">
            <v>1.4702494428907067</v>
          </cell>
          <cell r="W25">
            <v>1.4837994970762898</v>
          </cell>
          <cell r="X25">
            <v>1.4437517054253473</v>
          </cell>
          <cell r="Y25">
            <v>1.4415942323304582</v>
          </cell>
          <cell r="Z25">
            <v>1.4531459649543277</v>
          </cell>
          <cell r="AA25">
            <v>1.4519682554838729</v>
          </cell>
          <cell r="AB25">
            <v>1.4484177445435447</v>
          </cell>
          <cell r="AC25">
            <v>1.418854215453397</v>
          </cell>
          <cell r="AD25">
            <v>1.4150729633364536</v>
          </cell>
          <cell r="AE25">
            <v>1.4096909023939745</v>
          </cell>
          <cell r="AF25">
            <v>1.3976647600426821</v>
          </cell>
          <cell r="AG25">
            <v>1.4098053597780686</v>
          </cell>
          <cell r="AH25">
            <v>1.3753959751600955</v>
          </cell>
          <cell r="AI25">
            <v>1.3844091296130736</v>
          </cell>
          <cell r="AJ25">
            <v>1.3939428261280047</v>
          </cell>
          <cell r="AK25">
            <v>1.4036516869864517</v>
          </cell>
          <cell r="AL25">
            <v>1.3898108575367241</v>
          </cell>
          <cell r="AM25">
            <v>1.3711201231906343</v>
          </cell>
          <cell r="AN25">
            <v>1.3802034684958553</v>
          </cell>
          <cell r="AO25">
            <v>1.390102656879056</v>
          </cell>
          <cell r="AP25">
            <v>1.3989874192275473</v>
          </cell>
          <cell r="AQ25">
            <v>1.3857101947157124</v>
          </cell>
          <cell r="AR25">
            <v>1.3798351956014356</v>
          </cell>
          <cell r="AS25">
            <v>1.3919360516391184</v>
          </cell>
          <cell r="AT25">
            <v>1.4279389854678177</v>
          </cell>
          <cell r="AU25">
            <v>1.4315999996672684</v>
          </cell>
          <cell r="AV25">
            <v>1.409808216231297</v>
          </cell>
          <cell r="AW25">
            <v>1.4591658339019791</v>
          </cell>
          <cell r="AX25">
            <v>1.5834259669277251</v>
          </cell>
          <cell r="AY25">
            <v>1.6892403375063489</v>
          </cell>
          <cell r="AZ25">
            <v>1.7144072578115312</v>
          </cell>
          <cell r="BA25">
            <v>1.7384803879875337</v>
          </cell>
          <cell r="BB25">
            <v>1.7585157820070054</v>
          </cell>
          <cell r="BC25">
            <v>1.7756270395727332</v>
          </cell>
          <cell r="BD25">
            <v>1.7908214532408184</v>
          </cell>
          <cell r="BE25">
            <v>1.8044037337967822</v>
          </cell>
          <cell r="BF25">
            <v>1.8166172633742717</v>
          </cell>
          <cell r="BG25">
            <v>1.8276587855618405</v>
          </cell>
          <cell r="BH25">
            <v>1.8376890660667624</v>
          </cell>
          <cell r="BI25">
            <v>1.8468407570351979</v>
          </cell>
          <cell r="BK25">
            <v>1.3905777552739083</v>
          </cell>
          <cell r="BL25">
            <v>1.9230460957388784E-2</v>
          </cell>
        </row>
        <row r="26">
          <cell r="BL26">
            <v>0</v>
          </cell>
        </row>
        <row r="27">
          <cell r="A27" t="str">
            <v>Gaming Revenue / Visitor (US$)</v>
          </cell>
          <cell r="C27">
            <v>246.70126908400263</v>
          </cell>
          <cell r="D27">
            <v>281.9506892270918</v>
          </cell>
          <cell r="E27">
            <v>252.13095028257732</v>
          </cell>
          <cell r="F27">
            <v>317.79043510776125</v>
          </cell>
          <cell r="G27">
            <v>261.20673260702978</v>
          </cell>
          <cell r="H27">
            <v>217.86376862885368</v>
          </cell>
          <cell r="I27">
            <v>241.30531557254676</v>
          </cell>
          <cell r="J27">
            <v>217.12850369935873</v>
          </cell>
          <cell r="K27">
            <v>206.80124864448982</v>
          </cell>
          <cell r="L27">
            <v>204.34759638749176</v>
          </cell>
          <cell r="M27">
            <v>216.84155772657923</v>
          </cell>
          <cell r="N27">
            <v>223.58398735017062</v>
          </cell>
          <cell r="O27">
            <v>219.37218811469097</v>
          </cell>
          <cell r="P27">
            <v>210.33755990808748</v>
          </cell>
          <cell r="Q27">
            <v>225.18013028386227</v>
          </cell>
          <cell r="R27">
            <v>219.47156798001637</v>
          </cell>
          <cell r="S27">
            <v>228.05696547955682</v>
          </cell>
          <cell r="T27">
            <v>238.69519841021051</v>
          </cell>
          <cell r="U27">
            <v>221.49503838301158</v>
          </cell>
          <cell r="V27">
            <v>246.05563253229926</v>
          </cell>
          <cell r="W27">
            <v>233.6752566583952</v>
          </cell>
          <cell r="X27">
            <v>279.01162000083673</v>
          </cell>
          <cell r="Y27">
            <v>312.75656205786953</v>
          </cell>
          <cell r="Z27">
            <v>285.94967811812955</v>
          </cell>
          <cell r="AA27">
            <v>298.51371352412843</v>
          </cell>
          <cell r="AB27">
            <v>292.57303766303806</v>
          </cell>
          <cell r="AC27">
            <v>301.94192901137495</v>
          </cell>
          <cell r="AD27">
            <v>292.490488240942</v>
          </cell>
          <cell r="AE27">
            <v>304.75963815595139</v>
          </cell>
          <cell r="AF27">
            <v>302.72556434966685</v>
          </cell>
          <cell r="AG27">
            <v>300.64740025553272</v>
          </cell>
          <cell r="AH27">
            <v>296.12846188620807</v>
          </cell>
          <cell r="AI27">
            <v>316.48674787619547</v>
          </cell>
          <cell r="AJ27">
            <v>293.5259149773301</v>
          </cell>
          <cell r="AK27">
            <v>288.80291840116274</v>
          </cell>
          <cell r="AL27">
            <v>298.38041359532156</v>
          </cell>
          <cell r="AM27">
            <v>294.54260367110419</v>
          </cell>
          <cell r="AN27">
            <v>306.1774258086798</v>
          </cell>
          <cell r="AO27">
            <v>309.03271300012966</v>
          </cell>
          <cell r="AP27">
            <v>336.08773728640176</v>
          </cell>
          <cell r="AQ27">
            <v>312.40935136002508</v>
          </cell>
          <cell r="AR27">
            <v>358.44491934489997</v>
          </cell>
          <cell r="AS27">
            <v>330.92037278437135</v>
          </cell>
          <cell r="AT27">
            <v>292.91216687095641</v>
          </cell>
          <cell r="AU27">
            <v>321.12821823626433</v>
          </cell>
          <cell r="AV27">
            <v>324.40477229611457</v>
          </cell>
          <cell r="AW27">
            <v>320.62196092006934</v>
          </cell>
          <cell r="AX27">
            <v>319.86097383534667</v>
          </cell>
          <cell r="AY27">
            <v>312.01678956696031</v>
          </cell>
          <cell r="AZ27">
            <v>300.60648007222147</v>
          </cell>
          <cell r="BA27">
            <v>292.15943883721536</v>
          </cell>
          <cell r="BB27">
            <v>285.12920229528123</v>
          </cell>
          <cell r="BC27">
            <v>279.12501849434807</v>
          </cell>
          <cell r="BD27">
            <v>273.79343768796036</v>
          </cell>
          <cell r="BE27">
            <v>269.02753964799484</v>
          </cell>
          <cell r="BF27">
            <v>264.74192380943367</v>
          </cell>
          <cell r="BG27">
            <v>260.86755464623275</v>
          </cell>
          <cell r="BH27">
            <v>257.3480209418783</v>
          </cell>
          <cell r="BI27">
            <v>254.13677627135911</v>
          </cell>
          <cell r="BK27">
            <v>306.85047982711808</v>
          </cell>
          <cell r="BL27">
            <v>17.554292468996493</v>
          </cell>
        </row>
        <row r="28">
          <cell r="A28" t="str">
            <v xml:space="preserve">  Year-over-Year growth</v>
          </cell>
          <cell r="D28">
            <v>0.14288301099532097</v>
          </cell>
          <cell r="E28">
            <v>-0.10576224880406926</v>
          </cell>
          <cell r="F28">
            <v>0.26041818646856196</v>
          </cell>
          <cell r="G28">
            <v>-0.17805351026862781</v>
          </cell>
          <cell r="H28">
            <v>-0.16593356360145228</v>
          </cell>
          <cell r="I28" t="str">
            <v>N.M.</v>
          </cell>
          <cell r="J28" t="str">
            <v>N.M.</v>
          </cell>
          <cell r="K28" t="str">
            <v>N.M.</v>
          </cell>
          <cell r="L28" t="str">
            <v>N.M.</v>
          </cell>
          <cell r="M28">
            <v>-4.6919729182499648E-3</v>
          </cell>
          <cell r="N28">
            <v>-7.3439444051734304E-2</v>
          </cell>
          <cell r="O28">
            <v>1.0333440230578361E-2</v>
          </cell>
          <cell r="P28">
            <v>1.7100047928999329E-2</v>
          </cell>
          <cell r="Q28">
            <v>0.10194655706577072</v>
          </cell>
          <cell r="R28">
            <v>1.212871868755605E-2</v>
          </cell>
          <cell r="S28">
            <v>2.0005807134930276E-2</v>
          </cell>
          <cell r="T28">
            <v>8.8083227238528572E-2</v>
          </cell>
          <cell r="U28">
            <v>5.3045582918237022E-2</v>
          </cell>
          <cell r="V28">
            <v>9.2705791679404959E-2</v>
          </cell>
          <cell r="W28">
            <v>6.4717670763039914E-2</v>
          </cell>
          <cell r="X28">
            <v>0.22342950330033884</v>
          </cell>
          <cell r="Y28">
            <v>0.31027588380885907</v>
          </cell>
          <cell r="Z28">
            <v>0.29099811989315238</v>
          </cell>
          <cell r="AA28">
            <v>0.21319601771336449</v>
          </cell>
          <cell r="AB28">
            <v>0.25204971141101273</v>
          </cell>
          <cell r="AC28">
            <v>8.2184064629528431E-2</v>
          </cell>
          <cell r="AD28">
            <v>-6.4798236953307109E-2</v>
          </cell>
          <cell r="AE28">
            <v>6.5780665191206067E-2</v>
          </cell>
          <cell r="AF28">
            <v>1.4109404810301873E-2</v>
          </cell>
          <cell r="AG28">
            <v>2.7597767234430082E-2</v>
          </cell>
          <cell r="AH28">
            <v>-1.9253593378705136E-2</v>
          </cell>
          <cell r="AI28">
            <v>8.2041162362470832E-2</v>
          </cell>
          <cell r="AJ28">
            <v>-3.6860928325662234E-2</v>
          </cell>
          <cell r="AK28">
            <v>-4.5990981892836125E-2</v>
          </cell>
          <cell r="AL28">
            <v>-7.5403501187250033E-3</v>
          </cell>
          <cell r="AM28">
            <v>-5.3553049409795772E-3</v>
          </cell>
          <cell r="AN28">
            <v>-3.2574261439687557E-2</v>
          </cell>
          <cell r="AO28">
            <v>5.2829400170670393E-2</v>
          </cell>
          <cell r="AP28">
            <v>0.16372694274355593</v>
          </cell>
          <cell r="AQ28">
            <v>4.7016952606447893E-2</v>
          </cell>
          <cell r="AR28">
            <v>0.21695440617871076</v>
          </cell>
          <cell r="AS28">
            <v>8.0812446934453552E-2</v>
          </cell>
          <cell r="AT28">
            <v>-5.2164529679310956E-2</v>
          </cell>
          <cell r="AU28">
            <v>-4.4510755348950659E-2</v>
          </cell>
          <cell r="AV28">
            <v>3.8396484880715898E-2</v>
          </cell>
          <cell r="AW28">
            <v>-1.1660775978327154E-2</v>
          </cell>
          <cell r="AX28">
            <v>-2.373471494400814E-3</v>
          </cell>
          <cell r="AY28">
            <v>-2.4523730339245042E-2</v>
          </cell>
          <cell r="AZ28">
            <v>-3.6569536884777598E-2</v>
          </cell>
          <cell r="BA28">
            <v>-2.8099997155672352E-2</v>
          </cell>
          <cell r="BB28">
            <v>-2.4063013572021563E-2</v>
          </cell>
          <cell r="BC28">
            <v>-2.1057765225728109E-2</v>
          </cell>
          <cell r="BD28">
            <v>-1.9101049540980686E-2</v>
          </cell>
          <cell r="BE28">
            <v>-1.7406911137867298E-2</v>
          </cell>
          <cell r="BF28">
            <v>-1.5930026510180384E-2</v>
          </cell>
          <cell r="BG28">
            <v>-1.4634513141899563E-2</v>
          </cell>
          <cell r="BH28">
            <v>-1.3491649849393328E-2</v>
          </cell>
          <cell r="BI28">
            <v>-1.2478217857538665E-2</v>
          </cell>
          <cell r="BK28">
            <v>2.7466280961862211E-2</v>
          </cell>
          <cell r="BL28">
            <v>1.0930203918853687E-2</v>
          </cell>
        </row>
        <row r="29">
          <cell r="A29" t="str">
            <v>Mass Market Revenue / Visitor (US$)</v>
          </cell>
          <cell r="C29">
            <v>98.826046557198595</v>
          </cell>
          <cell r="D29">
            <v>104.82126384022412</v>
          </cell>
          <cell r="E29">
            <v>91.21508697723057</v>
          </cell>
          <cell r="F29">
            <v>97.237987906224561</v>
          </cell>
          <cell r="G29">
            <v>95.390296937034023</v>
          </cell>
          <cell r="H29">
            <v>74.093968535002972</v>
          </cell>
          <cell r="I29">
            <v>77.324691121874153</v>
          </cell>
          <cell r="J29">
            <v>69.577391788785576</v>
          </cell>
          <cell r="K29">
            <v>66.268091264842198</v>
          </cell>
          <cell r="L29">
            <v>65.481834640355117</v>
          </cell>
          <cell r="M29">
            <v>69.485441851167352</v>
          </cell>
          <cell r="N29">
            <v>66.094824623672622</v>
          </cell>
          <cell r="O29">
            <v>64.849752759992299</v>
          </cell>
          <cell r="P29">
            <v>62.17897935652708</v>
          </cell>
          <cell r="Q29">
            <v>66.566668732577583</v>
          </cell>
          <cell r="R29">
            <v>64.879130958528137</v>
          </cell>
          <cell r="S29">
            <v>60.149799731764105</v>
          </cell>
          <cell r="T29">
            <v>62.955623175626613</v>
          </cell>
          <cell r="U29">
            <v>58.419097931528988</v>
          </cell>
          <cell r="V29">
            <v>64.896930416348283</v>
          </cell>
          <cell r="W29">
            <v>61.631618489333086</v>
          </cell>
          <cell r="X29">
            <v>63.311555306810547</v>
          </cell>
          <cell r="Y29">
            <v>70.968744514064895</v>
          </cell>
          <cell r="Z29">
            <v>64.885895652254007</v>
          </cell>
          <cell r="AA29">
            <v>67.736847245170594</v>
          </cell>
          <cell r="AB29">
            <v>66.388826584460716</v>
          </cell>
          <cell r="AC29">
            <v>74.89171957298241</v>
          </cell>
          <cell r="AD29">
            <v>84.692945972489568</v>
          </cell>
          <cell r="AE29">
            <v>90.562461111420006</v>
          </cell>
          <cell r="AF29">
            <v>85.613830129435485</v>
          </cell>
          <cell r="AG29">
            <v>84.303626644021449</v>
          </cell>
          <cell r="AH29">
            <v>100.62117307365146</v>
          </cell>
          <cell r="AI29">
            <v>109.04131675186174</v>
          </cell>
          <cell r="AJ29">
            <v>113.43032031814982</v>
          </cell>
          <cell r="AK29">
            <v>121.43022970353687</v>
          </cell>
          <cell r="AL29">
            <v>111.44221269958217</v>
          </cell>
          <cell r="AM29">
            <v>109.08761781384123</v>
          </cell>
          <cell r="AN29">
            <v>110.35225837014708</v>
          </cell>
          <cell r="AO29">
            <v>107.20007019710748</v>
          </cell>
          <cell r="AP29">
            <v>111.41323795818768</v>
          </cell>
          <cell r="AQ29">
            <v>109.56058503486751</v>
          </cell>
          <cell r="AR29">
            <v>124.80812299597282</v>
          </cell>
          <cell r="AS29">
            <v>111.29032081958113</v>
          </cell>
          <cell r="AT29">
            <v>115.62377545134594</v>
          </cell>
          <cell r="AU29">
            <v>119.71097716342251</v>
          </cell>
          <cell r="AV29">
            <v>117.91681169731642</v>
          </cell>
          <cell r="AW29">
            <v>128.14735361515733</v>
          </cell>
          <cell r="AX29">
            <v>143.23197396120545</v>
          </cell>
          <cell r="AY29">
            <v>152.8036252338226</v>
          </cell>
          <cell r="AZ29">
            <v>155.08014952300658</v>
          </cell>
          <cell r="BA29">
            <v>157.25773283068975</v>
          </cell>
          <cell r="BB29">
            <v>159.070074610121</v>
          </cell>
          <cell r="BC29">
            <v>160.61790775754196</v>
          </cell>
          <cell r="BD29">
            <v>161.99234894286977</v>
          </cell>
          <cell r="BE29">
            <v>163.22096139179925</v>
          </cell>
          <cell r="BF29">
            <v>164.32576072372612</v>
          </cell>
          <cell r="BG29">
            <v>165.32454377484052</v>
          </cell>
          <cell r="BH29">
            <v>166.23185292986977</v>
          </cell>
          <cell r="BI29">
            <v>167.05968750494333</v>
          </cell>
          <cell r="BK29">
            <v>151.9703022190715</v>
          </cell>
          <cell r="BL29">
            <v>-34.05349052175508</v>
          </cell>
        </row>
        <row r="30">
          <cell r="A30" t="str">
            <v xml:space="preserve">  Year-over-Year growth</v>
          </cell>
          <cell r="D30">
            <v>6.0664343985020297E-2</v>
          </cell>
          <cell r="E30">
            <v>-0.1298035948482078</v>
          </cell>
          <cell r="F30">
            <v>6.6029657248448892E-2</v>
          </cell>
          <cell r="G30">
            <v>-1.9001740050117344E-2</v>
          </cell>
          <cell r="H30">
            <v>-0.22325466096502977</v>
          </cell>
          <cell r="I30" t="str">
            <v>N.M.</v>
          </cell>
          <cell r="J30" t="str">
            <v>N.M.</v>
          </cell>
          <cell r="K30" t="str">
            <v>N.M.</v>
          </cell>
          <cell r="L30" t="str">
            <v>N.M.</v>
          </cell>
          <cell r="M30">
            <v>-6.2198405281240876E-2</v>
          </cell>
          <cell r="N30">
            <v>-0.14523002077695657</v>
          </cell>
          <cell r="O30">
            <v>-6.7947919679784197E-2</v>
          </cell>
          <cell r="P30">
            <v>-6.1705593601192987E-2</v>
          </cell>
          <cell r="Q30">
            <v>1.6566947126339437E-2</v>
          </cell>
          <cell r="R30">
            <v>-6.6291740685848866E-2</v>
          </cell>
          <cell r="S30">
            <v>-8.9946904704838793E-2</v>
          </cell>
          <cell r="T30">
            <v>-2.9207969248176258E-2</v>
          </cell>
          <cell r="U30">
            <v>-6.0468689964165656E-2</v>
          </cell>
          <cell r="V30">
            <v>-2.5083699515402236E-2</v>
          </cell>
          <cell r="W30">
            <v>-5.0054808398573014E-2</v>
          </cell>
          <cell r="X30">
            <v>5.2564689976461798E-2</v>
          </cell>
          <cell r="Y30">
            <v>0.12728205892083966</v>
          </cell>
          <cell r="Z30">
            <v>0.11069663773830496</v>
          </cell>
          <cell r="AA30">
            <v>4.3760418414287683E-2</v>
          </cell>
          <cell r="AB30">
            <v>7.7187784642569257E-2</v>
          </cell>
          <cell r="AC30">
            <v>0.18290759419909808</v>
          </cell>
          <cell r="AD30">
            <v>0.19338374311672868</v>
          </cell>
          <cell r="AE30">
            <v>0.39571874906028293</v>
          </cell>
          <cell r="AF30">
            <v>0.26391814221231646</v>
          </cell>
          <cell r="AG30">
            <v>0.26984661397455634</v>
          </cell>
          <cell r="AH30">
            <v>0.34355538432517307</v>
          </cell>
          <cell r="AI30">
            <v>0.28748994972121</v>
          </cell>
          <cell r="AJ30">
            <v>0.25250925080972819</v>
          </cell>
          <cell r="AK30">
            <v>0.41834829162475584</v>
          </cell>
          <cell r="AL30">
            <v>0.32191481121156862</v>
          </cell>
          <cell r="AM30">
            <v>8.4141781312692565E-2</v>
          </cell>
          <cell r="AN30">
            <v>1.2022430188261213E-2</v>
          </cell>
          <cell r="AO30">
            <v>-5.4925791477690611E-2</v>
          </cell>
          <cell r="AP30">
            <v>-8.2491746658183485E-2</v>
          </cell>
          <cell r="AQ30">
            <v>-1.6884335110852633E-2</v>
          </cell>
          <cell r="AR30">
            <v>0.14410897860982486</v>
          </cell>
          <cell r="AS30">
            <v>8.500618503769708E-3</v>
          </cell>
          <cell r="AT30">
            <v>7.8579288602609099E-2</v>
          </cell>
          <cell r="AU30">
            <v>7.4477138958557898E-2</v>
          </cell>
          <cell r="AV30">
            <v>7.6270372778582285E-2</v>
          </cell>
          <cell r="AW30">
            <v>8.6760672804671257E-2</v>
          </cell>
          <cell r="AX30">
            <v>0.11771308513595335</v>
          </cell>
          <cell r="AY30">
            <v>6.6826219089947347E-2</v>
          </cell>
          <cell r="AZ30">
            <v>1.4898365701078164E-2</v>
          </cell>
          <cell r="BA30">
            <v>1.4041663709900565E-2</v>
          </cell>
          <cell r="BB30">
            <v>1.1524659212672761E-2</v>
          </cell>
          <cell r="BC30">
            <v>9.730511230441552E-3</v>
          </cell>
          <cell r="BD30">
            <v>8.5572101175828141E-3</v>
          </cell>
          <cell r="BE30">
            <v>7.5843856635646745E-3</v>
          </cell>
          <cell r="BF30">
            <v>6.7687343739808448E-3</v>
          </cell>
          <cell r="BG30">
            <v>6.0780674114364608E-3</v>
          </cell>
          <cell r="BH30">
            <v>5.4880487452906301E-3</v>
          </cell>
          <cell r="BI30">
            <v>4.9799996840724781E-3</v>
          </cell>
          <cell r="BK30">
            <v>0.14407101266670197</v>
          </cell>
          <cell r="BL30">
            <v>-6.7800639888119685E-2</v>
          </cell>
        </row>
        <row r="31">
          <cell r="BL31">
            <v>0</v>
          </cell>
        </row>
        <row r="32">
          <cell r="A32" t="str">
            <v>Average Total Tables</v>
          </cell>
          <cell r="X32">
            <v>441</v>
          </cell>
          <cell r="Y32">
            <v>441</v>
          </cell>
          <cell r="Z32">
            <v>441</v>
          </cell>
          <cell r="AA32">
            <v>441</v>
          </cell>
          <cell r="AB32">
            <v>441</v>
          </cell>
          <cell r="AC32">
            <v>441</v>
          </cell>
          <cell r="AD32">
            <v>584.87912087912082</v>
          </cell>
          <cell r="AE32">
            <v>680</v>
          </cell>
          <cell r="AF32">
            <v>936.304347826087</v>
          </cell>
          <cell r="AG32">
            <v>660.54586717630195</v>
          </cell>
          <cell r="AH32">
            <v>1159</v>
          </cell>
          <cell r="AI32">
            <v>1235.5</v>
          </cell>
          <cell r="AJ32">
            <v>1270.5</v>
          </cell>
          <cell r="AK32">
            <v>1342</v>
          </cell>
          <cell r="AL32">
            <v>1251.75</v>
          </cell>
          <cell r="AM32">
            <v>1561</v>
          </cell>
          <cell r="AN32">
            <v>1890</v>
          </cell>
          <cell r="AO32">
            <v>2182.5</v>
          </cell>
          <cell r="AP32">
            <v>2624.2705314009663</v>
          </cell>
          <cell r="AQ32">
            <v>2064.4426328502418</v>
          </cell>
          <cell r="AR32">
            <v>2855</v>
          </cell>
          <cell r="AS32">
            <v>3288.666666666667</v>
          </cell>
          <cell r="AT32">
            <v>4422</v>
          </cell>
          <cell r="AU32">
            <v>4791</v>
          </cell>
          <cell r="AV32">
            <v>3839.166666666667</v>
          </cell>
          <cell r="AW32">
            <v>5581</v>
          </cell>
          <cell r="AX32">
            <v>8198.5</v>
          </cell>
          <cell r="AY32">
            <v>9966</v>
          </cell>
          <cell r="AZ32">
            <v>11616</v>
          </cell>
          <cell r="BA32">
            <v>11616</v>
          </cell>
          <cell r="BK32">
            <v>4104.434782608696</v>
          </cell>
          <cell r="BL32">
            <v>-265.268115942029</v>
          </cell>
        </row>
        <row r="33">
          <cell r="A33" t="str">
            <v xml:space="preserve">  Year-over-Year growth</v>
          </cell>
          <cell r="AC33">
            <v>0</v>
          </cell>
          <cell r="AD33">
            <v>0.32625650992997923</v>
          </cell>
          <cell r="AE33">
            <v>0.54195011337868482</v>
          </cell>
          <cell r="AF33">
            <v>1.1231391107167505</v>
          </cell>
          <cell r="AG33">
            <v>0.49783643350635365</v>
          </cell>
          <cell r="AH33">
            <v>1.6281179138321997</v>
          </cell>
          <cell r="AI33">
            <v>1.112402299714415</v>
          </cell>
          <cell r="AJ33">
            <v>0.86838235294117649</v>
          </cell>
          <cell r="AK33">
            <v>0.43329463663803103</v>
          </cell>
          <cell r="AL33">
            <v>0.89502358912784419</v>
          </cell>
          <cell r="AM33">
            <v>0.34685073339085415</v>
          </cell>
          <cell r="AN33">
            <v>0.52974504249291776</v>
          </cell>
          <cell r="AO33">
            <v>0.71782762691853597</v>
          </cell>
          <cell r="AP33">
            <v>0.95549219925556361</v>
          </cell>
          <cell r="AQ33">
            <v>0.6492451630519207</v>
          </cell>
          <cell r="AR33">
            <v>0.82895579756566296</v>
          </cell>
          <cell r="AS33">
            <v>0.74003527336860686</v>
          </cell>
          <cell r="AT33">
            <v>1.0261168384879724</v>
          </cell>
          <cell r="AU33">
            <v>0.82565019218591207</v>
          </cell>
          <cell r="AV33">
            <v>0.85966255762030008</v>
          </cell>
          <cell r="AW33">
            <v>0.45370088995007585</v>
          </cell>
          <cell r="AX33">
            <v>0.46900197097294383</v>
          </cell>
          <cell r="AY33">
            <v>0.21558821735683353</v>
          </cell>
          <cell r="AZ33">
            <v>0.16556291390728473</v>
          </cell>
          <cell r="BA33">
            <v>0</v>
          </cell>
          <cell r="BK33">
            <v>0.90824031392313787</v>
          </cell>
          <cell r="BL33">
            <v>-4.8577756302837782E-2</v>
          </cell>
        </row>
        <row r="34">
          <cell r="A34" t="str">
            <v>Average VIP Tables</v>
          </cell>
          <cell r="X34">
            <v>183</v>
          </cell>
          <cell r="Y34">
            <v>183</v>
          </cell>
          <cell r="Z34">
            <v>183</v>
          </cell>
          <cell r="AA34">
            <v>183</v>
          </cell>
          <cell r="AB34">
            <v>183</v>
          </cell>
          <cell r="AC34">
            <v>183</v>
          </cell>
          <cell r="AD34">
            <v>184.87912087912082</v>
          </cell>
          <cell r="AE34">
            <v>184</v>
          </cell>
          <cell r="AF34">
            <v>227.304347826087</v>
          </cell>
          <cell r="AG34">
            <v>194.79586717630195</v>
          </cell>
          <cell r="AH34">
            <v>276</v>
          </cell>
          <cell r="AI34">
            <v>286</v>
          </cell>
          <cell r="AJ34">
            <v>288</v>
          </cell>
          <cell r="AK34">
            <v>294.5</v>
          </cell>
          <cell r="AL34">
            <v>286.125</v>
          </cell>
          <cell r="AM34">
            <v>374</v>
          </cell>
          <cell r="AN34">
            <v>499</v>
          </cell>
          <cell r="AO34">
            <v>559.97101449275351</v>
          </cell>
          <cell r="AP34">
            <v>535.66666666666697</v>
          </cell>
          <cell r="AQ34">
            <v>492.15942028985546</v>
          </cell>
          <cell r="AR34">
            <v>508.66666666666652</v>
          </cell>
          <cell r="AS34">
            <v>640.66666666666697</v>
          </cell>
          <cell r="AT34">
            <v>834.66666666666652</v>
          </cell>
          <cell r="AU34">
            <v>889.66666666666652</v>
          </cell>
          <cell r="AV34">
            <v>718.41666666666652</v>
          </cell>
          <cell r="AW34">
            <v>927.16666666666697</v>
          </cell>
          <cell r="AX34">
            <v>1302.166666666667</v>
          </cell>
          <cell r="AY34">
            <v>1624.6666666666661</v>
          </cell>
          <cell r="AZ34">
            <v>1949.6666666666661</v>
          </cell>
          <cell r="BA34">
            <v>1949.6666666666661</v>
          </cell>
          <cell r="BK34">
            <v>1007.809782608696</v>
          </cell>
          <cell r="BL34">
            <v>-289.39311594202945</v>
          </cell>
        </row>
        <row r="35">
          <cell r="A35" t="str">
            <v xml:space="preserve">  Year-over-Year growth</v>
          </cell>
          <cell r="AC35">
            <v>0</v>
          </cell>
          <cell r="AD35">
            <v>1.0268420104485365E-2</v>
          </cell>
          <cell r="AE35">
            <v>5.464480874316946E-3</v>
          </cell>
          <cell r="AF35">
            <v>0.24210026134473761</v>
          </cell>
          <cell r="AG35">
            <v>6.4458290580885036E-2</v>
          </cell>
          <cell r="AH35">
            <v>0.50819672131147531</v>
          </cell>
          <cell r="AI35">
            <v>0.54695672848311983</v>
          </cell>
          <cell r="AJ35">
            <v>0.56521739130434789</v>
          </cell>
          <cell r="AK35">
            <v>0.29561973986227974</v>
          </cell>
          <cell r="AL35">
            <v>0.46884533099996273</v>
          </cell>
          <cell r="AM35">
            <v>0.35507246376811596</v>
          </cell>
          <cell r="AN35">
            <v>0.74475524475524479</v>
          </cell>
          <cell r="AO35">
            <v>0.94434380032206078</v>
          </cell>
          <cell r="AP35">
            <v>0.81890209394453972</v>
          </cell>
          <cell r="AQ35">
            <v>0.72008534832627502</v>
          </cell>
          <cell r="AR35">
            <v>0.36007130124777142</v>
          </cell>
          <cell r="AS35">
            <v>0.28390113560454311</v>
          </cell>
          <cell r="AT35">
            <v>0.49055334127025207</v>
          </cell>
          <cell r="AU35">
            <v>0.66085874299937641</v>
          </cell>
          <cell r="AV35">
            <v>0.45972349009099056</v>
          </cell>
          <cell r="AW35">
            <v>0.29056953949657882</v>
          </cell>
          <cell r="AX35">
            <v>0.40445802624483185</v>
          </cell>
          <cell r="AY35">
            <v>0.24766414949443161</v>
          </cell>
          <cell r="AZ35">
            <v>0.20004103405826834</v>
          </cell>
          <cell r="BA35">
            <v>0</v>
          </cell>
          <cell r="BK35">
            <v>0.88193406087833015</v>
          </cell>
          <cell r="BL35">
            <v>-0.42221057078733959</v>
          </cell>
        </row>
        <row r="36">
          <cell r="A36" t="str">
            <v>Average Mass Market Tables</v>
          </cell>
          <cell r="X36">
            <v>258</v>
          </cell>
          <cell r="Y36">
            <v>258</v>
          </cell>
          <cell r="Z36">
            <v>258</v>
          </cell>
          <cell r="AA36">
            <v>258</v>
          </cell>
          <cell r="AB36">
            <v>258</v>
          </cell>
          <cell r="AC36">
            <v>258</v>
          </cell>
          <cell r="AD36">
            <v>400</v>
          </cell>
          <cell r="AE36">
            <v>496</v>
          </cell>
          <cell r="AF36">
            <v>709</v>
          </cell>
          <cell r="AG36">
            <v>465.75</v>
          </cell>
          <cell r="AH36">
            <v>883</v>
          </cell>
          <cell r="AI36">
            <v>949.5</v>
          </cell>
          <cell r="AJ36">
            <v>982.5</v>
          </cell>
          <cell r="AK36">
            <v>1047.5</v>
          </cell>
          <cell r="AL36">
            <v>965.625</v>
          </cell>
          <cell r="AM36">
            <v>1187</v>
          </cell>
          <cell r="AN36">
            <v>1391</v>
          </cell>
          <cell r="AO36">
            <v>1622.5289855072465</v>
          </cell>
          <cell r="AP36">
            <v>2088.6038647342993</v>
          </cell>
          <cell r="AQ36">
            <v>1572.2832125603863</v>
          </cell>
          <cell r="AR36">
            <v>2346.3333333333335</v>
          </cell>
          <cell r="AS36">
            <v>2648</v>
          </cell>
          <cell r="AT36">
            <v>3587.3333333333335</v>
          </cell>
          <cell r="AU36">
            <v>3901.3333333333335</v>
          </cell>
          <cell r="AV36">
            <v>3120.7500000000005</v>
          </cell>
          <cell r="AW36">
            <v>4653.833333333333</v>
          </cell>
          <cell r="AX36">
            <v>6896.333333333333</v>
          </cell>
          <cell r="AY36">
            <v>8341.3333333333339</v>
          </cell>
          <cell r="AZ36">
            <v>9666.3333333333339</v>
          </cell>
          <cell r="BA36">
            <v>9666.3333333333339</v>
          </cell>
          <cell r="BK36">
            <v>3096.625</v>
          </cell>
          <cell r="BL36">
            <v>24.125000000000455</v>
          </cell>
        </row>
        <row r="37">
          <cell r="A37" t="str">
            <v xml:space="preserve">  Year-over-Year growth</v>
          </cell>
          <cell r="AC37">
            <v>0</v>
          </cell>
          <cell r="AD37">
            <v>0.5503875968992249</v>
          </cell>
          <cell r="AE37">
            <v>0.92248062015503884</v>
          </cell>
          <cell r="AF37">
            <v>1.748062015503876</v>
          </cell>
          <cell r="AG37">
            <v>0.80523255813953498</v>
          </cell>
          <cell r="AH37">
            <v>2.4224806201550386</v>
          </cell>
          <cell r="AI37">
            <v>1.3737499999999998</v>
          </cell>
          <cell r="AJ37">
            <v>0.98084677419354849</v>
          </cell>
          <cell r="AK37">
            <v>0.47743300423131174</v>
          </cell>
          <cell r="AL37">
            <v>1.0732689210950079</v>
          </cell>
          <cell r="AM37">
            <v>0.34428086070215169</v>
          </cell>
          <cell r="AN37">
            <v>0.46498156924697209</v>
          </cell>
          <cell r="AO37">
            <v>0.65142899288269374</v>
          </cell>
          <cell r="AP37">
            <v>0.99389390428095403</v>
          </cell>
          <cell r="AQ37">
            <v>0.62825445960946169</v>
          </cell>
          <cell r="AR37">
            <v>0.97669194046616137</v>
          </cell>
          <cell r="AS37">
            <v>0.90366642703091293</v>
          </cell>
          <cell r="AT37">
            <v>1.2109517705853716</v>
          </cell>
          <cell r="AU37">
            <v>0.86791444716092192</v>
          </cell>
          <cell r="AV37">
            <v>0.98485233135448391</v>
          </cell>
          <cell r="AW37">
            <v>0.49125477315816135</v>
          </cell>
          <cell r="AX37">
            <v>0.48186083157253878</v>
          </cell>
          <cell r="AY37">
            <v>0.20953163516844708</v>
          </cell>
          <cell r="AZ37">
            <v>0.15884750639386191</v>
          </cell>
          <cell r="BA37">
            <v>0</v>
          </cell>
          <cell r="BK37">
            <v>0.91696114461175471</v>
          </cell>
          <cell r="BL37">
            <v>6.7891186742729204E-2</v>
          </cell>
        </row>
        <row r="38">
          <cell r="A38" t="str">
            <v>Average Slots</v>
          </cell>
          <cell r="X38">
            <v>808</v>
          </cell>
          <cell r="Y38">
            <v>808</v>
          </cell>
          <cell r="Z38">
            <v>808</v>
          </cell>
          <cell r="AA38">
            <v>873</v>
          </cell>
          <cell r="AB38">
            <v>824.25</v>
          </cell>
          <cell r="AC38">
            <v>873</v>
          </cell>
          <cell r="AD38">
            <v>1130.8791208791208</v>
          </cell>
          <cell r="AE38">
            <v>2027</v>
          </cell>
          <cell r="AF38">
            <v>2163.782608695652</v>
          </cell>
          <cell r="AG38">
            <v>1548.6654323936932</v>
          </cell>
          <cell r="AH38">
            <v>2721</v>
          </cell>
          <cell r="AI38">
            <v>2774.5</v>
          </cell>
          <cell r="AJ38">
            <v>2927</v>
          </cell>
          <cell r="AK38">
            <v>3251.5</v>
          </cell>
          <cell r="AL38">
            <v>2918.5</v>
          </cell>
          <cell r="AM38">
            <v>3988.5</v>
          </cell>
          <cell r="AN38">
            <v>4378</v>
          </cell>
          <cell r="AO38">
            <v>4849</v>
          </cell>
          <cell r="AP38">
            <v>5855.5</v>
          </cell>
          <cell r="AQ38">
            <v>4767.75</v>
          </cell>
          <cell r="AR38">
            <v>7518.782608695652</v>
          </cell>
          <cell r="AS38">
            <v>8227.115942028986</v>
          </cell>
          <cell r="AT38">
            <v>13641.782608695652</v>
          </cell>
          <cell r="AU38">
            <v>14878.782608695652</v>
          </cell>
          <cell r="AV38">
            <v>11066.615942028986</v>
          </cell>
          <cell r="AW38">
            <v>17875.782608695652</v>
          </cell>
          <cell r="AX38">
            <v>27650.782608695652</v>
          </cell>
          <cell r="AY38">
            <v>38425.782608695648</v>
          </cell>
          <cell r="AZ38">
            <v>46525.782608695648</v>
          </cell>
          <cell r="BA38">
            <v>47125.782608695648</v>
          </cell>
          <cell r="BK38">
            <v>9388.7391304347821</v>
          </cell>
          <cell r="BL38">
            <v>1677.8768115942039</v>
          </cell>
        </row>
        <row r="39">
          <cell r="A39" t="str">
            <v xml:space="preserve">  Year-over-Year growth</v>
          </cell>
          <cell r="AC39">
            <v>8.0445544554455406E-2</v>
          </cell>
          <cell r="AD39">
            <v>0.39960287237514946</v>
          </cell>
          <cell r="AE39">
            <v>1.5086633663366338</v>
          </cell>
          <cell r="AF39">
            <v>1.4785596892275512</v>
          </cell>
          <cell r="AG39">
            <v>0.87887829225804448</v>
          </cell>
          <cell r="AH39">
            <v>2.1168384879725086</v>
          </cell>
          <cell r="AI39">
            <v>1.4534010300262366</v>
          </cell>
          <cell r="AJ39">
            <v>0.44400592007893436</v>
          </cell>
          <cell r="AK39">
            <v>0.50269254727027968</v>
          </cell>
          <cell r="AL39">
            <v>0.88452582394702461</v>
          </cell>
          <cell r="AM39">
            <v>0.46582138919514882</v>
          </cell>
          <cell r="AN39">
            <v>0.57794197152640114</v>
          </cell>
          <cell r="AO39">
            <v>0.65664502903997257</v>
          </cell>
          <cell r="AP39">
            <v>0.80086114101184069</v>
          </cell>
          <cell r="AQ39">
            <v>0.63363028953229406</v>
          </cell>
          <cell r="AR39">
            <v>0.88511535883055092</v>
          </cell>
          <cell r="AS39">
            <v>0.87919505299885481</v>
          </cell>
          <cell r="AT39">
            <v>1.8133187479265112</v>
          </cell>
          <cell r="AU39">
            <v>1.5409926750398175</v>
          </cell>
          <cell r="AV39">
            <v>1.3211401482940559</v>
          </cell>
          <cell r="AW39">
            <v>0.61528896478703077</v>
          </cell>
          <cell r="AX39">
            <v>0.54682920541028301</v>
          </cell>
          <cell r="AY39">
            <v>0.38968155630471957</v>
          </cell>
          <cell r="AZ39">
            <v>0.21079596692890767</v>
          </cell>
          <cell r="BA39">
            <v>1.2896075387840211E-2</v>
          </cell>
          <cell r="BK39">
            <v>0.98914957126029623</v>
          </cell>
          <cell r="BL39">
            <v>0.33199057703375967</v>
          </cell>
        </row>
        <row r="40">
          <cell r="BL40">
            <v>0</v>
          </cell>
        </row>
        <row r="41">
          <cell r="A41" t="str">
            <v>Daily Win/Table (US$)</v>
          </cell>
          <cell r="X41">
            <v>20878.371700446176</v>
          </cell>
          <cell r="Y41">
            <v>16018.230552374755</v>
          </cell>
          <cell r="Z41">
            <v>23208.008050217322</v>
          </cell>
          <cell r="AA41">
            <v>25516.865399353974</v>
          </cell>
          <cell r="AB41">
            <v>21423.0158648406</v>
          </cell>
          <cell r="AC41">
            <v>27942.175562350341</v>
          </cell>
          <cell r="AD41">
            <v>21520.504062701977</v>
          </cell>
          <cell r="AE41">
            <v>21326.732189187915</v>
          </cell>
          <cell r="AF41">
            <v>15492.559288536297</v>
          </cell>
          <cell r="AG41">
            <v>20414.826766476152</v>
          </cell>
          <cell r="AH41">
            <v>12362.080724846539</v>
          </cell>
          <cell r="AI41">
            <v>12245.199541216536</v>
          </cell>
          <cell r="AJ41">
            <v>11833.739383548802</v>
          </cell>
          <cell r="AK41">
            <v>11193.953182029822</v>
          </cell>
          <cell r="AL41">
            <v>11887.951376957966</v>
          </cell>
          <cell r="AM41">
            <v>10624.081807773682</v>
          </cell>
          <cell r="AN41">
            <v>8888.5375798081623</v>
          </cell>
          <cell r="AO41">
            <v>8101.2104045306896</v>
          </cell>
          <cell r="AP41">
            <v>8180.5502025059914</v>
          </cell>
          <cell r="AQ41">
            <v>8789.413707071848</v>
          </cell>
          <cell r="AR41">
            <v>8253.9689289360504</v>
          </cell>
          <cell r="AS41">
            <v>6276.1665605991375</v>
          </cell>
          <cell r="AT41">
            <v>4702.2807171656068</v>
          </cell>
          <cell r="AU41">
            <v>5009.0981311412315</v>
          </cell>
          <cell r="AV41">
            <v>5794.6280674243335</v>
          </cell>
          <cell r="AW41">
            <v>4418.7291130811236</v>
          </cell>
          <cell r="AX41">
            <v>3327.7505285950278</v>
          </cell>
          <cell r="AY41">
            <v>2957.6453872411762</v>
          </cell>
          <cell r="AZ41">
            <v>2678.1458741867596</v>
          </cell>
          <cell r="BA41">
            <v>2912.0188823426479</v>
          </cell>
          <cell r="BK41">
            <v>4961.6795122459662</v>
          </cell>
          <cell r="BL41">
            <v>832.94855517836731</v>
          </cell>
        </row>
        <row r="42">
          <cell r="A42" t="str">
            <v xml:space="preserve">  Year-over-Year growth</v>
          </cell>
          <cell r="AC42">
            <v>0.33833116697281573</v>
          </cell>
          <cell r="AD42">
            <v>0.34350070641925501</v>
          </cell>
          <cell r="AE42">
            <v>-8.1061496400669841E-2</v>
          </cell>
          <cell r="AF42">
            <v>-0.39285021705963419</v>
          </cell>
          <cell r="AG42">
            <v>-4.7061025614936192E-2</v>
          </cell>
          <cell r="AH42">
            <v>-0.55758345669034548</v>
          </cell>
          <cell r="AI42">
            <v>-0.43099847914625899</v>
          </cell>
          <cell r="AJ42">
            <v>-0.44512177118498286</v>
          </cell>
          <cell r="AK42">
            <v>-0.27746262102009345</v>
          </cell>
          <cell r="AL42">
            <v>-0.41768051657045868</v>
          </cell>
          <cell r="AM42">
            <v>-0.1405911315220304</v>
          </cell>
          <cell r="AN42">
            <v>-0.27412064214307574</v>
          </cell>
          <cell r="AO42">
            <v>-0.31541416098845754</v>
          </cell>
          <cell r="AP42">
            <v>-0.26919917660200576</v>
          </cell>
          <cell r="AQ42">
            <v>-0.26064521729891277</v>
          </cell>
          <cell r="AR42">
            <v>-0.223088726322063</v>
          </cell>
          <cell r="AS42">
            <v>-0.29390335538924572</v>
          </cell>
          <cell r="AT42">
            <v>-0.41955825335238728</v>
          </cell>
          <cell r="AU42">
            <v>-0.38768200094820415</v>
          </cell>
          <cell r="AV42">
            <v>-0.34072643972122385</v>
          </cell>
          <cell r="AW42">
            <v>-0.2374438770415831</v>
          </cell>
          <cell r="AX42">
            <v>-0.2468987250782998</v>
          </cell>
          <cell r="AY42">
            <v>-0.11121781460887026</v>
          </cell>
          <cell r="AZ42">
            <v>-9.4500684314669403E-2</v>
          </cell>
          <cell r="BA42">
            <v>8.7326463584402658E-2</v>
          </cell>
          <cell r="BK42">
            <v>-0.38297983646888889</v>
          </cell>
          <cell r="BL42">
            <v>4.225339674766504E-2</v>
          </cell>
        </row>
        <row r="43">
          <cell r="A43" t="str">
            <v>Daily VIP Win/Table (US$)</v>
          </cell>
          <cell r="X43">
            <v>39231.834225657789</v>
          </cell>
          <cell r="Y43">
            <v>30099.309210291707</v>
          </cell>
          <cell r="Z43">
            <v>43609.374217358141</v>
          </cell>
          <cell r="AA43">
            <v>47947.86909960441</v>
          </cell>
          <cell r="AB43">
            <v>40255.256448236447</v>
          </cell>
          <cell r="AC43">
            <v>51147.950942594696</v>
          </cell>
          <cell r="AD43">
            <v>49200.47753068844</v>
          </cell>
          <cell r="AE43">
            <v>56373.88034573348</v>
          </cell>
          <cell r="AF43">
            <v>46537.441338625496</v>
          </cell>
          <cell r="AG43">
            <v>50592.455869262696</v>
          </cell>
          <cell r="AH43">
            <v>35079.721714892054</v>
          </cell>
          <cell r="AI43">
            <v>35599.544166450578</v>
          </cell>
          <cell r="AJ43">
            <v>32973.562134291162</v>
          </cell>
          <cell r="AK43">
            <v>30496.571499948626</v>
          </cell>
          <cell r="AL43">
            <v>33492.743825717982</v>
          </cell>
          <cell r="AM43">
            <v>28914.768388849123</v>
          </cell>
          <cell r="AN43">
            <v>22314.73689256149</v>
          </cell>
          <cell r="AO43">
            <v>21443.140745718862</v>
          </cell>
          <cell r="AP43">
            <v>27820.624877638747</v>
          </cell>
          <cell r="AQ43">
            <v>24840.441493932929</v>
          </cell>
          <cell r="AR43">
            <v>31652.45380119871</v>
          </cell>
          <cell r="AS43">
            <v>22594.541866084237</v>
          </cell>
          <cell r="AT43">
            <v>16543.9311528172</v>
          </cell>
          <cell r="AU43">
            <v>18425.821879431271</v>
          </cell>
          <cell r="AV43">
            <v>21145.682313409634</v>
          </cell>
          <cell r="AW43">
            <v>17695.549290114752</v>
          </cell>
          <cell r="AX43">
            <v>13355.530672336219</v>
          </cell>
          <cell r="AY43">
            <v>11132.604799823705</v>
          </cell>
          <cell r="AZ43">
            <v>9555.1590473877513</v>
          </cell>
          <cell r="BA43">
            <v>9814.9236171186476</v>
          </cell>
          <cell r="BK43">
            <v>10898.654068658198</v>
          </cell>
          <cell r="BL43">
            <v>10247.028244751436</v>
          </cell>
        </row>
        <row r="44">
          <cell r="A44" t="str">
            <v xml:space="preserve">  Year-over-Year growth</v>
          </cell>
          <cell r="AC44">
            <v>0.30373590611125989</v>
          </cell>
          <cell r="AD44">
            <v>0.63460487371801766</v>
          </cell>
          <cell r="AE44">
            <v>0.29270096985924177</v>
          </cell>
          <cell r="AF44">
            <v>-2.9415859087480234E-2</v>
          </cell>
          <cell r="AG44">
            <v>0.25679129468020356</v>
          </cell>
          <cell r="AH44">
            <v>-0.31415196369717002</v>
          </cell>
          <cell r="AI44">
            <v>-0.2764390519533958</v>
          </cell>
          <cell r="AJ44">
            <v>-0.41509149393178701</v>
          </cell>
          <cell r="AK44">
            <v>-0.34468740388963215</v>
          </cell>
          <cell r="AL44">
            <v>-0.33798936520758216</v>
          </cell>
          <cell r="AM44">
            <v>-0.17574122668783265</v>
          </cell>
          <cell r="AN44">
            <v>-0.37317352187921671</v>
          </cell>
          <cell r="AO44">
            <v>-0.34968685947888933</v>
          </cell>
          <cell r="AP44">
            <v>-8.7745818323033076E-2</v>
          </cell>
          <cell r="AQ44">
            <v>-0.25833363718445879</v>
          </cell>
          <cell r="AR44">
            <v>9.4681215340647995E-2</v>
          </cell>
          <cell r="AS44">
            <v>1.2539021852236987E-2</v>
          </cell>
          <cell r="AT44">
            <v>-0.2284744408945687</v>
          </cell>
          <cell r="AU44">
            <v>-0.3376920194829518</v>
          </cell>
          <cell r="AV44">
            <v>-0.14873967443073466</v>
          </cell>
          <cell r="AW44">
            <v>-0.16316016537839328</v>
          </cell>
          <cell r="AX44">
            <v>-0.24526046333034679</v>
          </cell>
          <cell r="AY44">
            <v>-0.16644234714813233</v>
          </cell>
          <cell r="AZ44">
            <v>-0.14169601641306206</v>
          </cell>
          <cell r="BA44">
            <v>2.7185792349726734E-2</v>
          </cell>
          <cell r="BK44">
            <v>-0.41549492999419368</v>
          </cell>
          <cell r="BL44">
            <v>0.26675525556345903</v>
          </cell>
        </row>
        <row r="45">
          <cell r="A45" t="str">
            <v>Daily Mass Market Win/Table (US$)</v>
          </cell>
          <cell r="X45">
            <v>7860.2180488425865</v>
          </cell>
          <cell r="Y45">
            <v>6030.4887136197112</v>
          </cell>
          <cell r="Z45">
            <v>8737.2715828267374</v>
          </cell>
          <cell r="AA45">
            <v>9606.5023096414607</v>
          </cell>
          <cell r="AB45">
            <v>8065.2638231295905</v>
          </cell>
          <cell r="AC45">
            <v>11482.265118223535</v>
          </cell>
          <cell r="AD45">
            <v>8726.8811609051645</v>
          </cell>
          <cell r="AE45">
            <v>8325.370776275855</v>
          </cell>
          <cell r="AF45">
            <v>5539.6161746670159</v>
          </cell>
          <cell r="AG45">
            <v>7793.2971252477782</v>
          </cell>
          <cell r="AH45">
            <v>5261.2099284110227</v>
          </cell>
          <cell r="AI45">
            <v>5210.6102175546766</v>
          </cell>
          <cell r="AJ45">
            <v>5637.0279818044764</v>
          </cell>
          <cell r="AK45">
            <v>5767.1072683046768</v>
          </cell>
          <cell r="AL45">
            <v>5486.2206435972312</v>
          </cell>
          <cell r="AM45">
            <v>4861.0516634415735</v>
          </cell>
          <cell r="AN45">
            <v>4072.0936854415809</v>
          </cell>
          <cell r="AO45">
            <v>3496.6120675024445</v>
          </cell>
          <cell r="AP45">
            <v>3143.4373674920867</v>
          </cell>
          <cell r="AQ45">
            <v>3765.0870033772258</v>
          </cell>
          <cell r="AR45">
            <v>3181.3609000863839</v>
          </cell>
          <cell r="AS45">
            <v>2328.0400075852417</v>
          </cell>
          <cell r="AT45">
            <v>1947.0779025520055</v>
          </cell>
          <cell r="AU45">
            <v>1949.5257042627188</v>
          </cell>
          <cell r="AV45">
            <v>2260.7169174700166</v>
          </cell>
          <cell r="AW45">
            <v>1773.6354395919532</v>
          </cell>
          <cell r="AX45">
            <v>1434.3036180858212</v>
          </cell>
          <cell r="AY45">
            <v>1365.3838712194677</v>
          </cell>
          <cell r="AZ45">
            <v>1291.0756286592386</v>
          </cell>
          <cell r="BA45">
            <v>1519.7263966119397</v>
          </cell>
          <cell r="BK45">
            <v>3029.4658806143771</v>
          </cell>
          <cell r="BL45">
            <v>-768.74896314436046</v>
          </cell>
        </row>
        <row r="46">
          <cell r="A46" t="str">
            <v xml:space="preserve">  Year-over-Year growth</v>
          </cell>
          <cell r="AC46">
            <v>0.46080745430647352</v>
          </cell>
          <cell r="AD46">
            <v>0.44712668828907964</v>
          </cell>
          <cell r="AE46">
            <v>-4.7142955629361549E-2</v>
          </cell>
          <cell r="AF46">
            <v>-0.42334722918795942</v>
          </cell>
          <cell r="AG46">
            <v>-3.3720744149976278E-2</v>
          </cell>
          <cell r="AH46">
            <v>-0.54179686026749707</v>
          </cell>
          <cell r="AI46">
            <v>-0.40292412358068308</v>
          </cell>
          <cell r="AJ46">
            <v>-0.32290967774457979</v>
          </cell>
          <cell r="AK46">
            <v>4.1066219475275334E-2</v>
          </cell>
          <cell r="AL46">
            <v>-0.29603343034058849</v>
          </cell>
          <cell r="AM46">
            <v>-7.6058220526148856E-2</v>
          </cell>
          <cell r="AN46">
            <v>-0.21849965446991315</v>
          </cell>
          <cell r="AO46">
            <v>-0.37970645546039328</v>
          </cell>
          <cell r="AP46">
            <v>-0.45493689968833462</v>
          </cell>
          <cell r="AQ46">
            <v>-0.3137193620217732</v>
          </cell>
          <cell r="AR46">
            <v>-0.34554061130179103</v>
          </cell>
          <cell r="AS46">
            <v>-0.42829409453216272</v>
          </cell>
          <cell r="AT46">
            <v>-0.44315301069621893</v>
          </cell>
          <cell r="AU46">
            <v>-0.37981086423932808</v>
          </cell>
          <cell r="AV46">
            <v>-0.39955785472096983</v>
          </cell>
          <cell r="AW46">
            <v>-0.21545443134170006</v>
          </cell>
          <cell r="AX46">
            <v>-0.19131993753135623</v>
          </cell>
          <cell r="AY46">
            <v>-4.805101653325794E-2</v>
          </cell>
          <cell r="AZ46">
            <v>-5.4422967874860007E-2</v>
          </cell>
          <cell r="BA46">
            <v>0.17710098686484477</v>
          </cell>
          <cell r="BK46">
            <v>-0.33062453443542383</v>
          </cell>
          <cell r="BL46">
            <v>-6.8933320285545996E-2</v>
          </cell>
        </row>
        <row r="47">
          <cell r="A47" t="str">
            <v>Daily Win/Slot (US$)</v>
          </cell>
          <cell r="X47">
            <v>98.19869269441466</v>
          </cell>
          <cell r="Y47">
            <v>75.33965397729358</v>
          </cell>
          <cell r="Z47">
            <v>109.15583280491602</v>
          </cell>
          <cell r="AA47">
            <v>111.07939887061613</v>
          </cell>
          <cell r="AB47">
            <v>95.440555439451785</v>
          </cell>
          <cell r="AC47">
            <v>143.14283538202235</v>
          </cell>
          <cell r="AD47">
            <v>191.53347346963304</v>
          </cell>
          <cell r="AE47">
            <v>126.40764176566685</v>
          </cell>
          <cell r="AF47">
            <v>112.63000444921863</v>
          </cell>
          <cell r="AG47">
            <v>136.89300769567095</v>
          </cell>
          <cell r="AH47">
            <v>123.98394807565924</v>
          </cell>
          <cell r="AI47">
            <v>145.71944061776799</v>
          </cell>
          <cell r="AJ47">
            <v>151.26965356397008</v>
          </cell>
          <cell r="AK47">
            <v>146.06092605512933</v>
          </cell>
          <cell r="AL47">
            <v>142.29534428720078</v>
          </cell>
          <cell r="AM47">
            <v>148.16941110887214</v>
          </cell>
          <cell r="AN47">
            <v>139.46826227447755</v>
          </cell>
          <cell r="AO47">
            <v>145.23621498801791</v>
          </cell>
          <cell r="AP47">
            <v>140.82587089775592</v>
          </cell>
          <cell r="AQ47">
            <v>143.3181059766107</v>
          </cell>
          <cell r="AR47">
            <v>151.1327993310496</v>
          </cell>
          <cell r="AS47">
            <v>142.25762751996712</v>
          </cell>
          <cell r="AT47">
            <v>148.14093928777828</v>
          </cell>
          <cell r="AU47">
            <v>143.64238831571103</v>
          </cell>
          <cell r="AV47">
            <v>146.39160569190702</v>
          </cell>
          <cell r="AW47">
            <v>149.31943780574517</v>
          </cell>
          <cell r="AX47">
            <v>152.30582656186007</v>
          </cell>
          <cell r="AY47">
            <v>155.35194309309728</v>
          </cell>
          <cell r="AZ47">
            <v>158.45898195495923</v>
          </cell>
          <cell r="BA47">
            <v>161.62816159405841</v>
          </cell>
          <cell r="BK47">
            <v>148.71946710450229</v>
          </cell>
          <cell r="BL47">
            <v>-2.3278614125952686</v>
          </cell>
        </row>
        <row r="48">
          <cell r="A48" t="str">
            <v xml:space="preserve">  Year-over-Year growth</v>
          </cell>
          <cell r="AC48">
            <v>0.45768575379582455</v>
          </cell>
          <cell r="AD48">
            <v>1.5422664341856258</v>
          </cell>
          <cell r="AE48">
            <v>0.1580475226787319</v>
          </cell>
          <cell r="AF48">
            <v>1.3959434371882296E-2</v>
          </cell>
          <cell r="AG48">
            <v>0.43432744146713298</v>
          </cell>
          <cell r="AH48">
            <v>-0.13384454244762933</v>
          </cell>
          <cell r="AI48">
            <v>-0.23919595892009293</v>
          </cell>
          <cell r="AJ48">
            <v>0.19668124055658098</v>
          </cell>
          <cell r="AK48">
            <v>0.29682074301065708</v>
          </cell>
          <cell r="AL48">
            <v>3.9463933786449079E-2</v>
          </cell>
          <cell r="AM48">
            <v>0.1950693086370674</v>
          </cell>
          <cell r="AN48">
            <v>-4.2898725913227298E-2</v>
          </cell>
          <cell r="AO48">
            <v>-3.9885320246342171E-2</v>
          </cell>
          <cell r="AP48">
            <v>-3.5841585417563993E-2</v>
          </cell>
          <cell r="AQ48">
            <v>7.1875977006361502E-3</v>
          </cell>
          <cell r="AR48">
            <v>0.02</v>
          </cell>
          <cell r="AS48">
            <v>0.02</v>
          </cell>
          <cell r="AT48">
            <v>0.02</v>
          </cell>
          <cell r="AU48">
            <v>0.02</v>
          </cell>
          <cell r="AV48">
            <v>2.1445299561786868E-2</v>
          </cell>
          <cell r="AW48">
            <v>0.02</v>
          </cell>
          <cell r="AX48">
            <v>0.02</v>
          </cell>
          <cell r="AY48">
            <v>0.02</v>
          </cell>
          <cell r="AZ48">
            <v>0.02</v>
          </cell>
          <cell r="BA48">
            <v>0.02</v>
          </cell>
          <cell r="BK48">
            <v>0.02</v>
          </cell>
          <cell r="BL48">
            <v>1.4452995617868676E-3</v>
          </cell>
        </row>
        <row r="49">
          <cell r="BL49">
            <v>0</v>
          </cell>
        </row>
        <row r="50">
          <cell r="A50" t="str">
            <v>Visitors (millions)</v>
          </cell>
          <cell r="BL50">
            <v>0</v>
          </cell>
        </row>
        <row r="51">
          <cell r="A51" t="str">
            <v>Total</v>
          </cell>
          <cell r="B51">
            <v>7.8292999999999999</v>
          </cell>
          <cell r="C51">
            <v>7.8338000000000001</v>
          </cell>
          <cell r="D51">
            <v>7.7525000000000004</v>
          </cell>
          <cell r="E51">
            <v>8.1510999999999996</v>
          </cell>
          <cell r="F51">
            <v>7.0004</v>
          </cell>
          <cell r="G51">
            <v>6.9485000000000001</v>
          </cell>
          <cell r="H51">
            <v>7.4439000000000002</v>
          </cell>
          <cell r="I51">
            <v>2.175767</v>
          </cell>
          <cell r="J51">
            <v>2.1899030000000002</v>
          </cell>
          <cell r="K51">
            <v>2.4746739999999998</v>
          </cell>
          <cell r="L51">
            <v>2.3218679999999998</v>
          </cell>
          <cell r="M51">
            <v>9.1622120000000002</v>
          </cell>
          <cell r="N51">
            <v>2.4530820000000002</v>
          </cell>
          <cell r="O51">
            <v>2.5566200000000001</v>
          </cell>
          <cell r="P51">
            <v>2.6891560000000001</v>
          </cell>
          <cell r="Q51">
            <v>2.5801150000000002</v>
          </cell>
          <cell r="R51">
            <v>10.278973000000001</v>
          </cell>
          <cell r="S51">
            <v>2.6729509999999999</v>
          </cell>
          <cell r="T51">
            <v>2.8038780000000001</v>
          </cell>
          <cell r="U51">
            <v>3.0133160000000001</v>
          </cell>
          <cell r="V51">
            <v>3.0406960000000001</v>
          </cell>
          <cell r="W51">
            <v>11.530841000000001</v>
          </cell>
          <cell r="X51">
            <v>2.995587</v>
          </cell>
          <cell r="Y51">
            <v>2.0730729999999999</v>
          </cell>
          <cell r="Z51">
            <v>3.3212470000000001</v>
          </cell>
          <cell r="AA51">
            <v>3.4979689999999999</v>
          </cell>
          <cell r="AB51">
            <v>11.887875999999999</v>
          </cell>
          <cell r="AC51">
            <v>3.7514470000000002</v>
          </cell>
          <cell r="AD51">
            <v>3.9834390000000002</v>
          </cell>
          <cell r="AE51">
            <v>4.4552269999999998</v>
          </cell>
          <cell r="AF51">
            <v>4.482443</v>
          </cell>
          <cell r="AG51">
            <v>16.672556</v>
          </cell>
          <cell r="AH51">
            <v>4.4570220000000003</v>
          </cell>
          <cell r="AI51">
            <v>4.4663009999999996</v>
          </cell>
          <cell r="AJ51">
            <v>4.8511319999999998</v>
          </cell>
          <cell r="AK51">
            <v>4.9367320000000001</v>
          </cell>
          <cell r="AL51">
            <v>18.711186999999999</v>
          </cell>
          <cell r="AM51">
            <v>5.2480180000000001</v>
          </cell>
          <cell r="AN51">
            <v>5.1744620000000001</v>
          </cell>
          <cell r="AO51">
            <v>5.4733140000000002</v>
          </cell>
          <cell r="AP51">
            <v>6.102328</v>
          </cell>
          <cell r="AQ51">
            <v>21.998122000000002</v>
          </cell>
          <cell r="AR51">
            <v>6.2021452000000004</v>
          </cell>
          <cell r="AS51">
            <v>5.9977077000000003</v>
          </cell>
          <cell r="AT51">
            <v>7.1657113800000003</v>
          </cell>
          <cell r="AU51">
            <v>7.4876471791448207</v>
          </cell>
          <cell r="AV51">
            <v>26.853211459144823</v>
          </cell>
          <cell r="AW51">
            <v>31.112956369452657</v>
          </cell>
          <cell r="AX51">
            <v>35.938386716715485</v>
          </cell>
          <cell r="AY51">
            <v>41.464358695646425</v>
          </cell>
          <cell r="AZ51">
            <v>46.725028260970944</v>
          </cell>
          <cell r="BA51">
            <v>51.917160814241257</v>
          </cell>
          <cell r="BB51">
            <v>57.225724977400361</v>
          </cell>
          <cell r="BC51">
            <v>62.698682591780887</v>
          </cell>
          <cell r="BD51">
            <v>68.453241363633722</v>
          </cell>
          <cell r="BE51">
            <v>74.501429399553246</v>
          </cell>
          <cell r="BF51">
            <v>80.855743837087061</v>
          </cell>
          <cell r="BG51">
            <v>87.529168173325587</v>
          </cell>
          <cell r="BH51">
            <v>94.535190211282512</v>
          </cell>
          <cell r="BI51">
            <v>101.88782064554243</v>
          </cell>
          <cell r="BK51">
            <v>25.885017569144825</v>
          </cell>
          <cell r="BL51">
            <v>0.96819388999999845</v>
          </cell>
        </row>
        <row r="52">
          <cell r="A52" t="str">
            <v xml:space="preserve">  Year-over-Year growth</v>
          </cell>
          <cell r="C52">
            <v>5.7476402743539268E-4</v>
          </cell>
          <cell r="D52">
            <v>-1.0378105134162152E-2</v>
          </cell>
          <cell r="E52">
            <v>5.1415672363753551E-2</v>
          </cell>
          <cell r="F52">
            <v>-0.1411711302768951</v>
          </cell>
          <cell r="G52">
            <v>-7.4138620650248122E-3</v>
          </cell>
          <cell r="H52">
            <v>7.1295963157516073E-2</v>
          </cell>
          <cell r="I52" t="str">
            <v>N.M.</v>
          </cell>
          <cell r="J52" t="str">
            <v>N.M.</v>
          </cell>
          <cell r="K52" t="str">
            <v>N.M.</v>
          </cell>
          <cell r="L52" t="str">
            <v>N.M.</v>
          </cell>
          <cell r="M52">
            <v>0.23083491180698301</v>
          </cell>
          <cell r="N52">
            <v>0.12745620280112724</v>
          </cell>
          <cell r="O52">
            <v>0.16745810202552347</v>
          </cell>
          <cell r="P52">
            <v>8.667080997335419E-2</v>
          </cell>
          <cell r="Q52">
            <v>0.11122380772722673</v>
          </cell>
          <cell r="R52">
            <v>0.12188770571997254</v>
          </cell>
          <cell r="S52">
            <v>8.9629698477262432E-2</v>
          </cell>
          <cell r="T52">
            <v>9.6712847431374316E-2</v>
          </cell>
          <cell r="U52">
            <v>0.12054339725921448</v>
          </cell>
          <cell r="V52">
            <v>0.17851181052007359</v>
          </cell>
          <cell r="W52">
            <v>0.12178920987534458</v>
          </cell>
          <cell r="X52">
            <v>0.12070404582800065</v>
          </cell>
          <cell r="Y52">
            <v>-0.26064079820876662</v>
          </cell>
          <cell r="Z52">
            <v>0.10219007896948074</v>
          </cell>
          <cell r="AA52">
            <v>0.15038431990570578</v>
          </cell>
          <cell r="AB52">
            <v>3.0963483062510289E-2</v>
          </cell>
          <cell r="AC52">
            <v>0.25232450267677087</v>
          </cell>
          <cell r="AD52">
            <v>0.92151410008234169</v>
          </cell>
          <cell r="AE52">
            <v>0.34143199828257265</v>
          </cell>
          <cell r="AF52">
            <v>0.28144160225548021</v>
          </cell>
          <cell r="AG52">
            <v>0.40248400975918686</v>
          </cell>
          <cell r="AH52">
            <v>0.18808075923770207</v>
          </cell>
          <cell r="AI52">
            <v>0.12121737021704093</v>
          </cell>
          <cell r="AJ52">
            <v>8.8863036608460177E-2</v>
          </cell>
          <cell r="AK52">
            <v>0.10134852802366923</v>
          </cell>
          <cell r="AL52">
            <v>0.12227465302860563</v>
          </cell>
          <cell r="AM52">
            <v>0.17747186349988842</v>
          </cell>
          <cell r="AN52">
            <v>0.15855648779605325</v>
          </cell>
          <cell r="AO52">
            <v>0.12825501346902146</v>
          </cell>
          <cell r="AP52">
            <v>0.23610680101735304</v>
          </cell>
          <cell r="AQ52">
            <v>0.17566683503296732</v>
          </cell>
          <cell r="AR52">
            <v>0.18180715081388832</v>
          </cell>
          <cell r="AS52">
            <v>0.15909783471209193</v>
          </cell>
          <cell r="AT52">
            <v>0.3092088961093773</v>
          </cell>
          <cell r="AU52">
            <v>0.22701486697287021</v>
          </cell>
          <cell r="AV52">
            <v>0.22070472466444269</v>
          </cell>
          <cell r="AW52">
            <v>0.15863074391637366</v>
          </cell>
          <cell r="AX52">
            <v>0.15509391939367534</v>
          </cell>
          <cell r="AY52">
            <v>0.15376238289407484</v>
          </cell>
          <cell r="AZ52">
            <v>0.1268720831772292</v>
          </cell>
          <cell r="BA52">
            <v>0.11112101472193769</v>
          </cell>
          <cell r="BB52">
            <v>0.10225066394044657</v>
          </cell>
          <cell r="BC52">
            <v>9.5638065162860109E-2</v>
          </cell>
          <cell r="BD52">
            <v>9.178117520139395E-2</v>
          </cell>
          <cell r="BE52">
            <v>8.8355027686572996E-2</v>
          </cell>
          <cell r="BF52">
            <v>8.5291174796868097E-2</v>
          </cell>
          <cell r="BG52">
            <v>8.2534944575916924E-2</v>
          </cell>
          <cell r="BH52">
            <v>8.0042141198960914E-2</v>
          </cell>
          <cell r="BI52">
            <v>7.7776650343930998E-2</v>
          </cell>
          <cell r="BK52">
            <v>0.17766064791266523</v>
          </cell>
          <cell r="BL52">
            <v>4.304407675177746E-2</v>
          </cell>
        </row>
        <row r="53">
          <cell r="A53" t="str">
            <v>China</v>
          </cell>
          <cell r="B53">
            <v>0.27210000000000001</v>
          </cell>
          <cell r="C53">
            <v>0.24529999999999999</v>
          </cell>
          <cell r="D53">
            <v>0.54320000000000002</v>
          </cell>
          <cell r="E53">
            <v>0.60419999999999996</v>
          </cell>
          <cell r="F53">
            <v>0.52980000000000005</v>
          </cell>
          <cell r="G53">
            <v>0.81679999999999997</v>
          </cell>
          <cell r="H53">
            <v>1.6452</v>
          </cell>
          <cell r="I53">
            <v>0.57844899999999999</v>
          </cell>
          <cell r="J53">
            <v>0.54893999999999998</v>
          </cell>
          <cell r="K53">
            <v>0.55027999999999999</v>
          </cell>
          <cell r="L53">
            <v>0.59704400000000002</v>
          </cell>
          <cell r="M53">
            <v>2.2747129999999998</v>
          </cell>
          <cell r="N53">
            <v>0.65302700000000002</v>
          </cell>
          <cell r="O53">
            <v>0.70688700000000004</v>
          </cell>
          <cell r="P53">
            <v>0.79081500000000005</v>
          </cell>
          <cell r="Q53">
            <v>0.854993</v>
          </cell>
          <cell r="R53">
            <v>3.005722</v>
          </cell>
          <cell r="S53">
            <v>0.87337799999999999</v>
          </cell>
          <cell r="T53">
            <v>0.99712999999999996</v>
          </cell>
          <cell r="U53">
            <v>1.074287</v>
          </cell>
          <cell r="V53">
            <v>1.2956510000000001</v>
          </cell>
          <cell r="W53">
            <v>4.2404460000000004</v>
          </cell>
          <cell r="X53">
            <v>1.3382860000000001</v>
          </cell>
          <cell r="Y53">
            <v>0.93695799999999996</v>
          </cell>
          <cell r="Z53">
            <v>1.5344089999999999</v>
          </cell>
          <cell r="AA53">
            <v>1.932383</v>
          </cell>
          <cell r="AB53">
            <v>5.7420359999999997</v>
          </cell>
          <cell r="AC53">
            <v>2.1895210000000001</v>
          </cell>
          <cell r="AD53">
            <v>2.2764180000000001</v>
          </cell>
          <cell r="AE53">
            <v>2.4935589999999999</v>
          </cell>
          <cell r="AF53">
            <v>2.5702410000000002</v>
          </cell>
          <cell r="AG53">
            <v>9.5297389999999993</v>
          </cell>
          <cell r="AH53">
            <v>2.4850150000000002</v>
          </cell>
          <cell r="AI53">
            <v>2.5055670000000001</v>
          </cell>
          <cell r="AJ53">
            <v>2.6505230000000002</v>
          </cell>
          <cell r="AK53">
            <v>2.8218610000000002</v>
          </cell>
          <cell r="AL53">
            <v>10.462966</v>
          </cell>
          <cell r="AM53">
            <v>2.9777629999999999</v>
          </cell>
          <cell r="AN53">
            <v>2.8476919999999999</v>
          </cell>
          <cell r="AO53">
            <v>2.886676</v>
          </cell>
          <cell r="AP53">
            <v>3.2734860000000001</v>
          </cell>
          <cell r="AQ53">
            <v>11.985617</v>
          </cell>
          <cell r="AR53">
            <v>3.2755393000000002</v>
          </cell>
          <cell r="AS53">
            <v>3.1324612000000003</v>
          </cell>
          <cell r="AT53">
            <v>3.9836128799999999</v>
          </cell>
          <cell r="AU53">
            <v>4.0930367791448212</v>
          </cell>
          <cell r="AV53">
            <v>14.484650159144822</v>
          </cell>
          <cell r="AW53">
            <v>17.638701722452655</v>
          </cell>
          <cell r="AX53">
            <v>21.558132326615485</v>
          </cell>
          <cell r="AY53">
            <v>26.21178215894642</v>
          </cell>
          <cell r="AZ53">
            <v>30.904491640661544</v>
          </cell>
          <cell r="BA53">
            <v>35.722262498083758</v>
          </cell>
          <cell r="BB53">
            <v>40.647239202574539</v>
          </cell>
          <cell r="BC53">
            <v>45.727146924343032</v>
          </cell>
          <cell r="BD53">
            <v>51.078950400418123</v>
          </cell>
          <cell r="BE53">
            <v>56.714428297171466</v>
          </cell>
          <cell r="BF53">
            <v>62.645821663158735</v>
          </cell>
          <cell r="BG53">
            <v>68.885851074934806</v>
          </cell>
          <cell r="BH53">
            <v>75.447734395510523</v>
          </cell>
          <cell r="BI53">
            <v>82.345205166779223</v>
          </cell>
          <cell r="BK53">
            <v>15.470252789144821</v>
          </cell>
          <cell r="BL53">
            <v>-0.98560262999999892</v>
          </cell>
        </row>
        <row r="54">
          <cell r="A54" t="str">
            <v xml:space="preserve">  Year-over-Year growth</v>
          </cell>
          <cell r="C54">
            <v>-9.8493201029033473E-2</v>
          </cell>
          <cell r="D54">
            <v>1.2144313086017124</v>
          </cell>
          <cell r="E54">
            <v>0.1122974963181147</v>
          </cell>
          <cell r="F54">
            <v>-0.12313803376365429</v>
          </cell>
          <cell r="G54">
            <v>0.54171385428463559</v>
          </cell>
          <cell r="H54">
            <v>1.0142017629774731</v>
          </cell>
          <cell r="I54" t="str">
            <v>N.M.</v>
          </cell>
          <cell r="J54" t="str">
            <v>N.M.</v>
          </cell>
          <cell r="K54" t="str">
            <v>N.M.</v>
          </cell>
          <cell r="L54" t="str">
            <v>N.M.</v>
          </cell>
          <cell r="M54">
            <v>0.3826361536591294</v>
          </cell>
          <cell r="N54">
            <v>0.12892752861531442</v>
          </cell>
          <cell r="O54">
            <v>0.28773089955186371</v>
          </cell>
          <cell r="P54">
            <v>0.43711383295776707</v>
          </cell>
          <cell r="Q54">
            <v>0.43204353447987076</v>
          </cell>
          <cell r="R54">
            <v>0.32136317856362551</v>
          </cell>
          <cell r="S54">
            <v>0.33743015219891359</v>
          </cell>
          <cell r="T54">
            <v>0.41059320655210785</v>
          </cell>
          <cell r="U54">
            <v>0.35845551740925496</v>
          </cell>
          <cell r="V54">
            <v>0.51539369328169959</v>
          </cell>
          <cell r="W54">
            <v>0.41079115101130448</v>
          </cell>
          <cell r="X54">
            <v>0.53231017955570215</v>
          </cell>
          <cell r="Y54">
            <v>-6.0345190697301265E-2</v>
          </cell>
          <cell r="Z54">
            <v>0.42830454059296996</v>
          </cell>
          <cell r="AA54">
            <v>0.49143789492695156</v>
          </cell>
          <cell r="AB54">
            <v>0.3541113364018782</v>
          </cell>
          <cell r="AC54">
            <v>0.63606359178830219</v>
          </cell>
          <cell r="AD54">
            <v>1.4295838233944318</v>
          </cell>
          <cell r="AE54">
            <v>0.62509409160139184</v>
          </cell>
          <cell r="AF54">
            <v>0.33008880744655711</v>
          </cell>
          <cell r="AG54">
            <v>0.65964459296319289</v>
          </cell>
          <cell r="AH54">
            <v>0.1349582853966691</v>
          </cell>
          <cell r="AI54">
            <v>0.10066209281423721</v>
          </cell>
          <cell r="AJ54">
            <v>6.2947778656931908E-2</v>
          </cell>
          <cell r="AK54">
            <v>9.7897434520731741E-2</v>
          </cell>
          <cell r="AL54">
            <v>9.7927865600516473E-2</v>
          </cell>
          <cell r="AM54">
            <v>0.19828773669374211</v>
          </cell>
          <cell r="AN54">
            <v>0.13654593950191707</v>
          </cell>
          <cell r="AO54">
            <v>8.9096755621437707E-2</v>
          </cell>
          <cell r="AP54">
            <v>0.16004509081063878</v>
          </cell>
          <cell r="AQ54">
            <v>0.14552766395303207</v>
          </cell>
          <cell r="AR54">
            <v>0.1</v>
          </cell>
          <cell r="AS54">
            <v>0.1</v>
          </cell>
          <cell r="AT54">
            <v>0.38</v>
          </cell>
          <cell r="AU54">
            <v>0.25036025177588095</v>
          </cell>
          <cell r="AV54">
            <v>0.20850267108859089</v>
          </cell>
          <cell r="AW54">
            <v>0.21775131112272916</v>
          </cell>
          <cell r="AX54">
            <v>0.22220629759693189</v>
          </cell>
          <cell r="AY54">
            <v>0.21586516688115776</v>
          </cell>
          <cell r="AZ54">
            <v>0.17903053875768005</v>
          </cell>
          <cell r="BA54">
            <v>0.15589225389759842</v>
          </cell>
          <cell r="BB54">
            <v>0.13786855479142646</v>
          </cell>
          <cell r="BC54">
            <v>0.12497546749612298</v>
          </cell>
          <cell r="BD54">
            <v>0.11703777375242352</v>
          </cell>
          <cell r="BE54">
            <v>0.11032877247037587</v>
          </cell>
          <cell r="BF54">
            <v>0.10458349919191701</v>
          </cell>
          <cell r="BG54">
            <v>9.9608070356681955E-2</v>
          </cell>
          <cell r="BH54">
            <v>9.5257345567780316E-2</v>
          </cell>
          <cell r="BI54">
            <v>9.1420515493691568E-2</v>
          </cell>
          <cell r="BK54">
            <v>0.23492877811137691</v>
          </cell>
          <cell r="BL54">
            <v>-2.6426107022786027E-2</v>
          </cell>
        </row>
        <row r="55">
          <cell r="A55" t="str">
            <v>Hong Kong</v>
          </cell>
          <cell r="B55">
            <v>6.0678000000000001</v>
          </cell>
          <cell r="C55">
            <v>6.0884</v>
          </cell>
          <cell r="D55">
            <v>5.6174999999999997</v>
          </cell>
          <cell r="E55">
            <v>5.2055999999999996</v>
          </cell>
          <cell r="F55">
            <v>4.7024999999999997</v>
          </cell>
          <cell r="G55">
            <v>4.7218</v>
          </cell>
          <cell r="H55">
            <v>4.2298</v>
          </cell>
          <cell r="I55">
            <v>1.1965939999999999</v>
          </cell>
          <cell r="J55">
            <v>1.1606160000000001</v>
          </cell>
          <cell r="K55">
            <v>1.399656</v>
          </cell>
          <cell r="L55">
            <v>1.1977530000000001</v>
          </cell>
          <cell r="M55">
            <v>4.954619000000001</v>
          </cell>
          <cell r="N55">
            <v>1.3230470000000001</v>
          </cell>
          <cell r="O55">
            <v>1.2837400000000001</v>
          </cell>
          <cell r="P55">
            <v>1.3696699999999999</v>
          </cell>
          <cell r="Q55">
            <v>1.219679</v>
          </cell>
          <cell r="R55">
            <v>5.1961360000000001</v>
          </cell>
          <cell r="S55">
            <v>1.307323</v>
          </cell>
          <cell r="T55">
            <v>1.2400910000000001</v>
          </cell>
          <cell r="U55">
            <v>1.371502</v>
          </cell>
          <cell r="V55">
            <v>1.1825209999999999</v>
          </cell>
          <cell r="W55">
            <v>5.1014369999999998</v>
          </cell>
          <cell r="X55">
            <v>1.1979759999999999</v>
          </cell>
          <cell r="Y55">
            <v>0.98099999999999998</v>
          </cell>
          <cell r="Z55">
            <v>1.3407359999999999</v>
          </cell>
          <cell r="AA55">
            <v>1.10345</v>
          </cell>
          <cell r="AB55">
            <v>4.6231620000000007</v>
          </cell>
          <cell r="AC55">
            <v>1.1577139999999999</v>
          </cell>
          <cell r="AD55">
            <v>1.227455</v>
          </cell>
          <cell r="AE55">
            <v>1.399008</v>
          </cell>
          <cell r="AF55">
            <v>1.2668820000000001</v>
          </cell>
          <cell r="AG55">
            <v>5.0510589999999995</v>
          </cell>
          <cell r="AH55">
            <v>1.35812</v>
          </cell>
          <cell r="AI55">
            <v>1.295623</v>
          </cell>
          <cell r="AJ55">
            <v>1.530324</v>
          </cell>
          <cell r="AK55">
            <v>1.430825</v>
          </cell>
          <cell r="AL55">
            <v>5.6148919999999993</v>
          </cell>
          <cell r="AM55">
            <v>1.5959220000000001</v>
          </cell>
          <cell r="AN55">
            <v>1.595545</v>
          </cell>
          <cell r="AO55">
            <v>1.8053090000000001</v>
          </cell>
          <cell r="AP55">
            <v>1.9438800000000001</v>
          </cell>
          <cell r="AQ55">
            <v>6.9406560000000006</v>
          </cell>
          <cell r="AR55">
            <v>1.9151064</v>
          </cell>
          <cell r="AS55">
            <v>1.9146539999999999</v>
          </cell>
          <cell r="AT55">
            <v>2.1663708000000002</v>
          </cell>
          <cell r="AU55">
            <v>2.3326560000000001</v>
          </cell>
          <cell r="AV55">
            <v>8.3287872000000007</v>
          </cell>
          <cell r="AW55">
            <v>8.8285144320000004</v>
          </cell>
          <cell r="AX55">
            <v>9.2699401536000003</v>
          </cell>
          <cell r="AY55">
            <v>9.7334371612800012</v>
          </cell>
          <cell r="AZ55">
            <v>10.025440276118401</v>
          </cell>
          <cell r="BA55">
            <v>10.225949081640769</v>
          </cell>
          <cell r="BB55">
            <v>10.430468063273585</v>
          </cell>
          <cell r="BC55">
            <v>10.639077424539057</v>
          </cell>
          <cell r="BD55">
            <v>10.851858973029838</v>
          </cell>
          <cell r="BE55">
            <v>11.068896152490435</v>
          </cell>
          <cell r="BF55">
            <v>11.290274075540244</v>
          </cell>
          <cell r="BG55">
            <v>11.51607955705105</v>
          </cell>
          <cell r="BH55">
            <v>11.746401148192071</v>
          </cell>
          <cell r="BI55">
            <v>11.981329171155913</v>
          </cell>
          <cell r="BK55">
            <v>7.0345265400000017</v>
          </cell>
          <cell r="BL55">
            <v>1.2942606599999991</v>
          </cell>
        </row>
        <row r="56">
          <cell r="A56" t="str">
            <v xml:space="preserve">  Year-over-Year growth</v>
          </cell>
          <cell r="C56">
            <v>3.3949701704076851E-3</v>
          </cell>
          <cell r="D56">
            <v>-7.7343801327113937E-2</v>
          </cell>
          <cell r="E56">
            <v>-7.3324432576769016E-2</v>
          </cell>
          <cell r="F56">
            <v>-9.6645919778699851E-2</v>
          </cell>
          <cell r="G56">
            <v>4.1041998936737212E-3</v>
          </cell>
          <cell r="H56">
            <v>-0.10419755178110046</v>
          </cell>
          <cell r="I56" t="str">
            <v>N.M.</v>
          </cell>
          <cell r="J56" t="str">
            <v>N.M.</v>
          </cell>
          <cell r="K56" t="str">
            <v>N.M.</v>
          </cell>
          <cell r="L56" t="str">
            <v>N.M.</v>
          </cell>
          <cell r="M56">
            <v>0.17136011158920073</v>
          </cell>
          <cell r="N56">
            <v>0.10567744782273691</v>
          </cell>
          <cell r="O56">
            <v>0.10608504449361367</v>
          </cell>
          <cell r="P56">
            <v>-2.1423835571026117E-2</v>
          </cell>
          <cell r="Q56">
            <v>1.8305944547832409E-2</v>
          </cell>
          <cell r="R56">
            <v>4.8745826873872522E-2</v>
          </cell>
          <cell r="S56">
            <v>-1.1884687392057947E-2</v>
          </cell>
          <cell r="T56">
            <v>-3.4001433312041418E-2</v>
          </cell>
          <cell r="U56">
            <v>1.3375484605782084E-3</v>
          </cell>
          <cell r="V56">
            <v>-3.0465392943553216E-2</v>
          </cell>
          <cell r="W56">
            <v>-1.8224888648026183E-2</v>
          </cell>
          <cell r="X56">
            <v>-8.36419155786291E-2</v>
          </cell>
          <cell r="Y56">
            <v>-0.20892902214434272</v>
          </cell>
          <cell r="Z56">
            <v>-2.2432340601763689E-2</v>
          </cell>
          <cell r="AA56">
            <v>-6.6866465796379004E-2</v>
          </cell>
          <cell r="AB56">
            <v>-9.3752995479508883E-2</v>
          </cell>
          <cell r="AC56">
            <v>-3.3608352754980086E-2</v>
          </cell>
          <cell r="AD56">
            <v>0.25122833843017323</v>
          </cell>
          <cell r="AE56">
            <v>4.346269511671208E-2</v>
          </cell>
          <cell r="AF56">
            <v>0.14811001857809591</v>
          </cell>
          <cell r="AG56">
            <v>9.2555052148291406E-2</v>
          </cell>
          <cell r="AH56">
            <v>0.17310492919667553</v>
          </cell>
          <cell r="AI56">
            <v>5.5536048164698482E-2</v>
          </cell>
          <cell r="AJ56">
            <v>9.3863651959102512E-2</v>
          </cell>
          <cell r="AK56">
            <v>0.12940668507406361</v>
          </cell>
          <cell r="AL56">
            <v>0.1116266905613259</v>
          </cell>
          <cell r="AM56">
            <v>0.17509645686684538</v>
          </cell>
          <cell r="AN56">
            <v>0.23148863519712148</v>
          </cell>
          <cell r="AO56">
            <v>0.17969070602042447</v>
          </cell>
          <cell r="AP56">
            <v>0.35857285132703165</v>
          </cell>
          <cell r="AQ56">
            <v>0.23611567239405518</v>
          </cell>
          <cell r="AR56">
            <v>0.2</v>
          </cell>
          <cell r="AS56">
            <v>0.2</v>
          </cell>
          <cell r="AT56">
            <v>0.2</v>
          </cell>
          <cell r="AU56">
            <v>0.2</v>
          </cell>
          <cell r="AV56">
            <v>0.19999999999999996</v>
          </cell>
          <cell r="AW56">
            <v>0.06</v>
          </cell>
          <cell r="AX56">
            <v>0.05</v>
          </cell>
          <cell r="AY56">
            <v>0.05</v>
          </cell>
          <cell r="AZ56">
            <v>0.03</v>
          </cell>
          <cell r="BA56">
            <v>0.02</v>
          </cell>
          <cell r="BB56">
            <v>0.02</v>
          </cell>
          <cell r="BC56">
            <v>0.02</v>
          </cell>
          <cell r="BD56">
            <v>0.02</v>
          </cell>
          <cell r="BE56">
            <v>0.02</v>
          </cell>
          <cell r="BF56">
            <v>0.02</v>
          </cell>
          <cell r="BG56">
            <v>0.02</v>
          </cell>
          <cell r="BH56">
            <v>0.02</v>
          </cell>
          <cell r="BI56">
            <v>0.02</v>
          </cell>
          <cell r="BK56">
            <v>0.08</v>
          </cell>
          <cell r="BL56">
            <v>0.11999999999999995</v>
          </cell>
        </row>
        <row r="57">
          <cell r="A57" t="str">
            <v>Other</v>
          </cell>
          <cell r="B57">
            <v>1.4893999999999998</v>
          </cell>
          <cell r="C57">
            <v>1.5000999999999998</v>
          </cell>
          <cell r="D57">
            <v>1.591800000000001</v>
          </cell>
          <cell r="E57">
            <v>2.3413000000000004</v>
          </cell>
          <cell r="F57">
            <v>1.7681000000000004</v>
          </cell>
          <cell r="G57">
            <v>1.4099000000000004</v>
          </cell>
          <cell r="H57">
            <v>1.5689000000000002</v>
          </cell>
          <cell r="I57">
            <v>0.40072400000000008</v>
          </cell>
          <cell r="J57">
            <v>0.48034700000000008</v>
          </cell>
          <cell r="K57">
            <v>0.52473799999999993</v>
          </cell>
          <cell r="L57">
            <v>0.52707099999999985</v>
          </cell>
          <cell r="M57">
            <v>1.9328799999999999</v>
          </cell>
          <cell r="N57">
            <v>0.4770080000000001</v>
          </cell>
          <cell r="O57">
            <v>0.56599299999999997</v>
          </cell>
          <cell r="P57">
            <v>0.52867100000000011</v>
          </cell>
          <cell r="Q57">
            <v>0.50544300000000031</v>
          </cell>
          <cell r="R57">
            <v>2.0771150000000005</v>
          </cell>
          <cell r="S57">
            <v>0.49224999999999985</v>
          </cell>
          <cell r="T57">
            <v>0.56665700000000019</v>
          </cell>
          <cell r="U57">
            <v>0.56752700000000011</v>
          </cell>
          <cell r="V57">
            <v>0.56252400000000002</v>
          </cell>
          <cell r="W57">
            <v>2.1889580000000004</v>
          </cell>
          <cell r="X57">
            <v>0.45932499999999998</v>
          </cell>
          <cell r="Y57">
            <v>0.155115</v>
          </cell>
          <cell r="Z57">
            <v>0.44610200000000022</v>
          </cell>
          <cell r="AA57">
            <v>0.46213599999999988</v>
          </cell>
          <cell r="AB57">
            <v>1.5226780000000002</v>
          </cell>
          <cell r="AC57">
            <v>0.40421200000000024</v>
          </cell>
          <cell r="AD57">
            <v>0.47956600000000016</v>
          </cell>
          <cell r="AE57">
            <v>0.56265999999999994</v>
          </cell>
          <cell r="AF57">
            <v>0.64531999999999967</v>
          </cell>
          <cell r="AG57">
            <v>2.091758</v>
          </cell>
          <cell r="AH57">
            <v>0.61388700000000007</v>
          </cell>
          <cell r="AI57">
            <v>0.66511099999999956</v>
          </cell>
          <cell r="AJ57">
            <v>0.67028499999999958</v>
          </cell>
          <cell r="AK57">
            <v>0.68404599999999993</v>
          </cell>
          <cell r="AL57">
            <v>2.6333289999999989</v>
          </cell>
          <cell r="AM57">
            <v>0.67433300000000007</v>
          </cell>
          <cell r="AN57">
            <v>0.73122500000000024</v>
          </cell>
          <cell r="AO57">
            <v>0.78132900000000016</v>
          </cell>
          <cell r="AP57">
            <v>0.8849619999999998</v>
          </cell>
          <cell r="AQ57">
            <v>3.0718490000000003</v>
          </cell>
          <cell r="AR57">
            <v>1.0114995000000002</v>
          </cell>
          <cell r="AS57">
            <v>0.95059250000000028</v>
          </cell>
          <cell r="AT57">
            <v>1.0157277000000002</v>
          </cell>
          <cell r="AU57">
            <v>1.0619543999999996</v>
          </cell>
          <cell r="AV57">
            <v>4.0397741000000007</v>
          </cell>
          <cell r="AW57">
            <v>4.645740215</v>
          </cell>
          <cell r="AX57">
            <v>5.1103142365000007</v>
          </cell>
          <cell r="AY57">
            <v>5.5191393754200009</v>
          </cell>
          <cell r="AZ57">
            <v>5.7950963441910011</v>
          </cell>
          <cell r="BA57">
            <v>5.9689492345167317</v>
          </cell>
          <cell r="BB57">
            <v>6.1480177115522334</v>
          </cell>
          <cell r="BC57">
            <v>6.3324582428988005</v>
          </cell>
          <cell r="BD57">
            <v>6.5224319901857646</v>
          </cell>
          <cell r="BE57">
            <v>6.7181049498913374</v>
          </cell>
          <cell r="BF57">
            <v>6.9196480983880777</v>
          </cell>
          <cell r="BG57">
            <v>7.1272375413397207</v>
          </cell>
          <cell r="BH57">
            <v>7.3410546675799129</v>
          </cell>
          <cell r="BI57">
            <v>7.5612863076073102</v>
          </cell>
          <cell r="BK57">
            <v>3.3802382400000002</v>
          </cell>
          <cell r="BL57">
            <v>0.65953586000000053</v>
          </cell>
        </row>
        <row r="58">
          <cell r="A58" t="str">
            <v xml:space="preserve">  Year-over-Year growth</v>
          </cell>
          <cell r="C58">
            <v>7.184100980260455E-3</v>
          </cell>
          <cell r="D58">
            <v>6.112925804946423E-2</v>
          </cell>
          <cell r="E58">
            <v>0.47085060937303624</v>
          </cell>
          <cell r="F58">
            <v>-0.24482125314995939</v>
          </cell>
          <cell r="G58">
            <v>-0.20259035122447822</v>
          </cell>
          <cell r="H58">
            <v>0.11277395559968784</v>
          </cell>
          <cell r="I58" t="str">
            <v>N.M.</v>
          </cell>
          <cell r="J58" t="str">
            <v>N.M.</v>
          </cell>
          <cell r="K58" t="str">
            <v>N.M.</v>
          </cell>
          <cell r="L58" t="str">
            <v>N.M.</v>
          </cell>
          <cell r="M58">
            <v>0.23199694053158249</v>
          </cell>
          <cell r="N58">
            <v>0.19036543855621324</v>
          </cell>
          <cell r="O58">
            <v>0.17830027042950181</v>
          </cell>
          <cell r="P58">
            <v>7.4951690176816577E-3</v>
          </cell>
          <cell r="Q58">
            <v>-4.1034319854439949E-2</v>
          </cell>
          <cell r="R58">
            <v>7.4621807872190971E-2</v>
          </cell>
          <cell r="S58">
            <v>3.1953342501592763E-2</v>
          </cell>
          <cell r="T58">
            <v>1.1731593853638866E-3</v>
          </cell>
          <cell r="U58">
            <v>7.3497506010354208E-2</v>
          </cell>
          <cell r="V58">
            <v>0.11293261554715306</v>
          </cell>
          <cell r="W58">
            <v>5.3845357623434342E-2</v>
          </cell>
          <cell r="X58">
            <v>-6.6886744540375576E-2</v>
          </cell>
          <cell r="Y58">
            <v>-0.72626297742726209</v>
          </cell>
          <cell r="Z58">
            <v>-0.21395457837248244</v>
          </cell>
          <cell r="AA58">
            <v>-0.17845994126472853</v>
          </cell>
          <cell r="AB58">
            <v>-0.30438226772738453</v>
          </cell>
          <cell r="AC58">
            <v>-0.11998693735372501</v>
          </cell>
          <cell r="AD58">
            <v>2.0916803661799319</v>
          </cell>
          <cell r="AE58">
            <v>0.26128105231538901</v>
          </cell>
          <cell r="AF58">
            <v>0.39638547959907866</v>
          </cell>
          <cell r="AG58">
            <v>0.37373627254087838</v>
          </cell>
          <cell r="AH58">
            <v>0.51872532235559476</v>
          </cell>
          <cell r="AI58">
            <v>0.38690190714103867</v>
          </cell>
          <cell r="AJ58">
            <v>0.19127892510574718</v>
          </cell>
          <cell r="AK58">
            <v>6.0010537407798159E-2</v>
          </cell>
          <cell r="AL58">
            <v>0.25890710110825377</v>
          </cell>
          <cell r="AM58">
            <v>9.8464375365498791E-2</v>
          </cell>
          <cell r="AN58">
            <v>9.9402956799693243E-2</v>
          </cell>
          <cell r="AO58">
            <v>0.1656668432084869</v>
          </cell>
          <cell r="AP58">
            <v>0.29371708920160322</v>
          </cell>
          <cell r="AQ58">
            <v>0.16652685631001729</v>
          </cell>
          <cell r="AR58">
            <v>0.5</v>
          </cell>
          <cell r="AS58">
            <v>0.3</v>
          </cell>
          <cell r="AT58">
            <v>0.3</v>
          </cell>
          <cell r="AU58">
            <v>0.2</v>
          </cell>
          <cell r="AV58">
            <v>0.31509527323771458</v>
          </cell>
          <cell r="AW58">
            <v>0.15</v>
          </cell>
          <cell r="AX58">
            <v>0.1</v>
          </cell>
          <cell r="AY58">
            <v>0.08</v>
          </cell>
          <cell r="AZ58">
            <v>0.05</v>
          </cell>
          <cell r="BA58">
            <v>0.03</v>
          </cell>
          <cell r="BB58">
            <v>0.03</v>
          </cell>
          <cell r="BC58">
            <v>0.03</v>
          </cell>
          <cell r="BD58">
            <v>0.03</v>
          </cell>
          <cell r="BE58">
            <v>0.03</v>
          </cell>
          <cell r="BF58">
            <v>0.03</v>
          </cell>
          <cell r="BG58">
            <v>0.03</v>
          </cell>
          <cell r="BH58">
            <v>0.03</v>
          </cell>
          <cell r="BI58">
            <v>0.03</v>
          </cell>
          <cell r="BK58">
            <v>0.15</v>
          </cell>
          <cell r="BL58">
            <v>0.16509527323771458</v>
          </cell>
        </row>
        <row r="59">
          <cell r="BL59">
            <v>0</v>
          </cell>
        </row>
        <row r="60">
          <cell r="A60" t="str">
            <v>IVS Visitors (Included in China visitors)</v>
          </cell>
          <cell r="Z60">
            <v>0.11890000000000001</v>
          </cell>
          <cell r="AA60">
            <v>0.4894</v>
          </cell>
          <cell r="AB60">
            <v>0.60830000000000006</v>
          </cell>
          <cell r="AC60">
            <v>0.67215000000000003</v>
          </cell>
          <cell r="AD60">
            <v>0.76708599999999993</v>
          </cell>
          <cell r="AE60">
            <v>1.050022</v>
          </cell>
          <cell r="AF60">
            <v>1.0294939999999999</v>
          </cell>
          <cell r="AG60">
            <v>3.5187520000000001</v>
          </cell>
          <cell r="AH60">
            <v>1.28729</v>
          </cell>
          <cell r="AI60">
            <v>1.2476640000000001</v>
          </cell>
          <cell r="AJ60">
            <v>1.3860619999999999</v>
          </cell>
          <cell r="AK60">
            <v>1.410493</v>
          </cell>
          <cell r="AL60">
            <v>5.3315089999999996</v>
          </cell>
          <cell r="AM60">
            <v>1.593618</v>
          </cell>
          <cell r="AN60">
            <v>1.184491</v>
          </cell>
          <cell r="AO60">
            <v>1.4137850000000001</v>
          </cell>
          <cell r="AP60">
            <v>1.582956</v>
          </cell>
          <cell r="AQ60">
            <v>5.7748499999999998</v>
          </cell>
          <cell r="AR60">
            <v>2.0717034000000001</v>
          </cell>
          <cell r="AS60">
            <v>1.5398383</v>
          </cell>
          <cell r="AT60">
            <v>1.9792989999999999</v>
          </cell>
          <cell r="AU60">
            <v>2.3053415091448213</v>
          </cell>
          <cell r="AV60">
            <v>7.8961822091448219</v>
          </cell>
          <cell r="AW60">
            <v>10.519358044952657</v>
          </cell>
          <cell r="AX60">
            <v>13.865754056090488</v>
          </cell>
          <cell r="AY60">
            <v>17.989030775247421</v>
          </cell>
          <cell r="AZ60">
            <v>22.230157652125556</v>
          </cell>
          <cell r="BA60">
            <v>26.709562013918656</v>
          </cell>
          <cell r="BB60">
            <v>31.437723495532428</v>
          </cell>
          <cell r="BC60">
            <v>36.425536060230506</v>
          </cell>
          <cell r="BD60">
            <v>41.684323427664474</v>
          </cell>
          <cell r="BE60">
            <v>47.225855054690292</v>
          </cell>
          <cell r="BF60">
            <v>53.062362688252755</v>
          </cell>
          <cell r="BG60">
            <v>59.206557510279751</v>
          </cell>
          <cell r="BH60">
            <v>65.671647895208935</v>
          </cell>
          <cell r="BI60">
            <v>72.47135780147461</v>
          </cell>
          <cell r="BK60">
            <v>8.800043609144824</v>
          </cell>
          <cell r="BL60">
            <v>-0.90386140000000204</v>
          </cell>
        </row>
        <row r="61">
          <cell r="A61" t="str">
            <v xml:space="preserve">  Year-over-Year growth</v>
          </cell>
          <cell r="AE61">
            <v>7.8311354079058031</v>
          </cell>
          <cell r="AF61">
            <v>1.1035839803841436</v>
          </cell>
          <cell r="AG61">
            <v>4.7845668255794838</v>
          </cell>
          <cell r="AH61">
            <v>0.91518262292643016</v>
          </cell>
          <cell r="AI61">
            <v>0.62649820228761866</v>
          </cell>
          <cell r="AJ61">
            <v>0.32003138981849899</v>
          </cell>
          <cell r="AK61">
            <v>0.37008374988100967</v>
          </cell>
          <cell r="AL61">
            <v>0.51517043542710583</v>
          </cell>
          <cell r="AM61">
            <v>0.23796347365395509</v>
          </cell>
          <cell r="AN61">
            <v>-5.0633022993370136E-2</v>
          </cell>
          <cell r="AO61">
            <v>2.00012697844687E-2</v>
          </cell>
          <cell r="AP61">
            <v>0.12227143275436325</v>
          </cell>
          <cell r="AQ61">
            <v>8.3154881666710256E-2</v>
          </cell>
          <cell r="AR61">
            <v>0.3</v>
          </cell>
          <cell r="AS61">
            <v>0.3</v>
          </cell>
          <cell r="AT61">
            <v>0.4</v>
          </cell>
          <cell r="AU61">
            <v>0.45635223540314529</v>
          </cell>
          <cell r="AV61">
            <v>0.36733979395911964</v>
          </cell>
          <cell r="AW61">
            <v>0.33220811859810562</v>
          </cell>
          <cell r="AX61">
            <v>0.31811789244529809</v>
          </cell>
          <cell r="AY61">
            <v>0.29737125745035109</v>
          </cell>
          <cell r="AZ61">
            <v>0.23576183341205059</v>
          </cell>
          <cell r="BA61">
            <v>0.20150124132677028</v>
          </cell>
          <cell r="BB61">
            <v>0.17702130342496347</v>
          </cell>
          <cell r="BC61">
            <v>0.15865692582374447</v>
          </cell>
          <cell r="BD61">
            <v>0.14437089844713435</v>
          </cell>
          <cell r="BE61">
            <v>0.13294042391361183</v>
          </cell>
          <cell r="BF61">
            <v>0.12358712461221599</v>
          </cell>
          <cell r="BG61">
            <v>0.11579195706238754</v>
          </cell>
          <cell r="BH61">
            <v>0.10919551240260295</v>
          </cell>
          <cell r="BI61">
            <v>0.10354102758493067</v>
          </cell>
          <cell r="BK61">
            <v>0.38159214754685333</v>
          </cell>
          <cell r="BL61">
            <v>-1.425235358773369E-2</v>
          </cell>
        </row>
        <row r="62">
          <cell r="A62" t="str">
            <v xml:space="preserve">  Share of Mainland China Visitors</v>
          </cell>
          <cell r="Z62">
            <v>7.7489117960074544E-2</v>
          </cell>
          <cell r="AA62">
            <v>0.2532624226149785</v>
          </cell>
          <cell r="AB62" t="str">
            <v>N.M.</v>
          </cell>
          <cell r="AC62">
            <v>0.30698495241653312</v>
          </cell>
          <cell r="AD62">
            <v>0.33697062665995431</v>
          </cell>
          <cell r="AE62">
            <v>0.42109370582368416</v>
          </cell>
          <cell r="AF62">
            <v>0.40054376223863825</v>
          </cell>
          <cell r="AG62">
            <v>0.36923907359897268</v>
          </cell>
          <cell r="AH62">
            <v>0.51802101798178279</v>
          </cell>
          <cell r="AI62">
            <v>0.497956749909302</v>
          </cell>
          <cell r="AJ62">
            <v>0.52293905768785998</v>
          </cell>
          <cell r="AK62">
            <v>0.4998449604711217</v>
          </cell>
          <cell r="AL62">
            <v>0.50956000430470672</v>
          </cell>
          <cell r="AM62">
            <v>0.53517287977585859</v>
          </cell>
          <cell r="AN62">
            <v>0.4159477218744162</v>
          </cell>
          <cell r="AO62">
            <v>0.48976227328595245</v>
          </cell>
          <cell r="AP62">
            <v>0.48356889261172953</v>
          </cell>
          <cell r="AQ62">
            <v>0.48181499542326439</v>
          </cell>
          <cell r="AR62">
            <v>0.63247703973510561</v>
          </cell>
          <cell r="AS62">
            <v>0.49157458039703728</v>
          </cell>
          <cell r="AT62">
            <v>0.49686027724661841</v>
          </cell>
          <cell r="AU62">
            <v>0.56323498505832825</v>
          </cell>
          <cell r="AV62">
            <v>0.54514138224868347</v>
          </cell>
          <cell r="AW62">
            <v>0.59637938270492752</v>
          </cell>
          <cell r="AX62">
            <v>0.64317974516614074</v>
          </cell>
          <cell r="AY62">
            <v>0.68629560043507121</v>
          </cell>
          <cell r="AZ62">
            <v>0.71931801728383638</v>
          </cell>
          <cell r="BA62">
            <v>0.74770073747012611</v>
          </cell>
          <cell r="BB62">
            <v>0.77342826012993293</v>
          </cell>
          <cell r="BC62">
            <v>0.79658449105730722</v>
          </cell>
          <cell r="BD62">
            <v>0.81607635045146221</v>
          </cell>
          <cell r="BE62">
            <v>0.83269560273510856</v>
          </cell>
          <cell r="BF62">
            <v>0.84702157748947049</v>
          </cell>
          <cell r="BG62">
            <v>0.85948792947152808</v>
          </cell>
          <cell r="BH62">
            <v>0.87042571153888337</v>
          </cell>
          <cell r="BI62">
            <v>0.8800920181653995</v>
          </cell>
          <cell r="BK62">
            <v>0.56883644560221058</v>
          </cell>
          <cell r="BL62">
            <v>-2.3695063353527113E-2</v>
          </cell>
        </row>
        <row r="63">
          <cell r="BL63">
            <v>0</v>
          </cell>
        </row>
        <row r="64">
          <cell r="A64" t="str">
            <v>Visitor Categories (included in total visitors)</v>
          </cell>
          <cell r="BL64">
            <v>0</v>
          </cell>
        </row>
        <row r="65">
          <cell r="A65" t="str">
            <v>Hotel Guests (mm)</v>
          </cell>
          <cell r="I65">
            <v>0.64250399999999996</v>
          </cell>
          <cell r="J65">
            <v>0.65831399999999995</v>
          </cell>
          <cell r="K65">
            <v>0.72399800000000003</v>
          </cell>
          <cell r="L65">
            <v>0.66502700000000003</v>
          </cell>
          <cell r="M65">
            <v>2.6898429999999998</v>
          </cell>
          <cell r="N65">
            <v>0.63451000000000002</v>
          </cell>
          <cell r="O65">
            <v>0.67612899999999998</v>
          </cell>
          <cell r="P65">
            <v>0.72155800000000003</v>
          </cell>
          <cell r="Q65">
            <v>0.73465599999999998</v>
          </cell>
          <cell r="R65">
            <v>2.7668530000000002</v>
          </cell>
          <cell r="S65">
            <v>0.72163500000000003</v>
          </cell>
          <cell r="T65">
            <v>0.77815900000000005</v>
          </cell>
          <cell r="U65">
            <v>0.81986700000000001</v>
          </cell>
          <cell r="V65">
            <v>0.83513999999999999</v>
          </cell>
          <cell r="W65">
            <v>3.154801</v>
          </cell>
          <cell r="X65">
            <v>0.76294200000000001</v>
          </cell>
          <cell r="Y65">
            <v>0.47021099999999999</v>
          </cell>
          <cell r="Z65">
            <v>0.88101700000000005</v>
          </cell>
          <cell r="AA65">
            <v>0.92910199999999998</v>
          </cell>
          <cell r="AB65">
            <v>3.043272</v>
          </cell>
          <cell r="AC65">
            <v>0.90883100000000006</v>
          </cell>
          <cell r="AD65">
            <v>0.96535700000000002</v>
          </cell>
          <cell r="AE65">
            <v>1.050009</v>
          </cell>
          <cell r="AF65">
            <v>1.031957</v>
          </cell>
          <cell r="AG65">
            <v>3.9561540000000006</v>
          </cell>
          <cell r="AH65">
            <v>0.90970899999999999</v>
          </cell>
          <cell r="AI65">
            <v>0.99521800000000005</v>
          </cell>
          <cell r="AJ65">
            <v>1.0900049999999999</v>
          </cell>
          <cell r="AK65">
            <v>1.1261559999999999</v>
          </cell>
          <cell r="AL65">
            <v>4.1210880000000003</v>
          </cell>
          <cell r="AM65">
            <v>1.0668580000000001</v>
          </cell>
          <cell r="AN65">
            <v>1.0922099999999999</v>
          </cell>
          <cell r="AO65">
            <v>1.1840930000000001</v>
          </cell>
          <cell r="AP65">
            <v>1.337693</v>
          </cell>
          <cell r="AQ65">
            <v>4.6808540000000001</v>
          </cell>
          <cell r="AR65">
            <v>1.2608204133030032</v>
          </cell>
          <cell r="AS65">
            <v>1.2659782460508937</v>
          </cell>
          <cell r="AT65">
            <v>1.5502250894208409</v>
          </cell>
          <cell r="AU65">
            <v>1.6413691984455396</v>
          </cell>
          <cell r="AV65">
            <v>5.718392947220277</v>
          </cell>
          <cell r="AW65">
            <v>7.2477650018330273</v>
          </cell>
          <cell r="AX65">
            <v>9.0906170171459291</v>
          </cell>
          <cell r="AY65">
            <v>11.12696307559267</v>
          </cell>
          <cell r="AZ65">
            <v>13.258229495648175</v>
          </cell>
          <cell r="BA65">
            <v>15.479990331349189</v>
          </cell>
          <cell r="BB65">
            <v>17.749476403510823</v>
          </cell>
          <cell r="BC65">
            <v>20.089518865799334</v>
          </cell>
          <cell r="BD65">
            <v>22.556264011369748</v>
          </cell>
          <cell r="BE65">
            <v>25.155235729013647</v>
          </cell>
          <cell r="BF65">
            <v>27.892175686482574</v>
          </cell>
          <cell r="BG65">
            <v>30.773051431514041</v>
          </cell>
          <cell r="BH65">
            <v>33.804064783015832</v>
          </cell>
          <cell r="BI65">
            <v>36.991660522529486</v>
          </cell>
          <cell r="BK65">
            <v>5.5233605609474532</v>
          </cell>
          <cell r="BL65">
            <v>0.19503238627282382</v>
          </cell>
        </row>
        <row r="66">
          <cell r="A66" t="str">
            <v xml:space="preserve">  Year-over-Year growth</v>
          </cell>
          <cell r="N66">
            <v>-1.2441945886718098E-2</v>
          </cell>
          <cell r="O66">
            <v>2.7061554212731265E-2</v>
          </cell>
          <cell r="P66">
            <v>-3.3701750557322274E-3</v>
          </cell>
          <cell r="Q66">
            <v>0.10470101213935656</v>
          </cell>
          <cell r="R66">
            <v>2.8629923753914488E-2</v>
          </cell>
          <cell r="S66">
            <v>0.13731068068273156</v>
          </cell>
          <cell r="T66">
            <v>0.15090315605453997</v>
          </cell>
          <cell r="U66">
            <v>0.13624545774560048</v>
          </cell>
          <cell r="V66">
            <v>0.13677694050004363</v>
          </cell>
          <cell r="W66">
            <v>0.14021272543210639</v>
          </cell>
          <cell r="X66">
            <v>5.7240848905610209E-2</v>
          </cell>
          <cell r="Y66">
            <v>-0.39573917412765258</v>
          </cell>
          <cell r="Z66">
            <v>7.4585268098362301E-2</v>
          </cell>
          <cell r="AA66">
            <v>0.11251047728524566</v>
          </cell>
          <cell r="AB66">
            <v>-3.5352150579386787E-2</v>
          </cell>
          <cell r="AC66">
            <v>0.19121899174511303</v>
          </cell>
          <cell r="AD66">
            <v>1.0530293846804946</v>
          </cell>
          <cell r="AE66">
            <v>0.19181468689026415</v>
          </cell>
          <cell r="AF66">
            <v>0.11070366870375925</v>
          </cell>
          <cell r="AG66">
            <v>0.2999672720676958</v>
          </cell>
          <cell r="AH66">
            <v>9.6607620118582815E-4</v>
          </cell>
          <cell r="AI66">
            <v>3.0932597992245459E-2</v>
          </cell>
          <cell r="AJ66">
            <v>3.8091102076267758E-2</v>
          </cell>
          <cell r="AK66">
            <v>9.1281904187868301E-2</v>
          </cell>
          <cell r="AL66">
            <v>4.1690490309527872E-2</v>
          </cell>
          <cell r="AM66">
            <v>0.17274644968885666</v>
          </cell>
          <cell r="AN66">
            <v>9.7458044368168517E-2</v>
          </cell>
          <cell r="AO66">
            <v>8.6318870096926403E-2</v>
          </cell>
          <cell r="AP66">
            <v>0.18783987298384952</v>
          </cell>
          <cell r="AQ66">
            <v>0.13582966439930422</v>
          </cell>
          <cell r="AR66">
            <v>0.1818071508138881</v>
          </cell>
          <cell r="AS66">
            <v>0.15909783471209193</v>
          </cell>
          <cell r="AT66">
            <v>0.3092088961093773</v>
          </cell>
          <cell r="AU66">
            <v>0.22701486697287021</v>
          </cell>
          <cell r="AV66">
            <v>0.22165590877653463</v>
          </cell>
          <cell r="AW66">
            <v>0.26744787717958096</v>
          </cell>
          <cell r="AX66">
            <v>0.25426486852799823</v>
          </cell>
          <cell r="AY66">
            <v>0.22400526329576564</v>
          </cell>
          <cell r="AZ66">
            <v>0.1915407111155516</v>
          </cell>
          <cell r="BA66">
            <v>0.16757598263254336</v>
          </cell>
          <cell r="BB66">
            <v>0.14660771897031499</v>
          </cell>
          <cell r="BC66">
            <v>0.13183726714471722</v>
          </cell>
          <cell r="BD66">
            <v>0.12278766664590623</v>
          </cell>
          <cell r="BE66">
            <v>0.11522172804564867</v>
          </cell>
          <cell r="BF66">
            <v>0.10880199998731022</v>
          </cell>
          <cell r="BG66">
            <v>0.10328616087226328</v>
          </cell>
          <cell r="BH66">
            <v>9.849570356216919E-2</v>
          </cell>
          <cell r="BI66">
            <v>9.4296226207541745E-2</v>
          </cell>
          <cell r="BK66">
            <v>0.17766064791266523</v>
          </cell>
          <cell r="BL66">
            <v>4.3995260863869401E-2</v>
          </cell>
        </row>
        <row r="67">
          <cell r="A67" t="str">
            <v xml:space="preserve">  Share of Visitation</v>
          </cell>
          <cell r="I67">
            <v>0.29530000225207936</v>
          </cell>
          <cell r="J67">
            <v>0.3006133148363192</v>
          </cell>
          <cell r="K67">
            <v>0.29256298001272091</v>
          </cell>
          <cell r="L67">
            <v>0.28641895232631659</v>
          </cell>
          <cell r="M67">
            <v>0.29358008742866892</v>
          </cell>
          <cell r="N67">
            <v>0.25865829189566431</v>
          </cell>
          <cell r="O67">
            <v>0.26446206319280924</v>
          </cell>
          <cell r="P67">
            <v>0.26832136179529936</v>
          </cell>
          <cell r="Q67">
            <v>0.28473769580038094</v>
          </cell>
          <cell r="R67">
            <v>0.26917601593077439</v>
          </cell>
          <cell r="S67">
            <v>0.26997689070993075</v>
          </cell>
          <cell r="T67">
            <v>0.2775295501444785</v>
          </cell>
          <cell r="U67">
            <v>0.27208132170671778</v>
          </cell>
          <cell r="V67">
            <v>0.27465422390136995</v>
          </cell>
          <cell r="W67">
            <v>0.2735967827498445</v>
          </cell>
          <cell r="X67">
            <v>0.25468864699973659</v>
          </cell>
          <cell r="Y67">
            <v>0.22681835130745517</v>
          </cell>
          <cell r="Z67">
            <v>0.26526693136644158</v>
          </cell>
          <cell r="AA67">
            <v>0.26561184504493895</v>
          </cell>
          <cell r="AB67">
            <v>0.25599795960186666</v>
          </cell>
          <cell r="AC67">
            <v>0.24226145271411273</v>
          </cell>
          <cell r="AD67">
            <v>0.24234260898685783</v>
          </cell>
          <cell r="AE67">
            <v>0.23568024704465115</v>
          </cell>
          <cell r="AF67">
            <v>0.230222001707551</v>
          </cell>
          <cell r="AG67">
            <v>0.23728539283358835</v>
          </cell>
          <cell r="AH67">
            <v>0.20410691264256714</v>
          </cell>
          <cell r="AI67">
            <v>0.22282824198369078</v>
          </cell>
          <cell r="AJ67">
            <v>0.22469085566008098</v>
          </cell>
          <cell r="AK67">
            <v>0.22811771025852728</v>
          </cell>
          <cell r="AL67">
            <v>0.22024727773817879</v>
          </cell>
          <cell r="AM67">
            <v>0.20328779360131768</v>
          </cell>
          <cell r="AN67">
            <v>0.21107701631589909</v>
          </cell>
          <cell r="AO67">
            <v>0.21633931471865125</v>
          </cell>
          <cell r="AP67">
            <v>0.21921027516056169</v>
          </cell>
          <cell r="AQ67">
            <v>0.21278425494685407</v>
          </cell>
          <cell r="AR67">
            <v>0.20328779360131768</v>
          </cell>
          <cell r="AS67">
            <v>0.21107701631589909</v>
          </cell>
          <cell r="AT67">
            <v>0.21633931471865125</v>
          </cell>
          <cell r="AU67">
            <v>0.21921027516056169</v>
          </cell>
          <cell r="AV67">
            <v>0.2129500583541149</v>
          </cell>
          <cell r="AW67">
            <v>0.23295005835411489</v>
          </cell>
          <cell r="AX67">
            <v>0.25295005835411488</v>
          </cell>
          <cell r="AY67">
            <v>0.26835005835411491</v>
          </cell>
          <cell r="AZ67">
            <v>0.28375005835411493</v>
          </cell>
          <cell r="BA67">
            <v>0.29816712024635433</v>
          </cell>
          <cell r="BB67">
            <v>0.31016603827248085</v>
          </cell>
          <cell r="BC67">
            <v>0.32041373176209048</v>
          </cell>
          <cell r="BD67">
            <v>0.32951345417739308</v>
          </cell>
          <cell r="BE67">
            <v>0.33764769255775506</v>
          </cell>
          <cell r="BF67">
            <v>0.34496220506834219</v>
          </cell>
          <cell r="BG67">
            <v>0.35157481870017465</v>
          </cell>
          <cell r="BH67">
            <v>0.35758181379299125</v>
          </cell>
          <cell r="BI67">
            <v>0.36306263386690529</v>
          </cell>
          <cell r="BK67">
            <v>0.21338059926725136</v>
          </cell>
          <cell r="BL67">
            <v>-4.3054091313646237E-4</v>
          </cell>
        </row>
        <row r="68">
          <cell r="BL68">
            <v>0</v>
          </cell>
        </row>
        <row r="69">
          <cell r="A69" t="str">
            <v>Other Overnight Visitors (mm)</v>
          </cell>
          <cell r="I69">
            <v>0.64930599999999994</v>
          </cell>
          <cell r="J69">
            <v>0.57573300000000016</v>
          </cell>
          <cell r="K69">
            <v>0.65198399999999979</v>
          </cell>
          <cell r="L69">
            <v>0.62985199999999986</v>
          </cell>
          <cell r="M69">
            <v>2.506875</v>
          </cell>
          <cell r="N69">
            <v>0.75571800000000022</v>
          </cell>
          <cell r="O69">
            <v>0.74077800000000016</v>
          </cell>
          <cell r="P69">
            <v>0.82103599999999999</v>
          </cell>
          <cell r="Q69">
            <v>0.75745000000000018</v>
          </cell>
          <cell r="R69">
            <v>3.0749820000000003</v>
          </cell>
          <cell r="S69">
            <v>0.82216699999999987</v>
          </cell>
          <cell r="T69">
            <v>0.85449900000000012</v>
          </cell>
          <cell r="U69">
            <v>0.88939200000000007</v>
          </cell>
          <cell r="V69">
            <v>0.84430000000000005</v>
          </cell>
          <cell r="W69">
            <v>3.410358</v>
          </cell>
          <cell r="X69">
            <v>0.84787799999999991</v>
          </cell>
          <cell r="Y69">
            <v>0.62717400000000012</v>
          </cell>
          <cell r="Z69">
            <v>0.90145200000000003</v>
          </cell>
          <cell r="AA69">
            <v>0.88873899999999983</v>
          </cell>
          <cell r="AB69">
            <v>3.2652429999999999</v>
          </cell>
          <cell r="AC69">
            <v>0.97960100000000006</v>
          </cell>
          <cell r="AD69">
            <v>1.0092860000000003</v>
          </cell>
          <cell r="AE69">
            <v>1.207511</v>
          </cell>
          <cell r="AF69">
            <v>1.170879</v>
          </cell>
          <cell r="AG69">
            <v>4.3672770000000005</v>
          </cell>
          <cell r="AH69">
            <v>1.1993830000000005</v>
          </cell>
          <cell r="AI69">
            <v>1.1248679999999998</v>
          </cell>
          <cell r="AJ69">
            <v>1.2860590000000001</v>
          </cell>
          <cell r="AK69">
            <v>1.2826660000000003</v>
          </cell>
          <cell r="AL69">
            <v>4.8929760000000009</v>
          </cell>
          <cell r="AM69">
            <v>1.4272919999999998</v>
          </cell>
          <cell r="AN69">
            <v>1.4080510000000002</v>
          </cell>
          <cell r="AO69">
            <v>1.5074250000000002</v>
          </cell>
          <cell r="AP69">
            <v>1.659041</v>
          </cell>
          <cell r="AQ69">
            <v>6.0018090000000006</v>
          </cell>
          <cell r="AR69">
            <v>1.624762439899456</v>
          </cell>
          <cell r="AS69">
            <v>1.5720917882641958</v>
          </cell>
          <cell r="AT69">
            <v>1.9018771064176783</v>
          </cell>
          <cell r="AU69">
            <v>1.9607915001260892</v>
          </cell>
          <cell r="AV69">
            <v>7.059522834707419</v>
          </cell>
          <cell r="AW69">
            <v>7.7126858481298948</v>
          </cell>
          <cell r="AX69">
            <v>8.3698007246177593</v>
          </cell>
          <cell r="AY69">
            <v>8.8719887680948251</v>
          </cell>
          <cell r="AZ69">
            <v>9.2268683188186191</v>
          </cell>
          <cell r="BA69">
            <v>9.5036743683831784</v>
          </cell>
          <cell r="BB69">
            <v>9.788784599434674</v>
          </cell>
          <cell r="BC69">
            <v>10.082448137417714</v>
          </cell>
          <cell r="BD69">
            <v>10.384921581540246</v>
          </cell>
          <cell r="BE69">
            <v>10.696469228986453</v>
          </cell>
          <cell r="BF69">
            <v>11.017363305856048</v>
          </cell>
          <cell r="BG69">
            <v>11.347884205031729</v>
          </cell>
          <cell r="BH69">
            <v>11.688320731182682</v>
          </cell>
          <cell r="BI69">
            <v>12.038970353118163</v>
          </cell>
          <cell r="BK69">
            <v>6.6327571348337973</v>
          </cell>
          <cell r="BL69">
            <v>0.42676569987362178</v>
          </cell>
        </row>
        <row r="70">
          <cell r="A70" t="str">
            <v xml:space="preserve">  Year-over-Year growth</v>
          </cell>
          <cell r="N70">
            <v>0.16388574878408679</v>
          </cell>
          <cell r="O70">
            <v>0.28666934151768264</v>
          </cell>
          <cell r="P70">
            <v>0.25928857149868745</v>
          </cell>
          <cell r="Q70">
            <v>0.20258409912169895</v>
          </cell>
          <cell r="R70">
            <v>0.22661959611069582</v>
          </cell>
          <cell r="S70">
            <v>8.7928301297573563E-2</v>
          </cell>
          <cell r="T70">
            <v>0.15351562816390318</v>
          </cell>
          <cell r="U70">
            <v>8.3255789027521399E-2</v>
          </cell>
          <cell r="V70">
            <v>0.11466103373159919</v>
          </cell>
          <cell r="W70">
            <v>0.10906600428880542</v>
          </cell>
          <cell r="X70">
            <v>3.1272235446083485E-2</v>
          </cell>
          <cell r="Y70">
            <v>-0.26603307903227502</v>
          </cell>
          <cell r="Z70">
            <v>1.3559825138971249E-2</v>
          </cell>
          <cell r="AA70">
            <v>5.2634134786213149E-2</v>
          </cell>
          <cell r="AB70">
            <v>-4.2551251217614161E-2</v>
          </cell>
          <cell r="AC70">
            <v>0.15535607717148014</v>
          </cell>
          <cell r="AD70">
            <v>0.60925995018926193</v>
          </cell>
          <cell r="AE70">
            <v>0.33951780017127908</v>
          </cell>
          <cell r="AF70">
            <v>0.31746103186649877</v>
          </cell>
          <cell r="AG70">
            <v>0.33750443688264564</v>
          </cell>
          <cell r="AH70">
            <v>0.22435869297805988</v>
          </cell>
          <cell r="AI70">
            <v>0.11451858046183072</v>
          </cell>
          <cell r="AJ70">
            <v>6.5049510936132204E-2</v>
          </cell>
          <cell r="AK70">
            <v>9.5472717505395766E-2</v>
          </cell>
          <cell r="AL70">
            <v>0.12037225941931329</v>
          </cell>
          <cell r="AM70">
            <v>0.19002186957794054</v>
          </cell>
          <cell r="AN70">
            <v>0.25174776062613602</v>
          </cell>
          <cell r="AO70">
            <v>0.17212740628540391</v>
          </cell>
          <cell r="AP70">
            <v>0.29343180531798585</v>
          </cell>
          <cell r="AQ70">
            <v>0.22661729793892293</v>
          </cell>
          <cell r="AR70">
            <v>0.13835321707082793</v>
          </cell>
          <cell r="AS70">
            <v>0.11650202177633884</v>
          </cell>
          <cell r="AT70">
            <v>0.26167279063149285</v>
          </cell>
          <cell r="AU70">
            <v>0.18188248519843042</v>
          </cell>
          <cell r="AV70">
            <v>0.17623250501764032</v>
          </cell>
          <cell r="AW70">
            <v>9.252226088302562E-2</v>
          </cell>
          <cell r="AX70">
            <v>8.5199227535916799E-2</v>
          </cell>
          <cell r="AY70">
            <v>0.06</v>
          </cell>
          <cell r="AZ70">
            <v>0.04</v>
          </cell>
          <cell r="BA70">
            <v>0.03</v>
          </cell>
          <cell r="BB70">
            <v>0.03</v>
          </cell>
          <cell r="BC70">
            <v>0.03</v>
          </cell>
          <cell r="BD70">
            <v>0.03</v>
          </cell>
          <cell r="BE70">
            <v>0.03</v>
          </cell>
          <cell r="BF70">
            <v>0.03</v>
          </cell>
          <cell r="BG70">
            <v>0.03</v>
          </cell>
          <cell r="BH70">
            <v>0.03</v>
          </cell>
          <cell r="BI70">
            <v>0.03</v>
          </cell>
          <cell r="BK70">
            <v>0.13342747386754317</v>
          </cell>
          <cell r="BL70">
            <v>4.280503115009715E-2</v>
          </cell>
        </row>
        <row r="71">
          <cell r="A71" t="str">
            <v xml:space="preserve">  Share of Visitation</v>
          </cell>
          <cell r="I71">
            <v>0.29842625612025547</v>
          </cell>
          <cell r="J71">
            <v>0.26290342540286038</v>
          </cell>
          <cell r="K71">
            <v>0.26346258133394534</v>
          </cell>
          <cell r="L71">
            <v>0.27126951230647045</v>
          </cell>
          <cell r="M71">
            <v>0.2736102373531632</v>
          </cell>
          <cell r="N71">
            <v>0.30806878856882897</v>
          </cell>
          <cell r="O71">
            <v>0.28974896543092055</v>
          </cell>
          <cell r="P71">
            <v>0.30531363743866102</v>
          </cell>
          <cell r="Q71">
            <v>0.29357218573590715</v>
          </cell>
          <cell r="R71">
            <v>0.2991526488103432</v>
          </cell>
          <cell r="S71">
            <v>0.30758775600450583</v>
          </cell>
          <cell r="T71">
            <v>0.30475612704975041</v>
          </cell>
          <cell r="U71">
            <v>0.29515391017735942</v>
          </cell>
          <cell r="V71">
            <v>0.27766669209944039</v>
          </cell>
          <cell r="W71">
            <v>0.29575969350370884</v>
          </cell>
          <cell r="X71">
            <v>0.2830423553046531</v>
          </cell>
          <cell r="Y71">
            <v>0.30253348531383129</v>
          </cell>
          <cell r="Z71">
            <v>0.27141974083830561</v>
          </cell>
          <cell r="AA71">
            <v>0.25407286342446139</v>
          </cell>
          <cell r="AB71">
            <v>0.27467000833454186</v>
          </cell>
          <cell r="AC71">
            <v>0.26112617344720584</v>
          </cell>
          <cell r="AD71">
            <v>0.25337051728418591</v>
          </cell>
          <cell r="AE71">
            <v>0.27103242999739408</v>
          </cell>
          <cell r="AF71">
            <v>0.26121447612384585</v>
          </cell>
          <cell r="AG71">
            <v>0.26194405944715377</v>
          </cell>
          <cell r="AH71">
            <v>0.26909963648373297</v>
          </cell>
          <cell r="AI71">
            <v>0.25185673782398449</v>
          </cell>
          <cell r="AJ71">
            <v>0.26510492808688779</v>
          </cell>
          <cell r="AK71">
            <v>0.25982086935243809</v>
          </cell>
          <cell r="AL71">
            <v>0.26150003203965633</v>
          </cell>
          <cell r="AM71">
            <v>0.27196781718355384</v>
          </cell>
          <cell r="AN71">
            <v>0.27211543924759718</v>
          </cell>
          <cell r="AO71">
            <v>0.27541357941459238</v>
          </cell>
          <cell r="AP71">
            <v>0.2718701780697465</v>
          </cell>
          <cell r="AQ71">
            <v>0.27283278999907357</v>
          </cell>
          <cell r="AR71">
            <v>0.26196781718355383</v>
          </cell>
          <cell r="AS71">
            <v>0.26211543924759717</v>
          </cell>
          <cell r="AT71">
            <v>0.26541357941459237</v>
          </cell>
          <cell r="AU71">
            <v>0.2618701780697465</v>
          </cell>
          <cell r="AV71">
            <v>0.26289305640213506</v>
          </cell>
          <cell r="AW71">
            <v>0.24789305640213505</v>
          </cell>
          <cell r="AX71">
            <v>0.23289305640213503</v>
          </cell>
          <cell r="AY71">
            <v>0.2139666221107224</v>
          </cell>
          <cell r="AZ71">
            <v>0.19747164768492503</v>
          </cell>
          <cell r="BA71">
            <v>0.18305458579268555</v>
          </cell>
          <cell r="BB71">
            <v>0.17105566776655901</v>
          </cell>
          <cell r="BC71">
            <v>0.16080797427694937</v>
          </cell>
          <cell r="BD71">
            <v>0.15170825186164683</v>
          </cell>
          <cell r="BE71">
            <v>0.1435740134812849</v>
          </cell>
          <cell r="BF71">
            <v>0.13625950097069769</v>
          </cell>
          <cell r="BG71">
            <v>0.1296468873388652</v>
          </cell>
          <cell r="BH71">
            <v>0.12363989224604864</v>
          </cell>
          <cell r="BI71">
            <v>0.11815907217213469</v>
          </cell>
          <cell r="BK71">
            <v>0.25623923635037837</v>
          </cell>
          <cell r="BL71">
            <v>6.653820051756687E-3</v>
          </cell>
        </row>
        <row r="72">
          <cell r="BL72">
            <v>0</v>
          </cell>
        </row>
        <row r="73">
          <cell r="A73" t="str">
            <v>Total Overnight Guests (mm)</v>
          </cell>
          <cell r="I73">
            <v>1.2918099999999999</v>
          </cell>
          <cell r="J73">
            <v>1.2340470000000001</v>
          </cell>
          <cell r="K73">
            <v>1.3759819999999998</v>
          </cell>
          <cell r="L73">
            <v>1.2948789999999999</v>
          </cell>
          <cell r="M73">
            <v>5.1967179999999997</v>
          </cell>
          <cell r="N73">
            <v>1.3902280000000002</v>
          </cell>
          <cell r="O73">
            <v>1.4169070000000001</v>
          </cell>
          <cell r="P73">
            <v>1.542594</v>
          </cell>
          <cell r="Q73">
            <v>1.4921060000000002</v>
          </cell>
          <cell r="R73">
            <v>5.8418350000000014</v>
          </cell>
          <cell r="S73">
            <v>1.5438019999999999</v>
          </cell>
          <cell r="T73">
            <v>1.6326580000000002</v>
          </cell>
          <cell r="U73">
            <v>1.7092590000000001</v>
          </cell>
          <cell r="V73">
            <v>1.67944</v>
          </cell>
          <cell r="W73">
            <v>6.5651589999999995</v>
          </cell>
          <cell r="X73">
            <v>1.6108199999999999</v>
          </cell>
          <cell r="Y73">
            <v>1.0973850000000001</v>
          </cell>
          <cell r="Z73">
            <v>1.7824690000000001</v>
          </cell>
          <cell r="AA73">
            <v>1.8178409999999998</v>
          </cell>
          <cell r="AB73">
            <v>6.3085149999999999</v>
          </cell>
          <cell r="AC73">
            <v>1.8884320000000001</v>
          </cell>
          <cell r="AD73">
            <v>1.9746430000000004</v>
          </cell>
          <cell r="AE73">
            <v>2.25752</v>
          </cell>
          <cell r="AF73">
            <v>2.202836</v>
          </cell>
          <cell r="AG73">
            <v>8.3234309999999994</v>
          </cell>
          <cell r="AH73">
            <v>2.1090920000000004</v>
          </cell>
          <cell r="AI73">
            <v>2.1200859999999997</v>
          </cell>
          <cell r="AJ73">
            <v>2.376064</v>
          </cell>
          <cell r="AK73">
            <v>2.4088220000000002</v>
          </cell>
          <cell r="AL73">
            <v>9.0140640000000012</v>
          </cell>
          <cell r="AM73">
            <v>2.4941499999999999</v>
          </cell>
          <cell r="AN73">
            <v>2.5002610000000001</v>
          </cell>
          <cell r="AO73">
            <v>2.6915180000000003</v>
          </cell>
          <cell r="AP73">
            <v>2.996734</v>
          </cell>
          <cell r="AQ73">
            <v>10.682663</v>
          </cell>
          <cell r="AR73">
            <v>2.8855828532024592</v>
          </cell>
          <cell r="AS73">
            <v>2.8380700343150895</v>
          </cell>
          <cell r="AT73">
            <v>3.4521021958385192</v>
          </cell>
          <cell r="AU73">
            <v>3.6021606985716286</v>
          </cell>
          <cell r="AV73">
            <v>12.777915781927696</v>
          </cell>
          <cell r="AW73">
            <v>14.960450849962921</v>
          </cell>
          <cell r="AX73">
            <v>17.460417741763688</v>
          </cell>
          <cell r="AY73">
            <v>19.998951843687493</v>
          </cell>
          <cell r="AZ73">
            <v>22.485097814466794</v>
          </cell>
          <cell r="BA73">
            <v>24.983664699732365</v>
          </cell>
          <cell r="BB73">
            <v>27.538261002945497</v>
          </cell>
          <cell r="BC73">
            <v>30.171967003217048</v>
          </cell>
          <cell r="BD73">
            <v>32.941185592909996</v>
          </cell>
          <cell r="BE73">
            <v>35.851704958000099</v>
          </cell>
          <cell r="BF73">
            <v>38.909538992338625</v>
          </cell>
          <cell r="BG73">
            <v>42.120935636545767</v>
          </cell>
          <cell r="BH73">
            <v>45.492385514198517</v>
          </cell>
          <cell r="BI73">
            <v>49.030630875647645</v>
          </cell>
          <cell r="BK73">
            <v>12.156117695781251</v>
          </cell>
          <cell r="BL73">
            <v>0.62179808614644472</v>
          </cell>
        </row>
        <row r="74">
          <cell r="A74" t="str">
            <v xml:space="preserve">  Year-over-Year growth</v>
          </cell>
          <cell r="N74">
            <v>7.6186126442743474E-2</v>
          </cell>
          <cell r="O74">
            <v>0.14817912121661503</v>
          </cell>
          <cell r="P74">
            <v>0.12108588629793138</v>
          </cell>
          <cell r="Q74">
            <v>0.15231307326784993</v>
          </cell>
          <cell r="R74">
            <v>0.12413931254303234</v>
          </cell>
          <cell r="S74">
            <v>0.11046677235676428</v>
          </cell>
          <cell r="T74">
            <v>0.15226899154284657</v>
          </cell>
          <cell r="U74">
            <v>0.10804203828097347</v>
          </cell>
          <cell r="V74">
            <v>0.12555006145675973</v>
          </cell>
          <cell r="W74">
            <v>0.12381794419048098</v>
          </cell>
          <cell r="X74">
            <v>4.3411007370116161E-2</v>
          </cell>
          <cell r="Y74">
            <v>-0.32785372074249475</v>
          </cell>
          <cell r="Z74">
            <v>4.2831425781581389E-2</v>
          </cell>
          <cell r="AA74">
            <v>8.2409017291477982E-2</v>
          </cell>
          <cell r="AB74">
            <v>-3.9091817882856983E-2</v>
          </cell>
          <cell r="AC74">
            <v>0.17234203697495709</v>
          </cell>
          <cell r="AD74">
            <v>0.7994076828095884</v>
          </cell>
          <cell r="AE74">
            <v>0.26651290990193921</v>
          </cell>
          <cell r="AF74">
            <v>0.21178694946367704</v>
          </cell>
          <cell r="AG74">
            <v>0.31939624459956106</v>
          </cell>
          <cell r="AH74">
            <v>0.11684826353292066</v>
          </cell>
          <cell r="AI74">
            <v>7.3655339218278604E-2</v>
          </cell>
          <cell r="AJ74">
            <v>5.2510719727842936E-2</v>
          </cell>
          <cell r="AK74">
            <v>9.3509457808025775E-2</v>
          </cell>
          <cell r="AL74">
            <v>8.2974557006600058E-2</v>
          </cell>
          <cell r="AM74">
            <v>0.18257050901525362</v>
          </cell>
          <cell r="AN74">
            <v>0.17932055586424345</v>
          </cell>
          <cell r="AO74">
            <v>0.13276325890211726</v>
          </cell>
          <cell r="AP74">
            <v>0.24406618670868996</v>
          </cell>
          <cell r="AQ74">
            <v>0.18511062268916634</v>
          </cell>
          <cell r="AR74">
            <v>0.15694038177433578</v>
          </cell>
          <cell r="AS74">
            <v>0.13510950829336998</v>
          </cell>
          <cell r="AT74">
            <v>0.28258558770125952</v>
          </cell>
          <cell r="AU74">
            <v>0.20202884158941981</v>
          </cell>
          <cell r="AV74">
            <v>0.19613581200939278</v>
          </cell>
          <cell r="AW74">
            <v>0.17080524752887083</v>
          </cell>
          <cell r="AX74">
            <v>0.16710505030047029</v>
          </cell>
          <cell r="AY74">
            <v>0.14538793627210134</v>
          </cell>
          <cell r="AZ74">
            <v>0.12431381355438553</v>
          </cell>
          <cell r="BA74">
            <v>0.11112101472193769</v>
          </cell>
          <cell r="BB74">
            <v>0.10225066394044657</v>
          </cell>
          <cell r="BC74">
            <v>9.5638065162860109E-2</v>
          </cell>
          <cell r="BD74">
            <v>9.1781175201394172E-2</v>
          </cell>
          <cell r="BE74">
            <v>8.8355027686572996E-2</v>
          </cell>
          <cell r="BF74">
            <v>8.5291174796868097E-2</v>
          </cell>
          <cell r="BG74">
            <v>8.2534944575916702E-2</v>
          </cell>
          <cell r="BH74">
            <v>8.0042141198961136E-2</v>
          </cell>
          <cell r="BI74">
            <v>7.7776650343930998E-2</v>
          </cell>
          <cell r="BK74">
            <v>0.15310660405423859</v>
          </cell>
          <cell r="BL74">
            <v>4.3029207955154192E-2</v>
          </cell>
        </row>
        <row r="75">
          <cell r="A75" t="str">
            <v xml:space="preserve">  Share of Visitation</v>
          </cell>
          <cell r="I75">
            <v>0.59372625837233484</v>
          </cell>
          <cell r="J75">
            <v>0.56351674023917953</v>
          </cell>
          <cell r="K75">
            <v>0.55602556134666625</v>
          </cell>
          <cell r="L75">
            <v>0.5576884646327871</v>
          </cell>
          <cell r="M75">
            <v>0.56719032478183207</v>
          </cell>
          <cell r="N75">
            <v>0.56672708046449327</v>
          </cell>
          <cell r="O75">
            <v>0.55421102862372984</v>
          </cell>
          <cell r="P75">
            <v>0.57363499923396033</v>
          </cell>
          <cell r="Q75">
            <v>0.57830988153628815</v>
          </cell>
          <cell r="R75">
            <v>0.56832866474111776</v>
          </cell>
          <cell r="S75">
            <v>0.57756464671443664</v>
          </cell>
          <cell r="T75">
            <v>0.58228567719422886</v>
          </cell>
          <cell r="U75">
            <v>0.56723523188407721</v>
          </cell>
          <cell r="V75">
            <v>0.55232091600081035</v>
          </cell>
          <cell r="W75">
            <v>0.56935647625355335</v>
          </cell>
          <cell r="X75">
            <v>0.53773100230438975</v>
          </cell>
          <cell r="Y75">
            <v>0.52935183662128638</v>
          </cell>
          <cell r="Z75">
            <v>0.53668667220474719</v>
          </cell>
          <cell r="AA75">
            <v>0.5196847084694004</v>
          </cell>
          <cell r="AB75">
            <v>0.53066796793640858</v>
          </cell>
          <cell r="AC75">
            <v>0.5033876261613186</v>
          </cell>
          <cell r="AD75">
            <v>0.49571312627104375</v>
          </cell>
          <cell r="AE75">
            <v>0.50671267704204526</v>
          </cell>
          <cell r="AF75">
            <v>0.49143647783139688</v>
          </cell>
          <cell r="AG75">
            <v>0.49922945228074206</v>
          </cell>
          <cell r="AH75">
            <v>0.47320654912630011</v>
          </cell>
          <cell r="AI75">
            <v>0.47468497980767527</v>
          </cell>
          <cell r="AJ75">
            <v>0.48979578374696875</v>
          </cell>
          <cell r="AK75">
            <v>0.48793857961096537</v>
          </cell>
          <cell r="AL75">
            <v>0.48174730977783514</v>
          </cell>
          <cell r="AM75">
            <v>0.4752556107848715</v>
          </cell>
          <cell r="AN75">
            <v>0.48319245556349627</v>
          </cell>
          <cell r="AO75">
            <v>0.49175289413324363</v>
          </cell>
          <cell r="AP75">
            <v>0.49108045323030819</v>
          </cell>
          <cell r="AQ75">
            <v>0.48561704494592761</v>
          </cell>
          <cell r="AR75">
            <v>0.46525561078487149</v>
          </cell>
          <cell r="AS75">
            <v>0.47319245556349626</v>
          </cell>
          <cell r="AT75">
            <v>0.48175289413324363</v>
          </cell>
          <cell r="AU75">
            <v>0.48108045323030812</v>
          </cell>
          <cell r="AV75">
            <v>0.47584311475624996</v>
          </cell>
          <cell r="AW75">
            <v>0.48084311475624991</v>
          </cell>
          <cell r="AX75">
            <v>0.48584311475624992</v>
          </cell>
          <cell r="AY75">
            <v>0.48231668046483728</v>
          </cell>
          <cell r="AZ75">
            <v>0.48122170603903996</v>
          </cell>
          <cell r="BA75">
            <v>0.48122170603903985</v>
          </cell>
          <cell r="BB75">
            <v>0.48122170603903985</v>
          </cell>
          <cell r="BC75">
            <v>0.48122170603903985</v>
          </cell>
          <cell r="BD75">
            <v>0.48122170603903991</v>
          </cell>
          <cell r="BE75">
            <v>0.48122170603903991</v>
          </cell>
          <cell r="BF75">
            <v>0.48122170603903996</v>
          </cell>
          <cell r="BG75">
            <v>0.48122170603903985</v>
          </cell>
          <cell r="BH75">
            <v>0.48122170603903991</v>
          </cell>
          <cell r="BI75">
            <v>0.48122170603903996</v>
          </cell>
          <cell r="BK75">
            <v>0.46961983561762977</v>
          </cell>
          <cell r="BL75">
            <v>6.2232791386201969E-3</v>
          </cell>
        </row>
        <row r="76">
          <cell r="BL76">
            <v>0</v>
          </cell>
        </row>
        <row r="77">
          <cell r="A77" t="str">
            <v>Day Trippers (mm)</v>
          </cell>
          <cell r="I77">
            <v>0.88395699999999999</v>
          </cell>
          <cell r="J77">
            <v>0.95585600000000004</v>
          </cell>
          <cell r="K77">
            <v>1.098692</v>
          </cell>
          <cell r="L77">
            <v>1.0269889999999999</v>
          </cell>
          <cell r="M77">
            <v>3.9654940000000001</v>
          </cell>
          <cell r="N77">
            <v>1.062854</v>
          </cell>
          <cell r="O77">
            <v>1.139713</v>
          </cell>
          <cell r="P77">
            <v>1.1465620000000001</v>
          </cell>
          <cell r="Q77">
            <v>1.088009</v>
          </cell>
          <cell r="R77">
            <v>4.4371380000000009</v>
          </cell>
          <cell r="S77">
            <v>1.129149</v>
          </cell>
          <cell r="T77">
            <v>1.1712199999999999</v>
          </cell>
          <cell r="U77">
            <v>1.304057</v>
          </cell>
          <cell r="V77">
            <v>1.361256</v>
          </cell>
          <cell r="W77">
            <v>4.9656820000000002</v>
          </cell>
          <cell r="X77">
            <v>1.3847670000000001</v>
          </cell>
          <cell r="Y77">
            <v>0.975688</v>
          </cell>
          <cell r="Z77">
            <v>1.538778</v>
          </cell>
          <cell r="AA77">
            <v>1.6801280000000001</v>
          </cell>
          <cell r="AB77">
            <v>5.5793609999999996</v>
          </cell>
          <cell r="AC77">
            <v>1.8630150000000001</v>
          </cell>
          <cell r="AD77">
            <v>2.0087959999999998</v>
          </cell>
          <cell r="AE77">
            <v>2.1977069999999999</v>
          </cell>
          <cell r="AF77">
            <v>2.2796069999999999</v>
          </cell>
          <cell r="AG77">
            <v>8.3491250000000008</v>
          </cell>
          <cell r="AH77">
            <v>2.3479299999999999</v>
          </cell>
          <cell r="AI77">
            <v>2.3462149999999999</v>
          </cell>
          <cell r="AJ77">
            <v>2.4750679999999998</v>
          </cell>
          <cell r="AK77">
            <v>2.5279099999999999</v>
          </cell>
          <cell r="AL77">
            <v>9.6971229999999995</v>
          </cell>
          <cell r="AM77">
            <v>2.7538680000000002</v>
          </cell>
          <cell r="AN77">
            <v>2.6742010000000001</v>
          </cell>
          <cell r="AO77">
            <v>2.7817959999999999</v>
          </cell>
          <cell r="AP77">
            <v>3.105594</v>
          </cell>
          <cell r="AQ77">
            <v>11.315459000000001</v>
          </cell>
          <cell r="AR77">
            <v>3.3165623467975411</v>
          </cell>
          <cell r="AS77">
            <v>3.1596376656849108</v>
          </cell>
          <cell r="AT77">
            <v>3.7136091841614811</v>
          </cell>
          <cell r="AU77">
            <v>3.8854864805731921</v>
          </cell>
          <cell r="AV77">
            <v>14.075295677217126</v>
          </cell>
          <cell r="AW77">
            <v>16.152505519489736</v>
          </cell>
          <cell r="AX77">
            <v>18.477968974951796</v>
          </cell>
          <cell r="AY77">
            <v>21.465406851958932</v>
          </cell>
          <cell r="AZ77">
            <v>24.23993044650415</v>
          </cell>
          <cell r="BA77">
            <v>26.933496114508888</v>
          </cell>
          <cell r="BB77">
            <v>29.687463974454861</v>
          </cell>
          <cell r="BC77">
            <v>32.526715588563839</v>
          </cell>
          <cell r="BD77">
            <v>35.512055770723727</v>
          </cell>
          <cell r="BE77">
            <v>38.649724441553147</v>
          </cell>
          <cell r="BF77">
            <v>41.946204844748436</v>
          </cell>
          <cell r="BG77">
            <v>45.408232536779813</v>
          </cell>
          <cell r="BH77">
            <v>49.042804697083994</v>
          </cell>
          <cell r="BI77">
            <v>52.857189769894788</v>
          </cell>
          <cell r="BK77">
            <v>13.728899873363574</v>
          </cell>
          <cell r="BL77">
            <v>0.34639580385355195</v>
          </cell>
        </row>
        <row r="78">
          <cell r="A78" t="str">
            <v xml:space="preserve">  Year-over-Year growth</v>
          </cell>
          <cell r="N78">
            <v>0.20238201631979824</v>
          </cell>
          <cell r="O78">
            <v>0.1923480105789992</v>
          </cell>
          <cell r="P78">
            <v>4.3569990497791977E-2</v>
          </cell>
          <cell r="Q78">
            <v>5.9416410497094008E-2</v>
          </cell>
          <cell r="R78">
            <v>0.11893701011778135</v>
          </cell>
          <cell r="S78">
            <v>6.2374512397751714E-2</v>
          </cell>
          <cell r="T78">
            <v>2.7644678967424285E-2</v>
          </cell>
          <cell r="U78">
            <v>0.1373628290489306</v>
          </cell>
          <cell r="V78">
            <v>0.25114406222742636</v>
          </cell>
          <cell r="W78">
            <v>0.11911822440501041</v>
          </cell>
          <cell r="X78">
            <v>0.22638110647930443</v>
          </cell>
          <cell r="Y78">
            <v>-0.16694728573624085</v>
          </cell>
          <cell r="Z78">
            <v>0.17999289908339899</v>
          </cell>
          <cell r="AA78">
            <v>0.23424837062242521</v>
          </cell>
          <cell r="AB78">
            <v>0.12358403135762619</v>
          </cell>
          <cell r="AC78">
            <v>0.34536351602832815</v>
          </cell>
          <cell r="AD78">
            <v>1.0588507801674303</v>
          </cell>
          <cell r="AE78">
            <v>0.42821576601693034</v>
          </cell>
          <cell r="AF78">
            <v>0.35680555291025429</v>
          </cell>
          <cell r="AG78">
            <v>0.49643032598177483</v>
          </cell>
          <cell r="AH78">
            <v>0.26028507553616032</v>
          </cell>
          <cell r="AI78">
            <v>0.16797076457738869</v>
          </cell>
          <cell r="AJ78">
            <v>0.12620472155751417</v>
          </cell>
          <cell r="AK78">
            <v>0.10892359955027331</v>
          </cell>
          <cell r="AL78">
            <v>0.16145380503945006</v>
          </cell>
          <cell r="AM78">
            <v>0.17289186645257759</v>
          </cell>
          <cell r="AN78">
            <v>0.13979366767325252</v>
          </cell>
          <cell r="AO78">
            <v>0.12392710018472219</v>
          </cell>
          <cell r="AP78">
            <v>0.2285223761921904</v>
          </cell>
          <cell r="AQ78">
            <v>0.16688826160088932</v>
          </cell>
          <cell r="AR78">
            <v>0.20432872846394279</v>
          </cell>
          <cell r="AS78">
            <v>0.18152587097413786</v>
          </cell>
          <cell r="AT78">
            <v>0.33496819470639871</v>
          </cell>
          <cell r="AU78">
            <v>0.25112506031799131</v>
          </cell>
          <cell r="AV78">
            <v>0.24389966657270601</v>
          </cell>
          <cell r="AW78">
            <v>0.14757841610637512</v>
          </cell>
          <cell r="AX78">
            <v>0.14396920977096328</v>
          </cell>
          <cell r="AY78">
            <v>0.16167566257183452</v>
          </cell>
          <cell r="AZ78">
            <v>0.12925557915954511</v>
          </cell>
          <cell r="BA78">
            <v>0.11112101472193792</v>
          </cell>
          <cell r="BB78">
            <v>0.10225066394044657</v>
          </cell>
          <cell r="BC78">
            <v>9.5638065162860109E-2</v>
          </cell>
          <cell r="BD78">
            <v>9.178117520139395E-2</v>
          </cell>
          <cell r="BE78">
            <v>8.8355027686572996E-2</v>
          </cell>
          <cell r="BF78">
            <v>8.5291174796867875E-2</v>
          </cell>
          <cell r="BG78">
            <v>8.2534944575917146E-2</v>
          </cell>
          <cell r="BH78">
            <v>8.0042141198960914E-2</v>
          </cell>
          <cell r="BI78">
            <v>7.7776650343930998E-2</v>
          </cell>
          <cell r="BK78">
            <v>0.2002914230366637</v>
          </cell>
          <cell r="BL78">
            <v>4.3608243536042313E-2</v>
          </cell>
        </row>
        <row r="79">
          <cell r="A79" t="str">
            <v xml:space="preserve">  Share of Visitation</v>
          </cell>
          <cell r="I79">
            <v>0.40627374162766511</v>
          </cell>
          <cell r="J79">
            <v>0.43648325976082042</v>
          </cell>
          <cell r="K79">
            <v>0.44397443865333375</v>
          </cell>
          <cell r="L79">
            <v>0.44231153536721296</v>
          </cell>
          <cell r="M79">
            <v>0.43280967521816782</v>
          </cell>
          <cell r="N79">
            <v>0.43327291953550673</v>
          </cell>
          <cell r="O79">
            <v>0.44578897137627022</v>
          </cell>
          <cell r="P79">
            <v>0.42636500076603961</v>
          </cell>
          <cell r="Q79">
            <v>0.42169011846371185</v>
          </cell>
          <cell r="R79">
            <v>0.43167133525888246</v>
          </cell>
          <cell r="S79">
            <v>0.42243535328556342</v>
          </cell>
          <cell r="T79">
            <v>0.41771432280577109</v>
          </cell>
          <cell r="U79">
            <v>0.43276476811592279</v>
          </cell>
          <cell r="V79">
            <v>0.44767908399918965</v>
          </cell>
          <cell r="W79">
            <v>0.4306435237464466</v>
          </cell>
          <cell r="X79">
            <v>0.46226899769561025</v>
          </cell>
          <cell r="Y79">
            <v>0.47064816337871362</v>
          </cell>
          <cell r="Z79">
            <v>0.46331332779525281</v>
          </cell>
          <cell r="AA79">
            <v>0.48031529153059965</v>
          </cell>
          <cell r="AB79">
            <v>0.46933203206359153</v>
          </cell>
          <cell r="AC79">
            <v>0.49661237383868145</v>
          </cell>
          <cell r="AD79">
            <v>0.5042868737289562</v>
          </cell>
          <cell r="AE79">
            <v>0.49328732295795474</v>
          </cell>
          <cell r="AF79">
            <v>0.50856352216860312</v>
          </cell>
          <cell r="AG79">
            <v>0.500770547719258</v>
          </cell>
          <cell r="AH79">
            <v>0.52679345087369989</v>
          </cell>
          <cell r="AI79">
            <v>0.52531502019232468</v>
          </cell>
          <cell r="AJ79">
            <v>0.51020421625303125</v>
          </cell>
          <cell r="AK79">
            <v>0.51206142038903468</v>
          </cell>
          <cell r="AL79">
            <v>0.51825269022216491</v>
          </cell>
          <cell r="AM79">
            <v>0.52474438921512845</v>
          </cell>
          <cell r="AN79">
            <v>0.51680754443650379</v>
          </cell>
          <cell r="AO79">
            <v>0.50824710586675637</v>
          </cell>
          <cell r="AP79">
            <v>0.50891954676969187</v>
          </cell>
          <cell r="AQ79">
            <v>0.51438295505407228</v>
          </cell>
          <cell r="AR79">
            <v>0.53474438921512846</v>
          </cell>
          <cell r="AS79">
            <v>0.52680754443650368</v>
          </cell>
          <cell r="AT79">
            <v>0.51824710586675637</v>
          </cell>
          <cell r="AU79">
            <v>0.51891954676969188</v>
          </cell>
          <cell r="AV79">
            <v>0.52415688524375004</v>
          </cell>
          <cell r="AW79">
            <v>0.51915688524375003</v>
          </cell>
          <cell r="AX79">
            <v>0.51415688524375014</v>
          </cell>
          <cell r="AY79">
            <v>0.51768331953516278</v>
          </cell>
          <cell r="AZ79">
            <v>0.51877829396096009</v>
          </cell>
          <cell r="BA79">
            <v>0.51877829396096009</v>
          </cell>
          <cell r="BB79">
            <v>0.51877829396096009</v>
          </cell>
          <cell r="BC79">
            <v>0.51877829396096009</v>
          </cell>
          <cell r="BD79">
            <v>0.51877829396096009</v>
          </cell>
          <cell r="BE79">
            <v>0.51877829396096009</v>
          </cell>
          <cell r="BF79">
            <v>0.51877829396096009</v>
          </cell>
          <cell r="BG79">
            <v>0.51877829396096009</v>
          </cell>
          <cell r="BH79">
            <v>0.51877829396096009</v>
          </cell>
          <cell r="BI79">
            <v>0.51877829396096009</v>
          </cell>
          <cell r="BK79">
            <v>0.53038016438237023</v>
          </cell>
          <cell r="BL79">
            <v>-6.2232791386201969E-3</v>
          </cell>
        </row>
        <row r="80">
          <cell r="A80" t="str">
            <v xml:space="preserve">  Share of China + Hong Kong</v>
          </cell>
          <cell r="I80">
            <v>0.49799187963333846</v>
          </cell>
          <cell r="J80">
            <v>0.55912529335102212</v>
          </cell>
          <cell r="K80">
            <v>0.5634502875991827</v>
          </cell>
          <cell r="L80">
            <v>0.57220343024865761</v>
          </cell>
          <cell r="M80">
            <v>0.54852841175367228</v>
          </cell>
          <cell r="N80">
            <v>0.53786143636321304</v>
          </cell>
          <cell r="O80">
            <v>0.57253970733844151</v>
          </cell>
          <cell r="P80">
            <v>0.53069657970316853</v>
          </cell>
          <cell r="Q80">
            <v>0.52442458374142997</v>
          </cell>
          <cell r="R80">
            <v>0.540991809416842</v>
          </cell>
          <cell r="S80">
            <v>0.51779175595370475</v>
          </cell>
          <cell r="T80">
            <v>0.52351555791761295</v>
          </cell>
          <cell r="U80">
            <v>0.533184587877368</v>
          </cell>
          <cell r="V80">
            <v>0.54929843449122984</v>
          </cell>
          <cell r="W80">
            <v>0.5315504379577437</v>
          </cell>
          <cell r="X80">
            <v>0.54598736250434698</v>
          </cell>
          <cell r="Y80">
            <v>0.50871186960298398</v>
          </cell>
          <cell r="Z80">
            <v>0.535200137732184</v>
          </cell>
          <cell r="AA80">
            <v>0.55343228695386071</v>
          </cell>
          <cell r="AB80">
            <v>0.53827828469846883</v>
          </cell>
          <cell r="AC80">
            <v>0.55658326947465597</v>
          </cell>
          <cell r="AD80">
            <v>0.57330730879800718</v>
          </cell>
          <cell r="AE80">
            <v>0.5645906672897345</v>
          </cell>
          <cell r="AF80">
            <v>0.59409276168629466</v>
          </cell>
          <cell r="AG80">
            <v>0.57261097780793635</v>
          </cell>
          <cell r="AH80">
            <v>0.61094132784822797</v>
          </cell>
          <cell r="AI80">
            <v>0.61723170901743929</v>
          </cell>
          <cell r="AJ80">
            <v>0.59200157288702504</v>
          </cell>
          <cell r="AK80">
            <v>0.5944266752823979</v>
          </cell>
          <cell r="AL80">
            <v>0.60313525595262751</v>
          </cell>
          <cell r="AM80">
            <v>0.60211142656304495</v>
          </cell>
          <cell r="AN80">
            <v>0.60185873497182352</v>
          </cell>
          <cell r="AO80">
            <v>0.59288254331588874</v>
          </cell>
          <cell r="AP80">
            <v>0.5952417369224241</v>
          </cell>
          <cell r="AQ80">
            <v>0.59787043122541872</v>
          </cell>
          <cell r="AR80">
            <v>0.63894986066907655</v>
          </cell>
          <cell r="AS80">
            <v>0.62602844208606745</v>
          </cell>
          <cell r="AT80">
            <v>0.60384049412005614</v>
          </cell>
          <cell r="AU80">
            <v>0.60467977759283742</v>
          </cell>
          <cell r="AV80">
            <v>0.61697391128018719</v>
          </cell>
          <cell r="AW80">
            <v>0.61028350791521957</v>
          </cell>
          <cell r="AX80">
            <v>0.59938774916305237</v>
          </cell>
          <cell r="AY80">
            <v>0.59717000641251672</v>
          </cell>
          <cell r="AZ80">
            <v>0.59222992346504655</v>
          </cell>
          <cell r="BA80">
            <v>0.58617071673783649</v>
          </cell>
          <cell r="BB80">
            <v>0.58122154582895047</v>
          </cell>
          <cell r="BC80">
            <v>0.57706039324610081</v>
          </cell>
          <cell r="BD80">
            <v>0.57341501152654184</v>
          </cell>
          <cell r="BE80">
            <v>0.57019517344941806</v>
          </cell>
          <cell r="BF80">
            <v>0.56733053626462082</v>
          </cell>
          <cell r="BG80">
            <v>0.56476545003156065</v>
          </cell>
          <cell r="BH80">
            <v>0.56245531183118658</v>
          </cell>
          <cell r="BI80">
            <v>0.56036395422446161</v>
          </cell>
          <cell r="BK80">
            <v>0.61004374548938389</v>
          </cell>
          <cell r="BL80">
            <v>6.9301657908032999E-3</v>
          </cell>
        </row>
        <row r="81">
          <cell r="BL81">
            <v>0</v>
          </cell>
        </row>
        <row r="82">
          <cell r="A82" t="str">
            <v>Avg Nights Stayed for Hotel Guests</v>
          </cell>
          <cell r="H82">
            <v>1.43</v>
          </cell>
          <cell r="I82">
            <v>1.2666666666666668</v>
          </cell>
          <cell r="J82">
            <v>1.2700000000000002</v>
          </cell>
          <cell r="K82">
            <v>1.26</v>
          </cell>
          <cell r="L82">
            <v>1.3333333333333333</v>
          </cell>
          <cell r="M82">
            <v>1.2825</v>
          </cell>
          <cell r="N82">
            <v>1.2966666666666666</v>
          </cell>
          <cell r="O82">
            <v>1.29</v>
          </cell>
          <cell r="P82">
            <v>1.29</v>
          </cell>
          <cell r="Q82">
            <v>1.2933333333333332</v>
          </cell>
          <cell r="R82">
            <v>1.2925</v>
          </cell>
          <cell r="S82">
            <v>1.2666666666666666</v>
          </cell>
          <cell r="T82">
            <v>1.2366666666666666</v>
          </cell>
          <cell r="U82">
            <v>1.2066666666666668</v>
          </cell>
          <cell r="V82">
            <v>1.2066666666666668</v>
          </cell>
          <cell r="W82">
            <v>1.2291666666666667</v>
          </cell>
          <cell r="X82">
            <v>1.1866666666666668</v>
          </cell>
          <cell r="Y82">
            <v>1.28</v>
          </cell>
          <cell r="Z82">
            <v>1.1966666666666665</v>
          </cell>
          <cell r="AA82">
            <v>1.2233333333333334</v>
          </cell>
          <cell r="AB82">
            <v>1.2216666666666667</v>
          </cell>
          <cell r="AC82">
            <v>1.19</v>
          </cell>
          <cell r="AD82">
            <v>1.1900000000000002</v>
          </cell>
          <cell r="AE82">
            <v>1.1633333333333331</v>
          </cell>
          <cell r="AF82">
            <v>1.1599999999999999</v>
          </cell>
          <cell r="AG82">
            <v>1.1758333333333333</v>
          </cell>
          <cell r="AH82">
            <v>1.18</v>
          </cell>
          <cell r="AI82">
            <v>1.1599999999999999</v>
          </cell>
          <cell r="AJ82">
            <v>1.1633333333333333</v>
          </cell>
          <cell r="AK82">
            <v>1.2</v>
          </cell>
          <cell r="AL82">
            <v>1.1758333333333333</v>
          </cell>
          <cell r="AM82">
            <v>1.1566666666666665</v>
          </cell>
          <cell r="AN82">
            <v>1.1566666666666665</v>
          </cell>
          <cell r="AO82">
            <v>1.1666666666666667</v>
          </cell>
          <cell r="AP82">
            <v>1.2</v>
          </cell>
          <cell r="AQ82">
            <v>1.17</v>
          </cell>
          <cell r="AR82">
            <v>1.2241329526046154</v>
          </cell>
          <cell r="AS82">
            <v>1.2359390736549345</v>
          </cell>
          <cell r="AT82">
            <v>1.3646719559247491</v>
          </cell>
          <cell r="AU82">
            <v>1.3715821961911758</v>
          </cell>
          <cell r="AV82">
            <v>1.2749478692713259</v>
          </cell>
          <cell r="AW82">
            <v>1.439017908256258</v>
          </cell>
          <cell r="AX82">
            <v>1.8461329551184145</v>
          </cell>
          <cell r="AY82">
            <v>2.1697667219533114</v>
          </cell>
          <cell r="AZ82">
            <v>2.1697667219533114</v>
          </cell>
          <cell r="BA82">
            <v>2.1697667219533114</v>
          </cell>
          <cell r="BB82">
            <v>2.1697667219533114</v>
          </cell>
          <cell r="BC82">
            <v>2.1697667219533114</v>
          </cell>
          <cell r="BD82">
            <v>2.1697667219533114</v>
          </cell>
          <cell r="BE82">
            <v>2.1697667219533114</v>
          </cell>
          <cell r="BF82">
            <v>2.1697667219533114</v>
          </cell>
          <cell r="BG82">
            <v>2.1697667219533114</v>
          </cell>
          <cell r="BH82">
            <v>2.1697667219533114</v>
          </cell>
          <cell r="BI82">
            <v>2.1697667219533114</v>
          </cell>
          <cell r="BK82">
            <v>1.23</v>
          </cell>
          <cell r="BL82">
            <v>4.494786927132588E-2</v>
          </cell>
        </row>
        <row r="83">
          <cell r="A83" t="str">
            <v>Avg Days Stayed for All Guests (incl. day trippers)</v>
          </cell>
          <cell r="I83">
            <v>1.5232597975794282</v>
          </cell>
          <cell r="J83">
            <v>1.5132306225435557</v>
          </cell>
          <cell r="K83">
            <v>1.500360645483001</v>
          </cell>
          <cell r="L83">
            <v>1.517526692588324</v>
          </cell>
          <cell r="M83">
            <v>1.5132248442479466</v>
          </cell>
          <cell r="N83">
            <v>1.4894279794424594</v>
          </cell>
          <cell r="O83">
            <v>1.4860305442341841</v>
          </cell>
          <cell r="P83">
            <v>1.4987913754352666</v>
          </cell>
          <cell r="Q83">
            <v>1.5150468461031128</v>
          </cell>
          <cell r="R83">
            <v>1.4974631502582991</v>
          </cell>
          <cell r="S83">
            <v>1.4957646062348318</v>
          </cell>
          <cell r="T83">
            <v>1.4955896072035468</v>
          </cell>
          <cell r="U83">
            <v>1.4758884166147859</v>
          </cell>
          <cell r="V83">
            <v>1.4702494428907067</v>
          </cell>
          <cell r="W83">
            <v>1.4837994970762898</v>
          </cell>
          <cell r="X83">
            <v>1.4437517054253473</v>
          </cell>
          <cell r="Y83">
            <v>1.4415942323304582</v>
          </cell>
          <cell r="Z83">
            <v>1.4531459649543277</v>
          </cell>
          <cell r="AA83">
            <v>1.4519682554838729</v>
          </cell>
          <cell r="AB83">
            <v>1.4484177445435447</v>
          </cell>
          <cell r="AC83">
            <v>1.418854215453397</v>
          </cell>
          <cell r="AD83">
            <v>1.4150729633364536</v>
          </cell>
          <cell r="AE83">
            <v>1.4096909023939745</v>
          </cell>
          <cell r="AF83">
            <v>1.3976647600426821</v>
          </cell>
          <cell r="AG83">
            <v>1.4098053597780686</v>
          </cell>
          <cell r="AH83">
            <v>1.3753959751600955</v>
          </cell>
          <cell r="AI83">
            <v>1.3844091296130736</v>
          </cell>
          <cell r="AJ83">
            <v>1.3939428261280047</v>
          </cell>
          <cell r="AK83">
            <v>1.4036516869864517</v>
          </cell>
          <cell r="AL83">
            <v>1.3898108575367241</v>
          </cell>
          <cell r="AM83">
            <v>1.3711201231906343</v>
          </cell>
          <cell r="AN83">
            <v>1.3802034684958553</v>
          </cell>
          <cell r="AO83">
            <v>1.390102656879056</v>
          </cell>
          <cell r="AP83">
            <v>1.3989874192275473</v>
          </cell>
          <cell r="AQ83">
            <v>1.3857101947157124</v>
          </cell>
          <cell r="AR83">
            <v>1.3798351956014356</v>
          </cell>
          <cell r="AS83">
            <v>1.3919360516391184</v>
          </cell>
          <cell r="AT83">
            <v>1.4279389854678177</v>
          </cell>
          <cell r="AU83">
            <v>1.4315999996672684</v>
          </cell>
          <cell r="AV83">
            <v>1.409808216231297</v>
          </cell>
          <cell r="AW83">
            <v>1.4591658339019791</v>
          </cell>
          <cell r="AX83">
            <v>1.5834259669277251</v>
          </cell>
          <cell r="AY83">
            <v>1.6892403375063489</v>
          </cell>
          <cell r="AZ83">
            <v>1.7144072578115312</v>
          </cell>
          <cell r="BA83">
            <v>1.7384803879875337</v>
          </cell>
          <cell r="BB83">
            <v>1.7585157820070054</v>
          </cell>
          <cell r="BC83">
            <v>1.7756270395727332</v>
          </cell>
          <cell r="BD83">
            <v>1.7908214532408184</v>
          </cell>
          <cell r="BE83">
            <v>1.8044037337967822</v>
          </cell>
          <cell r="BF83">
            <v>1.8166172633742717</v>
          </cell>
          <cell r="BG83">
            <v>1.8276587855618405</v>
          </cell>
          <cell r="BH83">
            <v>1.8376890660667624</v>
          </cell>
          <cell r="BI83">
            <v>1.8468407570351979</v>
          </cell>
          <cell r="BK83">
            <v>1.3905777552739083</v>
          </cell>
          <cell r="BL83">
            <v>1.9230460957388784E-2</v>
          </cell>
        </row>
        <row r="84">
          <cell r="A84" t="str">
            <v xml:space="preserve">  Year-over-Year growth</v>
          </cell>
          <cell r="N84">
            <v>-2.22101431356162E-2</v>
          </cell>
          <cell r="O84">
            <v>-1.7974839990781755E-2</v>
          </cell>
          <cell r="P84">
            <v>-1.0459285588826361E-3</v>
          </cell>
          <cell r="Q84">
            <v>-1.6341369791535998E-3</v>
          </cell>
          <cell r="R84">
            <v>-1.0415963000845907E-2</v>
          </cell>
          <cell r="S84">
            <v>4.2544029518931659E-3</v>
          </cell>
          <cell r="T84">
            <v>6.4326154038030214E-3</v>
          </cell>
          <cell r="U84">
            <v>-1.5280951836161627E-2</v>
          </cell>
          <cell r="V84">
            <v>-2.9568328746817696E-2</v>
          </cell>
          <cell r="W84">
            <v>-9.1245338355421257E-3</v>
          </cell>
          <cell r="X84">
            <v>-3.4773453384762454E-2</v>
          </cell>
          <cell r="Y84">
            <v>-3.6103069059198134E-2</v>
          </cell>
          <cell r="Z84">
            <v>-1.5409330003837374E-2</v>
          </cell>
          <cell r="AA84">
            <v>-1.2434071983656425E-2</v>
          </cell>
          <cell r="AB84">
            <v>-2.3845373045658813E-2</v>
          </cell>
          <cell r="AC84">
            <v>-1.7244994328588614E-2</v>
          </cell>
          <cell r="AD84">
            <v>-1.8397180287778148E-2</v>
          </cell>
          <cell r="AE84">
            <v>-2.9904127739651343E-2</v>
          </cell>
          <cell r="AF84">
            <v>-3.7399919203532361E-2</v>
          </cell>
          <cell r="AG84">
            <v>-2.6658320716475559E-2</v>
          </cell>
          <cell r="AH84">
            <v>-3.0629108910540381E-2</v>
          </cell>
          <cell r="AI84">
            <v>-2.1669436501055683E-2</v>
          </cell>
          <cell r="AJ84">
            <v>-1.1171297366838417E-2</v>
          </cell>
          <cell r="AK84">
            <v>4.2835214243983621E-3</v>
          </cell>
          <cell r="AL84">
            <v>-1.4182455828152141E-2</v>
          </cell>
          <cell r="AM84">
            <v>-3.1088152406171243E-3</v>
          </cell>
          <cell r="AN84">
            <v>-3.0378744456804885E-3</v>
          </cell>
          <cell r="AO84">
            <v>-2.7548972432503982E-3</v>
          </cell>
          <cell r="AP84">
            <v>-3.3229524120177434E-3</v>
          </cell>
          <cell r="AQ84">
            <v>-2.9505186254477067E-3</v>
          </cell>
          <cell r="AR84">
            <v>6.3561698668102018E-3</v>
          </cell>
          <cell r="AS84">
            <v>8.500618503769708E-3</v>
          </cell>
          <cell r="AT84">
            <v>2.7218370097722655E-2</v>
          </cell>
          <cell r="AU84">
            <v>2.3311560912912421E-2</v>
          </cell>
          <cell r="AV84">
            <v>1.7390376146094955E-2</v>
          </cell>
          <cell r="AW84">
            <v>3.5010164575877578E-2</v>
          </cell>
          <cell r="AX84">
            <v>8.5158335083449721E-2</v>
          </cell>
          <cell r="AY84">
            <v>6.6826219089947347E-2</v>
          </cell>
          <cell r="AZ84">
            <v>1.4898365701078164E-2</v>
          </cell>
          <cell r="BA84">
            <v>1.4041663709900565E-2</v>
          </cell>
          <cell r="BB84">
            <v>1.1524659212672983E-2</v>
          </cell>
          <cell r="BC84">
            <v>9.730511230441552E-3</v>
          </cell>
          <cell r="BD84">
            <v>8.5572101175828141E-3</v>
          </cell>
          <cell r="BE84">
            <v>7.5843856635646745E-3</v>
          </cell>
          <cell r="BF84">
            <v>6.7687343739806227E-3</v>
          </cell>
          <cell r="BG84">
            <v>6.0780674114369049E-3</v>
          </cell>
          <cell r="BH84">
            <v>5.4880487452906301E-3</v>
          </cell>
          <cell r="BI84">
            <v>4.979999684072256E-3</v>
          </cell>
          <cell r="BK84">
            <v>3.5710637427210923E-3</v>
          </cell>
          <cell r="BL84">
            <v>1.3819312403373862E-2</v>
          </cell>
        </row>
        <row r="85">
          <cell r="BL85">
            <v>0</v>
          </cell>
        </row>
        <row r="86">
          <cell r="A86" t="str">
            <v>Visitor Days (mm)</v>
          </cell>
          <cell r="I86">
            <v>3.3142583999999999</v>
          </cell>
          <cell r="J86">
            <v>3.3138282800000005</v>
          </cell>
          <cell r="K86">
            <v>3.7129034799999996</v>
          </cell>
          <cell r="L86">
            <v>3.5234966666666665</v>
          </cell>
          <cell r="M86">
            <v>13.864486826666667</v>
          </cell>
          <cell r="N86">
            <v>3.6536889666666674</v>
          </cell>
          <cell r="O86">
            <v>3.79921541</v>
          </cell>
          <cell r="P86">
            <v>4.0304838199999997</v>
          </cell>
          <cell r="Q86">
            <v>3.9089950933333331</v>
          </cell>
          <cell r="R86">
            <v>15.39238329</v>
          </cell>
          <cell r="S86">
            <v>3.9981054999999994</v>
          </cell>
          <cell r="T86">
            <v>4.1934507966666663</v>
          </cell>
          <cell r="U86">
            <v>4.4473181799999999</v>
          </cell>
          <cell r="V86">
            <v>4.4705816</v>
          </cell>
          <cell r="W86">
            <v>17.109456076666664</v>
          </cell>
          <cell r="X86">
            <v>4.32488384</v>
          </cell>
          <cell r="Y86">
            <v>2.9885300799999999</v>
          </cell>
          <cell r="Z86">
            <v>4.8262566766666657</v>
          </cell>
          <cell r="AA86">
            <v>5.0789399466666669</v>
          </cell>
          <cell r="AB86">
            <v>17.218610543333334</v>
          </cell>
          <cell r="AC86">
            <v>5.3227563900000003</v>
          </cell>
          <cell r="AD86">
            <v>5.6368568299999993</v>
          </cell>
          <cell r="AE86">
            <v>6.2804929700000001</v>
          </cell>
          <cell r="AF86">
            <v>6.2649526199999999</v>
          </cell>
          <cell r="AG86">
            <v>23.505058809999998</v>
          </cell>
          <cell r="AH86">
            <v>6.1301701199999998</v>
          </cell>
          <cell r="AI86">
            <v>6.1831878800000002</v>
          </cell>
          <cell r="AJ86">
            <v>6.7622006499999996</v>
          </cell>
          <cell r="AK86">
            <v>6.9294522000000001</v>
          </cell>
          <cell r="AL86">
            <v>26.005010850000001</v>
          </cell>
          <cell r="AM86">
            <v>7.1956630866666664</v>
          </cell>
          <cell r="AN86">
            <v>7.1418104000000007</v>
          </cell>
          <cell r="AO86">
            <v>7.6084683333333336</v>
          </cell>
          <cell r="AP86">
            <v>8.5370801000000007</v>
          </cell>
          <cell r="AQ86">
            <v>30.483021920000002</v>
          </cell>
          <cell r="AR86">
            <v>8.5579382351905053</v>
          </cell>
          <cell r="AS86">
            <v>8.3484255748235388</v>
          </cell>
          <cell r="AT86">
            <v>10.232198638112397</v>
          </cell>
          <cell r="AU86">
            <v>10.719315699172348</v>
          </cell>
          <cell r="AV86">
            <v>37.857878147298791</v>
          </cell>
          <cell r="AW86">
            <v>45.398962925988279</v>
          </cell>
          <cell r="AX86">
            <v>56.905774736737726</v>
          </cell>
          <cell r="AY86">
            <v>70.043267277518083</v>
          </cell>
          <cell r="AZ86">
            <v>80.105727572057503</v>
          </cell>
          <cell r="BA86">
            <v>90.25696587555332</v>
          </cell>
          <cell r="BB86">
            <v>100.63234050955101</v>
          </cell>
          <cell r="BC86">
            <v>111.32947615555436</v>
          </cell>
          <cell r="BD86">
            <v>122.58753317786704</v>
          </cell>
          <cell r="BE86">
            <v>134.43065738175125</v>
          </cell>
          <cell r="BF86">
            <v>146.88394009742024</v>
          </cell>
          <cell r="BG86">
            <v>159.97345320489833</v>
          </cell>
          <cell r="BH86">
            <v>173.72628540981549</v>
          </cell>
          <cell r="BI86">
            <v>188.17057981368006</v>
          </cell>
          <cell r="BK86">
            <v>35.995129626527088</v>
          </cell>
          <cell r="BL86">
            <v>1.8627485207717029</v>
          </cell>
        </row>
        <row r="87">
          <cell r="A87" t="str">
            <v xml:space="preserve">  Year-over-Year growth</v>
          </cell>
          <cell r="N87">
            <v>0.10241523915777573</v>
          </cell>
          <cell r="O87">
            <v>0.14647322944567276</v>
          </cell>
          <cell r="P87">
            <v>8.5534229939098871E-2</v>
          </cell>
          <cell r="Q87">
            <v>0.10940791581090381</v>
          </cell>
          <cell r="R87">
            <v>0.11020216488608936</v>
          </cell>
          <cell r="S87">
            <v>9.4265422282934441E-2</v>
          </cell>
          <cell r="T87">
            <v>0.10376757938730985</v>
          </cell>
          <cell r="U87">
            <v>0.1034204275753674</v>
          </cell>
          <cell r="V87">
            <v>0.14366518587460875</v>
          </cell>
          <cell r="W87">
            <v>0.11155340627349108</v>
          </cell>
          <cell r="X87">
            <v>8.1733295932286065E-2</v>
          </cell>
          <cell r="Y87">
            <v>-0.28733393453058909</v>
          </cell>
          <cell r="Z87">
            <v>8.5206068315684558E-2</v>
          </cell>
          <cell r="AA87">
            <v>0.13608035846312849</v>
          </cell>
          <cell r="AB87">
            <v>6.3797742124327428E-3</v>
          </cell>
          <cell r="AC87">
            <v>0.23072817373055732</v>
          </cell>
          <cell r="AD87">
            <v>0.88616365875761893</v>
          </cell>
          <cell r="AE87">
            <v>0.30131764445187503</v>
          </cell>
          <cell r="AF87">
            <v>0.2335157898670801</v>
          </cell>
          <cell r="AG87">
            <v>0.36509614122729772</v>
          </cell>
          <cell r="AH87">
            <v>0.15169090426849308</v>
          </cell>
          <cell r="AI87">
            <v>9.6921221609242325E-2</v>
          </cell>
          <cell r="AJ87">
            <v>7.669902383474847E-2</v>
          </cell>
          <cell r="AK87">
            <v>0.1060661780391885</v>
          </cell>
          <cell r="AL87">
            <v>0.10635804233497281</v>
          </cell>
          <cell r="AM87">
            <v>0.1738113210252421</v>
          </cell>
          <cell r="AN87">
            <v>0.15503693864790025</v>
          </cell>
          <cell r="AO87">
            <v>0.12514678684273206</v>
          </cell>
          <cell r="AP87">
            <v>0.23199927694140099</v>
          </cell>
          <cell r="AQ87">
            <v>0.17219800813888142</v>
          </cell>
          <cell r="AR87">
            <v>0.18931891781427224</v>
          </cell>
          <cell r="AS87">
            <v>0.16895088321352492</v>
          </cell>
          <cell r="AT87">
            <v>0.34484342837891324</v>
          </cell>
          <cell r="AU87">
            <v>0.25561849878535714</v>
          </cell>
          <cell r="AV87">
            <v>0.24193323898967267</v>
          </cell>
          <cell r="AW87">
            <v>0.19919459694355734</v>
          </cell>
          <cell r="AX87">
            <v>0.25345979443425715</v>
          </cell>
          <cell r="AY87">
            <v>0.23086396067109405</v>
          </cell>
          <cell r="AZ87">
            <v>0.14366063557073949</v>
          </cell>
          <cell r="BA87">
            <v>0.12672300235166678</v>
          </cell>
          <cell r="BB87">
            <v>0.11495372720930264</v>
          </cell>
          <cell r="BC87">
            <v>0.10629918366042657</v>
          </cell>
          <cell r="BD87">
            <v>0.10112377612001366</v>
          </cell>
          <cell r="BE87">
            <v>9.6609531955427652E-2</v>
          </cell>
          <cell r="BF87">
            <v>9.2637222477493397E-2</v>
          </cell>
          <cell r="BG87">
            <v>8.9114664944285549E-2</v>
          </cell>
          <cell r="BH87">
            <v>8.5969465116828792E-2</v>
          </cell>
          <cell r="BI87">
            <v>8.3143977722144324E-2</v>
          </cell>
          <cell r="BK87">
            <v>0.18186614915365551</v>
          </cell>
          <cell r="BL87">
            <v>6.0067089836017162E-2</v>
          </cell>
        </row>
        <row r="88">
          <cell r="A88" t="str">
            <v xml:space="preserve">  Abs Growth Differential (bps)</v>
          </cell>
          <cell r="N88">
            <v>-250.40963643351512</v>
          </cell>
          <cell r="O88">
            <v>-209.8487257985071</v>
          </cell>
          <cell r="P88">
            <v>-11.365800342553189</v>
          </cell>
          <cell r="Q88">
            <v>-18.158919163229204</v>
          </cell>
          <cell r="R88">
            <v>-116.85540833883179</v>
          </cell>
          <cell r="S88">
            <v>46.357238056720092</v>
          </cell>
          <cell r="T88">
            <v>70.547319559355344</v>
          </cell>
          <cell r="U88">
            <v>-171.22969683847077</v>
          </cell>
          <cell r="V88">
            <v>-348.4662464546484</v>
          </cell>
          <cell r="W88">
            <v>-102.35803601853499</v>
          </cell>
          <cell r="X88">
            <v>-389.70749895714584</v>
          </cell>
          <cell r="Y88">
            <v>-266.93136321822465</v>
          </cell>
          <cell r="Z88">
            <v>-169.84010653796179</v>
          </cell>
          <cell r="AA88">
            <v>-143.03961442577284</v>
          </cell>
          <cell r="AB88">
            <v>-245.83708850077545</v>
          </cell>
          <cell r="AC88">
            <v>-215.96328946213549</v>
          </cell>
          <cell r="AD88">
            <v>-353.5044132472276</v>
          </cell>
          <cell r="AE88">
            <v>-401.14353830697615</v>
          </cell>
          <cell r="AF88">
            <v>-479.25812388400101</v>
          </cell>
          <cell r="AG88">
            <v>-373.87868531889137</v>
          </cell>
          <cell r="AH88">
            <v>-363.89854969208989</v>
          </cell>
          <cell r="AI88">
            <v>-242.96148607798608</v>
          </cell>
          <cell r="AJ88">
            <v>-121.64012773711707</v>
          </cell>
          <cell r="AK88">
            <v>47.176500155192699</v>
          </cell>
          <cell r="AL88">
            <v>-159.16610693632816</v>
          </cell>
          <cell r="AM88">
            <v>-36.605424746463115</v>
          </cell>
          <cell r="AN88">
            <v>-35.195491481530006</v>
          </cell>
          <cell r="AO88">
            <v>-31.082266262894009</v>
          </cell>
          <cell r="AP88">
            <v>-41.075240759520511</v>
          </cell>
          <cell r="AQ88">
            <v>-34.688268940858968</v>
          </cell>
          <cell r="AR88">
            <v>75.11767000383918</v>
          </cell>
          <cell r="AS88">
            <v>98.530485014329813</v>
          </cell>
          <cell r="AT88">
            <v>356.34532269535947</v>
          </cell>
          <cell r="AU88">
            <v>286.0363181248693</v>
          </cell>
          <cell r="AV88">
            <v>212.28514325229986</v>
          </cell>
          <cell r="AW88">
            <v>405.63853027183683</v>
          </cell>
          <cell r="AX88">
            <v>983.65875040581807</v>
          </cell>
          <cell r="AY88">
            <v>771.01577777019202</v>
          </cell>
          <cell r="AZ88">
            <v>167.88552393510292</v>
          </cell>
          <cell r="BA88">
            <v>156.01987629729086</v>
          </cell>
          <cell r="BB88">
            <v>127.03063268856063</v>
          </cell>
          <cell r="BC88">
            <v>106.61118497566457</v>
          </cell>
          <cell r="BD88">
            <v>93.426009186197149</v>
          </cell>
          <cell r="BE88">
            <v>82.545042688546573</v>
          </cell>
          <cell r="BF88">
            <v>73.460476806253013</v>
          </cell>
          <cell r="BG88">
            <v>65.797203683686249</v>
          </cell>
          <cell r="BH88">
            <v>59.273239178678772</v>
          </cell>
          <cell r="BI88">
            <v>53.673273782133265</v>
          </cell>
          <cell r="BK88">
            <v>42.055012409902837</v>
          </cell>
          <cell r="BL88">
            <v>170.23013084239702</v>
          </cell>
        </row>
        <row r="89">
          <cell r="BL89">
            <v>0</v>
          </cell>
        </row>
        <row r="90">
          <cell r="BL90">
            <v>0</v>
          </cell>
        </row>
        <row r="91">
          <cell r="A91" t="str">
            <v>Casino Gaming Revenue Detail (millions US$)</v>
          </cell>
          <cell r="BL91">
            <v>0</v>
          </cell>
        </row>
        <row r="92">
          <cell r="BL92">
            <v>0</v>
          </cell>
        </row>
        <row r="93">
          <cell r="A93" t="str">
            <v>Total Revenue Summary</v>
          </cell>
          <cell r="BL93">
            <v>0</v>
          </cell>
        </row>
        <row r="94">
          <cell r="A94" t="str">
            <v>Sands Macao</v>
          </cell>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57.6</v>
          </cell>
          <cell r="AE94">
            <v>162.9117794787893</v>
          </cell>
          <cell r="AF94">
            <v>170.537010938413</v>
          </cell>
          <cell r="AG94">
            <v>391.04879041720227</v>
          </cell>
          <cell r="AH94">
            <v>177.40654000000001</v>
          </cell>
          <cell r="AI94">
            <v>220.51797400000004</v>
          </cell>
          <cell r="AJ94">
            <v>264.364912</v>
          </cell>
          <cell r="AK94">
            <v>299.95060799999999</v>
          </cell>
          <cell r="AL94">
            <v>962.24003400000004</v>
          </cell>
          <cell r="AM94">
            <v>308.92467999999997</v>
          </cell>
          <cell r="AN94">
            <v>341.35691500000001</v>
          </cell>
          <cell r="AO94">
            <v>361.91235999999998</v>
          </cell>
          <cell r="AP94">
            <v>386.23191600000001</v>
          </cell>
          <cell r="AQ94">
            <v>1398.4258709999999</v>
          </cell>
          <cell r="AR94">
            <v>417.53246624884412</v>
          </cell>
          <cell r="AS94">
            <v>340.57094774735958</v>
          </cell>
          <cell r="AT94">
            <v>253.50072429389809</v>
          </cell>
          <cell r="AU94">
            <v>246.90657757885123</v>
          </cell>
          <cell r="AV94">
            <v>1258.510715868953</v>
          </cell>
          <cell r="AW94">
            <v>1013.5918943205954</v>
          </cell>
          <cell r="AX94">
            <v>883.43190800879233</v>
          </cell>
          <cell r="AY94">
            <v>826.11430020996249</v>
          </cell>
          <cell r="AZ94">
            <v>799.13488708614227</v>
          </cell>
          <cell r="BA94">
            <v>872.61400371464583</v>
          </cell>
          <cell r="BK94">
            <v>1050.3547782056712</v>
          </cell>
          <cell r="BL94">
            <v>208.15593766328175</v>
          </cell>
        </row>
        <row r="95">
          <cell r="A95" t="str">
            <v>Venetian Macao</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277.29897953448113</v>
          </cell>
          <cell r="AU95">
            <v>368.42329934912004</v>
          </cell>
          <cell r="AV95">
            <v>645.72227888360112</v>
          </cell>
          <cell r="AW95">
            <v>1480.3037262634375</v>
          </cell>
          <cell r="AX95">
            <v>1524.7537754977643</v>
          </cell>
          <cell r="AY95">
            <v>1357.7602907069081</v>
          </cell>
          <cell r="AZ95">
            <v>1427.6654453876506</v>
          </cell>
          <cell r="BA95">
            <v>1547.0981206849451</v>
          </cell>
          <cell r="BK95">
            <v>765.40373848581066</v>
          </cell>
          <cell r="BL95">
            <v>-119.68145960220954</v>
          </cell>
        </row>
        <row r="96">
          <cell r="A96" t="str">
            <v>LVS Cotai Strip</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528.93890953862979</v>
          </cell>
          <cell r="AX96">
            <v>1273.1936130947747</v>
          </cell>
          <cell r="AY96">
            <v>1747.8663115307552</v>
          </cell>
          <cell r="AZ96">
            <v>1706.3550879819845</v>
          </cell>
          <cell r="BA96">
            <v>1861.5977576673893</v>
          </cell>
          <cell r="BK96">
            <v>0</v>
          </cell>
          <cell r="BL96">
            <v>0</v>
          </cell>
        </row>
        <row r="97">
          <cell r="A97" t="str">
            <v>Wynn Macau</v>
          </cell>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52.353639999999999</v>
          </cell>
          <cell r="AP97">
            <v>275.58989599999995</v>
          </cell>
          <cell r="AQ97">
            <v>327.94353599999999</v>
          </cell>
          <cell r="AR97">
            <v>319.59176189977671</v>
          </cell>
          <cell r="AS97">
            <v>262.17932771581843</v>
          </cell>
          <cell r="AT97">
            <v>286.31638558717214</v>
          </cell>
          <cell r="AU97">
            <v>300.05951249355434</v>
          </cell>
          <cell r="AV97">
            <v>1168.1469876963215</v>
          </cell>
          <cell r="AW97">
            <v>1141.3819628632441</v>
          </cell>
          <cell r="AX97">
            <v>1219.1638579736386</v>
          </cell>
          <cell r="AY97">
            <v>1049.0623669646052</v>
          </cell>
          <cell r="AZ97">
            <v>1067.3154458461636</v>
          </cell>
          <cell r="BA97">
            <v>1151.6403757862122</v>
          </cell>
          <cell r="BK97">
            <v>800.59869158023923</v>
          </cell>
          <cell r="BL97">
            <v>367.54829611608227</v>
          </cell>
        </row>
        <row r="98">
          <cell r="A98" t="str">
            <v>Wynn Cotai</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634.49290988200744</v>
          </cell>
          <cell r="AZ98">
            <v>652.64443069898198</v>
          </cell>
          <cell r="BA98">
            <v>707.97169585659503</v>
          </cell>
          <cell r="BK98">
            <v>0</v>
          </cell>
          <cell r="BL98">
            <v>0</v>
          </cell>
        </row>
        <row r="99">
          <cell r="A99" t="str">
            <v>Wynn Cotai #2</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634.49290988200744</v>
          </cell>
          <cell r="AZ99">
            <v>652.64443069898198</v>
          </cell>
          <cell r="BA99">
            <v>707.97169585659503</v>
          </cell>
        </row>
        <row r="100">
          <cell r="A100" t="str">
            <v>MGM Macau</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157.57245435087751</v>
          </cell>
          <cell r="AV100">
            <v>157.57245435087751</v>
          </cell>
          <cell r="AW100">
            <v>996.71863968447019</v>
          </cell>
          <cell r="AX100">
            <v>947.84510027468764</v>
          </cell>
          <cell r="AY100">
            <v>965.05125420420973</v>
          </cell>
          <cell r="AZ100">
            <v>937.58221584118883</v>
          </cell>
          <cell r="BA100">
            <v>1005.8665261955875</v>
          </cell>
          <cell r="BK100">
            <v>181.01392313590708</v>
          </cell>
          <cell r="BL100">
            <v>-23.441468785029571</v>
          </cell>
        </row>
        <row r="101">
          <cell r="A101" t="str">
            <v>MGM Cotai #1</v>
          </cell>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620.92313449949177</v>
          </cell>
          <cell r="BA101">
            <v>672.31976641806648</v>
          </cell>
        </row>
        <row r="102">
          <cell r="A102" t="str">
            <v>Other</v>
          </cell>
          <cell r="C102">
            <v>1932.6084017502599</v>
          </cell>
          <cell r="D102">
            <v>2185.8227182330293</v>
          </cell>
          <cell r="E102">
            <v>2055.1445888483158</v>
          </cell>
          <cell r="F102">
            <v>2224.660161928372</v>
          </cell>
          <cell r="G102">
            <v>1814.9949815199464</v>
          </cell>
          <cell r="H102">
            <v>1621.756107296324</v>
          </cell>
          <cell r="I102">
            <v>525.02414254733333</v>
          </cell>
          <cell r="J102">
            <v>475.49036163673679</v>
          </cell>
          <cell r="K102">
            <v>511.76567318805417</v>
          </cell>
          <cell r="L102">
            <v>474.46814492903269</v>
          </cell>
          <cell r="M102">
            <v>1986.748322301157</v>
          </cell>
          <cell r="N102">
            <v>548.46985485693131</v>
          </cell>
          <cell r="O102">
            <v>560.85132357778127</v>
          </cell>
          <cell r="P102">
            <v>565.63051125219295</v>
          </cell>
          <cell r="Q102">
            <v>580.99063184734734</v>
          </cell>
          <cell r="R102">
            <v>2255.9423215342531</v>
          </cell>
          <cell r="S102">
            <v>609.58509393554687</v>
          </cell>
          <cell r="T102">
            <v>669.27221552802428</v>
          </cell>
          <cell r="U102">
            <v>667.43454308014293</v>
          </cell>
          <cell r="V102">
            <v>748.1803776184322</v>
          </cell>
          <cell r="W102">
            <v>2694.4722301621464</v>
          </cell>
          <cell r="X102">
            <v>835.80358172344654</v>
          </cell>
          <cell r="Y102">
            <v>648.36718437499371</v>
          </cell>
          <cell r="Z102">
            <v>949.70951060080347</v>
          </cell>
          <cell r="AA102">
            <v>1044.1917159822819</v>
          </cell>
          <cell r="AB102">
            <v>3478.0719926815259</v>
          </cell>
          <cell r="AC102">
            <v>1132.7191437639356</v>
          </cell>
          <cell r="AD102">
            <v>1107.5180179880099</v>
          </cell>
          <cell r="AE102">
            <v>1194.8615889438356</v>
          </cell>
          <cell r="AF102">
            <v>1186.4130759018008</v>
          </cell>
          <cell r="AG102">
            <v>4621.5118265975816</v>
          </cell>
          <cell r="AH102">
            <v>1142.444529452991</v>
          </cell>
          <cell r="AI102">
            <v>1193.0071045261996</v>
          </cell>
          <cell r="AJ102">
            <v>1159.5680469758054</v>
          </cell>
          <cell r="AK102">
            <v>1125.792000964409</v>
          </cell>
          <cell r="AL102">
            <v>4620.8116819194056</v>
          </cell>
          <cell r="AM102">
            <v>1236.8402058328211</v>
          </cell>
          <cell r="AN102">
            <v>1242.9465401048328</v>
          </cell>
          <cell r="AO102">
            <v>1277.1670745215915</v>
          </cell>
          <cell r="AP102">
            <v>1389.0957976994534</v>
          </cell>
          <cell r="AQ102">
            <v>5146.0496181586986</v>
          </cell>
          <cell r="AR102">
            <v>1486.0032078307379</v>
          </cell>
          <cell r="AS102">
            <v>1382.0133924725164</v>
          </cell>
          <cell r="AT102">
            <v>1281.8079580721201</v>
          </cell>
          <cell r="AU102">
            <v>1331.5329536481638</v>
          </cell>
          <cell r="AV102">
            <v>5481.3575120235382</v>
          </cell>
          <cell r="AW102">
            <v>4814.5619485240968</v>
          </cell>
          <cell r="AX102">
            <v>5646.899118430244</v>
          </cell>
          <cell r="AY102">
            <v>5722.7357382880155</v>
          </cell>
          <cell r="AZ102">
            <v>6181.5811987649631</v>
          </cell>
          <cell r="BA102">
            <v>6641.0086273301567</v>
          </cell>
          <cell r="BK102">
            <v>5145.4589300178432</v>
          </cell>
          <cell r="BL102">
            <v>335.89858200569506</v>
          </cell>
        </row>
        <row r="103">
          <cell r="B103" t="str">
            <v>______</v>
          </cell>
          <cell r="C103" t="str">
            <v>______</v>
          </cell>
          <cell r="D103" t="str">
            <v>______</v>
          </cell>
          <cell r="E103" t="str">
            <v>______</v>
          </cell>
          <cell r="F103" t="str">
            <v>______</v>
          </cell>
          <cell r="G103" t="str">
            <v>______</v>
          </cell>
          <cell r="H103" t="str">
            <v>______</v>
          </cell>
          <cell r="I103" t="str">
            <v>______</v>
          </cell>
          <cell r="J103" t="str">
            <v>______</v>
          </cell>
          <cell r="K103" t="str">
            <v>______</v>
          </cell>
          <cell r="L103" t="str">
            <v>______</v>
          </cell>
          <cell r="M103" t="str">
            <v>______</v>
          </cell>
          <cell r="N103" t="str">
            <v>______</v>
          </cell>
          <cell r="O103" t="str">
            <v>______</v>
          </cell>
          <cell r="P103" t="str">
            <v>______</v>
          </cell>
          <cell r="Q103" t="str">
            <v>______</v>
          </cell>
          <cell r="R103" t="str">
            <v>______</v>
          </cell>
          <cell r="S103" t="str">
            <v>______</v>
          </cell>
          <cell r="T103" t="str">
            <v>______</v>
          </cell>
          <cell r="U103" t="str">
            <v>______</v>
          </cell>
          <cell r="V103" t="str">
            <v>______</v>
          </cell>
          <cell r="W103" t="str">
            <v>______</v>
          </cell>
          <cell r="X103" t="str">
            <v>______</v>
          </cell>
          <cell r="Y103" t="str">
            <v>______</v>
          </cell>
          <cell r="Z103" t="str">
            <v>______</v>
          </cell>
          <cell r="AA103" t="str">
            <v>______</v>
          </cell>
          <cell r="AB103" t="str">
            <v>______</v>
          </cell>
          <cell r="AC103" t="str">
            <v>______</v>
          </cell>
          <cell r="AD103" t="str">
            <v>______</v>
          </cell>
          <cell r="AE103" t="str">
            <v>______</v>
          </cell>
          <cell r="AF103" t="str">
            <v>______</v>
          </cell>
          <cell r="AG103" t="str">
            <v>______</v>
          </cell>
          <cell r="AH103" t="str">
            <v>______</v>
          </cell>
          <cell r="AI103" t="str">
            <v>______</v>
          </cell>
          <cell r="AJ103" t="str">
            <v>______</v>
          </cell>
          <cell r="AK103" t="str">
            <v>______</v>
          </cell>
          <cell r="AL103" t="str">
            <v>______</v>
          </cell>
          <cell r="AM103" t="str">
            <v>______</v>
          </cell>
          <cell r="AN103" t="str">
            <v>______</v>
          </cell>
          <cell r="AO103" t="str">
            <v>______</v>
          </cell>
          <cell r="AP103" t="str">
            <v>______</v>
          </cell>
          <cell r="AQ103" t="str">
            <v>______</v>
          </cell>
          <cell r="AR103" t="str">
            <v>______</v>
          </cell>
          <cell r="AS103" t="str">
            <v>______</v>
          </cell>
          <cell r="AT103" t="str">
            <v>______</v>
          </cell>
          <cell r="AU103" t="str">
            <v>______</v>
          </cell>
          <cell r="AV103" t="str">
            <v>______</v>
          </cell>
          <cell r="AW103" t="str">
            <v>______</v>
          </cell>
          <cell r="AX103" t="str">
            <v>______</v>
          </cell>
          <cell r="AY103" t="str">
            <v>______</v>
          </cell>
          <cell r="AZ103" t="str">
            <v>______</v>
          </cell>
          <cell r="BA103" t="str">
            <v>______</v>
          </cell>
          <cell r="BK103" t="str">
            <v>______</v>
          </cell>
          <cell r="BL103" t="e">
            <v>#VALUE!</v>
          </cell>
        </row>
        <row r="104">
          <cell r="A104" t="str">
            <v>Total Revenue</v>
          </cell>
          <cell r="C104">
            <v>1932.6084017502599</v>
          </cell>
          <cell r="D104">
            <v>2185.8227182330293</v>
          </cell>
          <cell r="E104">
            <v>2055.1445888483158</v>
          </cell>
          <cell r="F104">
            <v>2224.660161928372</v>
          </cell>
          <cell r="G104">
            <v>1814.9949815199464</v>
          </cell>
          <cell r="H104">
            <v>1621.756107296324</v>
          </cell>
          <cell r="I104">
            <v>525.02414254733333</v>
          </cell>
          <cell r="J104">
            <v>475.49036163673679</v>
          </cell>
          <cell r="K104">
            <v>511.76567318805417</v>
          </cell>
          <cell r="L104">
            <v>474.46814492903269</v>
          </cell>
          <cell r="M104">
            <v>1986.748322301157</v>
          </cell>
          <cell r="N104">
            <v>548.46985485693131</v>
          </cell>
          <cell r="O104">
            <v>560.85132357778127</v>
          </cell>
          <cell r="P104">
            <v>565.63051125219295</v>
          </cell>
          <cell r="Q104">
            <v>580.99063184734734</v>
          </cell>
          <cell r="R104">
            <v>2255.9423215342531</v>
          </cell>
          <cell r="S104">
            <v>609.58509393554687</v>
          </cell>
          <cell r="T104">
            <v>669.27221552802428</v>
          </cell>
          <cell r="U104">
            <v>667.43454308014293</v>
          </cell>
          <cell r="V104">
            <v>748.1803776184322</v>
          </cell>
          <cell r="W104">
            <v>2694.4722301621464</v>
          </cell>
          <cell r="X104">
            <v>835.80358172344654</v>
          </cell>
          <cell r="Y104">
            <v>648.36718437499371</v>
          </cell>
          <cell r="Z104">
            <v>949.70951060080347</v>
          </cell>
          <cell r="AA104">
            <v>1044.1917159822819</v>
          </cell>
          <cell r="AB104">
            <v>3478.0719926815259</v>
          </cell>
          <cell r="AC104">
            <v>1132.7191437639356</v>
          </cell>
          <cell r="AD104">
            <v>1165.1180179880098</v>
          </cell>
          <cell r="AE104">
            <v>1357.773368422625</v>
          </cell>
          <cell r="AF104">
            <v>1356.9500868402138</v>
          </cell>
          <cell r="AG104">
            <v>5012.5606170147839</v>
          </cell>
          <cell r="AH104">
            <v>1319.8510694529909</v>
          </cell>
          <cell r="AI104">
            <v>1413.5250785261996</v>
          </cell>
          <cell r="AJ104">
            <v>1423.9329589758054</v>
          </cell>
          <cell r="AK104">
            <v>1425.7426089644091</v>
          </cell>
          <cell r="AL104">
            <v>5583.051715919406</v>
          </cell>
          <cell r="AM104">
            <v>1545.7648858328212</v>
          </cell>
          <cell r="AN104">
            <v>1584.3034551048329</v>
          </cell>
          <cell r="AO104">
            <v>1691.4330745215916</v>
          </cell>
          <cell r="AP104">
            <v>2050.9176096994534</v>
          </cell>
          <cell r="AQ104">
            <v>6872.4190251586988</v>
          </cell>
          <cell r="AR104">
            <v>2223.1274359793588</v>
          </cell>
          <cell r="AS104">
            <v>1984.7636679356945</v>
          </cell>
          <cell r="AT104">
            <v>2098.9240474876715</v>
          </cell>
          <cell r="AU104">
            <v>2404.494797420567</v>
          </cell>
          <cell r="AV104">
            <v>8711.3099488232911</v>
          </cell>
          <cell r="AW104">
            <v>9975.4970811944731</v>
          </cell>
          <cell r="AX104">
            <v>11495.287373279902</v>
          </cell>
          <cell r="AY104">
            <v>12937.576081668471</v>
          </cell>
          <cell r="AZ104">
            <v>14045.846276805547</v>
          </cell>
          <cell r="BA104">
            <v>15168.088569510193</v>
          </cell>
          <cell r="BK104">
            <v>7942.8300614254713</v>
          </cell>
          <cell r="BL104">
            <v>768.47988739781977</v>
          </cell>
        </row>
        <row r="105">
          <cell r="A105" t="str">
            <v xml:space="preserve">  Year-over-Year growth</v>
          </cell>
          <cell r="D105">
            <v>0.1310220509511637</v>
          </cell>
          <cell r="E105">
            <v>-5.978441357327946E-2</v>
          </cell>
          <cell r="F105">
            <v>8.2483526463240864E-2</v>
          </cell>
          <cell r="G105">
            <v>-0.18414730816832769</v>
          </cell>
          <cell r="H105">
            <v>-0.10646799368106064</v>
          </cell>
          <cell r="I105" t="str">
            <v>N.M.</v>
          </cell>
          <cell r="J105" t="str">
            <v>N.M.</v>
          </cell>
          <cell r="K105" t="str">
            <v>N.M.</v>
          </cell>
          <cell r="L105" t="str">
            <v>N.M.</v>
          </cell>
          <cell r="M105">
            <v>0.22505986773394793</v>
          </cell>
          <cell r="N105">
            <v>4.465644607473318E-2</v>
          </cell>
          <cell r="O105">
            <v>0.17952196054450886</v>
          </cell>
          <cell r="P105">
            <v>0.10525293290694293</v>
          </cell>
          <cell r="Q105">
            <v>0.22450924905453351</v>
          </cell>
          <cell r="R105">
            <v>0.13549476610167788</v>
          </cell>
          <cell r="S105">
            <v>0.11142862007349064</v>
          </cell>
          <cell r="T105">
            <v>0.19331485438708551</v>
          </cell>
          <cell r="U105">
            <v>0.17998327495201094</v>
          </cell>
          <cell r="V105">
            <v>0.28776668091786584</v>
          </cell>
          <cell r="W105">
            <v>0.19438879462558756</v>
          </cell>
          <cell r="X105">
            <v>0.37110239413403101</v>
          </cell>
          <cell r="Y105">
            <v>-3.1235468420779289E-2</v>
          </cell>
          <cell r="Z105">
            <v>0.42292531971448488</v>
          </cell>
          <cell r="AA105">
            <v>0.39564167574949938</v>
          </cell>
          <cell r="AB105">
            <v>0.29081753144370848</v>
          </cell>
          <cell r="AC105">
            <v>0.35524562054190079</v>
          </cell>
          <cell r="AD105">
            <v>0.79700337411608557</v>
          </cell>
          <cell r="AE105">
            <v>0.42967228743836938</v>
          </cell>
          <cell r="AF105">
            <v>0.29952198056246471</v>
          </cell>
          <cell r="AG105">
            <v>0.44118943701053093</v>
          </cell>
          <cell r="AH105">
            <v>0.16520593539827622</v>
          </cell>
          <cell r="AI105">
            <v>0.21320334653063977</v>
          </cell>
          <cell r="AJ105">
            <v>4.8726534259572629E-2</v>
          </cell>
          <cell r="AK105">
            <v>5.069642781363104E-2</v>
          </cell>
          <cell r="AL105">
            <v>0.11381230921539975</v>
          </cell>
          <cell r="AM105">
            <v>0.17116614261142327</v>
          </cell>
          <cell r="AN105">
            <v>0.1208173658699383</v>
          </cell>
          <cell r="AO105">
            <v>0.1878600490701412</v>
          </cell>
          <cell r="AP105">
            <v>0.43849078845244116</v>
          </cell>
          <cell r="AQ105">
            <v>0.23094310689668451</v>
          </cell>
          <cell r="AR105">
            <v>0.43820541943646929</v>
          </cell>
          <cell r="AS105">
            <v>0.25276736697160285</v>
          </cell>
          <cell r="AT105">
            <v>0.24091462979186185</v>
          </cell>
          <cell r="AU105">
            <v>0.17239950841951557</v>
          </cell>
          <cell r="AV105">
            <v>0.26757549516883961</v>
          </cell>
          <cell r="AW105">
            <v>0.14512021036996225</v>
          </cell>
          <cell r="AX105">
            <v>0.15235233690263872</v>
          </cell>
          <cell r="AY105">
            <v>0.12546782534041578</v>
          </cell>
          <cell r="AZ105">
            <v>8.5662892967053317E-2</v>
          </cell>
          <cell r="BA105">
            <v>7.9898517368643729E-2</v>
          </cell>
          <cell r="BK105">
            <v>0.21000660614596334</v>
          </cell>
          <cell r="BL105">
            <v>5.7568889022876268E-2</v>
          </cell>
        </row>
        <row r="106">
          <cell r="BL106">
            <v>0</v>
          </cell>
        </row>
        <row r="107">
          <cell r="A107" t="str">
            <v>Total Market Share</v>
          </cell>
          <cell r="BL107">
            <v>0</v>
          </cell>
        </row>
        <row r="108">
          <cell r="A108" t="str">
            <v>Sands Macao</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0.119984515286266</v>
          </cell>
          <cell r="AF108">
            <v>0.12567670144413676</v>
          </cell>
          <cell r="AG108">
            <v>7.8013777846359544E-2</v>
          </cell>
          <cell r="AH108">
            <v>0.13441405936317172</v>
          </cell>
          <cell r="AI108">
            <v>0.15600570329457564</v>
          </cell>
          <cell r="AJ108">
            <v>0.18565825752790369</v>
          </cell>
          <cell r="AK108">
            <v>0.21038201854531771</v>
          </cell>
          <cell r="AL108">
            <v>0.17235019178781519</v>
          </cell>
          <cell r="AM108">
            <v>0.19985230796180156</v>
          </cell>
          <cell r="AN108">
            <v>0.21546182576330525</v>
          </cell>
          <cell r="AO108">
            <v>0.21396788643403111</v>
          </cell>
          <cell r="AP108">
            <v>0.18832151724349347</v>
          </cell>
          <cell r="AQ108">
            <v>0.20348379018808552</v>
          </cell>
          <cell r="AR108">
            <v>0.18781310485914979</v>
          </cell>
          <cell r="AS108">
            <v>0.17159269551804085</v>
          </cell>
          <cell r="AT108">
            <v>0.12077651146897304</v>
          </cell>
          <cell r="AU108">
            <v>0.10268542807566954</v>
          </cell>
          <cell r="AV108">
            <v>0.1444685957981498</v>
          </cell>
          <cell r="AW108">
            <v>0.10160815907924933</v>
          </cell>
          <cell r="AX108">
            <v>7.6851659234050657E-2</v>
          </cell>
          <cell r="AY108">
            <v>6.3853869920850292E-2</v>
          </cell>
          <cell r="AZ108">
            <v>5.6894748193690885E-2</v>
          </cell>
          <cell r="BA108">
            <v>5.7529595750694128E-2</v>
          </cell>
          <cell r="BK108">
            <v>0.13223936179961124</v>
          </cell>
          <cell r="BL108">
            <v>1.2229233998538563E-2</v>
          </cell>
        </row>
        <row r="109">
          <cell r="A109" t="str">
            <v>Venetian Macao</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0.13211482324307874</v>
          </cell>
          <cell r="AU109">
            <v>0.15322274755776052</v>
          </cell>
          <cell r="AV109">
            <v>7.4124590064761062E-2</v>
          </cell>
          <cell r="AW109">
            <v>0.14839398119358529</v>
          </cell>
          <cell r="AX109">
            <v>0.13264164052496522</v>
          </cell>
          <cell r="AY109">
            <v>0.10494703815738311</v>
          </cell>
          <cell r="AZ109">
            <v>0.10164324863395452</v>
          </cell>
          <cell r="BA109">
            <v>0.10199690709842051</v>
          </cell>
          <cell r="BK109">
            <v>9.6364108581777519E-2</v>
          </cell>
          <cell r="BL109">
            <v>-2.2239518517016457E-2</v>
          </cell>
        </row>
        <row r="110">
          <cell r="A110" t="str">
            <v>LVS Cotai Strip</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5.3023814776686225E-2</v>
          </cell>
          <cell r="AX110">
            <v>0.11075787596700158</v>
          </cell>
          <cell r="AY110">
            <v>0.13509998321921712</v>
          </cell>
          <cell r="AZ110">
            <v>0.12148467627755226</v>
          </cell>
          <cell r="BA110">
            <v>0.12273120302115323</v>
          </cell>
          <cell r="BK110">
            <v>0</v>
          </cell>
          <cell r="BL110">
            <v>0</v>
          </cell>
        </row>
        <row r="111">
          <cell r="A111" t="str">
            <v>Wynn Macau</v>
          </cell>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3.0952238541751238E-2</v>
          </cell>
          <cell r="AP111">
            <v>0.13437394788393553</v>
          </cell>
          <cell r="AQ111">
            <v>4.7718792291252511E-2</v>
          </cell>
          <cell r="AR111">
            <v>0.14375773368969572</v>
          </cell>
          <cell r="AS111">
            <v>0.13209599306526248</v>
          </cell>
          <cell r="AT111">
            <v>0.13641102732129895</v>
          </cell>
          <cell r="AU111">
            <v>0.12479108410442168</v>
          </cell>
          <cell r="AV111">
            <v>0.13409544541049337</v>
          </cell>
          <cell r="AW111">
            <v>0.11441855514297582</v>
          </cell>
          <cell r="AX111">
            <v>0.10605771029330777</v>
          </cell>
          <cell r="AY111">
            <v>8.108646939290616E-2</v>
          </cell>
          <cell r="AZ111">
            <v>7.5987977143724197E-2</v>
          </cell>
          <cell r="BA111">
            <v>7.592521434118979E-2</v>
          </cell>
          <cell r="BK111">
            <v>0.10079514296401283</v>
          </cell>
          <cell r="BL111">
            <v>3.3300302446480537E-2</v>
          </cell>
        </row>
        <row r="112">
          <cell r="A112" t="str">
            <v>Wynn Cotai</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4.9042641826936503E-2</v>
          </cell>
          <cell r="AZ112">
            <v>4.6465297842303681E-2</v>
          </cell>
          <cell r="BA112">
            <v>4.667507659994214E-2</v>
          </cell>
          <cell r="BK112">
            <v>0</v>
          </cell>
          <cell r="BL112">
            <v>0</v>
          </cell>
        </row>
        <row r="113">
          <cell r="A113" t="str">
            <v>Wynn Cotai #2</v>
          </cell>
          <cell r="C113">
            <v>0</v>
          </cell>
          <cell r="D113">
            <v>0</v>
          </cell>
          <cell r="E113">
            <v>0</v>
          </cell>
          <cell r="F113">
            <v>0</v>
          </cell>
          <cell r="G113">
            <v>0</v>
          </cell>
          <cell r="H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4.9042641826936503E-2</v>
          </cell>
          <cell r="AZ113">
            <v>4.6465297842303681E-2</v>
          </cell>
          <cell r="BA113">
            <v>4.667507659994214E-2</v>
          </cell>
        </row>
        <row r="114">
          <cell r="A114" t="str">
            <v>MGM Macau</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6.5532458011518302E-2</v>
          </cell>
          <cell r="AV114">
            <v>1.808826172832504E-2</v>
          </cell>
          <cell r="AW114">
            <v>9.9916689020285138E-2</v>
          </cell>
          <cell r="AX114">
            <v>8.2455102643009703E-2</v>
          </cell>
          <cell r="AY114">
            <v>7.4592894999211762E-2</v>
          </cell>
          <cell r="AZ114">
            <v>6.6751564652210021E-2</v>
          </cell>
          <cell r="BA114">
            <v>6.6314652738612589E-2</v>
          </cell>
          <cell r="BK114">
            <v>2.2789600398855966E-2</v>
          </cell>
          <cell r="BL114">
            <v>-4.7013386705309253E-3</v>
          </cell>
        </row>
        <row r="115">
          <cell r="A115" t="str">
            <v>MGM Cotai #1</v>
          </cell>
          <cell r="C115">
            <v>0</v>
          </cell>
          <cell r="D115">
            <v>0</v>
          </cell>
          <cell r="E115">
            <v>0</v>
          </cell>
          <cell r="F115">
            <v>0</v>
          </cell>
          <cell r="G115">
            <v>0</v>
          </cell>
          <cell r="H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4.4206886666903533E-2</v>
          </cell>
          <cell r="BA115">
            <v>4.4324620293259336E-2</v>
          </cell>
        </row>
        <row r="116">
          <cell r="A116" t="str">
            <v>Other</v>
          </cell>
          <cell r="C116">
            <v>1</v>
          </cell>
          <cell r="D116">
            <v>1</v>
          </cell>
          <cell r="E116">
            <v>1</v>
          </cell>
          <cell r="F116">
            <v>1</v>
          </cell>
          <cell r="G116">
            <v>1</v>
          </cell>
          <cell r="H116">
            <v>1</v>
          </cell>
          <cell r="I116">
            <v>1</v>
          </cell>
          <cell r="J116">
            <v>1</v>
          </cell>
          <cell r="K116">
            <v>1</v>
          </cell>
          <cell r="L116">
            <v>1</v>
          </cell>
          <cell r="M116">
            <v>1</v>
          </cell>
          <cell r="N116">
            <v>1</v>
          </cell>
          <cell r="O116">
            <v>1</v>
          </cell>
          <cell r="P116">
            <v>1</v>
          </cell>
          <cell r="Q116">
            <v>1</v>
          </cell>
          <cell r="R116">
            <v>1</v>
          </cell>
          <cell r="S116">
            <v>1</v>
          </cell>
          <cell r="T116">
            <v>1</v>
          </cell>
          <cell r="U116">
            <v>1</v>
          </cell>
          <cell r="V116">
            <v>1</v>
          </cell>
          <cell r="W116">
            <v>1</v>
          </cell>
          <cell r="X116">
            <v>1</v>
          </cell>
          <cell r="Y116">
            <v>1</v>
          </cell>
          <cell r="Z116">
            <v>1</v>
          </cell>
          <cell r="AA116">
            <v>1</v>
          </cell>
          <cell r="AB116">
            <v>1</v>
          </cell>
          <cell r="AC116">
            <v>1</v>
          </cell>
          <cell r="AD116">
            <v>0.95056294803554164</v>
          </cell>
          <cell r="AE116">
            <v>0.88001548471373414</v>
          </cell>
          <cell r="AF116">
            <v>0.87432329855586322</v>
          </cell>
          <cell r="AG116">
            <v>0.92198622215364046</v>
          </cell>
          <cell r="AH116">
            <v>0.86558594063682837</v>
          </cell>
          <cell r="AI116">
            <v>0.84399429670542436</v>
          </cell>
          <cell r="AJ116">
            <v>0.81434174247209634</v>
          </cell>
          <cell r="AK116">
            <v>0.78961798145468221</v>
          </cell>
          <cell r="AL116">
            <v>0.82764980821218503</v>
          </cell>
          <cell r="AM116">
            <v>0.80014769203819847</v>
          </cell>
          <cell r="AN116">
            <v>0.7845381742366947</v>
          </cell>
          <cell r="AO116">
            <v>0.75507987502421758</v>
          </cell>
          <cell r="AP116">
            <v>0.67730453487257103</v>
          </cell>
          <cell r="AQ116">
            <v>0.74879741752066198</v>
          </cell>
          <cell r="AR116">
            <v>0.6684291614511545</v>
          </cell>
          <cell r="AS116">
            <v>0.69631131141669667</v>
          </cell>
          <cell r="AT116">
            <v>0.61069763796664922</v>
          </cell>
          <cell r="AU116">
            <v>0.55376828225062991</v>
          </cell>
          <cell r="AV116">
            <v>0.62922310699827078</v>
          </cell>
          <cell r="AW116">
            <v>0.48263880078721827</v>
          </cell>
          <cell r="AX116">
            <v>0.49123601133766509</v>
          </cell>
          <cell r="AY116">
            <v>0.44233446065655857</v>
          </cell>
          <cell r="AZ116">
            <v>0.44010030274735734</v>
          </cell>
          <cell r="BA116">
            <v>0.43782765355678616</v>
          </cell>
          <cell r="BK116">
            <v>0.64781178625574243</v>
          </cell>
          <cell r="BL116">
            <v>-1.8588679257471652E-2</v>
          </cell>
        </row>
        <row r="117">
          <cell r="B117" t="str">
            <v>______</v>
          </cell>
          <cell r="C117" t="str">
            <v>______</v>
          </cell>
          <cell r="D117" t="str">
            <v>______</v>
          </cell>
          <cell r="E117" t="str">
            <v>______</v>
          </cell>
          <cell r="F117" t="str">
            <v>______</v>
          </cell>
          <cell r="G117" t="str">
            <v>______</v>
          </cell>
          <cell r="H117" t="str">
            <v>______</v>
          </cell>
          <cell r="I117" t="str">
            <v>______</v>
          </cell>
          <cell r="J117" t="str">
            <v>______</v>
          </cell>
          <cell r="K117" t="str">
            <v>______</v>
          </cell>
          <cell r="L117" t="str">
            <v>______</v>
          </cell>
          <cell r="M117" t="str">
            <v>______</v>
          </cell>
          <cell r="N117" t="str">
            <v>______</v>
          </cell>
          <cell r="O117" t="str">
            <v>______</v>
          </cell>
          <cell r="P117" t="str">
            <v>______</v>
          </cell>
          <cell r="Q117" t="str">
            <v>______</v>
          </cell>
          <cell r="R117" t="str">
            <v>______</v>
          </cell>
          <cell r="S117" t="str">
            <v>______</v>
          </cell>
          <cell r="T117" t="str">
            <v>______</v>
          </cell>
          <cell r="U117" t="str">
            <v>______</v>
          </cell>
          <cell r="V117" t="str">
            <v>______</v>
          </cell>
          <cell r="W117" t="str">
            <v>______</v>
          </cell>
          <cell r="X117" t="str">
            <v>______</v>
          </cell>
          <cell r="Y117" t="str">
            <v>______</v>
          </cell>
          <cell r="Z117" t="str">
            <v>______</v>
          </cell>
          <cell r="AA117" t="str">
            <v>______</v>
          </cell>
          <cell r="AB117" t="str">
            <v>______</v>
          </cell>
          <cell r="AC117" t="str">
            <v>______</v>
          </cell>
          <cell r="AD117" t="str">
            <v>______</v>
          </cell>
          <cell r="AE117" t="str">
            <v>______</v>
          </cell>
          <cell r="AF117" t="str">
            <v>______</v>
          </cell>
          <cell r="AG117" t="str">
            <v>______</v>
          </cell>
          <cell r="AH117" t="str">
            <v>______</v>
          </cell>
          <cell r="AI117" t="str">
            <v>______</v>
          </cell>
          <cell r="AJ117" t="str">
            <v>______</v>
          </cell>
          <cell r="AK117" t="str">
            <v>______</v>
          </cell>
          <cell r="AL117" t="str">
            <v>______</v>
          </cell>
          <cell r="AM117" t="str">
            <v>______</v>
          </cell>
          <cell r="AN117" t="str">
            <v>______</v>
          </cell>
          <cell r="AO117" t="str">
            <v>______</v>
          </cell>
          <cell r="AP117" t="str">
            <v>______</v>
          </cell>
          <cell r="AQ117" t="str">
            <v>______</v>
          </cell>
          <cell r="AR117" t="str">
            <v>______</v>
          </cell>
          <cell r="AS117" t="str">
            <v>______</v>
          </cell>
          <cell r="AT117" t="str">
            <v>______</v>
          </cell>
          <cell r="AU117" t="str">
            <v>______</v>
          </cell>
          <cell r="AV117" t="str">
            <v>______</v>
          </cell>
          <cell r="AW117" t="str">
            <v>______</v>
          </cell>
          <cell r="AX117" t="str">
            <v>______</v>
          </cell>
          <cell r="AY117" t="str">
            <v>______</v>
          </cell>
          <cell r="AZ117" t="str">
            <v>______</v>
          </cell>
          <cell r="BA117" t="str">
            <v>______</v>
          </cell>
          <cell r="BK117" t="str">
            <v>______</v>
          </cell>
          <cell r="BL117" t="e">
            <v>#VALUE!</v>
          </cell>
        </row>
        <row r="118">
          <cell r="A118" t="str">
            <v>Total</v>
          </cell>
          <cell r="C118">
            <v>1</v>
          </cell>
          <cell r="D118">
            <v>1</v>
          </cell>
          <cell r="E118">
            <v>1</v>
          </cell>
          <cell r="F118">
            <v>1</v>
          </cell>
          <cell r="G118">
            <v>1</v>
          </cell>
          <cell r="H118">
            <v>1</v>
          </cell>
          <cell r="I118">
            <v>1</v>
          </cell>
          <cell r="J118">
            <v>1</v>
          </cell>
          <cell r="K118">
            <v>1</v>
          </cell>
          <cell r="L118">
            <v>1</v>
          </cell>
          <cell r="M118">
            <v>1</v>
          </cell>
          <cell r="N118">
            <v>1</v>
          </cell>
          <cell r="O118">
            <v>1</v>
          </cell>
          <cell r="P118">
            <v>1</v>
          </cell>
          <cell r="Q118">
            <v>1</v>
          </cell>
          <cell r="R118">
            <v>1</v>
          </cell>
          <cell r="S118">
            <v>1</v>
          </cell>
          <cell r="T118">
            <v>1</v>
          </cell>
          <cell r="U118">
            <v>1</v>
          </cell>
          <cell r="V118">
            <v>1</v>
          </cell>
          <cell r="W118">
            <v>1</v>
          </cell>
          <cell r="X118">
            <v>1</v>
          </cell>
          <cell r="Y118">
            <v>1</v>
          </cell>
          <cell r="Z118">
            <v>1</v>
          </cell>
          <cell r="AA118">
            <v>1</v>
          </cell>
          <cell r="AB118">
            <v>1</v>
          </cell>
          <cell r="AC118">
            <v>1</v>
          </cell>
          <cell r="AD118">
            <v>0.95056294803554164</v>
          </cell>
          <cell r="AE118">
            <v>1.0000000000000002</v>
          </cell>
          <cell r="AF118">
            <v>1</v>
          </cell>
          <cell r="AG118">
            <v>1</v>
          </cell>
          <cell r="AH118">
            <v>1</v>
          </cell>
          <cell r="AI118">
            <v>1</v>
          </cell>
          <cell r="AJ118">
            <v>1</v>
          </cell>
          <cell r="AK118">
            <v>0.99999999999999989</v>
          </cell>
          <cell r="AL118">
            <v>1.0000000000000002</v>
          </cell>
          <cell r="AM118">
            <v>1</v>
          </cell>
          <cell r="AN118">
            <v>1</v>
          </cell>
          <cell r="AO118">
            <v>1</v>
          </cell>
          <cell r="AP118">
            <v>1</v>
          </cell>
          <cell r="AQ118">
            <v>1</v>
          </cell>
          <cell r="AR118">
            <v>1</v>
          </cell>
          <cell r="AS118">
            <v>1</v>
          </cell>
          <cell r="AT118">
            <v>1</v>
          </cell>
          <cell r="AU118">
            <v>1</v>
          </cell>
          <cell r="AV118">
            <v>1</v>
          </cell>
          <cell r="AW118">
            <v>1</v>
          </cell>
          <cell r="AX118">
            <v>1</v>
          </cell>
          <cell r="AY118">
            <v>1</v>
          </cell>
          <cell r="AZ118">
            <v>1</v>
          </cell>
          <cell r="BA118">
            <v>1</v>
          </cell>
          <cell r="BK118">
            <v>1</v>
          </cell>
          <cell r="BL118">
            <v>0</v>
          </cell>
        </row>
        <row r="119">
          <cell r="BL119">
            <v>0</v>
          </cell>
        </row>
        <row r="120">
          <cell r="A120" t="str">
            <v>VIP Casino Revenue</v>
          </cell>
          <cell r="BL120">
            <v>0</v>
          </cell>
        </row>
        <row r="121">
          <cell r="A121" t="str">
            <v>Sands Macao</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1.4575</v>
          </cell>
          <cell r="AF121">
            <v>11.1035</v>
          </cell>
          <cell r="AG121">
            <v>12.561</v>
          </cell>
          <cell r="AH121">
            <v>17.969700000000003</v>
          </cell>
          <cell r="AI121">
            <v>51.817999999999998</v>
          </cell>
          <cell r="AJ121">
            <v>76.751999999999995</v>
          </cell>
          <cell r="AK121">
            <v>94.463999999999999</v>
          </cell>
          <cell r="AL121">
            <v>241.00369999999998</v>
          </cell>
          <cell r="AM121">
            <v>92.5</v>
          </cell>
          <cell r="AN121">
            <v>127.8</v>
          </cell>
          <cell r="AO121">
            <v>147.41999999999999</v>
          </cell>
          <cell r="AP121">
            <v>175.15</v>
          </cell>
          <cell r="AQ121">
            <v>542.87</v>
          </cell>
          <cell r="AR121">
            <v>188.37641355245393</v>
          </cell>
          <cell r="AS121">
            <v>151.48683818937158</v>
          </cell>
          <cell r="AT121">
            <v>88.927821075617828</v>
          </cell>
          <cell r="AU121">
            <v>105.56988658651376</v>
          </cell>
          <cell r="AV121">
            <v>534.36095940395705</v>
          </cell>
          <cell r="AW121">
            <v>359.30724355831563</v>
          </cell>
          <cell r="AX121">
            <v>317.38806514317889</v>
          </cell>
          <cell r="AY121">
            <v>264.06687019912482</v>
          </cell>
          <cell r="AZ121">
            <v>271.98887630509859</v>
          </cell>
          <cell r="BA121">
            <v>280.14854259425152</v>
          </cell>
          <cell r="BK121">
            <v>280.63532829475901</v>
          </cell>
          <cell r="BL121">
            <v>253.72563110919805</v>
          </cell>
        </row>
        <row r="122">
          <cell r="A122" t="str">
            <v>Venetian Macao</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127.03974439373974</v>
          </cell>
          <cell r="AU122">
            <v>211.13977317302752</v>
          </cell>
          <cell r="AV122">
            <v>338.17951756676723</v>
          </cell>
          <cell r="AW122">
            <v>778.4990277096839</v>
          </cell>
          <cell r="AX122">
            <v>888.68658240090087</v>
          </cell>
          <cell r="AY122">
            <v>726.18389304759341</v>
          </cell>
          <cell r="AZ122">
            <v>611.9749716864718</v>
          </cell>
          <cell r="BA122">
            <v>630.33422083706591</v>
          </cell>
          <cell r="BK122">
            <v>320.72608947972452</v>
          </cell>
          <cell r="BL122">
            <v>17.45342808704271</v>
          </cell>
        </row>
        <row r="123">
          <cell r="A123" t="str">
            <v>Cotai Site 2 - Four Seasons</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119.76908118610521</v>
          </cell>
          <cell r="AX123">
            <v>126.95522605727155</v>
          </cell>
          <cell r="AY123">
            <v>132.03343509956241</v>
          </cell>
          <cell r="AZ123">
            <v>135.99443815254929</v>
          </cell>
          <cell r="BA123">
            <v>140.07427129712576</v>
          </cell>
          <cell r="BK123">
            <v>0</v>
          </cell>
          <cell r="BL123">
            <v>0</v>
          </cell>
        </row>
        <row r="124">
          <cell r="A124" t="str">
            <v>Cotai Site 3 - Far East</v>
          </cell>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25.391045211454308</v>
          </cell>
          <cell r="AY124">
            <v>52.813374039824964</v>
          </cell>
          <cell r="AZ124">
            <v>54.397775261019717</v>
          </cell>
          <cell r="BA124">
            <v>56.029708518850306</v>
          </cell>
          <cell r="BK124">
            <v>0</v>
          </cell>
          <cell r="BL124">
            <v>0</v>
          </cell>
        </row>
        <row r="125">
          <cell r="A125" t="str">
            <v>Cotai Site 5 - Shangri-La/St.Regis/Traders</v>
          </cell>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29.942270296526303</v>
          </cell>
          <cell r="AX125">
            <v>95.216419542953645</v>
          </cell>
          <cell r="AY125">
            <v>99.025076324671801</v>
          </cell>
          <cell r="AZ125">
            <v>101.99582861441196</v>
          </cell>
          <cell r="BA125">
            <v>105.05570347284431</v>
          </cell>
          <cell r="BK125">
            <v>0</v>
          </cell>
          <cell r="BL125">
            <v>0</v>
          </cell>
        </row>
        <row r="126">
          <cell r="A126" t="str">
            <v>Cotai Site 6 - Starwood</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29.942270296526303</v>
          </cell>
          <cell r="AX126">
            <v>95.216419542953645</v>
          </cell>
          <cell r="AY126">
            <v>99.025076324671801</v>
          </cell>
          <cell r="AZ126">
            <v>101.99582861441196</v>
          </cell>
          <cell r="BA126">
            <v>105.05570347284431</v>
          </cell>
          <cell r="BK126">
            <v>0</v>
          </cell>
          <cell r="BL126">
            <v>0</v>
          </cell>
        </row>
        <row r="127">
          <cell r="A127" t="str">
            <v>Cotai Site 7 - Hilton</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31.738806514317886</v>
          </cell>
          <cell r="AY127">
            <v>99.025076324671801</v>
          </cell>
          <cell r="AZ127">
            <v>101.99582861441196</v>
          </cell>
          <cell r="BA127">
            <v>105.05570347284431</v>
          </cell>
          <cell r="BK127">
            <v>0</v>
          </cell>
          <cell r="BL127">
            <v>0</v>
          </cell>
        </row>
        <row r="128">
          <cell r="A128" t="str">
            <v>Cotai Site 8 - FHR/Raffles</v>
          </cell>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31.738806514317886</v>
          </cell>
          <cell r="AY128">
            <v>99.025076324671801</v>
          </cell>
          <cell r="AZ128">
            <v>101.99582861441196</v>
          </cell>
          <cell r="BA128">
            <v>105.05570347284431</v>
          </cell>
          <cell r="BK128">
            <v>0</v>
          </cell>
          <cell r="BL128">
            <v>0</v>
          </cell>
        </row>
        <row r="129">
          <cell r="A129" t="str">
            <v>Wynn Macau</v>
          </cell>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27.75</v>
          </cell>
          <cell r="AP129">
            <v>171.6</v>
          </cell>
          <cell r="AQ129">
            <v>199.35</v>
          </cell>
          <cell r="AR129">
            <v>188.37641355245393</v>
          </cell>
          <cell r="AS129">
            <v>151.48683818937158</v>
          </cell>
          <cell r="AT129">
            <v>139.74371883311372</v>
          </cell>
          <cell r="AU129">
            <v>158.35482987977062</v>
          </cell>
          <cell r="AV129">
            <v>637.96180045470976</v>
          </cell>
          <cell r="AW129">
            <v>569.2296633049815</v>
          </cell>
          <cell r="AX129">
            <v>666.86105613191614</v>
          </cell>
          <cell r="AY129">
            <v>495.48534572784922</v>
          </cell>
          <cell r="AZ129">
            <v>510.34990609968474</v>
          </cell>
          <cell r="BA129">
            <v>525.66040328267525</v>
          </cell>
          <cell r="BK129">
            <v>200.45380592482786</v>
          </cell>
          <cell r="BL129">
            <v>437.5079945298819</v>
          </cell>
        </row>
        <row r="130">
          <cell r="A130" t="str">
            <v>Wynn Cotai</v>
          </cell>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264.06687019912482</v>
          </cell>
          <cell r="AZ130">
            <v>271.98887630509859</v>
          </cell>
          <cell r="BA130">
            <v>280.14854259425152</v>
          </cell>
          <cell r="BK130">
            <v>0</v>
          </cell>
          <cell r="BL130">
            <v>0</v>
          </cell>
        </row>
        <row r="131">
          <cell r="A131" t="str">
            <v>Wynn Cotai #2</v>
          </cell>
          <cell r="C131">
            <v>0</v>
          </cell>
          <cell r="D131">
            <v>0</v>
          </cell>
          <cell r="E131">
            <v>0</v>
          </cell>
          <cell r="F131">
            <v>0</v>
          </cell>
          <cell r="G131">
            <v>0</v>
          </cell>
          <cell r="H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264.06687019912482</v>
          </cell>
          <cell r="AZ131">
            <v>271.98887630509859</v>
          </cell>
          <cell r="BA131">
            <v>280.14854259425152</v>
          </cell>
        </row>
        <row r="132">
          <cell r="A132" t="str">
            <v>MGM Macau</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75.407061847509823</v>
          </cell>
          <cell r="AV132">
            <v>75.407061847509823</v>
          </cell>
          <cell r="AW132">
            <v>538.96086533747348</v>
          </cell>
          <cell r="AX132">
            <v>507.82090422908618</v>
          </cell>
          <cell r="AY132">
            <v>528.13374039824964</v>
          </cell>
          <cell r="AZ132">
            <v>509.9791430720598</v>
          </cell>
          <cell r="BA132">
            <v>525.27851736422156</v>
          </cell>
          <cell r="BK132">
            <v>40.090761184965565</v>
          </cell>
          <cell r="BL132">
            <v>35.316300662544258</v>
          </cell>
        </row>
        <row r="133">
          <cell r="A133" t="str">
            <v>MGM Cotai</v>
          </cell>
          <cell r="C133">
            <v>0</v>
          </cell>
          <cell r="D133">
            <v>0</v>
          </cell>
          <cell r="E133">
            <v>0</v>
          </cell>
          <cell r="F133">
            <v>0</v>
          </cell>
          <cell r="G133">
            <v>0</v>
          </cell>
          <cell r="H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271.98887630509859</v>
          </cell>
          <cell r="BA133">
            <v>280.14854259425152</v>
          </cell>
        </row>
        <row r="134">
          <cell r="A134" t="str">
            <v>Other</v>
          </cell>
          <cell r="C134">
            <v>1158.4249182304775</v>
          </cell>
          <cell r="D134">
            <v>1373.1958703116916</v>
          </cell>
          <cell r="E134">
            <v>1311.6412933882118</v>
          </cell>
          <cell r="F134">
            <v>1543.9553513896376</v>
          </cell>
          <cell r="G134">
            <v>1152.1755032529654</v>
          </cell>
          <cell r="H134">
            <v>1070.2080149186154</v>
          </cell>
          <cell r="I134">
            <v>356.7836313191666</v>
          </cell>
          <cell r="J134">
            <v>323.12262262629986</v>
          </cell>
          <cell r="K134">
            <v>347.77375070532207</v>
          </cell>
          <cell r="L134">
            <v>322.42796849630065</v>
          </cell>
          <cell r="M134">
            <v>1350.1079731470891</v>
          </cell>
          <cell r="N134">
            <v>386.33383027944319</v>
          </cell>
          <cell r="O134">
            <v>395.05514867652977</v>
          </cell>
          <cell r="P134">
            <v>398.421535841712</v>
          </cell>
          <cell r="Q134">
            <v>409.2409713503929</v>
          </cell>
          <cell r="R134">
            <v>1589.0514861480779</v>
          </cell>
          <cell r="S134">
            <v>448.8076265927283</v>
          </cell>
          <cell r="T134">
            <v>492.75232872959464</v>
          </cell>
          <cell r="U134">
            <v>491.39934057749974</v>
          </cell>
          <cell r="V134">
            <v>550.84854088916359</v>
          </cell>
          <cell r="W134">
            <v>1983.8078367889864</v>
          </cell>
          <cell r="X134">
            <v>646.14830969658385</v>
          </cell>
          <cell r="Y134">
            <v>501.2437962789877</v>
          </cell>
          <cell r="Z134">
            <v>734.20742432344173</v>
          </cell>
          <cell r="AA134">
            <v>807.25032416093984</v>
          </cell>
          <cell r="AB134">
            <v>2688.8498544599533</v>
          </cell>
          <cell r="AC134">
            <v>851.76682704702944</v>
          </cell>
          <cell r="AD134">
            <v>827.74883397630197</v>
          </cell>
          <cell r="AE134">
            <v>952.83954649257635</v>
          </cell>
          <cell r="AF134">
            <v>962.08747327333651</v>
          </cell>
          <cell r="AG134">
            <v>3594.4426807892442</v>
          </cell>
          <cell r="AH134">
            <v>853.41058739791868</v>
          </cell>
          <cell r="AI134">
            <v>874.69573647604284</v>
          </cell>
          <cell r="AJ134">
            <v>796.91550231017868</v>
          </cell>
          <cell r="AK134">
            <v>731.81010821960808</v>
          </cell>
          <cell r="AL134">
            <v>3256.8319344037482</v>
          </cell>
          <cell r="AM134">
            <v>880.77110396866146</v>
          </cell>
          <cell r="AN134">
            <v>885.48988755432492</v>
          </cell>
          <cell r="AO134">
            <v>929.52342951078037</v>
          </cell>
          <cell r="AP134">
            <v>1024.2874881365419</v>
          </cell>
          <cell r="AQ134">
            <v>3720.0719091703086</v>
          </cell>
          <cell r="AR134">
            <v>1072.2965079139685</v>
          </cell>
          <cell r="AS134">
            <v>1014.3031774418791</v>
          </cell>
          <cell r="AT134">
            <v>914.68615963492607</v>
          </cell>
          <cell r="AU134">
            <v>957.66968546337466</v>
          </cell>
          <cell r="AV134">
            <v>3958.9555304541482</v>
          </cell>
          <cell r="AW134">
            <v>3562.8036376156483</v>
          </cell>
          <cell r="AX134">
            <v>3560.7479715752261</v>
          </cell>
          <cell r="AY134">
            <v>3478.7210507689792</v>
          </cell>
          <cell r="AZ134">
            <v>3481.086853677637</v>
          </cell>
          <cell r="BA134">
            <v>3585.5194592879666</v>
          </cell>
          <cell r="BK134">
            <v>3167.1701336122796</v>
          </cell>
          <cell r="BL134">
            <v>791.78539684186853</v>
          </cell>
        </row>
        <row r="135">
          <cell r="B135" t="str">
            <v>______</v>
          </cell>
          <cell r="C135" t="str">
            <v>______</v>
          </cell>
          <cell r="D135" t="str">
            <v>______</v>
          </cell>
          <cell r="E135" t="str">
            <v>______</v>
          </cell>
          <cell r="F135" t="str">
            <v>______</v>
          </cell>
          <cell r="G135" t="str">
            <v>______</v>
          </cell>
          <cell r="H135" t="str">
            <v>______</v>
          </cell>
          <cell r="I135" t="str">
            <v>______</v>
          </cell>
          <cell r="J135" t="str">
            <v>______</v>
          </cell>
          <cell r="K135" t="str">
            <v>______</v>
          </cell>
          <cell r="L135" t="str">
            <v>______</v>
          </cell>
          <cell r="M135" t="str">
            <v>______</v>
          </cell>
          <cell r="N135" t="str">
            <v>______</v>
          </cell>
          <cell r="O135" t="str">
            <v>______</v>
          </cell>
          <cell r="P135" t="str">
            <v>______</v>
          </cell>
          <cell r="Q135" t="str">
            <v>______</v>
          </cell>
          <cell r="R135" t="str">
            <v>______</v>
          </cell>
          <cell r="S135" t="str">
            <v>______</v>
          </cell>
          <cell r="T135" t="str">
            <v>______</v>
          </cell>
          <cell r="U135" t="str">
            <v>______</v>
          </cell>
          <cell r="V135" t="str">
            <v>______</v>
          </cell>
          <cell r="W135" t="str">
            <v>______</v>
          </cell>
          <cell r="X135" t="str">
            <v>______</v>
          </cell>
          <cell r="Y135" t="str">
            <v>______</v>
          </cell>
          <cell r="Z135" t="str">
            <v>______</v>
          </cell>
          <cell r="AA135" t="str">
            <v>______</v>
          </cell>
          <cell r="AB135" t="str">
            <v>______</v>
          </cell>
          <cell r="AC135" t="str">
            <v>______</v>
          </cell>
          <cell r="AD135" t="str">
            <v>______</v>
          </cell>
          <cell r="AE135" t="str">
            <v>______</v>
          </cell>
          <cell r="AF135" t="str">
            <v>______</v>
          </cell>
          <cell r="AG135" t="str">
            <v>______</v>
          </cell>
          <cell r="AH135" t="str">
            <v>______</v>
          </cell>
          <cell r="AI135" t="str">
            <v>______</v>
          </cell>
          <cell r="AJ135" t="str">
            <v>______</v>
          </cell>
          <cell r="AK135" t="str">
            <v>______</v>
          </cell>
          <cell r="AL135" t="str">
            <v>______</v>
          </cell>
          <cell r="AM135" t="str">
            <v>______</v>
          </cell>
          <cell r="AN135" t="str">
            <v>______</v>
          </cell>
          <cell r="AO135" t="str">
            <v>______</v>
          </cell>
          <cell r="AP135" t="str">
            <v>______</v>
          </cell>
          <cell r="AQ135" t="str">
            <v>______</v>
          </cell>
          <cell r="AR135" t="str">
            <v>______</v>
          </cell>
          <cell r="AS135" t="str">
            <v>______</v>
          </cell>
          <cell r="AT135" t="str">
            <v>______</v>
          </cell>
          <cell r="AU135" t="str">
            <v>______</v>
          </cell>
          <cell r="AV135" t="str">
            <v>______</v>
          </cell>
          <cell r="AW135" t="str">
            <v>______</v>
          </cell>
          <cell r="AX135" t="str">
            <v>______</v>
          </cell>
          <cell r="AY135" t="str">
            <v>______</v>
          </cell>
          <cell r="AZ135" t="str">
            <v>______</v>
          </cell>
          <cell r="BA135" t="str">
            <v>______</v>
          </cell>
          <cell r="BK135" t="str">
            <v>______</v>
          </cell>
          <cell r="BL135" t="e">
            <v>#VALUE!</v>
          </cell>
        </row>
        <row r="136">
          <cell r="A136" t="str">
            <v>Total VIP Revenue</v>
          </cell>
          <cell r="C136">
            <v>1158.4249182304775</v>
          </cell>
          <cell r="D136">
            <v>1373.1958703116916</v>
          </cell>
          <cell r="E136">
            <v>1311.6412933882118</v>
          </cell>
          <cell r="F136">
            <v>1543.9553513896376</v>
          </cell>
          <cell r="G136">
            <v>1152.1755032529654</v>
          </cell>
          <cell r="H136">
            <v>1070.2080149186154</v>
          </cell>
          <cell r="I136">
            <v>356.7836313191666</v>
          </cell>
          <cell r="J136">
            <v>323.12262262629986</v>
          </cell>
          <cell r="K136">
            <v>347.77375070532207</v>
          </cell>
          <cell r="L136">
            <v>322.42796849630065</v>
          </cell>
          <cell r="M136">
            <v>1350.1079731470891</v>
          </cell>
          <cell r="N136">
            <v>386.33383027944319</v>
          </cell>
          <cell r="O136">
            <v>395.05514867652977</v>
          </cell>
          <cell r="P136">
            <v>398.421535841712</v>
          </cell>
          <cell r="Q136">
            <v>409.2409713503929</v>
          </cell>
          <cell r="R136">
            <v>1589.0514861480779</v>
          </cell>
          <cell r="S136">
            <v>448.8076265927283</v>
          </cell>
          <cell r="T136">
            <v>492.75232872959464</v>
          </cell>
          <cell r="U136">
            <v>491.39934057749974</v>
          </cell>
          <cell r="V136">
            <v>550.84854088916359</v>
          </cell>
          <cell r="W136">
            <v>1983.8078367889864</v>
          </cell>
          <cell r="X136">
            <v>646.14830969658385</v>
          </cell>
          <cell r="Y136">
            <v>501.2437962789877</v>
          </cell>
          <cell r="Z136">
            <v>734.20742432344173</v>
          </cell>
          <cell r="AA136">
            <v>807.25032416093984</v>
          </cell>
          <cell r="AB136">
            <v>2688.8498544599533</v>
          </cell>
          <cell r="AC136">
            <v>851.76682704702944</v>
          </cell>
          <cell r="AD136">
            <v>827.74883397630197</v>
          </cell>
          <cell r="AE136">
            <v>954.29704649257633</v>
          </cell>
          <cell r="AF136">
            <v>973.19097327333657</v>
          </cell>
          <cell r="AG136">
            <v>3607.0036807892443</v>
          </cell>
          <cell r="AH136">
            <v>871.38028739791866</v>
          </cell>
          <cell r="AI136">
            <v>926.51373647604282</v>
          </cell>
          <cell r="AJ136">
            <v>873.66750231017863</v>
          </cell>
          <cell r="AK136">
            <v>826.27410821960802</v>
          </cell>
          <cell r="AL136">
            <v>3497.8356344037484</v>
          </cell>
          <cell r="AM136">
            <v>973.27110396866146</v>
          </cell>
          <cell r="AN136">
            <v>1013.2898875543249</v>
          </cell>
          <cell r="AO136">
            <v>1104.6934295107803</v>
          </cell>
          <cell r="AP136">
            <v>1371.0374881365419</v>
          </cell>
          <cell r="AQ136">
            <v>4462.2919091703088</v>
          </cell>
          <cell r="AR136">
            <v>1449.0493350188763</v>
          </cell>
          <cell r="AS136">
            <v>1317.2768538206224</v>
          </cell>
          <cell r="AT136">
            <v>1270.3974439373974</v>
          </cell>
          <cell r="AU136">
            <v>1508.1412369501963</v>
          </cell>
          <cell r="AV136">
            <v>5544.8648697270919</v>
          </cell>
          <cell r="AW136">
            <v>5988.4540593052607</v>
          </cell>
          <cell r="AX136">
            <v>6347.7613028635769</v>
          </cell>
          <cell r="AY136">
            <v>6601.6717549781206</v>
          </cell>
          <cell r="AZ136">
            <v>6799.7219076274641</v>
          </cell>
          <cell r="BA136">
            <v>7003.713564856288</v>
          </cell>
          <cell r="BK136">
            <v>4009.0761184965568</v>
          </cell>
          <cell r="BL136">
            <v>1535.7887512305351</v>
          </cell>
        </row>
        <row r="137">
          <cell r="A137" t="str">
            <v xml:space="preserve">  Year-over-Year growth</v>
          </cell>
          <cell r="D137">
            <v>0.18539911279643562</v>
          </cell>
          <cell r="E137">
            <v>-4.4825780687432371E-2</v>
          </cell>
          <cell r="F137">
            <v>0.17711706635990065</v>
          </cell>
          <cell r="G137">
            <v>-0.2537507627950838</v>
          </cell>
          <cell r="H137">
            <v>-7.114149546048254E-2</v>
          </cell>
          <cell r="I137" t="str">
            <v>N.M.</v>
          </cell>
          <cell r="J137" t="str">
            <v>N.M.</v>
          </cell>
          <cell r="K137" t="str">
            <v>N.M.</v>
          </cell>
          <cell r="L137" t="str">
            <v>N.M.</v>
          </cell>
          <cell r="M137">
            <v>0.26153790134879418</v>
          </cell>
          <cell r="N137">
            <v>8.2823864006928094E-2</v>
          </cell>
          <cell r="O137">
            <v>0.22261680555069607</v>
          </cell>
          <cell r="P137">
            <v>0.14563429538218697</v>
          </cell>
          <cell r="Q137">
            <v>0.26924774317488609</v>
          </cell>
          <cell r="R137">
            <v>0.17698103985269698</v>
          </cell>
          <cell r="S137">
            <v>0.16170935966983913</v>
          </cell>
          <cell r="T137">
            <v>0.24730010577095163</v>
          </cell>
          <cell r="U137">
            <v>0.23336540917488624</v>
          </cell>
          <cell r="V137">
            <v>0.34602490818918041</v>
          </cell>
          <cell r="W137">
            <v>0.24842263078448967</v>
          </cell>
          <cell r="X137">
            <v>0.43969993246779859</v>
          </cell>
          <cell r="Y137">
            <v>1.723272941456333E-2</v>
          </cell>
          <cell r="Z137">
            <v>0.49411560760458162</v>
          </cell>
          <cell r="AA137">
            <v>0.46546693735069167</v>
          </cell>
          <cell r="AB137">
            <v>0.35539834282142757</v>
          </cell>
          <cell r="AC137">
            <v>0.31822186062360713</v>
          </cell>
          <cell r="AD137">
            <v>0.65138968326619362</v>
          </cell>
          <cell r="AE137">
            <v>0.29976490958524837</v>
          </cell>
          <cell r="AF137">
            <v>0.20556281508449858</v>
          </cell>
          <cell r="AG137">
            <v>0.34146712387319189</v>
          </cell>
          <cell r="AH137">
            <v>2.3026795277865775E-2</v>
          </cell>
          <cell r="AI137">
            <v>0.11931747704831985</v>
          </cell>
          <cell r="AJ137">
            <v>-8.4491033980188424E-2</v>
          </cell>
          <cell r="AK137">
            <v>-0.15096406469901003</v>
          </cell>
          <cell r="AL137">
            <v>-3.0265576652145021E-2</v>
          </cell>
          <cell r="AM137">
            <v>0.11693036673460355</v>
          </cell>
          <cell r="AN137">
            <v>9.3658785252695331E-2</v>
          </cell>
          <cell r="AO137">
            <v>0.2644323230401906</v>
          </cell>
          <cell r="AP137">
            <v>0.65930104126189826</v>
          </cell>
          <cell r="AQ137">
            <v>0.2757294440254523</v>
          </cell>
          <cell r="AR137">
            <v>0.48884450499984688</v>
          </cell>
          <cell r="AS137">
            <v>0.30000000000000004</v>
          </cell>
          <cell r="AT137">
            <v>0.14999999999999991</v>
          </cell>
          <cell r="AU137">
            <v>0.10000000000000009</v>
          </cell>
          <cell r="AV137">
            <v>0.24260469341596025</v>
          </cell>
          <cell r="AW137">
            <v>8.0000000000000293E-2</v>
          </cell>
          <cell r="AX137">
            <v>6.0000000000000053E-2</v>
          </cell>
          <cell r="AY137">
            <v>4.0000000000000036E-2</v>
          </cell>
          <cell r="AZ137">
            <v>3.0000000000000027E-2</v>
          </cell>
          <cell r="BA137">
            <v>3.0000000000000027E-2</v>
          </cell>
          <cell r="BK137">
            <v>0.1</v>
          </cell>
          <cell r="BL137">
            <v>0.14260469341596024</v>
          </cell>
        </row>
        <row r="138">
          <cell r="BL138">
            <v>0</v>
          </cell>
        </row>
        <row r="139">
          <cell r="A139" t="str">
            <v>VIP Casino Revenue Market Share</v>
          </cell>
          <cell r="BL139">
            <v>0</v>
          </cell>
        </row>
        <row r="140">
          <cell r="A140" t="str">
            <v>Sands Macao</v>
          </cell>
          <cell r="C140">
            <v>0</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1.5273022224651077E-3</v>
          </cell>
          <cell r="AF140">
            <v>1.1409374218354367E-2</v>
          </cell>
          <cell r="AG140">
            <v>3.4823917887579041E-3</v>
          </cell>
          <cell r="AH140">
            <v>2.0622109840997677E-2</v>
          </cell>
          <cell r="AI140">
            <v>5.5927934967362328E-2</v>
          </cell>
          <cell r="AJ140">
            <v>8.7850354736842079E-2</v>
          </cell>
          <cell r="AK140">
            <v>0.11432525727272728</v>
          </cell>
          <cell r="AL140">
            <v>6.8900807582138485E-2</v>
          </cell>
          <cell r="AM140">
            <v>9.5040322909842004E-2</v>
          </cell>
          <cell r="AN140">
            <v>0.1261238285012968</v>
          </cell>
          <cell r="AO140">
            <v>0.13344878865196633</v>
          </cell>
          <cell r="AP140">
            <v>0.12774997147456318</v>
          </cell>
          <cell r="AQ140">
            <v>0.12165721361356163</v>
          </cell>
          <cell r="AR140">
            <v>0.13</v>
          </cell>
          <cell r="AS140">
            <v>0.115</v>
          </cell>
          <cell r="AT140">
            <v>7.0000000000000007E-2</v>
          </cell>
          <cell r="AU140">
            <v>7.0000000000000007E-2</v>
          </cell>
          <cell r="AV140">
            <v>9.6370420552783886E-2</v>
          </cell>
          <cell r="AW140">
            <v>0.06</v>
          </cell>
          <cell r="AX140">
            <v>0.05</v>
          </cell>
          <cell r="AY140">
            <v>0.04</v>
          </cell>
          <cell r="AZ140">
            <v>0.04</v>
          </cell>
          <cell r="BA140">
            <v>0.04</v>
          </cell>
          <cell r="BK140">
            <v>7.0000000000000007E-2</v>
          </cell>
          <cell r="BL140">
            <v>2.637042055278388E-2</v>
          </cell>
        </row>
        <row r="141">
          <cell r="A141" t="str">
            <v>Venetian Macao</v>
          </cell>
          <cell r="C141">
            <v>0</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0.1</v>
          </cell>
          <cell r="AU141">
            <v>0.14000000000000001</v>
          </cell>
          <cell r="AV141">
            <v>6.0989677027676929E-2</v>
          </cell>
          <cell r="AW141">
            <v>0.13</v>
          </cell>
          <cell r="AX141">
            <v>0.14000000000000001</v>
          </cell>
          <cell r="AY141">
            <v>0.11000000000000001</v>
          </cell>
          <cell r="AZ141">
            <v>0.09</v>
          </cell>
          <cell r="BA141">
            <v>0.09</v>
          </cell>
          <cell r="BK141">
            <v>0.08</v>
          </cell>
          <cell r="BL141">
            <v>-1.9010322972323072E-2</v>
          </cell>
        </row>
        <row r="142">
          <cell r="A142" t="str">
            <v>Cotai Site 2 - Four Seasons</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0.02</v>
          </cell>
          <cell r="AX142">
            <v>0.02</v>
          </cell>
          <cell r="AY142">
            <v>0.02</v>
          </cell>
          <cell r="AZ142">
            <v>0.02</v>
          </cell>
          <cell r="BA142">
            <v>0.02</v>
          </cell>
          <cell r="BK142">
            <v>0</v>
          </cell>
          <cell r="BL142">
            <v>0</v>
          </cell>
        </row>
        <row r="143">
          <cell r="A143" t="str">
            <v>Cotai Site 3 - Far East</v>
          </cell>
          <cell r="C143">
            <v>0</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4.0000000000000001E-3</v>
          </cell>
          <cell r="AY143">
            <v>8.0000000000000002E-3</v>
          </cell>
          <cell r="AZ143">
            <v>8.0000000000000002E-3</v>
          </cell>
          <cell r="BA143">
            <v>8.0000000000000002E-3</v>
          </cell>
          <cell r="BK143">
            <v>0</v>
          </cell>
          <cell r="BL143">
            <v>0</v>
          </cell>
        </row>
        <row r="144">
          <cell r="A144" t="str">
            <v>Cotai Site 5 - Shangri-La/St.Regis/Traders</v>
          </cell>
          <cell r="C144">
            <v>0</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5.0000000000000001E-3</v>
          </cell>
          <cell r="AX144">
            <v>1.4999999999999999E-2</v>
          </cell>
          <cell r="AY144">
            <v>1.4999999999999999E-2</v>
          </cell>
          <cell r="AZ144">
            <v>1.4999999999999999E-2</v>
          </cell>
          <cell r="BA144">
            <v>1.4999999999999999E-2</v>
          </cell>
          <cell r="BK144">
            <v>0</v>
          </cell>
          <cell r="BL144">
            <v>0</v>
          </cell>
        </row>
        <row r="145">
          <cell r="A145" t="str">
            <v>Cotai Site 6 - Starwood</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5.0000000000000001E-3</v>
          </cell>
          <cell r="AX145">
            <v>1.4999999999999999E-2</v>
          </cell>
          <cell r="AY145">
            <v>1.4999999999999999E-2</v>
          </cell>
          <cell r="AZ145">
            <v>1.4999999999999999E-2</v>
          </cell>
          <cell r="BA145">
            <v>1.4999999999999999E-2</v>
          </cell>
          <cell r="BK145">
            <v>0</v>
          </cell>
          <cell r="BL145">
            <v>0</v>
          </cell>
        </row>
        <row r="146">
          <cell r="A146" t="str">
            <v>Cotai Site 7 - Hilton</v>
          </cell>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5.0000000000000001E-3</v>
          </cell>
          <cell r="AY146">
            <v>1.4999999999999999E-2</v>
          </cell>
          <cell r="AZ146">
            <v>1.4999999999999999E-2</v>
          </cell>
          <cell r="BA146">
            <v>1.4999999999999999E-2</v>
          </cell>
          <cell r="BK146">
            <v>0</v>
          </cell>
          <cell r="BL146">
            <v>0</v>
          </cell>
        </row>
        <row r="147">
          <cell r="A147" t="str">
            <v>Cotai Site 8 - FHR/Raffles</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5.0000000000000001E-3</v>
          </cell>
          <cell r="AY147">
            <v>1.4999999999999999E-2</v>
          </cell>
          <cell r="AZ147">
            <v>1.4999999999999999E-2</v>
          </cell>
          <cell r="BA147">
            <v>1.4999999999999999E-2</v>
          </cell>
          <cell r="BK147">
            <v>0</v>
          </cell>
          <cell r="BL147">
            <v>0</v>
          </cell>
        </row>
        <row r="148">
          <cell r="A148" t="str">
            <v>Wynn Macau</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2.5120091473965989E-2</v>
          </cell>
          <cell r="AP148">
            <v>0.12516069143611214</v>
          </cell>
          <cell r="AQ148">
            <v>4.4674352117198425E-2</v>
          </cell>
          <cell r="AR148">
            <v>0.13</v>
          </cell>
          <cell r="AS148">
            <v>0.115</v>
          </cell>
          <cell r="AT148">
            <v>0.11</v>
          </cell>
          <cell r="AU148">
            <v>0.105</v>
          </cell>
          <cell r="AV148">
            <v>0.11505452620455096</v>
          </cell>
          <cell r="AW148">
            <v>9.505452620455096E-2</v>
          </cell>
          <cell r="AX148">
            <v>0.10505452620455095</v>
          </cell>
          <cell r="AY148">
            <v>7.5054526204550956E-2</v>
          </cell>
          <cell r="AZ148">
            <v>7.5054526204550956E-2</v>
          </cell>
          <cell r="BA148">
            <v>7.5054526204550956E-2</v>
          </cell>
          <cell r="BK148">
            <v>0.05</v>
          </cell>
          <cell r="BL148">
            <v>6.5054526204550961E-2</v>
          </cell>
        </row>
        <row r="149">
          <cell r="A149" t="str">
            <v>Wynn Cotai</v>
          </cell>
          <cell r="C149">
            <v>0</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0.04</v>
          </cell>
          <cell r="AZ149">
            <v>0.04</v>
          </cell>
          <cell r="BA149">
            <v>0.04</v>
          </cell>
          <cell r="BK149">
            <v>0</v>
          </cell>
          <cell r="BL149">
            <v>0</v>
          </cell>
        </row>
        <row r="150">
          <cell r="A150" t="str">
            <v>Wynn Cotai #2</v>
          </cell>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0.04</v>
          </cell>
          <cell r="AZ150">
            <v>0.04</v>
          </cell>
          <cell r="BA150">
            <v>0.04</v>
          </cell>
        </row>
        <row r="151">
          <cell r="A151" t="str">
            <v>MGM Macau</v>
          </cell>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0.05</v>
          </cell>
          <cell r="AV151">
            <v>1.3599440855484946E-2</v>
          </cell>
          <cell r="AW151">
            <v>0.09</v>
          </cell>
          <cell r="AX151">
            <v>0.08</v>
          </cell>
          <cell r="AY151">
            <v>0.08</v>
          </cell>
          <cell r="AZ151">
            <v>7.4999999999999997E-2</v>
          </cell>
          <cell r="BA151">
            <v>7.4999999999999997E-2</v>
          </cell>
          <cell r="BK151">
            <v>0.01</v>
          </cell>
          <cell r="BL151">
            <v>3.5994408554849457E-3</v>
          </cell>
        </row>
        <row r="152">
          <cell r="A152" t="str">
            <v>MGM Cotai #1</v>
          </cell>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0.04</v>
          </cell>
          <cell r="BA152">
            <v>0.04</v>
          </cell>
        </row>
        <row r="153">
          <cell r="A153" t="str">
            <v>Other</v>
          </cell>
          <cell r="C153">
            <v>1</v>
          </cell>
          <cell r="D153">
            <v>1</v>
          </cell>
          <cell r="E153">
            <v>1</v>
          </cell>
          <cell r="F153">
            <v>1</v>
          </cell>
          <cell r="G153">
            <v>1</v>
          </cell>
          <cell r="H153">
            <v>1</v>
          </cell>
          <cell r="I153">
            <v>1</v>
          </cell>
          <cell r="J153">
            <v>1</v>
          </cell>
          <cell r="K153">
            <v>1</v>
          </cell>
          <cell r="L153">
            <v>1</v>
          </cell>
          <cell r="M153">
            <v>1</v>
          </cell>
          <cell r="N153">
            <v>1</v>
          </cell>
          <cell r="O153">
            <v>1</v>
          </cell>
          <cell r="P153">
            <v>1</v>
          </cell>
          <cell r="Q153">
            <v>1</v>
          </cell>
          <cell r="R153">
            <v>1</v>
          </cell>
          <cell r="S153">
            <v>1</v>
          </cell>
          <cell r="T153">
            <v>1</v>
          </cell>
          <cell r="U153">
            <v>1</v>
          </cell>
          <cell r="V153">
            <v>1</v>
          </cell>
          <cell r="W153">
            <v>1</v>
          </cell>
          <cell r="X153">
            <v>1</v>
          </cell>
          <cell r="Y153">
            <v>1</v>
          </cell>
          <cell r="Z153">
            <v>1</v>
          </cell>
          <cell r="AA153">
            <v>1</v>
          </cell>
          <cell r="AB153">
            <v>1</v>
          </cell>
          <cell r="AC153">
            <v>1</v>
          </cell>
          <cell r="AD153">
            <v>1</v>
          </cell>
          <cell r="AE153">
            <v>0.99847269777753489</v>
          </cell>
          <cell r="AF153">
            <v>0.98859062578164558</v>
          </cell>
          <cell r="AG153">
            <v>0.99651760821124202</v>
          </cell>
          <cell r="AH153">
            <v>0.97937789015900234</v>
          </cell>
          <cell r="AI153">
            <v>0.94407206503263774</v>
          </cell>
          <cell r="AJ153">
            <v>0.912149645263158</v>
          </cell>
          <cell r="AK153">
            <v>0.88567474272727276</v>
          </cell>
          <cell r="AL153">
            <v>0.93109919241786143</v>
          </cell>
          <cell r="AM153">
            <v>0.90495967709015801</v>
          </cell>
          <cell r="AN153">
            <v>0.87387617149870322</v>
          </cell>
          <cell r="AO153">
            <v>0.84143111987406771</v>
          </cell>
          <cell r="AP153">
            <v>0.74708933708932468</v>
          </cell>
          <cell r="AQ153">
            <v>0.83366843426923987</v>
          </cell>
          <cell r="AR153">
            <v>0.7400000000000001</v>
          </cell>
          <cell r="AS153">
            <v>0.76999999999999991</v>
          </cell>
          <cell r="AT153">
            <v>0.72</v>
          </cell>
          <cell r="AU153">
            <v>0.63500000000000001</v>
          </cell>
          <cell r="AV153">
            <v>0.71398593535950328</v>
          </cell>
          <cell r="AW153">
            <v>0.59494547379544904</v>
          </cell>
          <cell r="AX153">
            <v>0.56094547379544901</v>
          </cell>
          <cell r="AY153">
            <v>0.52694547379544898</v>
          </cell>
          <cell r="AZ153">
            <v>0.51194547379544908</v>
          </cell>
          <cell r="BA153">
            <v>0.51194547379544919</v>
          </cell>
          <cell r="BK153">
            <v>0.79</v>
          </cell>
          <cell r="BL153">
            <v>-7.6014064640496759E-2</v>
          </cell>
        </row>
        <row r="154">
          <cell r="B154" t="str">
            <v>______</v>
          </cell>
          <cell r="C154" t="str">
            <v>______</v>
          </cell>
          <cell r="D154" t="str">
            <v>______</v>
          </cell>
          <cell r="E154" t="str">
            <v>______</v>
          </cell>
          <cell r="F154" t="str">
            <v>______</v>
          </cell>
          <cell r="G154" t="str">
            <v>______</v>
          </cell>
          <cell r="H154" t="str">
            <v>______</v>
          </cell>
          <cell r="I154" t="str">
            <v>______</v>
          </cell>
          <cell r="J154" t="str">
            <v>______</v>
          </cell>
          <cell r="K154" t="str">
            <v>______</v>
          </cell>
          <cell r="L154" t="str">
            <v>______</v>
          </cell>
          <cell r="M154" t="str">
            <v>______</v>
          </cell>
          <cell r="N154" t="str">
            <v>______</v>
          </cell>
          <cell r="O154" t="str">
            <v>______</v>
          </cell>
          <cell r="P154" t="str">
            <v>______</v>
          </cell>
          <cell r="Q154" t="str">
            <v>______</v>
          </cell>
          <cell r="R154" t="str">
            <v>______</v>
          </cell>
          <cell r="S154" t="str">
            <v>______</v>
          </cell>
          <cell r="T154" t="str">
            <v>______</v>
          </cell>
          <cell r="U154" t="str">
            <v>______</v>
          </cell>
          <cell r="V154" t="str">
            <v>______</v>
          </cell>
          <cell r="W154" t="str">
            <v>______</v>
          </cell>
          <cell r="X154" t="str">
            <v>______</v>
          </cell>
          <cell r="Y154" t="str">
            <v>______</v>
          </cell>
          <cell r="Z154" t="str">
            <v>______</v>
          </cell>
          <cell r="AA154" t="str">
            <v>______</v>
          </cell>
          <cell r="AB154" t="str">
            <v>______</v>
          </cell>
          <cell r="AC154" t="str">
            <v>______</v>
          </cell>
          <cell r="AD154" t="str">
            <v>______</v>
          </cell>
          <cell r="AE154" t="str">
            <v>______</v>
          </cell>
          <cell r="AF154" t="str">
            <v>______</v>
          </cell>
          <cell r="AG154" t="str">
            <v>______</v>
          </cell>
          <cell r="AH154" t="str">
            <v>______</v>
          </cell>
          <cell r="AI154" t="str">
            <v>______</v>
          </cell>
          <cell r="AJ154" t="str">
            <v>______</v>
          </cell>
          <cell r="AK154" t="str">
            <v>______</v>
          </cell>
          <cell r="AL154" t="str">
            <v>______</v>
          </cell>
          <cell r="AM154" t="str">
            <v>______</v>
          </cell>
          <cell r="AN154" t="str">
            <v>______</v>
          </cell>
          <cell r="AO154" t="str">
            <v>______</v>
          </cell>
          <cell r="AP154" t="str">
            <v>______</v>
          </cell>
          <cell r="AQ154" t="str">
            <v>______</v>
          </cell>
          <cell r="AR154" t="str">
            <v>______</v>
          </cell>
          <cell r="AS154" t="str">
            <v>______</v>
          </cell>
          <cell r="AT154" t="str">
            <v>______</v>
          </cell>
          <cell r="AU154" t="str">
            <v>______</v>
          </cell>
          <cell r="AV154" t="str">
            <v>______</v>
          </cell>
          <cell r="AW154" t="str">
            <v>______</v>
          </cell>
          <cell r="AX154" t="str">
            <v>______</v>
          </cell>
          <cell r="AY154" t="str">
            <v>______</v>
          </cell>
          <cell r="AZ154" t="str">
            <v>______</v>
          </cell>
          <cell r="BA154" t="str">
            <v>______</v>
          </cell>
          <cell r="BK154" t="str">
            <v>______</v>
          </cell>
          <cell r="BL154" t="e">
            <v>#VALUE!</v>
          </cell>
        </row>
        <row r="155">
          <cell r="A155" t="str">
            <v>Total</v>
          </cell>
          <cell r="C155">
            <v>1</v>
          </cell>
          <cell r="D155">
            <v>1</v>
          </cell>
          <cell r="E155">
            <v>1</v>
          </cell>
          <cell r="F155">
            <v>1</v>
          </cell>
          <cell r="G155">
            <v>1</v>
          </cell>
          <cell r="H155">
            <v>1</v>
          </cell>
          <cell r="I155">
            <v>1</v>
          </cell>
          <cell r="J155">
            <v>1</v>
          </cell>
          <cell r="K155">
            <v>1</v>
          </cell>
          <cell r="L155">
            <v>1</v>
          </cell>
          <cell r="M155">
            <v>1</v>
          </cell>
          <cell r="N155">
            <v>1</v>
          </cell>
          <cell r="O155">
            <v>1</v>
          </cell>
          <cell r="P155">
            <v>1</v>
          </cell>
          <cell r="Q155">
            <v>1</v>
          </cell>
          <cell r="R155">
            <v>1</v>
          </cell>
          <cell r="S155">
            <v>1</v>
          </cell>
          <cell r="T155">
            <v>1</v>
          </cell>
          <cell r="U155">
            <v>1</v>
          </cell>
          <cell r="V155">
            <v>1</v>
          </cell>
          <cell r="W155">
            <v>1</v>
          </cell>
          <cell r="X155">
            <v>1</v>
          </cell>
          <cell r="Y155">
            <v>1</v>
          </cell>
          <cell r="Z155">
            <v>1</v>
          </cell>
          <cell r="AA155">
            <v>1</v>
          </cell>
          <cell r="AB155">
            <v>1</v>
          </cell>
          <cell r="AC155">
            <v>1</v>
          </cell>
          <cell r="AD155">
            <v>1</v>
          </cell>
          <cell r="AE155">
            <v>1</v>
          </cell>
          <cell r="AF155">
            <v>1</v>
          </cell>
          <cell r="AG155">
            <v>0.99999999999999989</v>
          </cell>
          <cell r="AH155">
            <v>1</v>
          </cell>
          <cell r="AI155">
            <v>1</v>
          </cell>
          <cell r="AJ155">
            <v>1</v>
          </cell>
          <cell r="AK155">
            <v>1</v>
          </cell>
          <cell r="AL155">
            <v>0.99999999999999989</v>
          </cell>
          <cell r="AM155">
            <v>1</v>
          </cell>
          <cell r="AN155">
            <v>1</v>
          </cell>
          <cell r="AO155">
            <v>1</v>
          </cell>
          <cell r="AP155">
            <v>1</v>
          </cell>
          <cell r="AQ155">
            <v>0.99999999999999989</v>
          </cell>
          <cell r="AR155">
            <v>1</v>
          </cell>
          <cell r="AS155">
            <v>0.99999999999999989</v>
          </cell>
          <cell r="AT155">
            <v>1</v>
          </cell>
          <cell r="AU155">
            <v>1</v>
          </cell>
          <cell r="AV155">
            <v>1</v>
          </cell>
          <cell r="AW155">
            <v>1</v>
          </cell>
          <cell r="AX155">
            <v>1</v>
          </cell>
          <cell r="AY155">
            <v>1</v>
          </cell>
          <cell r="AZ155">
            <v>1</v>
          </cell>
          <cell r="BA155">
            <v>1</v>
          </cell>
          <cell r="BK155">
            <v>1</v>
          </cell>
          <cell r="BL155">
            <v>0</v>
          </cell>
        </row>
        <row r="156">
          <cell r="A156" t="str">
            <v xml:space="preserve">  LVS Plots 5&amp;6 Share</v>
          </cell>
          <cell r="AW156">
            <v>0.01</v>
          </cell>
          <cell r="AX156">
            <v>0.03</v>
          </cell>
          <cell r="AY156">
            <v>0.03</v>
          </cell>
          <cell r="AZ156">
            <v>0.03</v>
          </cell>
          <cell r="BA156">
            <v>0.03</v>
          </cell>
          <cell r="BL156">
            <v>0</v>
          </cell>
        </row>
        <row r="157">
          <cell r="A157" t="str">
            <v xml:space="preserve">  LVS Plots 7&amp;8 Share</v>
          </cell>
          <cell r="AX157">
            <v>0.01</v>
          </cell>
          <cell r="AY157">
            <v>0.03</v>
          </cell>
          <cell r="AZ157">
            <v>0.03</v>
          </cell>
          <cell r="BA157">
            <v>0.03</v>
          </cell>
          <cell r="BL157">
            <v>0</v>
          </cell>
        </row>
        <row r="158">
          <cell r="BL158">
            <v>0</v>
          </cell>
        </row>
        <row r="159">
          <cell r="A159" t="str">
            <v>VIP Casino Revenue Growth</v>
          </cell>
          <cell r="BL159">
            <v>0</v>
          </cell>
        </row>
        <row r="160">
          <cell r="A160" t="str">
            <v>Sands Macao</v>
          </cell>
          <cell r="D160" t="str">
            <v>N.M.</v>
          </cell>
          <cell r="E160" t="str">
            <v>N.M.</v>
          </cell>
          <cell r="F160" t="str">
            <v>N.M.</v>
          </cell>
          <cell r="G160" t="str">
            <v>N.M.</v>
          </cell>
          <cell r="H160" t="str">
            <v>N.M.</v>
          </cell>
          <cell r="I160" t="str">
            <v>N.M.</v>
          </cell>
          <cell r="J160" t="str">
            <v>N.M.</v>
          </cell>
          <cell r="K160" t="str">
            <v>N.M.</v>
          </cell>
          <cell r="L160" t="str">
            <v>N.M.</v>
          </cell>
          <cell r="M160" t="str">
            <v>N.M.</v>
          </cell>
          <cell r="N160" t="str">
            <v>N.M.</v>
          </cell>
          <cell r="O160" t="str">
            <v>N.M.</v>
          </cell>
          <cell r="P160" t="str">
            <v>N.M.</v>
          </cell>
          <cell r="Q160" t="str">
            <v>N.M.</v>
          </cell>
          <cell r="R160" t="str">
            <v>N.M.</v>
          </cell>
          <cell r="S160" t="str">
            <v>N.M.</v>
          </cell>
          <cell r="T160" t="str">
            <v>N.M.</v>
          </cell>
          <cell r="U160" t="str">
            <v>N.M.</v>
          </cell>
          <cell r="V160" t="str">
            <v>N.M.</v>
          </cell>
          <cell r="W160" t="str">
            <v>N.M.</v>
          </cell>
          <cell r="X160" t="str">
            <v>N.M.</v>
          </cell>
          <cell r="Y160" t="str">
            <v>N.M.</v>
          </cell>
          <cell r="Z160" t="str">
            <v>N.M.</v>
          </cell>
          <cell r="AA160" t="str">
            <v>N.M.</v>
          </cell>
          <cell r="AB160" t="str">
            <v>N.M.</v>
          </cell>
          <cell r="AC160" t="str">
            <v>N.M.</v>
          </cell>
          <cell r="AD160" t="str">
            <v>N.M.</v>
          </cell>
          <cell r="AE160" t="str">
            <v>N.M.</v>
          </cell>
          <cell r="AF160" t="str">
            <v>N.M.</v>
          </cell>
          <cell r="AG160" t="str">
            <v>N.M.</v>
          </cell>
          <cell r="AH160" t="str">
            <v>N.M.</v>
          </cell>
          <cell r="AI160" t="str">
            <v>N.M.</v>
          </cell>
          <cell r="AJ160">
            <v>51.660034305317318</v>
          </cell>
          <cell r="AK160">
            <v>7.5075876975728377</v>
          </cell>
          <cell r="AL160">
            <v>18.186665074436746</v>
          </cell>
          <cell r="AM160">
            <v>4.147553938017885</v>
          </cell>
          <cell r="AN160">
            <v>1.4663244432436606</v>
          </cell>
          <cell r="AO160">
            <v>0.9207317073170731</v>
          </cell>
          <cell r="AP160">
            <v>0.85414549457994582</v>
          </cell>
          <cell r="AQ160">
            <v>1.2525380315737893</v>
          </cell>
          <cell r="AR160">
            <v>1.0365017681346371</v>
          </cell>
          <cell r="AS160">
            <v>0.18534302182606877</v>
          </cell>
          <cell r="AT160">
            <v>-0.39677234380940285</v>
          </cell>
          <cell r="AU160">
            <v>-0.39726013938616178</v>
          </cell>
          <cell r="AV160">
            <v>-1.5674177235881381E-2</v>
          </cell>
          <cell r="AW160">
            <v>-0.32759450847775595</v>
          </cell>
          <cell r="AX160">
            <v>-0.11666666666666647</v>
          </cell>
          <cell r="AY160">
            <v>-0.16800000000000004</v>
          </cell>
          <cell r="AZ160">
            <v>3.0000000000000027E-2</v>
          </cell>
          <cell r="BA160">
            <v>3.0000000000000027E-2</v>
          </cell>
          <cell r="BK160">
            <v>-0.38582667162288631</v>
          </cell>
          <cell r="BL160">
            <v>0.37015249438700493</v>
          </cell>
        </row>
        <row r="161">
          <cell r="A161" t="str">
            <v>Venetian Macao</v>
          </cell>
          <cell r="D161" t="str">
            <v>N.M.</v>
          </cell>
          <cell r="E161" t="str">
            <v>N.M.</v>
          </cell>
          <cell r="F161" t="str">
            <v>N.M.</v>
          </cell>
          <cell r="G161" t="str">
            <v>N.M.</v>
          </cell>
          <cell r="H161" t="str">
            <v>N.M.</v>
          </cell>
          <cell r="I161" t="str">
            <v>N.M.</v>
          </cell>
          <cell r="J161" t="str">
            <v>N.M.</v>
          </cell>
          <cell r="K161" t="str">
            <v>N.M.</v>
          </cell>
          <cell r="L161" t="str">
            <v>N.M.</v>
          </cell>
          <cell r="M161" t="str">
            <v>N.M.</v>
          </cell>
          <cell r="N161" t="str">
            <v>N.M.</v>
          </cell>
          <cell r="O161" t="str">
            <v>N.M.</v>
          </cell>
          <cell r="P161" t="str">
            <v>N.M.</v>
          </cell>
          <cell r="Q161" t="str">
            <v>N.M.</v>
          </cell>
          <cell r="R161" t="str">
            <v>N.M.</v>
          </cell>
          <cell r="S161" t="str">
            <v>N.M.</v>
          </cell>
          <cell r="T161" t="str">
            <v>N.M.</v>
          </cell>
          <cell r="U161" t="str">
            <v>N.M.</v>
          </cell>
          <cell r="V161" t="str">
            <v>N.M.</v>
          </cell>
          <cell r="W161" t="str">
            <v>N.M.</v>
          </cell>
          <cell r="X161" t="str">
            <v>N.M.</v>
          </cell>
          <cell r="Y161" t="str">
            <v>N.M.</v>
          </cell>
          <cell r="Z161" t="str">
            <v>N.M.</v>
          </cell>
          <cell r="AA161" t="str">
            <v>N.M.</v>
          </cell>
          <cell r="AB161" t="str">
            <v>N.M.</v>
          </cell>
          <cell r="AC161" t="str">
            <v>N.M.</v>
          </cell>
          <cell r="AD161" t="str">
            <v>N.M.</v>
          </cell>
          <cell r="AE161" t="str">
            <v>N.M.</v>
          </cell>
          <cell r="AF161" t="str">
            <v>N.M.</v>
          </cell>
          <cell r="AG161" t="str">
            <v>N.M.</v>
          </cell>
          <cell r="AH161" t="str">
            <v>N.M.</v>
          </cell>
          <cell r="AI161" t="str">
            <v>N.M.</v>
          </cell>
          <cell r="AJ161" t="str">
            <v>N.M.</v>
          </cell>
          <cell r="AK161" t="str">
            <v>N.M.</v>
          </cell>
          <cell r="AL161" t="str">
            <v>N.M.</v>
          </cell>
          <cell r="AM161" t="str">
            <v>N.M.</v>
          </cell>
          <cell r="AN161" t="str">
            <v>N.M.</v>
          </cell>
          <cell r="AO161" t="str">
            <v>N.M.</v>
          </cell>
          <cell r="AP161" t="str">
            <v>N.M.</v>
          </cell>
          <cell r="AQ161" t="str">
            <v>N.M.</v>
          </cell>
          <cell r="AR161" t="str">
            <v>N.M.</v>
          </cell>
          <cell r="AS161" t="str">
            <v>N.M.</v>
          </cell>
          <cell r="AT161" t="str">
            <v>N.M.</v>
          </cell>
          <cell r="AU161" t="str">
            <v>N.M.</v>
          </cell>
          <cell r="AV161" t="str">
            <v>N.M.</v>
          </cell>
          <cell r="AW161">
            <v>1.3020289144388641</v>
          </cell>
          <cell r="AX161">
            <v>0.14153846153846183</v>
          </cell>
          <cell r="AY161">
            <v>-0.18285714285714272</v>
          </cell>
          <cell r="AZ161">
            <v>-0.15727272727272745</v>
          </cell>
          <cell r="BA161">
            <v>3.0000000000000027E-2</v>
          </cell>
          <cell r="BK161" t="str">
            <v>N.M.</v>
          </cell>
          <cell r="BL161" t="e">
            <v>#VALUE!</v>
          </cell>
        </row>
        <row r="162">
          <cell r="A162" t="str">
            <v>Cotai Site 2 - Four Seasons</v>
          </cell>
          <cell r="D162" t="str">
            <v>N.M.</v>
          </cell>
          <cell r="E162" t="str">
            <v>N.M.</v>
          </cell>
          <cell r="F162" t="str">
            <v>N.M.</v>
          </cell>
          <cell r="G162" t="str">
            <v>N.M.</v>
          </cell>
          <cell r="H162" t="str">
            <v>N.M.</v>
          </cell>
          <cell r="I162" t="str">
            <v>N.M.</v>
          </cell>
          <cell r="J162" t="str">
            <v>N.M.</v>
          </cell>
          <cell r="K162" t="str">
            <v>N.M.</v>
          </cell>
          <cell r="L162" t="str">
            <v>N.M.</v>
          </cell>
          <cell r="M162" t="str">
            <v>N.M.</v>
          </cell>
          <cell r="N162" t="str">
            <v>N.M.</v>
          </cell>
          <cell r="O162" t="str">
            <v>N.M.</v>
          </cell>
          <cell r="P162" t="str">
            <v>N.M.</v>
          </cell>
          <cell r="Q162" t="str">
            <v>N.M.</v>
          </cell>
          <cell r="R162" t="str">
            <v>N.M.</v>
          </cell>
          <cell r="S162" t="str">
            <v>N.M.</v>
          </cell>
          <cell r="T162" t="str">
            <v>N.M.</v>
          </cell>
          <cell r="U162" t="str">
            <v>N.M.</v>
          </cell>
          <cell r="V162" t="str">
            <v>N.M.</v>
          </cell>
          <cell r="W162" t="str">
            <v>N.M.</v>
          </cell>
          <cell r="X162" t="str">
            <v>N.M.</v>
          </cell>
          <cell r="Y162" t="str">
            <v>N.M.</v>
          </cell>
          <cell r="Z162" t="str">
            <v>N.M.</v>
          </cell>
          <cell r="AA162" t="str">
            <v>N.M.</v>
          </cell>
          <cell r="AB162" t="str">
            <v>N.M.</v>
          </cell>
          <cell r="AC162" t="str">
            <v>N.M.</v>
          </cell>
          <cell r="AD162" t="str">
            <v>N.M.</v>
          </cell>
          <cell r="AE162" t="str">
            <v>N.M.</v>
          </cell>
          <cell r="AF162" t="str">
            <v>N.M.</v>
          </cell>
          <cell r="AG162" t="str">
            <v>N.M.</v>
          </cell>
          <cell r="AH162" t="str">
            <v>N.M.</v>
          </cell>
          <cell r="AI162" t="str">
            <v>N.M.</v>
          </cell>
          <cell r="AJ162" t="str">
            <v>N.M.</v>
          </cell>
          <cell r="AK162" t="str">
            <v>N.M.</v>
          </cell>
          <cell r="AL162" t="str">
            <v>N.M.</v>
          </cell>
          <cell r="AM162" t="str">
            <v>N.M.</v>
          </cell>
          <cell r="AN162" t="str">
            <v>N.M.</v>
          </cell>
          <cell r="AO162" t="str">
            <v>N.M.</v>
          </cell>
          <cell r="AP162" t="str">
            <v>N.M.</v>
          </cell>
          <cell r="AQ162" t="str">
            <v>N.M.</v>
          </cell>
          <cell r="AR162" t="str">
            <v>N.M.</v>
          </cell>
          <cell r="AS162" t="str">
            <v>N.M.</v>
          </cell>
          <cell r="AT162" t="str">
            <v>N.M.</v>
          </cell>
          <cell r="AU162" t="str">
            <v>N.M.</v>
          </cell>
          <cell r="AV162" t="str">
            <v>N.M.</v>
          </cell>
          <cell r="AW162" t="str">
            <v>N.M.</v>
          </cell>
          <cell r="AX162">
            <v>6.0000000000000275E-2</v>
          </cell>
          <cell r="AY162">
            <v>4.0000000000000036E-2</v>
          </cell>
          <cell r="AZ162">
            <v>3.0000000000000027E-2</v>
          </cell>
          <cell r="BA162">
            <v>3.0000000000000027E-2</v>
          </cell>
          <cell r="BK162" t="str">
            <v>N.M.</v>
          </cell>
          <cell r="BL162" t="e">
            <v>#VALUE!</v>
          </cell>
        </row>
        <row r="163">
          <cell r="A163" t="str">
            <v>Cotai Site 3 - Far East</v>
          </cell>
          <cell r="D163" t="str">
            <v>N.M.</v>
          </cell>
          <cell r="E163" t="str">
            <v>N.M.</v>
          </cell>
          <cell r="F163" t="str">
            <v>N.M.</v>
          </cell>
          <cell r="G163" t="str">
            <v>N.M.</v>
          </cell>
          <cell r="H163" t="str">
            <v>N.M.</v>
          </cell>
          <cell r="I163" t="str">
            <v>N.M.</v>
          </cell>
          <cell r="J163" t="str">
            <v>N.M.</v>
          </cell>
          <cell r="K163" t="str">
            <v>N.M.</v>
          </cell>
          <cell r="L163" t="str">
            <v>N.M.</v>
          </cell>
          <cell r="M163" t="str">
            <v>N.M.</v>
          </cell>
          <cell r="N163" t="str">
            <v>N.M.</v>
          </cell>
          <cell r="O163" t="str">
            <v>N.M.</v>
          </cell>
          <cell r="P163" t="str">
            <v>N.M.</v>
          </cell>
          <cell r="Q163" t="str">
            <v>N.M.</v>
          </cell>
          <cell r="R163" t="str">
            <v>N.M.</v>
          </cell>
          <cell r="S163" t="str">
            <v>N.M.</v>
          </cell>
          <cell r="T163" t="str">
            <v>N.M.</v>
          </cell>
          <cell r="U163" t="str">
            <v>N.M.</v>
          </cell>
          <cell r="V163" t="str">
            <v>N.M.</v>
          </cell>
          <cell r="W163" t="str">
            <v>N.M.</v>
          </cell>
          <cell r="X163" t="str">
            <v>N.M.</v>
          </cell>
          <cell r="Y163" t="str">
            <v>N.M.</v>
          </cell>
          <cell r="Z163" t="str">
            <v>N.M.</v>
          </cell>
          <cell r="AA163" t="str">
            <v>N.M.</v>
          </cell>
          <cell r="AB163" t="str">
            <v>N.M.</v>
          </cell>
          <cell r="AC163" t="str">
            <v>N.M.</v>
          </cell>
          <cell r="AD163" t="str">
            <v>N.M.</v>
          </cell>
          <cell r="AE163" t="str">
            <v>N.M.</v>
          </cell>
          <cell r="AF163" t="str">
            <v>N.M.</v>
          </cell>
          <cell r="AG163" t="str">
            <v>N.M.</v>
          </cell>
          <cell r="AH163" t="str">
            <v>N.M.</v>
          </cell>
          <cell r="AI163" t="str">
            <v>N.M.</v>
          </cell>
          <cell r="AJ163" t="str">
            <v>N.M.</v>
          </cell>
          <cell r="AK163" t="str">
            <v>N.M.</v>
          </cell>
          <cell r="AL163" t="str">
            <v>N.M.</v>
          </cell>
          <cell r="AM163" t="str">
            <v>N.M.</v>
          </cell>
          <cell r="AN163" t="str">
            <v>N.M.</v>
          </cell>
          <cell r="AO163" t="str">
            <v>N.M.</v>
          </cell>
          <cell r="AP163" t="str">
            <v>N.M.</v>
          </cell>
          <cell r="AQ163" t="str">
            <v>N.M.</v>
          </cell>
          <cell r="AR163" t="str">
            <v>N.M.</v>
          </cell>
          <cell r="AS163" t="str">
            <v>N.M.</v>
          </cell>
          <cell r="AT163" t="str">
            <v>N.M.</v>
          </cell>
          <cell r="AU163" t="str">
            <v>N.M.</v>
          </cell>
          <cell r="AV163" t="str">
            <v>N.M.</v>
          </cell>
          <cell r="AW163" t="str">
            <v>N.M.</v>
          </cell>
          <cell r="AX163" t="str">
            <v>N.M.</v>
          </cell>
          <cell r="AY163">
            <v>1.08</v>
          </cell>
          <cell r="AZ163">
            <v>3.0000000000000027E-2</v>
          </cell>
          <cell r="BA163">
            <v>3.0000000000000027E-2</v>
          </cell>
          <cell r="BK163" t="str">
            <v>N.M.</v>
          </cell>
          <cell r="BL163" t="e">
            <v>#VALUE!</v>
          </cell>
        </row>
        <row r="164">
          <cell r="A164" t="str">
            <v>Cotai Site 5 - Shangri-La/St.Regis/Traders</v>
          </cell>
          <cell r="D164" t="str">
            <v>N.M.</v>
          </cell>
          <cell r="E164" t="str">
            <v>N.M.</v>
          </cell>
          <cell r="F164" t="str">
            <v>N.M.</v>
          </cell>
          <cell r="G164" t="str">
            <v>N.M.</v>
          </cell>
          <cell r="H164" t="str">
            <v>N.M.</v>
          </cell>
          <cell r="I164" t="str">
            <v>N.M.</v>
          </cell>
          <cell r="J164" t="str">
            <v>N.M.</v>
          </cell>
          <cell r="K164" t="str">
            <v>N.M.</v>
          </cell>
          <cell r="L164" t="str">
            <v>N.M.</v>
          </cell>
          <cell r="M164" t="str">
            <v>N.M.</v>
          </cell>
          <cell r="N164" t="str">
            <v>N.M.</v>
          </cell>
          <cell r="O164" t="str">
            <v>N.M.</v>
          </cell>
          <cell r="P164" t="str">
            <v>N.M.</v>
          </cell>
          <cell r="Q164" t="str">
            <v>N.M.</v>
          </cell>
          <cell r="R164" t="str">
            <v>N.M.</v>
          </cell>
          <cell r="S164" t="str">
            <v>N.M.</v>
          </cell>
          <cell r="T164" t="str">
            <v>N.M.</v>
          </cell>
          <cell r="U164" t="str">
            <v>N.M.</v>
          </cell>
          <cell r="V164" t="str">
            <v>N.M.</v>
          </cell>
          <cell r="W164" t="str">
            <v>N.M.</v>
          </cell>
          <cell r="X164" t="str">
            <v>N.M.</v>
          </cell>
          <cell r="Y164" t="str">
            <v>N.M.</v>
          </cell>
          <cell r="Z164" t="str">
            <v>N.M.</v>
          </cell>
          <cell r="AA164" t="str">
            <v>N.M.</v>
          </cell>
          <cell r="AB164" t="str">
            <v>N.M.</v>
          </cell>
          <cell r="AC164" t="str">
            <v>N.M.</v>
          </cell>
          <cell r="AD164" t="str">
            <v>N.M.</v>
          </cell>
          <cell r="AE164" t="str">
            <v>N.M.</v>
          </cell>
          <cell r="AF164" t="str">
            <v>N.M.</v>
          </cell>
          <cell r="AG164" t="str">
            <v>N.M.</v>
          </cell>
          <cell r="AH164" t="str">
            <v>N.M.</v>
          </cell>
          <cell r="AI164" t="str">
            <v>N.M.</v>
          </cell>
          <cell r="AJ164" t="str">
            <v>N.M.</v>
          </cell>
          <cell r="AK164" t="str">
            <v>N.M.</v>
          </cell>
          <cell r="AL164" t="str">
            <v>N.M.</v>
          </cell>
          <cell r="AM164" t="str">
            <v>N.M.</v>
          </cell>
          <cell r="AN164" t="str">
            <v>N.M.</v>
          </cell>
          <cell r="AO164" t="str">
            <v>N.M.</v>
          </cell>
          <cell r="AP164" t="str">
            <v>N.M.</v>
          </cell>
          <cell r="AQ164" t="str">
            <v>N.M.</v>
          </cell>
          <cell r="AR164" t="str">
            <v>N.M.</v>
          </cell>
          <cell r="AS164" t="str">
            <v>N.M.</v>
          </cell>
          <cell r="AT164" t="str">
            <v>N.M.</v>
          </cell>
          <cell r="AU164" t="str">
            <v>N.M.</v>
          </cell>
          <cell r="AV164" t="str">
            <v>N.M.</v>
          </cell>
          <cell r="AW164" t="str">
            <v>N.M.</v>
          </cell>
          <cell r="AX164">
            <v>2.1800000000000002</v>
          </cell>
          <cell r="AY164">
            <v>4.0000000000000036E-2</v>
          </cell>
          <cell r="AZ164">
            <v>3.0000000000000027E-2</v>
          </cell>
          <cell r="BA164">
            <v>3.0000000000000027E-2</v>
          </cell>
          <cell r="BK164" t="str">
            <v>N.M.</v>
          </cell>
          <cell r="BL164" t="e">
            <v>#VALUE!</v>
          </cell>
        </row>
        <row r="165">
          <cell r="A165" t="str">
            <v>Cotai Site 6 - Starwood</v>
          </cell>
          <cell r="D165" t="str">
            <v>N.M.</v>
          </cell>
          <cell r="E165" t="str">
            <v>N.M.</v>
          </cell>
          <cell r="F165" t="str">
            <v>N.M.</v>
          </cell>
          <cell r="G165" t="str">
            <v>N.M.</v>
          </cell>
          <cell r="H165" t="str">
            <v>N.M.</v>
          </cell>
          <cell r="I165" t="str">
            <v>N.M.</v>
          </cell>
          <cell r="J165" t="str">
            <v>N.M.</v>
          </cell>
          <cell r="K165" t="str">
            <v>N.M.</v>
          </cell>
          <cell r="L165" t="str">
            <v>N.M.</v>
          </cell>
          <cell r="M165" t="str">
            <v>N.M.</v>
          </cell>
          <cell r="N165" t="str">
            <v>N.M.</v>
          </cell>
          <cell r="O165" t="str">
            <v>N.M.</v>
          </cell>
          <cell r="P165" t="str">
            <v>N.M.</v>
          </cell>
          <cell r="Q165" t="str">
            <v>N.M.</v>
          </cell>
          <cell r="R165" t="str">
            <v>N.M.</v>
          </cell>
          <cell r="S165" t="str">
            <v>N.M.</v>
          </cell>
          <cell r="T165" t="str">
            <v>N.M.</v>
          </cell>
          <cell r="U165" t="str">
            <v>N.M.</v>
          </cell>
          <cell r="V165" t="str">
            <v>N.M.</v>
          </cell>
          <cell r="W165" t="str">
            <v>N.M.</v>
          </cell>
          <cell r="X165" t="str">
            <v>N.M.</v>
          </cell>
          <cell r="Y165" t="str">
            <v>N.M.</v>
          </cell>
          <cell r="Z165" t="str">
            <v>N.M.</v>
          </cell>
          <cell r="AA165" t="str">
            <v>N.M.</v>
          </cell>
          <cell r="AB165" t="str">
            <v>N.M.</v>
          </cell>
          <cell r="AC165" t="str">
            <v>N.M.</v>
          </cell>
          <cell r="AD165" t="str">
            <v>N.M.</v>
          </cell>
          <cell r="AE165" t="str">
            <v>N.M.</v>
          </cell>
          <cell r="AF165" t="str">
            <v>N.M.</v>
          </cell>
          <cell r="AG165" t="str">
            <v>N.M.</v>
          </cell>
          <cell r="AH165" t="str">
            <v>N.M.</v>
          </cell>
          <cell r="AI165" t="str">
            <v>N.M.</v>
          </cell>
          <cell r="AJ165" t="str">
            <v>N.M.</v>
          </cell>
          <cell r="AK165" t="str">
            <v>N.M.</v>
          </cell>
          <cell r="AL165" t="str">
            <v>N.M.</v>
          </cell>
          <cell r="AM165" t="str">
            <v>N.M.</v>
          </cell>
          <cell r="AN165" t="str">
            <v>N.M.</v>
          </cell>
          <cell r="AO165" t="str">
            <v>N.M.</v>
          </cell>
          <cell r="AP165" t="str">
            <v>N.M.</v>
          </cell>
          <cell r="AQ165" t="str">
            <v>N.M.</v>
          </cell>
          <cell r="AR165" t="str">
            <v>N.M.</v>
          </cell>
          <cell r="AS165" t="str">
            <v>N.M.</v>
          </cell>
          <cell r="AT165" t="str">
            <v>N.M.</v>
          </cell>
          <cell r="AU165" t="str">
            <v>N.M.</v>
          </cell>
          <cell r="AV165" t="str">
            <v>N.M.</v>
          </cell>
          <cell r="AW165" t="str">
            <v>N.M.</v>
          </cell>
          <cell r="AX165">
            <v>2.1800000000000002</v>
          </cell>
          <cell r="AY165">
            <v>4.0000000000000036E-2</v>
          </cell>
          <cell r="AZ165">
            <v>3.0000000000000027E-2</v>
          </cell>
          <cell r="BA165">
            <v>3.0000000000000027E-2</v>
          </cell>
          <cell r="BK165" t="str">
            <v>N.M.</v>
          </cell>
          <cell r="BL165" t="e">
            <v>#VALUE!</v>
          </cell>
        </row>
        <row r="166">
          <cell r="A166" t="str">
            <v>Cotai Site 7 - Hilton</v>
          </cell>
          <cell r="D166" t="str">
            <v>N.M.</v>
          </cell>
          <cell r="E166" t="str">
            <v>N.M.</v>
          </cell>
          <cell r="F166" t="str">
            <v>N.M.</v>
          </cell>
          <cell r="G166" t="str">
            <v>N.M.</v>
          </cell>
          <cell r="H166" t="str">
            <v>N.M.</v>
          </cell>
          <cell r="I166" t="str">
            <v>N.M.</v>
          </cell>
          <cell r="J166" t="str">
            <v>N.M.</v>
          </cell>
          <cell r="K166" t="str">
            <v>N.M.</v>
          </cell>
          <cell r="L166" t="str">
            <v>N.M.</v>
          </cell>
          <cell r="M166" t="str">
            <v>N.M.</v>
          </cell>
          <cell r="N166" t="str">
            <v>N.M.</v>
          </cell>
          <cell r="O166" t="str">
            <v>N.M.</v>
          </cell>
          <cell r="P166" t="str">
            <v>N.M.</v>
          </cell>
          <cell r="Q166" t="str">
            <v>N.M.</v>
          </cell>
          <cell r="R166" t="str">
            <v>N.M.</v>
          </cell>
          <cell r="S166" t="str">
            <v>N.M.</v>
          </cell>
          <cell r="T166" t="str">
            <v>N.M.</v>
          </cell>
          <cell r="U166" t="str">
            <v>N.M.</v>
          </cell>
          <cell r="V166" t="str">
            <v>N.M.</v>
          </cell>
          <cell r="W166" t="str">
            <v>N.M.</v>
          </cell>
          <cell r="X166" t="str">
            <v>N.M.</v>
          </cell>
          <cell r="Y166" t="str">
            <v>N.M.</v>
          </cell>
          <cell r="Z166" t="str">
            <v>N.M.</v>
          </cell>
          <cell r="AA166" t="str">
            <v>N.M.</v>
          </cell>
          <cell r="AB166" t="str">
            <v>N.M.</v>
          </cell>
          <cell r="AC166" t="str">
            <v>N.M.</v>
          </cell>
          <cell r="AD166" t="str">
            <v>N.M.</v>
          </cell>
          <cell r="AE166" t="str">
            <v>N.M.</v>
          </cell>
          <cell r="AF166" t="str">
            <v>N.M.</v>
          </cell>
          <cell r="AG166" t="str">
            <v>N.M.</v>
          </cell>
          <cell r="AH166" t="str">
            <v>N.M.</v>
          </cell>
          <cell r="AI166" t="str">
            <v>N.M.</v>
          </cell>
          <cell r="AJ166" t="str">
            <v>N.M.</v>
          </cell>
          <cell r="AK166" t="str">
            <v>N.M.</v>
          </cell>
          <cell r="AL166" t="str">
            <v>N.M.</v>
          </cell>
          <cell r="AM166" t="str">
            <v>N.M.</v>
          </cell>
          <cell r="AN166" t="str">
            <v>N.M.</v>
          </cell>
          <cell r="AO166" t="str">
            <v>N.M.</v>
          </cell>
          <cell r="AP166" t="str">
            <v>N.M.</v>
          </cell>
          <cell r="AQ166" t="str">
            <v>N.M.</v>
          </cell>
          <cell r="AR166" t="str">
            <v>N.M.</v>
          </cell>
          <cell r="AS166" t="str">
            <v>N.M.</v>
          </cell>
          <cell r="AT166" t="str">
            <v>N.M.</v>
          </cell>
          <cell r="AU166" t="str">
            <v>N.M.</v>
          </cell>
          <cell r="AV166" t="str">
            <v>N.M.</v>
          </cell>
          <cell r="AW166" t="str">
            <v>N.M.</v>
          </cell>
          <cell r="AX166" t="str">
            <v>N.M.</v>
          </cell>
          <cell r="AY166">
            <v>2.1199999999999997</v>
          </cell>
          <cell r="AZ166">
            <v>3.0000000000000027E-2</v>
          </cell>
          <cell r="BA166">
            <v>3.0000000000000027E-2</v>
          </cell>
          <cell r="BK166" t="str">
            <v>N.M.</v>
          </cell>
          <cell r="BL166" t="e">
            <v>#VALUE!</v>
          </cell>
        </row>
        <row r="167">
          <cell r="A167" t="str">
            <v>Cotai Site 8 - FHR/Raffles</v>
          </cell>
          <cell r="D167" t="str">
            <v>N.M.</v>
          </cell>
          <cell r="E167" t="str">
            <v>N.M.</v>
          </cell>
          <cell r="F167" t="str">
            <v>N.M.</v>
          </cell>
          <cell r="G167" t="str">
            <v>N.M.</v>
          </cell>
          <cell r="H167" t="str">
            <v>N.M.</v>
          </cell>
          <cell r="I167" t="str">
            <v>N.M.</v>
          </cell>
          <cell r="J167" t="str">
            <v>N.M.</v>
          </cell>
          <cell r="K167" t="str">
            <v>N.M.</v>
          </cell>
          <cell r="L167" t="str">
            <v>N.M.</v>
          </cell>
          <cell r="M167" t="str">
            <v>N.M.</v>
          </cell>
          <cell r="N167" t="str">
            <v>N.M.</v>
          </cell>
          <cell r="O167" t="str">
            <v>N.M.</v>
          </cell>
          <cell r="P167" t="str">
            <v>N.M.</v>
          </cell>
          <cell r="Q167" t="str">
            <v>N.M.</v>
          </cell>
          <cell r="R167" t="str">
            <v>N.M.</v>
          </cell>
          <cell r="S167" t="str">
            <v>N.M.</v>
          </cell>
          <cell r="T167" t="str">
            <v>N.M.</v>
          </cell>
          <cell r="U167" t="str">
            <v>N.M.</v>
          </cell>
          <cell r="V167" t="str">
            <v>N.M.</v>
          </cell>
          <cell r="W167" t="str">
            <v>N.M.</v>
          </cell>
          <cell r="X167" t="str">
            <v>N.M.</v>
          </cell>
          <cell r="Y167" t="str">
            <v>N.M.</v>
          </cell>
          <cell r="Z167" t="str">
            <v>N.M.</v>
          </cell>
          <cell r="AA167" t="str">
            <v>N.M.</v>
          </cell>
          <cell r="AB167" t="str">
            <v>N.M.</v>
          </cell>
          <cell r="AC167" t="str">
            <v>N.M.</v>
          </cell>
          <cell r="AD167" t="str">
            <v>N.M.</v>
          </cell>
          <cell r="AE167" t="str">
            <v>N.M.</v>
          </cell>
          <cell r="AF167" t="str">
            <v>N.M.</v>
          </cell>
          <cell r="AG167" t="str">
            <v>N.M.</v>
          </cell>
          <cell r="AH167" t="str">
            <v>N.M.</v>
          </cell>
          <cell r="AI167" t="str">
            <v>N.M.</v>
          </cell>
          <cell r="AJ167" t="str">
            <v>N.M.</v>
          </cell>
          <cell r="AK167" t="str">
            <v>N.M.</v>
          </cell>
          <cell r="AL167" t="str">
            <v>N.M.</v>
          </cell>
          <cell r="AM167" t="str">
            <v>N.M.</v>
          </cell>
          <cell r="AN167" t="str">
            <v>N.M.</v>
          </cell>
          <cell r="AO167" t="str">
            <v>N.M.</v>
          </cell>
          <cell r="AP167" t="str">
            <v>N.M.</v>
          </cell>
          <cell r="AQ167" t="str">
            <v>N.M.</v>
          </cell>
          <cell r="AR167" t="str">
            <v>N.M.</v>
          </cell>
          <cell r="AS167" t="str">
            <v>N.M.</v>
          </cell>
          <cell r="AT167" t="str">
            <v>N.M.</v>
          </cell>
          <cell r="AU167" t="str">
            <v>N.M.</v>
          </cell>
          <cell r="AV167" t="str">
            <v>N.M.</v>
          </cell>
          <cell r="AW167" t="str">
            <v>N.M.</v>
          </cell>
          <cell r="AX167" t="str">
            <v>N.M.</v>
          </cell>
          <cell r="AY167">
            <v>2.1199999999999997</v>
          </cell>
          <cell r="AZ167">
            <v>3.0000000000000027E-2</v>
          </cell>
          <cell r="BA167">
            <v>3.0000000000000027E-2</v>
          </cell>
          <cell r="BK167" t="str">
            <v>N.M.</v>
          </cell>
          <cell r="BL167" t="e">
            <v>#VALUE!</v>
          </cell>
        </row>
        <row r="168">
          <cell r="A168" t="str">
            <v>Wynn Macau</v>
          </cell>
          <cell r="D168" t="str">
            <v>N.M.</v>
          </cell>
          <cell r="E168" t="str">
            <v>N.M.</v>
          </cell>
          <cell r="F168" t="str">
            <v>N.M.</v>
          </cell>
          <cell r="G168" t="str">
            <v>N.M.</v>
          </cell>
          <cell r="H168" t="str">
            <v>N.M.</v>
          </cell>
          <cell r="I168" t="str">
            <v>N.M.</v>
          </cell>
          <cell r="J168" t="str">
            <v>N.M.</v>
          </cell>
          <cell r="K168" t="str">
            <v>N.M.</v>
          </cell>
          <cell r="L168" t="str">
            <v>N.M.</v>
          </cell>
          <cell r="M168" t="str">
            <v>N.M.</v>
          </cell>
          <cell r="N168" t="str">
            <v>N.M.</v>
          </cell>
          <cell r="O168" t="str">
            <v>N.M.</v>
          </cell>
          <cell r="P168" t="str">
            <v>N.M.</v>
          </cell>
          <cell r="Q168" t="str">
            <v>N.M.</v>
          </cell>
          <cell r="R168" t="str">
            <v>N.M.</v>
          </cell>
          <cell r="S168" t="str">
            <v>N.M.</v>
          </cell>
          <cell r="T168" t="str">
            <v>N.M.</v>
          </cell>
          <cell r="U168" t="str">
            <v>N.M.</v>
          </cell>
          <cell r="V168" t="str">
            <v>N.M.</v>
          </cell>
          <cell r="W168" t="str">
            <v>N.M.</v>
          </cell>
          <cell r="X168" t="str">
            <v>N.M.</v>
          </cell>
          <cell r="Y168" t="str">
            <v>N.M.</v>
          </cell>
          <cell r="Z168" t="str">
            <v>N.M.</v>
          </cell>
          <cell r="AA168" t="str">
            <v>N.M.</v>
          </cell>
          <cell r="AB168" t="str">
            <v>N.M.</v>
          </cell>
          <cell r="AC168" t="str">
            <v>N.M.</v>
          </cell>
          <cell r="AD168" t="str">
            <v>N.M.</v>
          </cell>
          <cell r="AE168" t="str">
            <v>N.M.</v>
          </cell>
          <cell r="AF168" t="str">
            <v>N.M.</v>
          </cell>
          <cell r="AG168" t="str">
            <v>N.M.</v>
          </cell>
          <cell r="AH168" t="str">
            <v>N.M.</v>
          </cell>
          <cell r="AI168" t="str">
            <v>N.M.</v>
          </cell>
          <cell r="AJ168" t="str">
            <v>N.M.</v>
          </cell>
          <cell r="AK168" t="str">
            <v>N.M.</v>
          </cell>
          <cell r="AL168" t="str">
            <v>N.M.</v>
          </cell>
          <cell r="AM168" t="str">
            <v>N.M.</v>
          </cell>
          <cell r="AN168" t="str">
            <v>N.M.</v>
          </cell>
          <cell r="AO168" t="str">
            <v>N.M.</v>
          </cell>
          <cell r="AP168" t="str">
            <v>N.M.</v>
          </cell>
          <cell r="AQ168" t="str">
            <v>N.M.</v>
          </cell>
          <cell r="AR168" t="str">
            <v>N.M.</v>
          </cell>
          <cell r="AS168" t="str">
            <v>N.M.</v>
          </cell>
          <cell r="AT168" t="str">
            <v>N.M.</v>
          </cell>
          <cell r="AU168" t="str">
            <v>N.M.</v>
          </cell>
          <cell r="AV168" t="str">
            <v>N.M.</v>
          </cell>
          <cell r="AW168">
            <v>-0.10773707312998859</v>
          </cell>
          <cell r="AX168">
            <v>0.17151494224682695</v>
          </cell>
          <cell r="AY168">
            <v>-0.25698863178203946</v>
          </cell>
          <cell r="AZ168">
            <v>3.0000000000000027E-2</v>
          </cell>
          <cell r="BA168">
            <v>3.0000000000000027E-2</v>
          </cell>
          <cell r="BK168">
            <v>6.1460215623309047</v>
          </cell>
          <cell r="BL168" t="e">
            <v>#VALUE!</v>
          </cell>
        </row>
        <row r="169">
          <cell r="A169" t="str">
            <v>Wynn Cotai</v>
          </cell>
          <cell r="D169" t="str">
            <v>N.M.</v>
          </cell>
          <cell r="E169" t="str">
            <v>N.M.</v>
          </cell>
          <cell r="F169" t="str">
            <v>N.M.</v>
          </cell>
          <cell r="G169" t="str">
            <v>N.M.</v>
          </cell>
          <cell r="H169" t="str">
            <v>N.M.</v>
          </cell>
          <cell r="I169" t="str">
            <v>N.M.</v>
          </cell>
          <cell r="J169" t="str">
            <v>N.M.</v>
          </cell>
          <cell r="K169" t="str">
            <v>N.M.</v>
          </cell>
          <cell r="L169" t="str">
            <v>N.M.</v>
          </cell>
          <cell r="M169" t="str">
            <v>N.M.</v>
          </cell>
          <cell r="N169" t="str">
            <v>N.M.</v>
          </cell>
          <cell r="O169" t="str">
            <v>N.M.</v>
          </cell>
          <cell r="P169" t="str">
            <v>N.M.</v>
          </cell>
          <cell r="Q169" t="str">
            <v>N.M.</v>
          </cell>
          <cell r="R169" t="str">
            <v>N.M.</v>
          </cell>
          <cell r="S169" t="str">
            <v>N.M.</v>
          </cell>
          <cell r="T169" t="str">
            <v>N.M.</v>
          </cell>
          <cell r="U169" t="str">
            <v>N.M.</v>
          </cell>
          <cell r="V169" t="str">
            <v>N.M.</v>
          </cell>
          <cell r="W169" t="str">
            <v>N.M.</v>
          </cell>
          <cell r="X169" t="str">
            <v>N.M.</v>
          </cell>
          <cell r="Y169" t="str">
            <v>N.M.</v>
          </cell>
          <cell r="Z169" t="str">
            <v>N.M.</v>
          </cell>
          <cell r="AA169" t="str">
            <v>N.M.</v>
          </cell>
          <cell r="AB169" t="str">
            <v>N.M.</v>
          </cell>
          <cell r="AC169" t="str">
            <v>N.M.</v>
          </cell>
          <cell r="AD169" t="str">
            <v>N.M.</v>
          </cell>
          <cell r="AE169" t="str">
            <v>N.M.</v>
          </cell>
          <cell r="AF169" t="str">
            <v>N.M.</v>
          </cell>
          <cell r="AG169" t="str">
            <v>N.M.</v>
          </cell>
          <cell r="AH169" t="str">
            <v>N.M.</v>
          </cell>
          <cell r="AI169" t="str">
            <v>N.M.</v>
          </cell>
          <cell r="AJ169" t="str">
            <v>N.M.</v>
          </cell>
          <cell r="AK169" t="str">
            <v>N.M.</v>
          </cell>
          <cell r="AL169" t="str">
            <v>N.M.</v>
          </cell>
          <cell r="AM169" t="str">
            <v>N.M.</v>
          </cell>
          <cell r="AN169" t="str">
            <v>N.M.</v>
          </cell>
          <cell r="AO169" t="str">
            <v>N.M.</v>
          </cell>
          <cell r="AP169" t="str">
            <v>N.M.</v>
          </cell>
          <cell r="AQ169" t="str">
            <v>N.M.</v>
          </cell>
          <cell r="AR169" t="str">
            <v>N.M.</v>
          </cell>
          <cell r="AS169" t="str">
            <v>N.M.</v>
          </cell>
          <cell r="AT169" t="str">
            <v>N.M.</v>
          </cell>
          <cell r="AU169" t="str">
            <v>N.M.</v>
          </cell>
          <cell r="AV169" t="str">
            <v>N.M.</v>
          </cell>
          <cell r="AW169" t="str">
            <v>N.M.</v>
          </cell>
          <cell r="AX169" t="str">
            <v>N.M.</v>
          </cell>
          <cell r="AY169" t="str">
            <v>N.M.</v>
          </cell>
          <cell r="AZ169">
            <v>3.0000000000000027E-2</v>
          </cell>
          <cell r="BA169">
            <v>3.0000000000000027E-2</v>
          </cell>
          <cell r="BK169" t="str">
            <v>N.M.</v>
          </cell>
          <cell r="BL169" t="e">
            <v>#VALUE!</v>
          </cell>
        </row>
        <row r="170">
          <cell r="A170" t="str">
            <v>Wynn Cotai #2</v>
          </cell>
          <cell r="D170" t="str">
            <v>N.M.</v>
          </cell>
          <cell r="E170" t="str">
            <v>N.M.</v>
          </cell>
          <cell r="F170" t="str">
            <v>N.M.</v>
          </cell>
          <cell r="G170" t="str">
            <v>N.M.</v>
          </cell>
          <cell r="H170" t="str">
            <v>N.M.</v>
          </cell>
          <cell r="I170" t="str">
            <v>N.M.</v>
          </cell>
          <cell r="J170" t="str">
            <v>N.M.</v>
          </cell>
          <cell r="K170" t="str">
            <v>N.M.</v>
          </cell>
          <cell r="L170" t="str">
            <v>N.M.</v>
          </cell>
          <cell r="M170" t="str">
            <v>N.M.</v>
          </cell>
          <cell r="N170" t="str">
            <v>N.M.</v>
          </cell>
          <cell r="O170" t="str">
            <v>N.M.</v>
          </cell>
          <cell r="P170" t="str">
            <v>N.M.</v>
          </cell>
          <cell r="Q170" t="str">
            <v>N.M.</v>
          </cell>
          <cell r="R170" t="str">
            <v>N.M.</v>
          </cell>
          <cell r="S170" t="str">
            <v>N.M.</v>
          </cell>
          <cell r="T170" t="str">
            <v>N.M.</v>
          </cell>
          <cell r="U170" t="str">
            <v>N.M.</v>
          </cell>
          <cell r="V170" t="str">
            <v>N.M.</v>
          </cell>
          <cell r="W170" t="str">
            <v>N.M.</v>
          </cell>
          <cell r="X170" t="str">
            <v>N.M.</v>
          </cell>
          <cell r="Y170" t="str">
            <v>N.M.</v>
          </cell>
          <cell r="Z170" t="str">
            <v>N.M.</v>
          </cell>
          <cell r="AA170" t="str">
            <v>N.M.</v>
          </cell>
          <cell r="AB170" t="str">
            <v>N.M.</v>
          </cell>
          <cell r="AC170" t="str">
            <v>N.M.</v>
          </cell>
          <cell r="AD170" t="str">
            <v>N.M.</v>
          </cell>
          <cell r="AE170" t="str">
            <v>N.M.</v>
          </cell>
          <cell r="AF170" t="str">
            <v>N.M.</v>
          </cell>
          <cell r="AG170" t="str">
            <v>N.M.</v>
          </cell>
          <cell r="AH170" t="str">
            <v>N.M.</v>
          </cell>
          <cell r="AI170" t="str">
            <v>N.M.</v>
          </cell>
          <cell r="AJ170" t="str">
            <v>N.M.</v>
          </cell>
          <cell r="AK170" t="str">
            <v>N.M.</v>
          </cell>
          <cell r="AL170" t="str">
            <v>N.M.</v>
          </cell>
          <cell r="AM170" t="str">
            <v>N.M.</v>
          </cell>
          <cell r="AN170" t="str">
            <v>N.M.</v>
          </cell>
          <cell r="AO170" t="str">
            <v>N.M.</v>
          </cell>
          <cell r="AP170" t="str">
            <v>N.M.</v>
          </cell>
          <cell r="AQ170" t="str">
            <v>N.M.</v>
          </cell>
          <cell r="AR170" t="str">
            <v>N.M.</v>
          </cell>
          <cell r="AS170" t="str">
            <v>N.M.</v>
          </cell>
          <cell r="AT170" t="str">
            <v>N.M.</v>
          </cell>
          <cell r="AU170" t="str">
            <v>N.M.</v>
          </cell>
          <cell r="AV170" t="str">
            <v>N.M.</v>
          </cell>
          <cell r="AW170" t="str">
            <v>N.M.</v>
          </cell>
          <cell r="AX170" t="str">
            <v>N.M.</v>
          </cell>
          <cell r="AY170" t="str">
            <v>N.M.</v>
          </cell>
          <cell r="AZ170">
            <v>3.0000000000000027E-2</v>
          </cell>
          <cell r="BA170">
            <v>3.0000000000000027E-2</v>
          </cell>
        </row>
        <row r="171">
          <cell r="A171" t="str">
            <v>MGM Macau</v>
          </cell>
          <cell r="D171" t="str">
            <v>N.M.</v>
          </cell>
          <cell r="E171" t="str">
            <v>N.M.</v>
          </cell>
          <cell r="F171" t="str">
            <v>N.M.</v>
          </cell>
          <cell r="G171" t="str">
            <v>N.M.</v>
          </cell>
          <cell r="H171" t="str">
            <v>N.M.</v>
          </cell>
          <cell r="I171" t="str">
            <v>N.M.</v>
          </cell>
          <cell r="J171" t="str">
            <v>N.M.</v>
          </cell>
          <cell r="K171" t="str">
            <v>N.M.</v>
          </cell>
          <cell r="L171" t="str">
            <v>N.M.</v>
          </cell>
          <cell r="M171" t="str">
            <v>N.M.</v>
          </cell>
          <cell r="N171" t="str">
            <v>N.M.</v>
          </cell>
          <cell r="O171" t="str">
            <v>N.M.</v>
          </cell>
          <cell r="P171" t="str">
            <v>N.M.</v>
          </cell>
          <cell r="Q171" t="str">
            <v>N.M.</v>
          </cell>
          <cell r="R171" t="str">
            <v>N.M.</v>
          </cell>
          <cell r="S171" t="str">
            <v>N.M.</v>
          </cell>
          <cell r="T171" t="str">
            <v>N.M.</v>
          </cell>
          <cell r="U171" t="str">
            <v>N.M.</v>
          </cell>
          <cell r="V171" t="str">
            <v>N.M.</v>
          </cell>
          <cell r="W171" t="str">
            <v>N.M.</v>
          </cell>
          <cell r="X171" t="str">
            <v>N.M.</v>
          </cell>
          <cell r="Y171" t="str">
            <v>N.M.</v>
          </cell>
          <cell r="Z171" t="str">
            <v>N.M.</v>
          </cell>
          <cell r="AA171" t="str">
            <v>N.M.</v>
          </cell>
          <cell r="AB171" t="str">
            <v>N.M.</v>
          </cell>
          <cell r="AC171" t="str">
            <v>N.M.</v>
          </cell>
          <cell r="AD171" t="str">
            <v>N.M.</v>
          </cell>
          <cell r="AE171" t="str">
            <v>N.M.</v>
          </cell>
          <cell r="AF171" t="str">
            <v>N.M.</v>
          </cell>
          <cell r="AG171" t="str">
            <v>N.M.</v>
          </cell>
          <cell r="AH171" t="str">
            <v>N.M.</v>
          </cell>
          <cell r="AI171" t="str">
            <v>N.M.</v>
          </cell>
          <cell r="AJ171" t="str">
            <v>N.M.</v>
          </cell>
          <cell r="AK171" t="str">
            <v>N.M.</v>
          </cell>
          <cell r="AL171" t="str">
            <v>N.M.</v>
          </cell>
          <cell r="AM171" t="str">
            <v>N.M.</v>
          </cell>
          <cell r="AN171" t="str">
            <v>N.M.</v>
          </cell>
          <cell r="AO171" t="str">
            <v>N.M.</v>
          </cell>
          <cell r="AP171" t="str">
            <v>N.M.</v>
          </cell>
          <cell r="AQ171" t="str">
            <v>N.M.</v>
          </cell>
          <cell r="AR171" t="str">
            <v>N.M.</v>
          </cell>
          <cell r="AS171" t="str">
            <v>N.M.</v>
          </cell>
          <cell r="AT171" t="str">
            <v>N.M.</v>
          </cell>
          <cell r="AU171" t="str">
            <v>N.M.</v>
          </cell>
          <cell r="AV171" t="str">
            <v>N.M.</v>
          </cell>
          <cell r="AW171">
            <v>6.1473526766945854</v>
          </cell>
          <cell r="AX171">
            <v>-5.7777777777777706E-2</v>
          </cell>
          <cell r="AY171">
            <v>4.0000000000000036E-2</v>
          </cell>
          <cell r="AZ171">
            <v>-3.4375000000000044E-2</v>
          </cell>
          <cell r="BA171">
            <v>3.0000000000000027E-2</v>
          </cell>
          <cell r="BK171" t="str">
            <v>N.M.</v>
          </cell>
          <cell r="BL171" t="e">
            <v>#VALUE!</v>
          </cell>
        </row>
        <row r="172">
          <cell r="A172" t="str">
            <v>MGM Cotai #1</v>
          </cell>
          <cell r="D172" t="str">
            <v>N.M.</v>
          </cell>
          <cell r="E172" t="str">
            <v>N.M.</v>
          </cell>
          <cell r="F172" t="str">
            <v>N.M.</v>
          </cell>
          <cell r="G172" t="str">
            <v>N.M.</v>
          </cell>
          <cell r="H172" t="str">
            <v>N.M.</v>
          </cell>
          <cell r="I172" t="str">
            <v>N.M.</v>
          </cell>
          <cell r="J172" t="str">
            <v>N.M.</v>
          </cell>
          <cell r="K172" t="str">
            <v>N.M.</v>
          </cell>
          <cell r="L172" t="str">
            <v>N.M.</v>
          </cell>
          <cell r="M172" t="str">
            <v>N.M.</v>
          </cell>
          <cell r="N172" t="str">
            <v>N.M.</v>
          </cell>
          <cell r="O172" t="str">
            <v>N.M.</v>
          </cell>
          <cell r="P172" t="str">
            <v>N.M.</v>
          </cell>
          <cell r="Q172" t="str">
            <v>N.M.</v>
          </cell>
          <cell r="R172" t="str">
            <v>N.M.</v>
          </cell>
          <cell r="S172" t="str">
            <v>N.M.</v>
          </cell>
          <cell r="T172" t="str">
            <v>N.M.</v>
          </cell>
          <cell r="U172" t="str">
            <v>N.M.</v>
          </cell>
          <cell r="V172" t="str">
            <v>N.M.</v>
          </cell>
          <cell r="W172" t="str">
            <v>N.M.</v>
          </cell>
          <cell r="X172" t="str">
            <v>N.M.</v>
          </cell>
          <cell r="Y172" t="str">
            <v>N.M.</v>
          </cell>
          <cell r="Z172" t="str">
            <v>N.M.</v>
          </cell>
          <cell r="AA172" t="str">
            <v>N.M.</v>
          </cell>
          <cell r="AB172" t="str">
            <v>N.M.</v>
          </cell>
          <cell r="AC172" t="str">
            <v>N.M.</v>
          </cell>
          <cell r="AD172" t="str">
            <v>N.M.</v>
          </cell>
          <cell r="AE172" t="str">
            <v>N.M.</v>
          </cell>
          <cell r="AF172" t="str">
            <v>N.M.</v>
          </cell>
          <cell r="AG172" t="str">
            <v>N.M.</v>
          </cell>
          <cell r="AH172" t="str">
            <v>N.M.</v>
          </cell>
          <cell r="AI172" t="str">
            <v>N.M.</v>
          </cell>
          <cell r="AJ172" t="str">
            <v>N.M.</v>
          </cell>
          <cell r="AK172" t="str">
            <v>N.M.</v>
          </cell>
          <cell r="AL172" t="str">
            <v>N.M.</v>
          </cell>
          <cell r="AM172" t="str">
            <v>N.M.</v>
          </cell>
          <cell r="AN172" t="str">
            <v>N.M.</v>
          </cell>
          <cell r="AO172" t="str">
            <v>N.M.</v>
          </cell>
          <cell r="AP172" t="str">
            <v>N.M.</v>
          </cell>
          <cell r="AQ172" t="str">
            <v>N.M.</v>
          </cell>
          <cell r="AR172" t="str">
            <v>N.M.</v>
          </cell>
          <cell r="AS172" t="str">
            <v>N.M.</v>
          </cell>
          <cell r="AT172" t="str">
            <v>N.M.</v>
          </cell>
          <cell r="AU172" t="str">
            <v>N.M.</v>
          </cell>
          <cell r="AV172" t="str">
            <v>N.M.</v>
          </cell>
          <cell r="AW172" t="str">
            <v>N.M.</v>
          </cell>
          <cell r="AX172" t="str">
            <v>N.M.</v>
          </cell>
          <cell r="AY172" t="str">
            <v>N.M.</v>
          </cell>
          <cell r="AZ172" t="str">
            <v>N.M.</v>
          </cell>
          <cell r="BA172">
            <v>3.0000000000000027E-2</v>
          </cell>
        </row>
        <row r="173">
          <cell r="A173" t="str">
            <v>Other</v>
          </cell>
          <cell r="D173">
            <v>0.18539911279643562</v>
          </cell>
          <cell r="E173">
            <v>-4.4825780687432371E-2</v>
          </cell>
          <cell r="F173">
            <v>0.17711706635990065</v>
          </cell>
          <cell r="G173">
            <v>-0.2537507627950838</v>
          </cell>
          <cell r="H173">
            <v>-7.114149546048254E-2</v>
          </cell>
          <cell r="I173" t="str">
            <v>N.M.</v>
          </cell>
          <cell r="J173" t="str">
            <v>N.M.</v>
          </cell>
          <cell r="K173" t="str">
            <v>N.M.</v>
          </cell>
          <cell r="L173" t="str">
            <v>N.M.</v>
          </cell>
          <cell r="M173">
            <v>0.26153790134879418</v>
          </cell>
          <cell r="N173">
            <v>8.2823864006928094E-2</v>
          </cell>
          <cell r="O173">
            <v>0.22261680555069607</v>
          </cell>
          <cell r="P173">
            <v>0.14563429538218697</v>
          </cell>
          <cell r="Q173">
            <v>0.26924774317488609</v>
          </cell>
          <cell r="R173">
            <v>0.17698103985269698</v>
          </cell>
          <cell r="S173">
            <v>0.16170935966983913</v>
          </cell>
          <cell r="T173">
            <v>0.24730010577095163</v>
          </cell>
          <cell r="U173">
            <v>0.23336540917488624</v>
          </cell>
          <cell r="V173">
            <v>0.34602490818918041</v>
          </cell>
          <cell r="W173">
            <v>0.24842263078448967</v>
          </cell>
          <cell r="X173">
            <v>0.43969993246779859</v>
          </cell>
          <cell r="Y173">
            <v>1.723272941456333E-2</v>
          </cell>
          <cell r="Z173">
            <v>0.49411560760458162</v>
          </cell>
          <cell r="AA173">
            <v>0.46546693735069167</v>
          </cell>
          <cell r="AB173">
            <v>0.35539834282142757</v>
          </cell>
          <cell r="AC173">
            <v>0.31822186062360713</v>
          </cell>
          <cell r="AD173">
            <v>0.65138968326619362</v>
          </cell>
          <cell r="AE173">
            <v>0.29777977575015679</v>
          </cell>
          <cell r="AF173">
            <v>0.19180809778346664</v>
          </cell>
          <cell r="AG173">
            <v>0.3367956097761271</v>
          </cell>
          <cell r="AH173">
            <v>1.9298243353618183E-3</v>
          </cell>
          <cell r="AI173">
            <v>5.6716361984129327E-2</v>
          </cell>
          <cell r="AJ173">
            <v>-0.16364144913627643</v>
          </cell>
          <cell r="AK173">
            <v>-0.23935179643307225</v>
          </cell>
          <cell r="AL173">
            <v>-9.3925756053888643E-2</v>
          </cell>
          <cell r="AM173">
            <v>3.2060202878623878E-2</v>
          </cell>
          <cell r="AN173">
            <v>1.2340463807185564E-2</v>
          </cell>
          <cell r="AO173">
            <v>0.16640149026613793</v>
          </cell>
          <cell r="AP173">
            <v>0.39966294074359054</v>
          </cell>
          <cell r="AQ173">
            <v>0.14223637697515068</v>
          </cell>
          <cell r="AR173">
            <v>0.21745196122160904</v>
          </cell>
          <cell r="AS173">
            <v>0.1454712150844879</v>
          </cell>
          <cell r="AT173">
            <v>-1.5962233338930876E-2</v>
          </cell>
          <cell r="AU173">
            <v>-6.5038188442937295E-2</v>
          </cell>
          <cell r="AV173">
            <v>6.4214785927919849E-2</v>
          </cell>
          <cell r="AW173">
            <v>-0.1000647493489415</v>
          </cell>
          <cell r="AX173">
            <v>-5.7697988705263104E-4</v>
          </cell>
          <cell r="AY173">
            <v>-2.3036429834701111E-2</v>
          </cell>
          <cell r="AZ173">
            <v>6.8007836044658987E-4</v>
          </cell>
          <cell r="BA173">
            <v>3.0000000000000027E-2</v>
          </cell>
          <cell r="BK173">
            <v>2.3858452439018407E-3</v>
          </cell>
          <cell r="BL173">
            <v>6.1828940684018008E-2</v>
          </cell>
        </row>
        <row r="174">
          <cell r="B174" t="str">
            <v>______</v>
          </cell>
          <cell r="C174" t="str">
            <v>______</v>
          </cell>
          <cell r="D174" t="str">
            <v>______</v>
          </cell>
          <cell r="E174" t="str">
            <v>______</v>
          </cell>
          <cell r="F174" t="str">
            <v>______</v>
          </cell>
          <cell r="G174" t="str">
            <v>______</v>
          </cell>
          <cell r="H174" t="str">
            <v>______</v>
          </cell>
          <cell r="I174" t="str">
            <v>______</v>
          </cell>
          <cell r="J174" t="str">
            <v>______</v>
          </cell>
          <cell r="K174" t="str">
            <v>______</v>
          </cell>
          <cell r="L174" t="str">
            <v>______</v>
          </cell>
          <cell r="M174" t="str">
            <v>______</v>
          </cell>
          <cell r="N174" t="str">
            <v>______</v>
          </cell>
          <cell r="O174" t="str">
            <v>______</v>
          </cell>
          <cell r="P174" t="str">
            <v>______</v>
          </cell>
          <cell r="Q174" t="str">
            <v>______</v>
          </cell>
          <cell r="R174" t="str">
            <v>______</v>
          </cell>
          <cell r="S174" t="str">
            <v>______</v>
          </cell>
          <cell r="T174" t="str">
            <v>______</v>
          </cell>
          <cell r="U174" t="str">
            <v>______</v>
          </cell>
          <cell r="V174" t="str">
            <v>______</v>
          </cell>
          <cell r="W174" t="str">
            <v>______</v>
          </cell>
          <cell r="X174" t="str">
            <v>______</v>
          </cell>
          <cell r="Y174" t="str">
            <v>______</v>
          </cell>
          <cell r="Z174" t="str">
            <v>______</v>
          </cell>
          <cell r="AA174" t="str">
            <v>______</v>
          </cell>
          <cell r="AB174" t="str">
            <v>______</v>
          </cell>
          <cell r="AC174" t="str">
            <v>______</v>
          </cell>
          <cell r="AD174" t="str">
            <v>______</v>
          </cell>
          <cell r="AE174" t="str">
            <v>______</v>
          </cell>
          <cell r="AF174" t="str">
            <v>______</v>
          </cell>
          <cell r="AG174" t="str">
            <v>______</v>
          </cell>
          <cell r="AH174" t="str">
            <v>______</v>
          </cell>
          <cell r="AI174" t="str">
            <v>______</v>
          </cell>
          <cell r="AJ174" t="str">
            <v>______</v>
          </cell>
          <cell r="AK174" t="str">
            <v>______</v>
          </cell>
          <cell r="AL174" t="str">
            <v>______</v>
          </cell>
          <cell r="AM174" t="str">
            <v>______</v>
          </cell>
          <cell r="AN174" t="str">
            <v>______</v>
          </cell>
          <cell r="AO174" t="str">
            <v>______</v>
          </cell>
          <cell r="AP174" t="str">
            <v>______</v>
          </cell>
          <cell r="AQ174" t="str">
            <v>______</v>
          </cell>
          <cell r="AR174" t="str">
            <v>______</v>
          </cell>
          <cell r="AS174" t="str">
            <v>______</v>
          </cell>
          <cell r="AT174" t="str">
            <v>______</v>
          </cell>
          <cell r="AU174" t="str">
            <v>______</v>
          </cell>
          <cell r="AV174" t="str">
            <v>______</v>
          </cell>
          <cell r="AW174" t="str">
            <v>______</v>
          </cell>
          <cell r="AX174" t="str">
            <v>______</v>
          </cell>
          <cell r="AY174" t="str">
            <v>______</v>
          </cell>
          <cell r="AZ174" t="str">
            <v>______</v>
          </cell>
          <cell r="BA174" t="str">
            <v>______</v>
          </cell>
          <cell r="BK174" t="str">
            <v>______</v>
          </cell>
          <cell r="BL174" t="e">
            <v>#VALUE!</v>
          </cell>
        </row>
        <row r="175">
          <cell r="A175" t="str">
            <v>Total VIP</v>
          </cell>
          <cell r="D175">
            <v>0.18539911279643562</v>
          </cell>
          <cell r="E175">
            <v>-4.4825780687432371E-2</v>
          </cell>
          <cell r="F175">
            <v>0.17711706635990065</v>
          </cell>
          <cell r="G175">
            <v>-0.2537507627950838</v>
          </cell>
          <cell r="H175">
            <v>-7.114149546048254E-2</v>
          </cell>
          <cell r="I175" t="str">
            <v>N.M.</v>
          </cell>
          <cell r="J175" t="str">
            <v>N.M.</v>
          </cell>
          <cell r="K175" t="str">
            <v>N.M.</v>
          </cell>
          <cell r="L175" t="str">
            <v>N.M.</v>
          </cell>
          <cell r="M175">
            <v>0.26153790134879418</v>
          </cell>
          <cell r="N175">
            <v>8.2823864006928094E-2</v>
          </cell>
          <cell r="O175">
            <v>0.22261680555069607</v>
          </cell>
          <cell r="P175">
            <v>0.14563429538218697</v>
          </cell>
          <cell r="Q175">
            <v>0.26924774317488609</v>
          </cell>
          <cell r="R175">
            <v>0.17698103985269698</v>
          </cell>
          <cell r="S175">
            <v>0.16170935966983913</v>
          </cell>
          <cell r="T175">
            <v>0.24730010577095163</v>
          </cell>
          <cell r="U175">
            <v>0.23336540917488624</v>
          </cell>
          <cell r="V175">
            <v>0.34602490818918041</v>
          </cell>
          <cell r="W175">
            <v>0.24842263078448967</v>
          </cell>
          <cell r="X175">
            <v>0.43969993246779859</v>
          </cell>
          <cell r="Y175">
            <v>1.723272941456333E-2</v>
          </cell>
          <cell r="Z175">
            <v>0.49411560760458162</v>
          </cell>
          <cell r="AA175">
            <v>0.46546693735069167</v>
          </cell>
          <cell r="AB175">
            <v>0.35539834282142757</v>
          </cell>
          <cell r="AC175">
            <v>0.31822186062360713</v>
          </cell>
          <cell r="AD175">
            <v>0.65138968326619362</v>
          </cell>
          <cell r="AE175">
            <v>0.29976490958524837</v>
          </cell>
          <cell r="AF175">
            <v>0.20556281508449858</v>
          </cell>
          <cell r="AG175">
            <v>0.34146712387319189</v>
          </cell>
          <cell r="AH175">
            <v>2.3026795277865775E-2</v>
          </cell>
          <cell r="AI175">
            <v>0.11931747704831985</v>
          </cell>
          <cell r="AJ175">
            <v>-8.4491033980188424E-2</v>
          </cell>
          <cell r="AK175">
            <v>-0.15096406469901003</v>
          </cell>
          <cell r="AL175">
            <v>-3.0265576652145021E-2</v>
          </cell>
          <cell r="AM175">
            <v>0.11693036673460355</v>
          </cell>
          <cell r="AN175">
            <v>9.3658785252695331E-2</v>
          </cell>
          <cell r="AO175">
            <v>0.2644323230401906</v>
          </cell>
          <cell r="AP175">
            <v>0.65930104126189826</v>
          </cell>
          <cell r="AQ175">
            <v>0.2757294440254523</v>
          </cell>
          <cell r="AR175">
            <v>0.48884450499984688</v>
          </cell>
          <cell r="AS175">
            <v>0.30000000000000004</v>
          </cell>
          <cell r="AT175">
            <v>0.14999999999999991</v>
          </cell>
          <cell r="AU175">
            <v>0.10000000000000009</v>
          </cell>
          <cell r="AV175">
            <v>0.24260469341596025</v>
          </cell>
          <cell r="AW175">
            <v>8.0000000000000293E-2</v>
          </cell>
          <cell r="AX175">
            <v>6.0000000000000053E-2</v>
          </cell>
          <cell r="AY175">
            <v>4.0000000000000036E-2</v>
          </cell>
          <cell r="AZ175">
            <v>3.0000000000000027E-2</v>
          </cell>
          <cell r="BA175">
            <v>3.0000000000000027E-2</v>
          </cell>
          <cell r="BK175">
            <v>0.1</v>
          </cell>
          <cell r="BL175">
            <v>0.14260469341596024</v>
          </cell>
        </row>
        <row r="176">
          <cell r="BL176">
            <v>0</v>
          </cell>
        </row>
        <row r="177">
          <cell r="A177" t="str">
            <v>Mass Market Casino Revenue</v>
          </cell>
          <cell r="BL177">
            <v>0</v>
          </cell>
        </row>
        <row r="178">
          <cell r="A178" t="str">
            <v>Sands Macao</v>
          </cell>
          <cell r="C178">
            <v>0</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57.6</v>
          </cell>
          <cell r="AE178">
            <v>161.45427947878929</v>
          </cell>
          <cell r="AF178">
            <v>159.43351093841301</v>
          </cell>
          <cell r="AG178">
            <v>378.48779041720229</v>
          </cell>
          <cell r="AH178">
            <v>159.43683999999999</v>
          </cell>
          <cell r="AI178">
            <v>168.69997400000003</v>
          </cell>
          <cell r="AJ178">
            <v>187.61291200000002</v>
          </cell>
          <cell r="AK178">
            <v>205.48660799999999</v>
          </cell>
          <cell r="AL178">
            <v>721.23633399999994</v>
          </cell>
          <cell r="AM178">
            <v>216.42468</v>
          </cell>
          <cell r="AN178">
            <v>213.556915</v>
          </cell>
          <cell r="AO178">
            <v>214.49235999999999</v>
          </cell>
          <cell r="AP178">
            <v>211.08191600000001</v>
          </cell>
          <cell r="AQ178">
            <v>855.55587099999991</v>
          </cell>
          <cell r="AR178">
            <v>229.15605269639022</v>
          </cell>
          <cell r="AS178">
            <v>189.08410955798803</v>
          </cell>
          <cell r="AT178">
            <v>164.57290321828026</v>
          </cell>
          <cell r="AU178">
            <v>141.33669099233745</v>
          </cell>
          <cell r="AV178">
            <v>724.14975646499602</v>
          </cell>
          <cell r="AW178">
            <v>654.28465076227974</v>
          </cell>
          <cell r="AX178">
            <v>566.04384286561344</v>
          </cell>
          <cell r="AY178">
            <v>562.04743001083773</v>
          </cell>
          <cell r="AZ178">
            <v>527.14601078104374</v>
          </cell>
          <cell r="BA178">
            <v>592.46546112039437</v>
          </cell>
          <cell r="BK178">
            <v>769.71944991091209</v>
          </cell>
          <cell r="BL178">
            <v>-45.569693445916073</v>
          </cell>
          <cell r="BN178" t="str">
            <v>gt:lvs:sandsMacao:casinoRev</v>
          </cell>
        </row>
        <row r="179">
          <cell r="A179" t="str">
            <v>Venetian Macao</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150.2592351407414</v>
          </cell>
          <cell r="AU179">
            <v>157.28352617609249</v>
          </cell>
          <cell r="AV179">
            <v>307.54276131683389</v>
          </cell>
          <cell r="AW179">
            <v>701.80469855375372</v>
          </cell>
          <cell r="AX179">
            <v>636.06719309686355</v>
          </cell>
          <cell r="AY179">
            <v>631.57639765931481</v>
          </cell>
          <cell r="AZ179">
            <v>815.6904737011788</v>
          </cell>
          <cell r="BA179">
            <v>916.76389984787909</v>
          </cell>
          <cell r="BK179">
            <v>444.6776490060862</v>
          </cell>
          <cell r="BL179">
            <v>-137.13488768925231</v>
          </cell>
          <cell r="BN179" t="str">
            <v>gt:lvs:venetianMacao:casinoRev</v>
          </cell>
        </row>
        <row r="180">
          <cell r="A180" t="str">
            <v>Cotai Site 2 - Four Seasons (LVS)</v>
          </cell>
          <cell r="C180">
            <v>0</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106.72606014872754</v>
          </cell>
          <cell r="AX180">
            <v>92.332334481802775</v>
          </cell>
          <cell r="AY180">
            <v>91.680444821513461</v>
          </cell>
          <cell r="AZ180">
            <v>89.725952107129672</v>
          </cell>
          <cell r="BA180">
            <v>100.84402898326672</v>
          </cell>
          <cell r="BK180">
            <v>0</v>
          </cell>
          <cell r="BL180">
            <v>0</v>
          </cell>
        </row>
        <row r="181">
          <cell r="A181" t="str">
            <v>Cotai Site 3 - Far East (LVS)</v>
          </cell>
          <cell r="C181">
            <v>0</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98.433418873066657</v>
          </cell>
          <cell r="AY181">
            <v>195.47690802432118</v>
          </cell>
          <cell r="AZ181">
            <v>202.56313430245939</v>
          </cell>
          <cell r="BA181">
            <v>227.66303512888999</v>
          </cell>
          <cell r="BK181">
            <v>0</v>
          </cell>
          <cell r="BL181">
            <v>0</v>
          </cell>
        </row>
        <row r="182">
          <cell r="A182" t="str">
            <v>Cotai Site 5 - Shangri-La/St.Regis/Traders (LVS)</v>
          </cell>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121.27961380537219</v>
          </cell>
          <cell r="AX182">
            <v>233.16246081263324</v>
          </cell>
          <cell r="AY182">
            <v>208.36464732162145</v>
          </cell>
          <cell r="AZ182">
            <v>203.9226184252947</v>
          </cell>
          <cell r="BA182">
            <v>229.19097496196977</v>
          </cell>
          <cell r="BK182">
            <v>0</v>
          </cell>
          <cell r="BL182">
            <v>0</v>
          </cell>
        </row>
        <row r="183">
          <cell r="A183" t="str">
            <v>Cotai Site 6 - Starwood (LVS)</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121.27961380537219</v>
          </cell>
          <cell r="AX183">
            <v>233.16246081263324</v>
          </cell>
          <cell r="AY183">
            <v>208.36464732162145</v>
          </cell>
          <cell r="AZ183">
            <v>203.9226184252947</v>
          </cell>
          <cell r="BA183">
            <v>229.19097496196977</v>
          </cell>
          <cell r="BK183">
            <v>0</v>
          </cell>
          <cell r="BL183">
            <v>0</v>
          </cell>
        </row>
        <row r="184">
          <cell r="A184" t="str">
            <v>Cotai Site 7 - Hilton (LVS)</v>
          </cell>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104.92310736568496</v>
          </cell>
          <cell r="AY184">
            <v>231.51627480180159</v>
          </cell>
          <cell r="AZ184">
            <v>203.9226184252947</v>
          </cell>
          <cell r="BA184">
            <v>229.19097496196977</v>
          </cell>
          <cell r="BK184">
            <v>0</v>
          </cell>
          <cell r="BL184">
            <v>0</v>
          </cell>
        </row>
        <row r="185">
          <cell r="A185" t="str">
            <v>Cotai Site 8 - FHR/Raffles (LVS)</v>
          </cell>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104.92310736568496</v>
          </cell>
          <cell r="AY185">
            <v>231.51627480180159</v>
          </cell>
          <cell r="AZ185">
            <v>203.9226184252947</v>
          </cell>
          <cell r="BA185">
            <v>229.19097496196977</v>
          </cell>
          <cell r="BK185">
            <v>0</v>
          </cell>
          <cell r="BL185">
            <v>0</v>
          </cell>
        </row>
        <row r="186">
          <cell r="A186" t="str">
            <v>Wynn Macau</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24.603640000000002</v>
          </cell>
          <cell r="AP186">
            <v>103.98989599999999</v>
          </cell>
          <cell r="AQ186">
            <v>128.593536</v>
          </cell>
          <cell r="AR186">
            <v>131.21534834732279</v>
          </cell>
          <cell r="AS186">
            <v>110.69248952644686</v>
          </cell>
          <cell r="AT186">
            <v>146.57266675405845</v>
          </cell>
          <cell r="AU186">
            <v>141.70468261378372</v>
          </cell>
          <cell r="AV186">
            <v>530.18518724161186</v>
          </cell>
          <cell r="AW186">
            <v>572.1522995582626</v>
          </cell>
          <cell r="AX186">
            <v>552.30280184172238</v>
          </cell>
          <cell r="AY186">
            <v>553.57702123675585</v>
          </cell>
          <cell r="AZ186">
            <v>556.96553974647895</v>
          </cell>
          <cell r="BA186">
            <v>625.97997250353694</v>
          </cell>
          <cell r="BK186">
            <v>600.14488565541137</v>
          </cell>
          <cell r="BL186">
            <v>-69.959698413799515</v>
          </cell>
        </row>
        <row r="187">
          <cell r="A187" t="str">
            <v>Wynn Cotai</v>
          </cell>
          <cell r="C187">
            <v>0</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370.42603968288262</v>
          </cell>
          <cell r="AZ187">
            <v>380.65555439388345</v>
          </cell>
          <cell r="BA187">
            <v>427.82315326234357</v>
          </cell>
          <cell r="BK187">
            <v>0</v>
          </cell>
          <cell r="BL187">
            <v>0</v>
          </cell>
        </row>
        <row r="188">
          <cell r="A188" t="str">
            <v>Wynn Cotai #2</v>
          </cell>
          <cell r="C188">
            <v>0</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370.42603968288262</v>
          </cell>
          <cell r="AZ188">
            <v>380.65555439388345</v>
          </cell>
          <cell r="BA188">
            <v>427.82315326234357</v>
          </cell>
        </row>
        <row r="189">
          <cell r="A189" t="str">
            <v>MGM Grand</v>
          </cell>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82.165392503367684</v>
          </cell>
          <cell r="AV189">
            <v>82.165392503367684</v>
          </cell>
          <cell r="AW189">
            <v>457.75777434699677</v>
          </cell>
          <cell r="AX189">
            <v>440.0241960456014</v>
          </cell>
          <cell r="AY189">
            <v>436.91751380596003</v>
          </cell>
          <cell r="AZ189">
            <v>427.60307276912903</v>
          </cell>
          <cell r="BA189">
            <v>480.58800883136593</v>
          </cell>
          <cell r="BK189">
            <v>140.92316195094151</v>
          </cell>
          <cell r="BL189">
            <v>-58.757769447573821</v>
          </cell>
        </row>
        <row r="190">
          <cell r="A190" t="str">
            <v>MGM Cotai</v>
          </cell>
          <cell r="C190">
            <v>0</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348.93425819439318</v>
          </cell>
          <cell r="BA190">
            <v>392.17122382381496</v>
          </cell>
        </row>
        <row r="191">
          <cell r="A191" t="str">
            <v>Crown Macau - PBL/Melco</v>
          </cell>
          <cell r="C191">
            <v>0</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14.573533573191717</v>
          </cell>
          <cell r="AT191">
            <v>19.545427824991378</v>
          </cell>
          <cell r="AU191">
            <v>19.43617718906086</v>
          </cell>
          <cell r="AV191">
            <v>53.55513858724396</v>
          </cell>
          <cell r="AW191">
            <v>66.479195715537344</v>
          </cell>
          <cell r="AX191">
            <v>63.264747700494489</v>
          </cell>
          <cell r="AY191">
            <v>62.818082562888847</v>
          </cell>
          <cell r="AZ191">
            <v>67.067883393208035</v>
          </cell>
          <cell r="BA191">
            <v>75.378365098603396</v>
          </cell>
          <cell r="BK191">
            <v>50.982150841462108</v>
          </cell>
          <cell r="BL191">
            <v>2.5729877457818517</v>
          </cell>
        </row>
        <row r="192">
          <cell r="A192" t="str">
            <v>Penninsula Project - PBL/Melco ("Trinity")</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67.617113635663628</v>
          </cell>
          <cell r="AY192">
            <v>171.32204335333321</v>
          </cell>
          <cell r="AZ192">
            <v>167.66970848302009</v>
          </cell>
          <cell r="BA192">
            <v>188.44591274650847</v>
          </cell>
          <cell r="BK192">
            <v>0</v>
          </cell>
          <cell r="BL192">
            <v>0</v>
          </cell>
        </row>
        <row r="193">
          <cell r="A193" t="str">
            <v>City of Dreams - PBL/Melco</v>
          </cell>
          <cell r="C193">
            <v>0</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326.42744513768656</v>
          </cell>
          <cell r="AY193">
            <v>324.12278472252228</v>
          </cell>
          <cell r="AZ193">
            <v>317.21296199490286</v>
          </cell>
          <cell r="BA193">
            <v>356.51929438528634</v>
          </cell>
          <cell r="BK193">
            <v>0</v>
          </cell>
          <cell r="BL193">
            <v>0</v>
          </cell>
        </row>
        <row r="194">
          <cell r="A194" t="str">
            <v>Galaxy Cotai Mega Resort</v>
          </cell>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140.50467851229786</v>
          </cell>
          <cell r="AX194">
            <v>243.11072580730558</v>
          </cell>
          <cell r="AY194">
            <v>236.14660029783764</v>
          </cell>
          <cell r="AZ194">
            <v>231.11230088200062</v>
          </cell>
          <cell r="BA194">
            <v>259.74977162356578</v>
          </cell>
          <cell r="BK194">
            <v>0</v>
          </cell>
          <cell r="BL194">
            <v>0</v>
          </cell>
        </row>
        <row r="195">
          <cell r="A195" t="str">
            <v>Galaxy StarWorld</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46.075357202572775</v>
          </cell>
          <cell r="AQ195">
            <v>46.075357202572775</v>
          </cell>
          <cell r="AR195">
            <v>68.515564811678161</v>
          </cell>
          <cell r="AS195">
            <v>52.531983326135695</v>
          </cell>
          <cell r="AT195">
            <v>49.104128674170653</v>
          </cell>
          <cell r="AU195">
            <v>48.829657461132896</v>
          </cell>
          <cell r="AV195">
            <v>218.9813342731174</v>
          </cell>
          <cell r="AW195">
            <v>217.83615374464185</v>
          </cell>
          <cell r="AX195">
            <v>201.9186910637404</v>
          </cell>
          <cell r="AY195">
            <v>200.49309397836021</v>
          </cell>
          <cell r="AZ195">
            <v>196.21887506256132</v>
          </cell>
          <cell r="BA195">
            <v>220.53264924118423</v>
          </cell>
          <cell r="BK195">
            <v>279.91013510659275</v>
          </cell>
          <cell r="BL195">
            <v>-60.92880083347535</v>
          </cell>
        </row>
        <row r="196">
          <cell r="A196" t="str">
            <v>Galaxy City Clubs</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15.584662049969774</v>
          </cell>
          <cell r="AN196">
            <v>48.370736851855163</v>
          </cell>
          <cell r="AO196">
            <v>48.588518956769327</v>
          </cell>
          <cell r="AP196">
            <v>47.983051173170118</v>
          </cell>
          <cell r="AQ196">
            <v>160.52696903176437</v>
          </cell>
          <cell r="AR196">
            <v>43.804927774902964</v>
          </cell>
          <cell r="AS196">
            <v>33.585941264568824</v>
          </cell>
          <cell r="AT196">
            <v>27.299449858536679</v>
          </cell>
          <cell r="AU196">
            <v>27.146857534423667</v>
          </cell>
          <cell r="AV196">
            <v>131.83717643243213</v>
          </cell>
          <cell r="AW196">
            <v>99.880499725046533</v>
          </cell>
          <cell r="AX196">
            <v>86.410007977161868</v>
          </cell>
          <cell r="AY196">
            <v>85.79993144154767</v>
          </cell>
          <cell r="AZ196">
            <v>83.970802653793569</v>
          </cell>
          <cell r="BA196">
            <v>94.375750356562207</v>
          </cell>
          <cell r="BK196">
            <v>169.71164959442979</v>
          </cell>
          <cell r="BL196">
            <v>-37.874473161997656</v>
          </cell>
        </row>
        <row r="197">
          <cell r="A197" t="str">
            <v>Macau Studio City</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267.67050501290294</v>
          </cell>
          <cell r="AY197">
            <v>265.78068347246824</v>
          </cell>
          <cell r="AZ197">
            <v>421.89323945322076</v>
          </cell>
          <cell r="BA197">
            <v>474.17066153243076</v>
          </cell>
          <cell r="BK197">
            <v>169.71164959442979</v>
          </cell>
          <cell r="BL197">
            <v>-169.71164959442979</v>
          </cell>
        </row>
        <row r="198">
          <cell r="A198" t="str">
            <v>New SJM</v>
          </cell>
          <cell r="C198">
            <v>0</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2.5627961534465076</v>
          </cell>
          <cell r="AQ198">
            <v>2.5627961534465076</v>
          </cell>
          <cell r="AR198">
            <v>64.696472722730164</v>
          </cell>
          <cell r="AS198">
            <v>59.009358478897354</v>
          </cell>
          <cell r="AT198">
            <v>77.11723723072754</v>
          </cell>
          <cell r="AU198">
            <v>99.408371523874223</v>
          </cell>
          <cell r="AV198">
            <v>300.23143995622928</v>
          </cell>
          <cell r="AW198">
            <v>392.07273551000719</v>
          </cell>
          <cell r="AX198">
            <v>646.96986976446226</v>
          </cell>
          <cell r="AY198">
            <v>734.08254349056051</v>
          </cell>
          <cell r="AZ198">
            <v>1017.5194865773074</v>
          </cell>
          <cell r="BA198">
            <v>1207.1352834372897</v>
          </cell>
          <cell r="BK198">
            <v>520.92428793120621</v>
          </cell>
          <cell r="BL198">
            <v>-220.69284797497693</v>
          </cell>
        </row>
        <row r="199">
          <cell r="A199" t="str">
            <v>Old SJM</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340.48443981418973</v>
          </cell>
          <cell r="AN199">
            <v>309.08591569865285</v>
          </cell>
          <cell r="AO199">
            <v>299.05512605404181</v>
          </cell>
          <cell r="AP199">
            <v>268.1871050337221</v>
          </cell>
          <cell r="AQ199">
            <v>1216.8125866006064</v>
          </cell>
          <cell r="AR199">
            <v>236.68973460745829</v>
          </cell>
          <cell r="AS199">
            <v>208.00939838784359</v>
          </cell>
          <cell r="AT199">
            <v>194.05555484876777</v>
          </cell>
          <cell r="AU199">
            <v>179.04220447629757</v>
          </cell>
          <cell r="AV199">
            <v>817.79689232036719</v>
          </cell>
          <cell r="AW199">
            <v>334.98504770091671</v>
          </cell>
          <cell r="AX199">
            <v>182.76204075559838</v>
          </cell>
          <cell r="AY199">
            <v>163.44892419951725</v>
          </cell>
          <cell r="AZ199">
            <v>197.82908658731301</v>
          </cell>
          <cell r="BA199">
            <v>179.1814796207598</v>
          </cell>
          <cell r="BK199">
            <v>956.76057293187182</v>
          </cell>
          <cell r="BL199">
            <v>-138.96368061150463</v>
          </cell>
        </row>
        <row r="200">
          <cell r="A200" t="str">
            <v>Other Mass Market</v>
          </cell>
          <cell r="C200">
            <v>774.18348351978238</v>
          </cell>
          <cell r="D200">
            <v>812.62684792133757</v>
          </cell>
          <cell r="E200">
            <v>743.50329546010403</v>
          </cell>
          <cell r="F200">
            <v>680.70481053873436</v>
          </cell>
          <cell r="G200">
            <v>662.81947826698092</v>
          </cell>
          <cell r="H200">
            <v>551.5480923777086</v>
          </cell>
          <cell r="I200">
            <v>168.24051122816675</v>
          </cell>
          <cell r="J200">
            <v>152.36773901043691</v>
          </cell>
          <cell r="K200">
            <v>163.99192248273209</v>
          </cell>
          <cell r="L200">
            <v>152.04017643273204</v>
          </cell>
          <cell r="M200">
            <v>636.64034915406774</v>
          </cell>
          <cell r="N200">
            <v>162.13602457748809</v>
          </cell>
          <cell r="O200">
            <v>165.7961749012515</v>
          </cell>
          <cell r="P200">
            <v>167.20897541048095</v>
          </cell>
          <cell r="Q200">
            <v>171.74966049695442</v>
          </cell>
          <cell r="R200">
            <v>666.8908353861749</v>
          </cell>
          <cell r="S200">
            <v>160.7774673428186</v>
          </cell>
          <cell r="T200">
            <v>176.51988679842961</v>
          </cell>
          <cell r="U200">
            <v>176.03520250264322</v>
          </cell>
          <cell r="V200">
            <v>197.33183672926856</v>
          </cell>
          <cell r="W200">
            <v>710.66439337316001</v>
          </cell>
          <cell r="X200">
            <v>189.65527202686269</v>
          </cell>
          <cell r="Y200">
            <v>147.12338809600604</v>
          </cell>
          <cell r="Z200">
            <v>215.50208627736168</v>
          </cell>
          <cell r="AA200">
            <v>236.94139182134211</v>
          </cell>
          <cell r="AB200">
            <v>789.22213822157244</v>
          </cell>
          <cell r="AC200">
            <v>280.95231671690618</v>
          </cell>
          <cell r="AD200">
            <v>279.76918401170786</v>
          </cell>
          <cell r="AE200">
            <v>242.02204245125913</v>
          </cell>
          <cell r="AF200">
            <v>224.3256026284642</v>
          </cell>
          <cell r="AG200">
            <v>1027.0691458083375</v>
          </cell>
          <cell r="AH200">
            <v>289.0339420550722</v>
          </cell>
          <cell r="AI200">
            <v>318.31136805015683</v>
          </cell>
          <cell r="AJ200">
            <v>362.65254466562669</v>
          </cell>
          <cell r="AK200">
            <v>393.98189274480097</v>
          </cell>
          <cell r="AL200">
            <v>1363.9797475156568</v>
          </cell>
          <cell r="AR200">
            <v>0</v>
          </cell>
          <cell r="AS200">
            <v>0</v>
          </cell>
          <cell r="AT200">
            <v>0</v>
          </cell>
          <cell r="AU200">
            <v>0</v>
          </cell>
          <cell r="AV200">
            <v>0</v>
          </cell>
          <cell r="AW200">
            <v>0</v>
          </cell>
          <cell r="AX200">
            <v>0</v>
          </cell>
          <cell r="AY200">
            <v>0</v>
          </cell>
          <cell r="AZ200">
            <v>0</v>
          </cell>
          <cell r="BA200">
            <v>0</v>
          </cell>
          <cell r="BL200">
            <v>0</v>
          </cell>
        </row>
        <row r="201">
          <cell r="B201" t="str">
            <v>______</v>
          </cell>
          <cell r="C201" t="str">
            <v>______</v>
          </cell>
          <cell r="D201" t="str">
            <v>______</v>
          </cell>
          <cell r="E201" t="str">
            <v>______</v>
          </cell>
          <cell r="F201" t="str">
            <v>______</v>
          </cell>
          <cell r="G201" t="str">
            <v>______</v>
          </cell>
          <cell r="H201" t="str">
            <v>______</v>
          </cell>
          <cell r="I201" t="str">
            <v>______</v>
          </cell>
          <cell r="J201" t="str">
            <v>______</v>
          </cell>
          <cell r="K201" t="str">
            <v>______</v>
          </cell>
          <cell r="L201" t="str">
            <v>______</v>
          </cell>
          <cell r="M201" t="str">
            <v>______</v>
          </cell>
          <cell r="N201" t="str">
            <v>______</v>
          </cell>
          <cell r="O201" t="str">
            <v>______</v>
          </cell>
          <cell r="P201" t="str">
            <v>______</v>
          </cell>
          <cell r="Q201" t="str">
            <v>______</v>
          </cell>
          <cell r="R201" t="str">
            <v>______</v>
          </cell>
          <cell r="S201" t="str">
            <v>______</v>
          </cell>
          <cell r="T201" t="str">
            <v>______</v>
          </cell>
          <cell r="U201" t="str">
            <v>______</v>
          </cell>
          <cell r="V201" t="str">
            <v>______</v>
          </cell>
          <cell r="W201" t="str">
            <v>______</v>
          </cell>
          <cell r="X201" t="str">
            <v>______</v>
          </cell>
          <cell r="Y201" t="str">
            <v>______</v>
          </cell>
          <cell r="Z201" t="str">
            <v>______</v>
          </cell>
          <cell r="AA201" t="str">
            <v>______</v>
          </cell>
          <cell r="AB201" t="str">
            <v>______</v>
          </cell>
          <cell r="AC201" t="str">
            <v>______</v>
          </cell>
          <cell r="AD201" t="str">
            <v>______</v>
          </cell>
          <cell r="AE201" t="str">
            <v>______</v>
          </cell>
          <cell r="AF201" t="str">
            <v>______</v>
          </cell>
          <cell r="AG201" t="str">
            <v>______</v>
          </cell>
          <cell r="AH201" t="str">
            <v>______</v>
          </cell>
          <cell r="AI201" t="str">
            <v>______</v>
          </cell>
          <cell r="AJ201" t="str">
            <v>______</v>
          </cell>
          <cell r="AK201" t="str">
            <v>______</v>
          </cell>
          <cell r="AL201" t="str">
            <v>______</v>
          </cell>
          <cell r="AM201" t="str">
            <v>______</v>
          </cell>
          <cell r="AN201" t="str">
            <v>______</v>
          </cell>
          <cell r="AO201" t="str">
            <v>______</v>
          </cell>
          <cell r="AP201" t="str">
            <v>______</v>
          </cell>
          <cell r="AQ201" t="str">
            <v>______</v>
          </cell>
          <cell r="AR201" t="str">
            <v>______</v>
          </cell>
          <cell r="AS201" t="str">
            <v>______</v>
          </cell>
          <cell r="AT201" t="str">
            <v>______</v>
          </cell>
          <cell r="AU201" t="str">
            <v>______</v>
          </cell>
          <cell r="AV201" t="str">
            <v>______</v>
          </cell>
          <cell r="AW201" t="str">
            <v>______</v>
          </cell>
          <cell r="AX201" t="str">
            <v>______</v>
          </cell>
          <cell r="AY201" t="str">
            <v>______</v>
          </cell>
          <cell r="AZ201" t="str">
            <v>______</v>
          </cell>
          <cell r="BA201" t="str">
            <v>______</v>
          </cell>
          <cell r="BK201" t="str">
            <v>______</v>
          </cell>
          <cell r="BL201" t="e">
            <v>#VALUE!</v>
          </cell>
        </row>
        <row r="202">
          <cell r="A202" t="str">
            <v>Total Mass Market Revenue</v>
          </cell>
          <cell r="C202">
            <v>774.18348351978238</v>
          </cell>
          <cell r="D202">
            <v>812.62684792133757</v>
          </cell>
          <cell r="E202">
            <v>743.50329546010403</v>
          </cell>
          <cell r="F202">
            <v>680.70481053873436</v>
          </cell>
          <cell r="G202">
            <v>662.81947826698092</v>
          </cell>
          <cell r="H202">
            <v>551.5480923777086</v>
          </cell>
          <cell r="I202">
            <v>168.24051122816675</v>
          </cell>
          <cell r="J202">
            <v>152.36773901043691</v>
          </cell>
          <cell r="K202">
            <v>163.99192248273209</v>
          </cell>
          <cell r="L202">
            <v>152.04017643273204</v>
          </cell>
          <cell r="M202">
            <v>636.64034915406774</v>
          </cell>
          <cell r="N202">
            <v>162.13602457748809</v>
          </cell>
          <cell r="O202">
            <v>165.7961749012515</v>
          </cell>
          <cell r="P202">
            <v>167.20897541048095</v>
          </cell>
          <cell r="Q202">
            <v>171.74966049695442</v>
          </cell>
          <cell r="R202">
            <v>666.8908353861749</v>
          </cell>
          <cell r="S202">
            <v>160.7774673428186</v>
          </cell>
          <cell r="T202">
            <v>176.51988679842961</v>
          </cell>
          <cell r="U202">
            <v>176.03520250264322</v>
          </cell>
          <cell r="V202">
            <v>197.33183672926856</v>
          </cell>
          <cell r="W202">
            <v>710.66439337316001</v>
          </cell>
          <cell r="X202">
            <v>189.65527202686269</v>
          </cell>
          <cell r="Y202">
            <v>147.12338809600604</v>
          </cell>
          <cell r="Z202">
            <v>215.50208627736168</v>
          </cell>
          <cell r="AA202">
            <v>236.94139182134211</v>
          </cell>
          <cell r="AB202">
            <v>789.22213822157244</v>
          </cell>
          <cell r="AC202">
            <v>280.95231671690618</v>
          </cell>
          <cell r="AD202">
            <v>337.36918401170789</v>
          </cell>
          <cell r="AE202">
            <v>403.47632193004841</v>
          </cell>
          <cell r="AF202">
            <v>383.7591135668772</v>
          </cell>
          <cell r="AG202">
            <v>1405.5569362255396</v>
          </cell>
          <cell r="AH202">
            <v>448.47078205507216</v>
          </cell>
          <cell r="AI202">
            <v>487.01134205015683</v>
          </cell>
          <cell r="AJ202">
            <v>550.26545666562674</v>
          </cell>
          <cell r="AK202">
            <v>599.46850074480096</v>
          </cell>
          <cell r="AL202">
            <v>2085.2160815156567</v>
          </cell>
          <cell r="AM202">
            <v>572.49378186415947</v>
          </cell>
          <cell r="AN202">
            <v>571.01356755050801</v>
          </cell>
          <cell r="AO202">
            <v>586.73964501081116</v>
          </cell>
          <cell r="AP202">
            <v>679.88012156291154</v>
          </cell>
          <cell r="AQ202">
            <v>2410.12711598839</v>
          </cell>
          <cell r="AR202">
            <v>774.07810096048263</v>
          </cell>
          <cell r="AS202">
            <v>667.48681411507209</v>
          </cell>
          <cell r="AT202">
            <v>828.52660355027422</v>
          </cell>
          <cell r="AU202">
            <v>896.35356047037067</v>
          </cell>
          <cell r="AV202">
            <v>3166.4450790961992</v>
          </cell>
          <cell r="AW202">
            <v>3987.0430218892116</v>
          </cell>
          <cell r="AX202">
            <v>5147.5260704163238</v>
          </cell>
          <cell r="AY202">
            <v>6335.90432669035</v>
          </cell>
          <cell r="AZ202">
            <v>7246.1243691780837</v>
          </cell>
          <cell r="BA202">
            <v>8164.3750046539071</v>
          </cell>
          <cell r="BK202">
            <v>3933.7539429289141</v>
          </cell>
          <cell r="BL202">
            <v>-767.30886383271491</v>
          </cell>
        </row>
        <row r="203">
          <cell r="A203" t="str">
            <v xml:space="preserve">  Year-over-Year growth</v>
          </cell>
          <cell r="D203">
            <v>4.9656657911086644E-2</v>
          </cell>
          <cell r="E203">
            <v>-8.5061861588807242E-2</v>
          </cell>
          <cell r="F203">
            <v>-8.446295437400575E-2</v>
          </cell>
          <cell r="G203">
            <v>-2.6274725835415125E-2</v>
          </cell>
          <cell r="H203">
            <v>-0.16787585389042037</v>
          </cell>
          <cell r="I203" t="str">
            <v>N.M.</v>
          </cell>
          <cell r="J203" t="str">
            <v>N.M.</v>
          </cell>
          <cell r="K203" t="str">
            <v>N.M.</v>
          </cell>
          <cell r="L203" t="str">
            <v>N.M.</v>
          </cell>
          <cell r="M203">
            <v>0.15427894312811197</v>
          </cell>
          <cell r="N203">
            <v>-3.6284284956789037E-2</v>
          </cell>
          <cell r="O203">
            <v>8.8131752679579956E-2</v>
          </cell>
          <cell r="P203">
            <v>1.9617142594859249E-2</v>
          </cell>
          <cell r="Q203">
            <v>0.12963339379537331</v>
          </cell>
          <cell r="R203">
            <v>4.7515816853742177E-2</v>
          </cell>
          <cell r="S203">
            <v>-8.3791201752341227E-3</v>
          </cell>
          <cell r="T203">
            <v>6.4680092309518988E-2</v>
          </cell>
          <cell r="U203">
            <v>5.2785605978953987E-2</v>
          </cell>
          <cell r="V203">
            <v>0.14895037438963543</v>
          </cell>
          <cell r="W203">
            <v>6.5638265911447391E-2</v>
          </cell>
          <cell r="X203">
            <v>0.17961350655231589</v>
          </cell>
          <cell r="Y203">
            <v>-0.16653363672271004</v>
          </cell>
          <cell r="Z203">
            <v>0.22419881485991899</v>
          </cell>
          <cell r="AA203">
            <v>0.20072561908201503</v>
          </cell>
          <cell r="AB203">
            <v>0.11054127036749239</v>
          </cell>
          <cell r="AC203">
            <v>0.4813841646179613</v>
          </cell>
          <cell r="AD203">
            <v>1.2931036892078374</v>
          </cell>
          <cell r="AE203">
            <v>0.87226179059238773</v>
          </cell>
          <cell r="AF203">
            <v>0.61963728927632111</v>
          </cell>
          <cell r="AG203">
            <v>0.78093957094616173</v>
          </cell>
          <cell r="AH203">
            <v>0.59625230108695382</v>
          </cell>
          <cell r="AI203">
            <v>0.44355609560728526</v>
          </cell>
          <cell r="AJ203">
            <v>0.36381102621686812</v>
          </cell>
          <cell r="AK203">
            <v>0.56209580320581076</v>
          </cell>
          <cell r="AL203">
            <v>0.48355148608583787</v>
          </cell>
          <cell r="AM203">
            <v>0.27654644354034486</v>
          </cell>
          <cell r="AN203">
            <v>0.17248515228973837</v>
          </cell>
          <cell r="AO203">
            <v>6.6284713865562894E-2</v>
          </cell>
          <cell r="AP203">
            <v>0.13413819194537213</v>
          </cell>
          <cell r="AQ203">
            <v>0.15581648221155531</v>
          </cell>
          <cell r="AR203">
            <v>0.35211617223146496</v>
          </cell>
          <cell r="AS203">
            <v>0.16895088321352492</v>
          </cell>
          <cell r="AT203">
            <v>0.41208559979785919</v>
          </cell>
          <cell r="AU203">
            <v>0.31839942372462504</v>
          </cell>
          <cell r="AV203">
            <v>0.31380832906717626</v>
          </cell>
          <cell r="AW203">
            <v>0.25915432679073547</v>
          </cell>
          <cell r="AX203">
            <v>0.29106358826728473</v>
          </cell>
          <cell r="AY203">
            <v>0.23086396067109427</v>
          </cell>
          <cell r="AZ203">
            <v>0.14366063557073949</v>
          </cell>
          <cell r="BA203">
            <v>0.12672300235166656</v>
          </cell>
          <cell r="BK203">
            <v>0.34732741003516732</v>
          </cell>
          <cell r="BL203">
            <v>-3.3519080967991055E-2</v>
          </cell>
        </row>
        <row r="204">
          <cell r="A204" t="str">
            <v xml:space="preserve">  check</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K204">
            <v>0</v>
          </cell>
          <cell r="BL204">
            <v>0</v>
          </cell>
        </row>
        <row r="205">
          <cell r="BL205">
            <v>0</v>
          </cell>
        </row>
        <row r="206">
          <cell r="A206" t="str">
            <v>Mass Market Casino Revenue Market Share</v>
          </cell>
          <cell r="BL206">
            <v>0</v>
          </cell>
        </row>
        <row r="207">
          <cell r="A207" t="str">
            <v>Sands Macao</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0.1707328432166498</v>
          </cell>
          <cell r="AE207">
            <v>0.40015800358857484</v>
          </cell>
          <cell r="AF207">
            <v>0.41545205130517049</v>
          </cell>
          <cell r="AG207">
            <v>0.26927958637775812</v>
          </cell>
          <cell r="AH207">
            <v>0.35551221256688503</v>
          </cell>
          <cell r="AI207">
            <v>0.34639844996181995</v>
          </cell>
          <cell r="AJ207">
            <v>0.34094982653800221</v>
          </cell>
          <cell r="AK207">
            <v>0.34278132669972838</v>
          </cell>
          <cell r="AL207">
            <v>0.34588086116991928</v>
          </cell>
          <cell r="AM207">
            <v>0.37803848156267478</v>
          </cell>
          <cell r="AN207">
            <v>0.37399621854188286</v>
          </cell>
          <cell r="AO207">
            <v>0.36556650266243351</v>
          </cell>
          <cell r="AP207">
            <v>0.31046931555340068</v>
          </cell>
          <cell r="AQ207">
            <v>0.35498371240437149</v>
          </cell>
          <cell r="AR207">
            <v>0.2960373797063261</v>
          </cell>
          <cell r="AS207">
            <v>0.28327767014943711</v>
          </cell>
          <cell r="AT207">
            <v>0.19863321529215583</v>
          </cell>
          <cell r="AU207">
            <v>0.15767962244515388</v>
          </cell>
          <cell r="AV207">
            <v>0.228694873391485</v>
          </cell>
          <cell r="AW207">
            <v>0.16410273156577451</v>
          </cell>
          <cell r="AX207">
            <v>0.10996424984008536</v>
          </cell>
          <cell r="AY207">
            <v>8.8708320238230498E-2</v>
          </cell>
          <cell r="AZ207">
            <v>7.2748683837569439E-2</v>
          </cell>
          <cell r="BA207">
            <v>7.2567154348333288E-2</v>
          </cell>
          <cell r="BK207">
            <v>0.19567046161962284</v>
          </cell>
          <cell r="BL207">
            <v>3.3024411771862161E-2</v>
          </cell>
        </row>
        <row r="208">
          <cell r="A208" t="str">
            <v>Venetian Macao</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0.18135716402692892</v>
          </cell>
          <cell r="AU208">
            <v>0.1754704093477984</v>
          </cell>
          <cell r="AV208">
            <v>9.7125563095070658E-2</v>
          </cell>
          <cell r="AW208">
            <v>0.17602135083589143</v>
          </cell>
          <cell r="AX208">
            <v>0.12356755155694032</v>
          </cell>
          <cell r="AY208">
            <v>9.9682123512939425E-2</v>
          </cell>
          <cell r="AZ208">
            <v>0.11256920695023914</v>
          </cell>
          <cell r="BA208">
            <v>0.11228831347473624</v>
          </cell>
          <cell r="BK208">
            <v>0.11304155151986889</v>
          </cell>
          <cell r="BL208">
            <v>-1.591598842479823E-2</v>
          </cell>
        </row>
        <row r="209">
          <cell r="A209" t="str">
            <v>Cotai Site 2 - Four Seasons (LVS)</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2.6768223859836029E-2</v>
          </cell>
          <cell r="AX209">
            <v>1.7937225226007467E-2</v>
          </cell>
          <cell r="AY209">
            <v>1.4469985671233147E-2</v>
          </cell>
          <cell r="AZ209">
            <v>1.2382612764526306E-2</v>
          </cell>
          <cell r="BA209">
            <v>1.235171448222099E-2</v>
          </cell>
          <cell r="BK209">
            <v>0</v>
          </cell>
          <cell r="BL209">
            <v>0</v>
          </cell>
        </row>
        <row r="210">
          <cell r="A210" t="str">
            <v>Cotai Site 3 - Far East (LVS)</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1.9122471168971762E-2</v>
          </cell>
          <cell r="AY210">
            <v>3.0852250593630937E-2</v>
          </cell>
          <cell r="AZ210">
            <v>2.795468639264272E-2</v>
          </cell>
          <cell r="BA210">
            <v>2.7884931179559501E-2</v>
          </cell>
          <cell r="BK210">
            <v>0</v>
          </cell>
          <cell r="BL210">
            <v>0</v>
          </cell>
        </row>
        <row r="211">
          <cell r="A211" t="str">
            <v>Cotai Site 5 - Shangri-La/St.Regis/Traders (LVS)</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3.0418436204359123E-2</v>
          </cell>
          <cell r="AX211">
            <v>4.5296023297998651E-2</v>
          </cell>
          <cell r="AY211">
            <v>3.2886331070984418E-2</v>
          </cell>
          <cell r="AZ211">
            <v>2.8142301737559786E-2</v>
          </cell>
          <cell r="BA211">
            <v>2.8072078368684059E-2</v>
          </cell>
          <cell r="BK211">
            <v>0</v>
          </cell>
          <cell r="BL211">
            <v>0</v>
          </cell>
        </row>
        <row r="212">
          <cell r="A212" t="str">
            <v>Cotai Site 6 - Starwood (LVS)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3.0418436204359123E-2</v>
          </cell>
          <cell r="AX212">
            <v>4.5296023297998651E-2</v>
          </cell>
          <cell r="AY212">
            <v>3.2886331070984418E-2</v>
          </cell>
          <cell r="AZ212">
            <v>2.8142301737559786E-2</v>
          </cell>
          <cell r="BA212">
            <v>2.8072078368684059E-2</v>
          </cell>
          <cell r="BK212">
            <v>0</v>
          </cell>
          <cell r="BL212">
            <v>0</v>
          </cell>
        </row>
        <row r="213">
          <cell r="A213" t="str">
            <v>Cotai Site 7 - Hilton (LVS)</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2.0383210484099391E-2</v>
          </cell>
          <cell r="AY213">
            <v>3.6540367856649346E-2</v>
          </cell>
          <cell r="AZ213">
            <v>2.8142301737559786E-2</v>
          </cell>
          <cell r="BA213">
            <v>2.8072078368684059E-2</v>
          </cell>
          <cell r="BK213">
            <v>0</v>
          </cell>
          <cell r="BL213">
            <v>0</v>
          </cell>
        </row>
        <row r="214">
          <cell r="A214" t="str">
            <v>Cotai Site 8 - FHR/Raffles (LVS)</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2.0383210484099391E-2</v>
          </cell>
          <cell r="AY214">
            <v>3.6540367856649346E-2</v>
          </cell>
          <cell r="AZ214">
            <v>2.8142301737559786E-2</v>
          </cell>
          <cell r="BA214">
            <v>2.8072078368684059E-2</v>
          </cell>
          <cell r="BK214">
            <v>0</v>
          </cell>
          <cell r="BL214">
            <v>0</v>
          </cell>
        </row>
        <row r="215">
          <cell r="A215" t="str">
            <v>Wynn Macau</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4.1932806499800537E-2</v>
          </cell>
          <cell r="AP215">
            <v>0.15295328205941297</v>
          </cell>
          <cell r="AQ215">
            <v>5.3355499445208295E-2</v>
          </cell>
          <cell r="AR215">
            <v>0.16951176914126581</v>
          </cell>
          <cell r="AS215">
            <v>0.16583472090485957</v>
          </cell>
          <cell r="AT215">
            <v>0.17690761663655447</v>
          </cell>
          <cell r="AU215">
            <v>0.1580901653800792</v>
          </cell>
          <cell r="AV215">
            <v>0.16743861775519664</v>
          </cell>
          <cell r="AW215">
            <v>0.14350291592468326</v>
          </cell>
          <cell r="AX215">
            <v>0.10729480420038999</v>
          </cell>
          <cell r="AY215">
            <v>8.7371429979581888E-2</v>
          </cell>
          <cell r="AZ215">
            <v>7.6863922197578108E-2</v>
          </cell>
          <cell r="BA215">
            <v>7.6672123971119902E-2</v>
          </cell>
          <cell r="BK215">
            <v>0.15256289395888542</v>
          </cell>
          <cell r="BL215">
            <v>1.4875723796311219E-2</v>
          </cell>
        </row>
        <row r="216">
          <cell r="A216" t="str">
            <v>Wynn Cotai</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5.8464588570638965E-2</v>
          </cell>
          <cell r="AZ216">
            <v>5.253229657677827E-2</v>
          </cell>
          <cell r="BA216">
            <v>5.2401212954876909E-2</v>
          </cell>
          <cell r="BK216">
            <v>0</v>
          </cell>
          <cell r="BL216">
            <v>0</v>
          </cell>
        </row>
        <row r="217">
          <cell r="A217" t="str">
            <v>Wynn Cotai #2</v>
          </cell>
          <cell r="C217">
            <v>0</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5.8464588570638965E-2</v>
          </cell>
          <cell r="AZ217">
            <v>5.253229657677827E-2</v>
          </cell>
          <cell r="BA217">
            <v>5.2401212954876909E-2</v>
          </cell>
        </row>
        <row r="218">
          <cell r="A218" t="str">
            <v>MGM Grand</v>
          </cell>
          <cell r="C218">
            <v>0</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9.1666275593584479E-2</v>
          </cell>
          <cell r="AV218">
            <v>2.5948781820280369E-2</v>
          </cell>
          <cell r="AW218">
            <v>0.11481134560973306</v>
          </cell>
          <cell r="AX218">
            <v>8.5482655167983035E-2</v>
          </cell>
          <cell r="AY218">
            <v>6.8958982219068654E-2</v>
          </cell>
          <cell r="AZ218">
            <v>5.9011279821247584E-2</v>
          </cell>
          <cell r="BA218">
            <v>5.8864029219311727E-2</v>
          </cell>
          <cell r="BK218">
            <v>3.5824091693446344E-2</v>
          </cell>
          <cell r="BL218">
            <v>-9.8753098731659758E-3</v>
          </cell>
        </row>
        <row r="219">
          <cell r="A219" t="str">
            <v>MGM Cotai</v>
          </cell>
          <cell r="C219">
            <v>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4.8154605195380083E-2</v>
          </cell>
          <cell r="BA219">
            <v>4.8034445208637172E-2</v>
          </cell>
        </row>
        <row r="220">
          <cell r="A220" t="str">
            <v>Crown Macau - PBL/Melco</v>
          </cell>
          <cell r="C220">
            <v>0</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2.183344039913768E-2</v>
          </cell>
          <cell r="AT220">
            <v>2.3590585674905705E-2</v>
          </cell>
          <cell r="AU220">
            <v>2.168360571788383E-2</v>
          </cell>
          <cell r="AV220">
            <v>1.6913332538371469E-2</v>
          </cell>
          <cell r="AW220">
            <v>1.6673809474982034E-2</v>
          </cell>
          <cell r="AX220">
            <v>1.2290320988190301E-2</v>
          </cell>
          <cell r="AY220">
            <v>9.9146198117708584E-3</v>
          </cell>
          <cell r="AZ220">
            <v>9.2556903492418859E-3</v>
          </cell>
          <cell r="BA220">
            <v>9.2325946634783142E-3</v>
          </cell>
          <cell r="BK220">
            <v>1.2960177881258852E-2</v>
          </cell>
          <cell r="BL220">
            <v>3.9531546571126164E-3</v>
          </cell>
        </row>
        <row r="221">
          <cell r="A221" t="str">
            <v>Penninsula Project - PBL/Melco ("Trinity")</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1.3135846756419605E-2</v>
          </cell>
          <cell r="AY221">
            <v>2.7039872213920523E-2</v>
          </cell>
          <cell r="AZ221">
            <v>2.3139225873104713E-2</v>
          </cell>
          <cell r="BA221">
            <v>2.308148665869578E-2</v>
          </cell>
          <cell r="BK221">
            <v>0</v>
          </cell>
          <cell r="BL221">
            <v>0</v>
          </cell>
        </row>
        <row r="222">
          <cell r="A222" t="str">
            <v>City of Dreams - PBL/Melco</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6.3414432617198119E-2</v>
          </cell>
          <cell r="AY222">
            <v>5.1156514999309094E-2</v>
          </cell>
          <cell r="AZ222">
            <v>4.3776913813981889E-2</v>
          </cell>
          <cell r="BA222">
            <v>4.3667677462397428E-2</v>
          </cell>
          <cell r="BK222">
            <v>0</v>
          </cell>
          <cell r="BL222">
            <v>0</v>
          </cell>
        </row>
        <row r="223">
          <cell r="A223" t="str">
            <v>Galaxy Cotai Mega Resort</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3.52403216471242E-2</v>
          </cell>
          <cell r="AX223">
            <v>4.7228653625379924E-2</v>
          </cell>
          <cell r="AY223">
            <v>3.7271175213782336E-2</v>
          </cell>
          <cell r="AZ223">
            <v>3.1894608635901087E-2</v>
          </cell>
          <cell r="BA223">
            <v>3.1815022151175272E-2</v>
          </cell>
          <cell r="BK223">
            <v>0</v>
          </cell>
          <cell r="BL223">
            <v>0</v>
          </cell>
        </row>
        <row r="224">
          <cell r="A224" t="str">
            <v>Galaxy StarWorld</v>
          </cell>
          <cell r="C224">
            <v>0</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6.776982550490597E-2</v>
          </cell>
          <cell r="AQ224">
            <v>1.9117397126863715E-2</v>
          </cell>
          <cell r="AR224">
            <v>8.8512470158584086E-2</v>
          </cell>
          <cell r="AS224">
            <v>7.8701155161814765E-2</v>
          </cell>
          <cell r="AT224">
            <v>5.9266809857109269E-2</v>
          </cell>
          <cell r="AU224">
            <v>5.4475889442006604E-2</v>
          </cell>
          <cell r="AV224">
            <v>6.9156839548160237E-2</v>
          </cell>
          <cell r="AW224">
            <v>5.4636017858022225E-2</v>
          </cell>
          <cell r="AX224">
            <v>3.9226356176066832E-2</v>
          </cell>
          <cell r="AY224">
            <v>3.1643958563858342E-2</v>
          </cell>
          <cell r="AZ224">
            <v>2.707914811636308E-2</v>
          </cell>
          <cell r="BA224">
            <v>2.7011577630311548E-2</v>
          </cell>
          <cell r="BK224">
            <v>7.1155984631357749E-2</v>
          </cell>
          <cell r="BL224">
            <v>-1.9991450831975122E-3</v>
          </cell>
        </row>
        <row r="225">
          <cell r="A225" t="str">
            <v>Galaxy City Clubs</v>
          </cell>
          <cell r="C225">
            <v>0</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2.722241279062081E-2</v>
          </cell>
          <cell r="AN225">
            <v>8.4710310928954619E-2</v>
          </cell>
          <cell r="AO225">
            <v>8.2811037859686548E-2</v>
          </cell>
          <cell r="AP225">
            <v>7.0575752476578463E-2</v>
          </cell>
          <cell r="AQ225">
            <v>6.6605187737549046E-2</v>
          </cell>
          <cell r="AR225">
            <v>5.6589803691060939E-2</v>
          </cell>
          <cell r="AS225">
            <v>5.0317010844769645E-2</v>
          </cell>
          <cell r="AT225">
            <v>3.2949394432909326E-2</v>
          </cell>
          <cell r="AU225">
            <v>3.0285881299091485E-2</v>
          </cell>
          <cell r="AV225">
            <v>4.1635706017065205E-2</v>
          </cell>
          <cell r="AW225">
            <v>2.5051272127412205E-2</v>
          </cell>
          <cell r="AX225">
            <v>1.6786706234238297E-2</v>
          </cell>
          <cell r="AY225">
            <v>1.3541860327674248E-2</v>
          </cell>
          <cell r="AZ225">
            <v>1.1588374471044063E-2</v>
          </cell>
          <cell r="BA225">
            <v>1.1559458048260345E-2</v>
          </cell>
          <cell r="BK225">
            <v>4.3142416139040296E-2</v>
          </cell>
          <cell r="BL225">
            <v>-1.5067101219750911E-3</v>
          </cell>
        </row>
        <row r="226">
          <cell r="A226" t="str">
            <v>Macau Studio City</v>
          </cell>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5.1999834746102445E-2</v>
          </cell>
          <cell r="AY226">
            <v>4.194834229943345E-2</v>
          </cell>
          <cell r="AZ226">
            <v>5.8223295372595907E-2</v>
          </cell>
          <cell r="BA226">
            <v>5.8078011024988573E-2</v>
          </cell>
          <cell r="BK226">
            <v>4.3142416139040296E-2</v>
          </cell>
          <cell r="BL226">
            <v>-4.3142416139040296E-2</v>
          </cell>
        </row>
        <row r="227">
          <cell r="A227" t="str">
            <v>New SJM</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3.7694824016256574E-3</v>
          </cell>
          <cell r="AQ227">
            <v>1.0633448071868641E-3</v>
          </cell>
          <cell r="AR227">
            <v>8.3578740494601553E-2</v>
          </cell>
          <cell r="AS227">
            <v>8.8405279671523784E-2</v>
          </cell>
          <cell r="AT227">
            <v>9.3077563110558759E-2</v>
          </cell>
          <cell r="AU227">
            <v>0.1109030810026667</v>
          </cell>
          <cell r="AV227">
            <v>9.4816563198350051E-2</v>
          </cell>
          <cell r="AW227">
            <v>9.8336720561452165E-2</v>
          </cell>
          <cell r="AX227">
            <v>0.12568559360635473</v>
          </cell>
          <cell r="AY227">
            <v>0.11586073678514951</v>
          </cell>
          <cell r="AZ227">
            <v>0.14042258105662669</v>
          </cell>
          <cell r="BA227">
            <v>0.14785397323728897</v>
          </cell>
          <cell r="BK227">
            <v>0.13242421755117378</v>
          </cell>
          <cell r="BL227">
            <v>-3.7607654352823733E-2</v>
          </cell>
        </row>
        <row r="228">
          <cell r="A228" t="str">
            <v>Old SJM</v>
          </cell>
          <cell r="C228">
            <v>0</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0.59473910564670451</v>
          </cell>
          <cell r="AN228">
            <v>0.54129347052916255</v>
          </cell>
          <cell r="AO228">
            <v>0.50968965297807933</v>
          </cell>
          <cell r="AP228">
            <v>0.39446234200407621</v>
          </cell>
          <cell r="AQ228">
            <v>0.50487485847882063</v>
          </cell>
          <cell r="AR228">
            <v>0.30576983680816144</v>
          </cell>
          <cell r="AS228">
            <v>0.31163072286845744</v>
          </cell>
          <cell r="AT228">
            <v>0.23421765096887762</v>
          </cell>
          <cell r="AU228">
            <v>0.19974506977173534</v>
          </cell>
          <cell r="AV228">
            <v>0.25826972263602044</v>
          </cell>
          <cell r="AW228">
            <v>8.4018418126370786E-2</v>
          </cell>
          <cell r="AX228">
            <v>3.5504830525475491E-2</v>
          </cell>
          <cell r="AY228">
            <v>2.5797252573871665E-2</v>
          </cell>
          <cell r="AZ228">
            <v>2.7301365048161941E-2</v>
          </cell>
          <cell r="BA228">
            <v>2.1946747854994616E-2</v>
          </cell>
          <cell r="BK228">
            <v>0.24321820500534577</v>
          </cell>
          <cell r="BL228">
            <v>1.5051517630674666E-2</v>
          </cell>
        </row>
        <row r="229">
          <cell r="A229" t="str">
            <v>Other Mass Market</v>
          </cell>
          <cell r="C229">
            <v>1</v>
          </cell>
          <cell r="D229">
            <v>1</v>
          </cell>
          <cell r="E229">
            <v>1</v>
          </cell>
          <cell r="F229">
            <v>1</v>
          </cell>
          <cell r="G229">
            <v>1</v>
          </cell>
          <cell r="H229">
            <v>1</v>
          </cell>
          <cell r="I229">
            <v>1</v>
          </cell>
          <cell r="J229">
            <v>1</v>
          </cell>
          <cell r="K229">
            <v>1</v>
          </cell>
          <cell r="L229">
            <v>1</v>
          </cell>
          <cell r="M229">
            <v>1</v>
          </cell>
          <cell r="N229">
            <v>1</v>
          </cell>
          <cell r="O229">
            <v>1</v>
          </cell>
          <cell r="P229">
            <v>1</v>
          </cell>
          <cell r="Q229">
            <v>1</v>
          </cell>
          <cell r="R229">
            <v>1</v>
          </cell>
          <cell r="S229">
            <v>1</v>
          </cell>
          <cell r="T229">
            <v>1</v>
          </cell>
          <cell r="U229">
            <v>1</v>
          </cell>
          <cell r="V229">
            <v>1</v>
          </cell>
          <cell r="W229">
            <v>1</v>
          </cell>
          <cell r="X229">
            <v>1</v>
          </cell>
          <cell r="Y229">
            <v>1</v>
          </cell>
          <cell r="Z229">
            <v>1</v>
          </cell>
          <cell r="AA229">
            <v>1</v>
          </cell>
          <cell r="AB229">
            <v>1</v>
          </cell>
          <cell r="AC229">
            <v>1</v>
          </cell>
          <cell r="AD229">
            <v>0.82926715678335017</v>
          </cell>
          <cell r="AE229">
            <v>0.59984199641142522</v>
          </cell>
          <cell r="AF229">
            <v>0.58454794869482951</v>
          </cell>
          <cell r="AG229">
            <v>0.73072041362224194</v>
          </cell>
          <cell r="AH229">
            <v>0.64448778743311497</v>
          </cell>
          <cell r="AI229">
            <v>0.6536015500381801</v>
          </cell>
          <cell r="AJ229">
            <v>0.65905017346199768</v>
          </cell>
          <cell r="AK229">
            <v>0.65721867330027162</v>
          </cell>
          <cell r="AL229">
            <v>0.65411913883008077</v>
          </cell>
          <cell r="BL229">
            <v>0</v>
          </cell>
        </row>
        <row r="230">
          <cell r="B230" t="str">
            <v>______</v>
          </cell>
          <cell r="C230" t="str">
            <v>______</v>
          </cell>
          <cell r="D230" t="str">
            <v>______</v>
          </cell>
          <cell r="E230" t="str">
            <v>______</v>
          </cell>
          <cell r="F230" t="str">
            <v>______</v>
          </cell>
          <cell r="G230" t="str">
            <v>______</v>
          </cell>
          <cell r="H230" t="str">
            <v>______</v>
          </cell>
          <cell r="I230" t="str">
            <v>______</v>
          </cell>
          <cell r="J230" t="str">
            <v>______</v>
          </cell>
          <cell r="K230" t="str">
            <v>______</v>
          </cell>
          <cell r="L230" t="str">
            <v>______</v>
          </cell>
          <cell r="M230" t="str">
            <v>______</v>
          </cell>
          <cell r="N230" t="str">
            <v>______</v>
          </cell>
          <cell r="O230" t="str">
            <v>______</v>
          </cell>
          <cell r="P230" t="str">
            <v>______</v>
          </cell>
          <cell r="Q230" t="str">
            <v>______</v>
          </cell>
          <cell r="R230" t="str">
            <v>______</v>
          </cell>
          <cell r="S230" t="str">
            <v>______</v>
          </cell>
          <cell r="T230" t="str">
            <v>______</v>
          </cell>
          <cell r="U230" t="str">
            <v>______</v>
          </cell>
          <cell r="V230" t="str">
            <v>______</v>
          </cell>
          <cell r="W230" t="str">
            <v>______</v>
          </cell>
          <cell r="X230" t="str">
            <v>______</v>
          </cell>
          <cell r="Y230" t="str">
            <v>______</v>
          </cell>
          <cell r="Z230" t="str">
            <v>______</v>
          </cell>
          <cell r="AA230" t="str">
            <v>______</v>
          </cell>
          <cell r="AB230" t="str">
            <v>______</v>
          </cell>
          <cell r="AC230" t="str">
            <v>______</v>
          </cell>
          <cell r="AD230" t="str">
            <v>______</v>
          </cell>
          <cell r="AE230" t="str">
            <v>______</v>
          </cell>
          <cell r="AF230" t="str">
            <v>______</v>
          </cell>
          <cell r="AG230" t="str">
            <v>______</v>
          </cell>
          <cell r="AH230" t="str">
            <v>______</v>
          </cell>
          <cell r="AI230" t="str">
            <v>______</v>
          </cell>
          <cell r="AJ230" t="str">
            <v>______</v>
          </cell>
          <cell r="AK230" t="str">
            <v>______</v>
          </cell>
          <cell r="AL230" t="str">
            <v>______</v>
          </cell>
          <cell r="AM230" t="str">
            <v>______</v>
          </cell>
          <cell r="AN230" t="str">
            <v>______</v>
          </cell>
          <cell r="AO230" t="str">
            <v>______</v>
          </cell>
          <cell r="AP230" t="str">
            <v>______</v>
          </cell>
          <cell r="AQ230" t="str">
            <v>______</v>
          </cell>
          <cell r="AR230" t="str">
            <v>______</v>
          </cell>
          <cell r="AS230" t="str">
            <v>______</v>
          </cell>
          <cell r="AT230" t="str">
            <v>______</v>
          </cell>
          <cell r="AU230" t="str">
            <v>______</v>
          </cell>
          <cell r="AV230" t="str">
            <v>______</v>
          </cell>
          <cell r="AW230" t="str">
            <v>______</v>
          </cell>
          <cell r="AX230" t="str">
            <v>______</v>
          </cell>
          <cell r="AY230" t="str">
            <v>______</v>
          </cell>
          <cell r="AZ230" t="str">
            <v>______</v>
          </cell>
          <cell r="BA230" t="str">
            <v>______</v>
          </cell>
          <cell r="BK230" t="str">
            <v>______</v>
          </cell>
          <cell r="BL230" t="e">
            <v>#VALUE!</v>
          </cell>
        </row>
        <row r="231">
          <cell r="A231" t="str">
            <v>Total</v>
          </cell>
          <cell r="C231">
            <v>1</v>
          </cell>
          <cell r="D231">
            <v>1</v>
          </cell>
          <cell r="E231">
            <v>1</v>
          </cell>
          <cell r="F231">
            <v>1</v>
          </cell>
          <cell r="G231">
            <v>1</v>
          </cell>
          <cell r="H231">
            <v>1</v>
          </cell>
          <cell r="I231">
            <v>1</v>
          </cell>
          <cell r="J231">
            <v>1</v>
          </cell>
          <cell r="K231">
            <v>1</v>
          </cell>
          <cell r="L231">
            <v>1</v>
          </cell>
          <cell r="M231">
            <v>1</v>
          </cell>
          <cell r="N231">
            <v>1</v>
          </cell>
          <cell r="O231">
            <v>1</v>
          </cell>
          <cell r="P231">
            <v>1</v>
          </cell>
          <cell r="Q231">
            <v>1</v>
          </cell>
          <cell r="R231">
            <v>1</v>
          </cell>
          <cell r="S231">
            <v>1</v>
          </cell>
          <cell r="T231">
            <v>1</v>
          </cell>
          <cell r="U231">
            <v>1</v>
          </cell>
          <cell r="V231">
            <v>1</v>
          </cell>
          <cell r="W231">
            <v>1</v>
          </cell>
          <cell r="X231">
            <v>1</v>
          </cell>
          <cell r="Y231">
            <v>1</v>
          </cell>
          <cell r="Z231">
            <v>1</v>
          </cell>
          <cell r="AA231">
            <v>1</v>
          </cell>
          <cell r="AB231">
            <v>1</v>
          </cell>
          <cell r="AC231">
            <v>1</v>
          </cell>
          <cell r="AD231">
            <v>1</v>
          </cell>
          <cell r="AE231">
            <v>1</v>
          </cell>
          <cell r="AF231">
            <v>1</v>
          </cell>
          <cell r="AG231">
            <v>1</v>
          </cell>
          <cell r="AH231">
            <v>1</v>
          </cell>
          <cell r="AI231">
            <v>1</v>
          </cell>
          <cell r="AJ231">
            <v>0.99999999999999989</v>
          </cell>
          <cell r="AK231">
            <v>1</v>
          </cell>
          <cell r="AL231">
            <v>1</v>
          </cell>
          <cell r="AM231">
            <v>1</v>
          </cell>
          <cell r="AN231">
            <v>1</v>
          </cell>
          <cell r="AO231">
            <v>0.99999999999999989</v>
          </cell>
          <cell r="AP231">
            <v>1</v>
          </cell>
          <cell r="AQ231">
            <v>1</v>
          </cell>
          <cell r="AR231">
            <v>1</v>
          </cell>
          <cell r="AS231">
            <v>1</v>
          </cell>
          <cell r="AT231">
            <v>1</v>
          </cell>
          <cell r="AU231">
            <v>1</v>
          </cell>
          <cell r="AV231">
            <v>1</v>
          </cell>
          <cell r="AW231">
            <v>1</v>
          </cell>
          <cell r="AX231">
            <v>1</v>
          </cell>
          <cell r="AY231">
            <v>1</v>
          </cell>
          <cell r="AZ231">
            <v>1</v>
          </cell>
          <cell r="BA231">
            <v>1</v>
          </cell>
          <cell r="BK231">
            <v>1</v>
          </cell>
          <cell r="BL231">
            <v>0</v>
          </cell>
        </row>
        <row r="232">
          <cell r="A232" t="str">
            <v xml:space="preserve">  LVS Plots 5&amp;6 Share</v>
          </cell>
          <cell r="AW232">
            <v>6.0836872408718247E-2</v>
          </cell>
          <cell r="AX232">
            <v>9.0592046595997303E-2</v>
          </cell>
          <cell r="AY232">
            <v>6.5772662141968835E-2</v>
          </cell>
          <cell r="AZ232">
            <v>5.6284603475119571E-2</v>
          </cell>
          <cell r="BA232">
            <v>5.6144156737368119E-2</v>
          </cell>
          <cell r="BL232">
            <v>0</v>
          </cell>
        </row>
        <row r="233">
          <cell r="A233" t="str">
            <v xml:space="preserve">  LVS Plots 7&amp;8 Share</v>
          </cell>
          <cell r="AX233">
            <v>4.0766420968198783E-2</v>
          </cell>
          <cell r="AY233">
            <v>7.3080735713298692E-2</v>
          </cell>
          <cell r="AZ233">
            <v>5.6284603475119571E-2</v>
          </cell>
          <cell r="BA233">
            <v>5.6144156737368119E-2</v>
          </cell>
          <cell r="BL233">
            <v>0</v>
          </cell>
        </row>
        <row r="234">
          <cell r="BL234">
            <v>0</v>
          </cell>
        </row>
        <row r="235">
          <cell r="A235" t="str">
            <v>Mass Market Casino Revenue Fair Share</v>
          </cell>
          <cell r="BL235">
            <v>0</v>
          </cell>
        </row>
        <row r="236">
          <cell r="A236" t="str">
            <v>Sands Macao</v>
          </cell>
          <cell r="X236">
            <v>0</v>
          </cell>
          <cell r="Y236">
            <v>0</v>
          </cell>
          <cell r="Z236">
            <v>0</v>
          </cell>
          <cell r="AA236">
            <v>0</v>
          </cell>
          <cell r="AB236" t="str">
            <v>N.M.</v>
          </cell>
          <cell r="AC236">
            <v>0</v>
          </cell>
          <cell r="AD236">
            <v>0.63504584140228115</v>
          </cell>
          <cell r="AE236">
            <v>0.81916350244243064</v>
          </cell>
          <cell r="AF236">
            <v>1.1581742867739755</v>
          </cell>
          <cell r="AG236">
            <v>0.82782484775869758</v>
          </cell>
          <cell r="AH236">
            <v>1.1025445632541968</v>
          </cell>
          <cell r="AI236">
            <v>1.0924376862975698</v>
          </cell>
          <cell r="AJ236">
            <v>1.0968483200441173</v>
          </cell>
          <cell r="AK236">
            <v>1.0977518170763882</v>
          </cell>
          <cell r="AL236">
            <v>1.0965861639373129</v>
          </cell>
          <cell r="AM236">
            <v>1.2193334537883502</v>
          </cell>
          <cell r="AN236">
            <v>1.3658786253092388</v>
          </cell>
          <cell r="AO236">
            <v>1.2097749086447045</v>
          </cell>
          <cell r="AP236">
            <v>0.96063656449488799</v>
          </cell>
          <cell r="AQ236">
            <v>1.166517758723717</v>
          </cell>
          <cell r="AR236">
            <v>1.05</v>
          </cell>
          <cell r="AS236">
            <v>1.1299999999999999</v>
          </cell>
          <cell r="AT236">
            <v>1.1000000000000001</v>
          </cell>
          <cell r="AU236">
            <v>0.95</v>
          </cell>
          <cell r="AV236">
            <v>1.0919373183163483</v>
          </cell>
          <cell r="AW236">
            <v>1.2</v>
          </cell>
          <cell r="AX236">
            <v>1.2</v>
          </cell>
          <cell r="AY236">
            <v>1.2</v>
          </cell>
          <cell r="AZ236">
            <v>1.1499999999999999</v>
          </cell>
          <cell r="BA236">
            <v>1.1499999999999999</v>
          </cell>
          <cell r="BK236">
            <v>0.95</v>
          </cell>
          <cell r="BL236">
            <v>0.14193731831634837</v>
          </cell>
          <cell r="BN236" t="str">
            <v>gt:lvs:sandsMacao:fairShare</v>
          </cell>
        </row>
        <row r="237">
          <cell r="A237" t="str">
            <v>Venetian Macao</v>
          </cell>
          <cell r="X237">
            <v>0</v>
          </cell>
          <cell r="Y237">
            <v>0</v>
          </cell>
          <cell r="Z237">
            <v>0</v>
          </cell>
          <cell r="AA237">
            <v>0</v>
          </cell>
          <cell r="AB237" t="str">
            <v>N.M.</v>
          </cell>
          <cell r="AC237">
            <v>0</v>
          </cell>
          <cell r="AD237">
            <v>0</v>
          </cell>
          <cell r="AE237">
            <v>0</v>
          </cell>
          <cell r="AF237">
            <v>0</v>
          </cell>
          <cell r="AG237" t="str">
            <v>N.M.</v>
          </cell>
          <cell r="AH237">
            <v>0</v>
          </cell>
          <cell r="AI237">
            <v>0</v>
          </cell>
          <cell r="AJ237">
            <v>0</v>
          </cell>
          <cell r="AK237">
            <v>0</v>
          </cell>
          <cell r="AL237" t="str">
            <v>N.M.</v>
          </cell>
          <cell r="AM237">
            <v>0</v>
          </cell>
          <cell r="AN237">
            <v>0</v>
          </cell>
          <cell r="AO237">
            <v>0</v>
          </cell>
          <cell r="AP237">
            <v>0</v>
          </cell>
          <cell r="AQ237" t="str">
            <v>N.M.</v>
          </cell>
          <cell r="AR237">
            <v>0</v>
          </cell>
          <cell r="AS237">
            <v>0</v>
          </cell>
          <cell r="AT237">
            <v>0.95</v>
          </cell>
          <cell r="AU237">
            <v>1</v>
          </cell>
          <cell r="AV237">
            <v>0.87730964062357364</v>
          </cell>
          <cell r="AW237">
            <v>1.05</v>
          </cell>
          <cell r="AX237">
            <v>1.1000000000000001</v>
          </cell>
          <cell r="AY237">
            <v>1.1000000000000001</v>
          </cell>
          <cell r="AZ237">
            <v>1</v>
          </cell>
          <cell r="BA237">
            <v>1</v>
          </cell>
          <cell r="BK237">
            <v>1</v>
          </cell>
          <cell r="BL237">
            <v>-0.12269035937642636</v>
          </cell>
          <cell r="BN237" t="str">
            <v>gt:lvs:venetianMacao:fairShare</v>
          </cell>
        </row>
        <row r="238">
          <cell r="A238" t="str">
            <v>Cotai Site 2 - Four Seasons (LVS)</v>
          </cell>
          <cell r="X238">
            <v>0</v>
          </cell>
          <cell r="Y238">
            <v>0</v>
          </cell>
          <cell r="Z238">
            <v>0</v>
          </cell>
          <cell r="AA238">
            <v>0</v>
          </cell>
          <cell r="AB238" t="str">
            <v>N.M.</v>
          </cell>
          <cell r="AC238">
            <v>0</v>
          </cell>
          <cell r="AD238">
            <v>0</v>
          </cell>
          <cell r="AE238">
            <v>0</v>
          </cell>
          <cell r="AF238">
            <v>0</v>
          </cell>
          <cell r="AG238" t="str">
            <v>N.M.</v>
          </cell>
          <cell r="AH238">
            <v>0</v>
          </cell>
          <cell r="AI238">
            <v>0</v>
          </cell>
          <cell r="AJ238">
            <v>0</v>
          </cell>
          <cell r="AK238">
            <v>0</v>
          </cell>
          <cell r="AL238" t="str">
            <v>N.M.</v>
          </cell>
          <cell r="AM238">
            <v>0</v>
          </cell>
          <cell r="AN238">
            <v>0</v>
          </cell>
          <cell r="AO238">
            <v>0</v>
          </cell>
          <cell r="AP238">
            <v>0</v>
          </cell>
          <cell r="AQ238" t="str">
            <v>N.M.</v>
          </cell>
          <cell r="AR238">
            <v>0</v>
          </cell>
          <cell r="AS238">
            <v>0</v>
          </cell>
          <cell r="AT238">
            <v>0</v>
          </cell>
          <cell r="AU238">
            <v>0</v>
          </cell>
          <cell r="AV238" t="str">
            <v>N.M.</v>
          </cell>
          <cell r="AW238">
            <v>1.1000000000000001</v>
          </cell>
          <cell r="AX238">
            <v>1.1000000000000001</v>
          </cell>
          <cell r="AY238">
            <v>1.1000000000000001</v>
          </cell>
          <cell r="AZ238">
            <v>1.1000000000000001</v>
          </cell>
          <cell r="BA238">
            <v>1.1000000000000001</v>
          </cell>
          <cell r="BK238">
            <v>0.95</v>
          </cell>
          <cell r="BL238" t="e">
            <v>#VALUE!</v>
          </cell>
        </row>
        <row r="239">
          <cell r="A239" t="str">
            <v>Cotai Site 3 - Far East (LVS)</v>
          </cell>
          <cell r="X239">
            <v>0</v>
          </cell>
          <cell r="Y239">
            <v>0</v>
          </cell>
          <cell r="Z239">
            <v>0</v>
          </cell>
          <cell r="AA239">
            <v>0</v>
          </cell>
          <cell r="AB239" t="str">
            <v>N.M.</v>
          </cell>
          <cell r="AC239">
            <v>0</v>
          </cell>
          <cell r="AD239">
            <v>0</v>
          </cell>
          <cell r="AE239">
            <v>0</v>
          </cell>
          <cell r="AF239">
            <v>0</v>
          </cell>
          <cell r="AG239" t="str">
            <v>N.M.</v>
          </cell>
          <cell r="AH239">
            <v>0</v>
          </cell>
          <cell r="AI239">
            <v>0</v>
          </cell>
          <cell r="AJ239">
            <v>0</v>
          </cell>
          <cell r="AK239">
            <v>0</v>
          </cell>
          <cell r="AL239" t="str">
            <v>N.M.</v>
          </cell>
          <cell r="AM239">
            <v>0</v>
          </cell>
          <cell r="AN239">
            <v>0</v>
          </cell>
          <cell r="AO239">
            <v>0</v>
          </cell>
          <cell r="AP239">
            <v>0</v>
          </cell>
          <cell r="AQ239" t="str">
            <v>N.M.</v>
          </cell>
          <cell r="AR239">
            <v>0</v>
          </cell>
          <cell r="AS239">
            <v>0</v>
          </cell>
          <cell r="AT239">
            <v>0</v>
          </cell>
          <cell r="AU239">
            <v>0</v>
          </cell>
          <cell r="AV239" t="str">
            <v>N.M.</v>
          </cell>
          <cell r="AW239">
            <v>0</v>
          </cell>
          <cell r="AX239">
            <v>0.85</v>
          </cell>
          <cell r="AY239">
            <v>0.85</v>
          </cell>
          <cell r="AZ239">
            <v>0.9</v>
          </cell>
          <cell r="BA239">
            <v>0.9</v>
          </cell>
          <cell r="BK239">
            <v>0</v>
          </cell>
          <cell r="BL239" t="e">
            <v>#VALUE!</v>
          </cell>
        </row>
        <row r="240">
          <cell r="A240" t="str">
            <v>Cotai Site 5 - Shangri-La/St.Regis/Traders (LVS)</v>
          </cell>
          <cell r="X240">
            <v>0</v>
          </cell>
          <cell r="Y240">
            <v>0</v>
          </cell>
          <cell r="Z240">
            <v>0</v>
          </cell>
          <cell r="AA240">
            <v>0</v>
          </cell>
          <cell r="AB240" t="str">
            <v>N.M.</v>
          </cell>
          <cell r="AC240">
            <v>0</v>
          </cell>
          <cell r="AD240">
            <v>0</v>
          </cell>
          <cell r="AE240">
            <v>0</v>
          </cell>
          <cell r="AF240">
            <v>0</v>
          </cell>
          <cell r="AG240" t="str">
            <v>N.M.</v>
          </cell>
          <cell r="AH240">
            <v>0</v>
          </cell>
          <cell r="AI240">
            <v>0</v>
          </cell>
          <cell r="AJ240">
            <v>0</v>
          </cell>
          <cell r="AK240">
            <v>0</v>
          </cell>
          <cell r="AL240" t="str">
            <v>N.M.</v>
          </cell>
          <cell r="AM240">
            <v>0</v>
          </cell>
          <cell r="AN240">
            <v>0</v>
          </cell>
          <cell r="AO240">
            <v>0</v>
          </cell>
          <cell r="AP240">
            <v>0</v>
          </cell>
          <cell r="AQ240" t="str">
            <v>N.M.</v>
          </cell>
          <cell r="AR240">
            <v>0</v>
          </cell>
          <cell r="AS240">
            <v>0</v>
          </cell>
          <cell r="AT240">
            <v>0</v>
          </cell>
          <cell r="AU240">
            <v>0</v>
          </cell>
          <cell r="AV240" t="str">
            <v>N.M.</v>
          </cell>
          <cell r="AW240">
            <v>0.9</v>
          </cell>
          <cell r="AX240">
            <v>1</v>
          </cell>
          <cell r="AY240">
            <v>1</v>
          </cell>
          <cell r="AZ240">
            <v>1</v>
          </cell>
          <cell r="BA240">
            <v>1</v>
          </cell>
          <cell r="BK240">
            <v>0</v>
          </cell>
          <cell r="BL240" t="e">
            <v>#VALUE!</v>
          </cell>
        </row>
        <row r="241">
          <cell r="A241" t="str">
            <v>Cotai Site 6 - Starwood (LVS)</v>
          </cell>
          <cell r="X241">
            <v>0</v>
          </cell>
          <cell r="Y241">
            <v>0</v>
          </cell>
          <cell r="Z241">
            <v>0</v>
          </cell>
          <cell r="AA241">
            <v>0</v>
          </cell>
          <cell r="AB241" t="str">
            <v>N.M.</v>
          </cell>
          <cell r="AC241">
            <v>0</v>
          </cell>
          <cell r="AD241">
            <v>0</v>
          </cell>
          <cell r="AE241">
            <v>0</v>
          </cell>
          <cell r="AF241">
            <v>0</v>
          </cell>
          <cell r="AG241" t="str">
            <v>N.M.</v>
          </cell>
          <cell r="AH241">
            <v>0</v>
          </cell>
          <cell r="AI241">
            <v>0</v>
          </cell>
          <cell r="AJ241">
            <v>0</v>
          </cell>
          <cell r="AK241">
            <v>0</v>
          </cell>
          <cell r="AL241" t="str">
            <v>N.M.</v>
          </cell>
          <cell r="AM241">
            <v>0</v>
          </cell>
          <cell r="AN241">
            <v>0</v>
          </cell>
          <cell r="AO241">
            <v>0</v>
          </cell>
          <cell r="AP241">
            <v>0</v>
          </cell>
          <cell r="AQ241" t="str">
            <v>N.M.</v>
          </cell>
          <cell r="AR241">
            <v>0</v>
          </cell>
          <cell r="AS241">
            <v>0</v>
          </cell>
          <cell r="AT241">
            <v>0</v>
          </cell>
          <cell r="AU241">
            <v>0</v>
          </cell>
          <cell r="AV241" t="str">
            <v>N.M.</v>
          </cell>
          <cell r="AW241">
            <v>0.9</v>
          </cell>
          <cell r="AX241">
            <v>1</v>
          </cell>
          <cell r="AY241">
            <v>1</v>
          </cell>
          <cell r="AZ241">
            <v>1</v>
          </cell>
          <cell r="BA241">
            <v>1</v>
          </cell>
          <cell r="BK241">
            <v>0</v>
          </cell>
          <cell r="BL241" t="e">
            <v>#VALUE!</v>
          </cell>
        </row>
        <row r="242">
          <cell r="A242" t="str">
            <v>Cotai Site 7 - Hilton (LVS)</v>
          </cell>
          <cell r="X242">
            <v>0</v>
          </cell>
          <cell r="Y242">
            <v>0</v>
          </cell>
          <cell r="Z242">
            <v>0</v>
          </cell>
          <cell r="AA242">
            <v>0</v>
          </cell>
          <cell r="AB242" t="str">
            <v>N.M.</v>
          </cell>
          <cell r="AC242">
            <v>0</v>
          </cell>
          <cell r="AD242">
            <v>0</v>
          </cell>
          <cell r="AE242">
            <v>0</v>
          </cell>
          <cell r="AF242">
            <v>0</v>
          </cell>
          <cell r="AG242" t="str">
            <v>N.M.</v>
          </cell>
          <cell r="AH242">
            <v>0</v>
          </cell>
          <cell r="AI242">
            <v>0</v>
          </cell>
          <cell r="AJ242">
            <v>0</v>
          </cell>
          <cell r="AK242">
            <v>0</v>
          </cell>
          <cell r="AL242" t="str">
            <v>N.M.</v>
          </cell>
          <cell r="AM242">
            <v>0</v>
          </cell>
          <cell r="AN242">
            <v>0</v>
          </cell>
          <cell r="AO242">
            <v>0</v>
          </cell>
          <cell r="AP242">
            <v>0</v>
          </cell>
          <cell r="AQ242" t="str">
            <v>N.M.</v>
          </cell>
          <cell r="AR242">
            <v>0</v>
          </cell>
          <cell r="AS242">
            <v>0</v>
          </cell>
          <cell r="AT242">
            <v>0</v>
          </cell>
          <cell r="AU242">
            <v>0</v>
          </cell>
          <cell r="AV242" t="str">
            <v>N.M.</v>
          </cell>
          <cell r="AW242">
            <v>0</v>
          </cell>
          <cell r="AX242">
            <v>0.9</v>
          </cell>
          <cell r="AY242">
            <v>1</v>
          </cell>
          <cell r="AZ242">
            <v>1</v>
          </cell>
          <cell r="BA242">
            <v>1</v>
          </cell>
          <cell r="BK242">
            <v>0</v>
          </cell>
          <cell r="BL242" t="e">
            <v>#VALUE!</v>
          </cell>
        </row>
        <row r="243">
          <cell r="A243" t="str">
            <v>Cotai Site 8 - FHR/Raffles (LVS)</v>
          </cell>
          <cell r="X243">
            <v>0</v>
          </cell>
          <cell r="Y243">
            <v>0</v>
          </cell>
          <cell r="Z243">
            <v>0</v>
          </cell>
          <cell r="AA243">
            <v>0</v>
          </cell>
          <cell r="AB243" t="str">
            <v>N.M.</v>
          </cell>
          <cell r="AC243">
            <v>0</v>
          </cell>
          <cell r="AD243">
            <v>0</v>
          </cell>
          <cell r="AE243">
            <v>0</v>
          </cell>
          <cell r="AF243">
            <v>0</v>
          </cell>
          <cell r="AG243" t="str">
            <v>N.M.</v>
          </cell>
          <cell r="AH243">
            <v>0</v>
          </cell>
          <cell r="AI243">
            <v>0</v>
          </cell>
          <cell r="AJ243">
            <v>0</v>
          </cell>
          <cell r="AK243">
            <v>0</v>
          </cell>
          <cell r="AL243" t="str">
            <v>N.M.</v>
          </cell>
          <cell r="AM243">
            <v>0</v>
          </cell>
          <cell r="AN243">
            <v>0</v>
          </cell>
          <cell r="AO243">
            <v>0</v>
          </cell>
          <cell r="AP243">
            <v>0</v>
          </cell>
          <cell r="AQ243" t="str">
            <v>N.M.</v>
          </cell>
          <cell r="AR243">
            <v>0</v>
          </cell>
          <cell r="AS243">
            <v>0</v>
          </cell>
          <cell r="AT243">
            <v>0</v>
          </cell>
          <cell r="AU243">
            <v>0</v>
          </cell>
          <cell r="AV243" t="str">
            <v>N.M.</v>
          </cell>
          <cell r="AW243">
            <v>0</v>
          </cell>
          <cell r="AX243">
            <v>0.9</v>
          </cell>
          <cell r="AY243">
            <v>1</v>
          </cell>
          <cell r="AZ243">
            <v>1</v>
          </cell>
          <cell r="BA243">
            <v>1</v>
          </cell>
          <cell r="BK243">
            <v>0</v>
          </cell>
          <cell r="BL243" t="e">
            <v>#VALUE!</v>
          </cell>
        </row>
        <row r="244">
          <cell r="A244" t="str">
            <v>Wynn Macau</v>
          </cell>
          <cell r="X244">
            <v>0</v>
          </cell>
          <cell r="Y244">
            <v>0</v>
          </cell>
          <cell r="Z244">
            <v>0</v>
          </cell>
          <cell r="AA244">
            <v>0</v>
          </cell>
          <cell r="AB244" t="str">
            <v>N.M.</v>
          </cell>
          <cell r="AC244">
            <v>0</v>
          </cell>
          <cell r="AD244">
            <v>0</v>
          </cell>
          <cell r="AE244">
            <v>0</v>
          </cell>
          <cell r="AF244">
            <v>0</v>
          </cell>
          <cell r="AG244" t="str">
            <v>N.M.</v>
          </cell>
          <cell r="AH244">
            <v>0</v>
          </cell>
          <cell r="AI244">
            <v>0</v>
          </cell>
          <cell r="AJ244">
            <v>0</v>
          </cell>
          <cell r="AK244">
            <v>0</v>
          </cell>
          <cell r="AL244" t="str">
            <v>N.M.</v>
          </cell>
          <cell r="AM244">
            <v>0</v>
          </cell>
          <cell r="AN244">
            <v>0</v>
          </cell>
          <cell r="AO244">
            <v>1.5085970108002904</v>
          </cell>
          <cell r="AP244">
            <v>1.7803911695704138</v>
          </cell>
          <cell r="AQ244">
            <v>1.5032113619893295</v>
          </cell>
          <cell r="AR244">
            <v>2.2000000000000002</v>
          </cell>
          <cell r="AS244">
            <v>1.8</v>
          </cell>
          <cell r="AT244">
            <v>1.8</v>
          </cell>
          <cell r="AU244">
            <v>1.75</v>
          </cell>
          <cell r="AV244">
            <v>1.8491700905658222</v>
          </cell>
          <cell r="AW244">
            <v>1.9</v>
          </cell>
          <cell r="AX244">
            <v>2.12</v>
          </cell>
          <cell r="AY244">
            <v>2.14</v>
          </cell>
          <cell r="AZ244">
            <v>2.2000000000000002</v>
          </cell>
          <cell r="BA244">
            <v>2.2000000000000002</v>
          </cell>
          <cell r="BK244">
            <v>1.75</v>
          </cell>
          <cell r="BL244">
            <v>9.9170090565822155E-2</v>
          </cell>
        </row>
        <row r="245">
          <cell r="A245" t="str">
            <v>Wynn Cotai</v>
          </cell>
          <cell r="X245">
            <v>0</v>
          </cell>
          <cell r="Y245">
            <v>0</v>
          </cell>
          <cell r="Z245">
            <v>0</v>
          </cell>
          <cell r="AA245">
            <v>0</v>
          </cell>
          <cell r="AB245" t="str">
            <v>N.M.</v>
          </cell>
          <cell r="AC245">
            <v>0</v>
          </cell>
          <cell r="AD245">
            <v>0</v>
          </cell>
          <cell r="AE245">
            <v>0</v>
          </cell>
          <cell r="AF245">
            <v>0</v>
          </cell>
          <cell r="AG245" t="str">
            <v>N.M.</v>
          </cell>
          <cell r="AH245">
            <v>0</v>
          </cell>
          <cell r="AI245">
            <v>0</v>
          </cell>
          <cell r="AJ245">
            <v>0</v>
          </cell>
          <cell r="AK245">
            <v>0</v>
          </cell>
          <cell r="AL245" t="str">
            <v>N.M.</v>
          </cell>
          <cell r="AM245">
            <v>0</v>
          </cell>
          <cell r="AN245">
            <v>0</v>
          </cell>
          <cell r="AO245">
            <v>0</v>
          </cell>
          <cell r="AP245">
            <v>0</v>
          </cell>
          <cell r="AQ245" t="str">
            <v>N.M.</v>
          </cell>
          <cell r="AR245">
            <v>0</v>
          </cell>
          <cell r="AS245">
            <v>0</v>
          </cell>
          <cell r="AT245">
            <v>0</v>
          </cell>
          <cell r="AU245">
            <v>0</v>
          </cell>
          <cell r="AV245" t="str">
            <v>N.M.</v>
          </cell>
          <cell r="AW245">
            <v>0</v>
          </cell>
          <cell r="AX245">
            <v>0</v>
          </cell>
          <cell r="AY245">
            <v>1</v>
          </cell>
          <cell r="AZ245">
            <v>1.05</v>
          </cell>
          <cell r="BA245">
            <v>1.05</v>
          </cell>
          <cell r="BK245">
            <v>0</v>
          </cell>
          <cell r="BL245" t="e">
            <v>#VALUE!</v>
          </cell>
        </row>
        <row r="246">
          <cell r="A246" t="str">
            <v>Wynn Cotai #2</v>
          </cell>
          <cell r="X246">
            <v>0</v>
          </cell>
          <cell r="Y246">
            <v>0</v>
          </cell>
          <cell r="Z246">
            <v>0</v>
          </cell>
          <cell r="AA246">
            <v>0</v>
          </cell>
          <cell r="AB246" t="str">
            <v>N.M.</v>
          </cell>
          <cell r="AC246">
            <v>0</v>
          </cell>
          <cell r="AD246">
            <v>0</v>
          </cell>
          <cell r="AE246">
            <v>0</v>
          </cell>
          <cell r="AF246">
            <v>0</v>
          </cell>
          <cell r="AG246" t="str">
            <v>N.M.</v>
          </cell>
          <cell r="AH246">
            <v>0</v>
          </cell>
          <cell r="AI246">
            <v>0</v>
          </cell>
          <cell r="AJ246">
            <v>0</v>
          </cell>
          <cell r="AK246">
            <v>0</v>
          </cell>
          <cell r="AL246" t="str">
            <v>N.M.</v>
          </cell>
          <cell r="AM246">
            <v>0</v>
          </cell>
          <cell r="AN246">
            <v>0</v>
          </cell>
          <cell r="AO246">
            <v>0</v>
          </cell>
          <cell r="AP246">
            <v>0</v>
          </cell>
          <cell r="AQ246" t="str">
            <v>N.M.</v>
          </cell>
          <cell r="AR246">
            <v>0</v>
          </cell>
          <cell r="AS246">
            <v>0</v>
          </cell>
          <cell r="AT246">
            <v>0</v>
          </cell>
          <cell r="AU246">
            <v>0</v>
          </cell>
          <cell r="AV246" t="str">
            <v>N.M.</v>
          </cell>
          <cell r="AW246">
            <v>0</v>
          </cell>
          <cell r="AX246">
            <v>0</v>
          </cell>
          <cell r="AY246">
            <v>1</v>
          </cell>
          <cell r="AZ246">
            <v>1.05</v>
          </cell>
          <cell r="BA246">
            <v>1.05</v>
          </cell>
        </row>
        <row r="247">
          <cell r="A247" t="str">
            <v>MGM Grand</v>
          </cell>
          <cell r="X247">
            <v>0</v>
          </cell>
          <cell r="Y247">
            <v>0</v>
          </cell>
          <cell r="Z247">
            <v>0</v>
          </cell>
          <cell r="AA247">
            <v>0</v>
          </cell>
          <cell r="AB247" t="str">
            <v>N.M.</v>
          </cell>
          <cell r="AC247">
            <v>0</v>
          </cell>
          <cell r="AD247">
            <v>0</v>
          </cell>
          <cell r="AE247">
            <v>0</v>
          </cell>
          <cell r="AF247">
            <v>0</v>
          </cell>
          <cell r="AG247" t="str">
            <v>N.M.</v>
          </cell>
          <cell r="AH247">
            <v>0</v>
          </cell>
          <cell r="AI247">
            <v>0</v>
          </cell>
          <cell r="AJ247">
            <v>0</v>
          </cell>
          <cell r="AK247">
            <v>0</v>
          </cell>
          <cell r="AL247" t="str">
            <v>N.M.</v>
          </cell>
          <cell r="AM247">
            <v>0</v>
          </cell>
          <cell r="AN247">
            <v>0</v>
          </cell>
          <cell r="AO247">
            <v>0</v>
          </cell>
          <cell r="AP247">
            <v>0</v>
          </cell>
          <cell r="AQ247" t="str">
            <v>N.M.</v>
          </cell>
          <cell r="AR247">
            <v>0</v>
          </cell>
          <cell r="AS247">
            <v>0</v>
          </cell>
          <cell r="AT247">
            <v>0</v>
          </cell>
          <cell r="AU247">
            <v>1.2</v>
          </cell>
          <cell r="AV247">
            <v>1.0768169205587728</v>
          </cell>
          <cell r="AW247">
            <v>1.8</v>
          </cell>
          <cell r="AX247">
            <v>2</v>
          </cell>
          <cell r="AY247">
            <v>2</v>
          </cell>
          <cell r="AZ247">
            <v>2</v>
          </cell>
          <cell r="BA247">
            <v>2</v>
          </cell>
          <cell r="BK247">
            <v>1.55</v>
          </cell>
          <cell r="BL247">
            <v>-0.47318307944122728</v>
          </cell>
        </row>
        <row r="248">
          <cell r="A248" t="str">
            <v>MGM Cotai #1</v>
          </cell>
          <cell r="X248">
            <v>0</v>
          </cell>
          <cell r="Y248">
            <v>0</v>
          </cell>
          <cell r="Z248">
            <v>0</v>
          </cell>
          <cell r="AA248">
            <v>0</v>
          </cell>
          <cell r="AB248" t="str">
            <v>N.M.</v>
          </cell>
          <cell r="AC248">
            <v>0</v>
          </cell>
          <cell r="AD248">
            <v>0</v>
          </cell>
          <cell r="AE248">
            <v>0</v>
          </cell>
          <cell r="AF248">
            <v>0</v>
          </cell>
          <cell r="AG248" t="str">
            <v>N.M.</v>
          </cell>
          <cell r="AH248">
            <v>0</v>
          </cell>
          <cell r="AI248">
            <v>0</v>
          </cell>
          <cell r="AJ248">
            <v>0</v>
          </cell>
          <cell r="AK248">
            <v>0</v>
          </cell>
          <cell r="AL248" t="str">
            <v>N.M.</v>
          </cell>
          <cell r="AM248">
            <v>0</v>
          </cell>
          <cell r="AN248">
            <v>0</v>
          </cell>
          <cell r="AO248">
            <v>0</v>
          </cell>
          <cell r="AP248">
            <v>0</v>
          </cell>
          <cell r="AQ248" t="str">
            <v>N.M.</v>
          </cell>
          <cell r="AR248">
            <v>0</v>
          </cell>
          <cell r="AS248">
            <v>0</v>
          </cell>
          <cell r="AT248">
            <v>0</v>
          </cell>
          <cell r="AU248">
            <v>0</v>
          </cell>
          <cell r="AV248" t="str">
            <v>N.M.</v>
          </cell>
          <cell r="AW248">
            <v>0</v>
          </cell>
          <cell r="AX248">
            <v>0</v>
          </cell>
          <cell r="AY248">
            <v>0</v>
          </cell>
          <cell r="AZ248">
            <v>1.05</v>
          </cell>
          <cell r="BA248">
            <v>1.05</v>
          </cell>
        </row>
        <row r="249">
          <cell r="A249" t="str">
            <v>Crown Macau - PBL/Melco</v>
          </cell>
          <cell r="X249">
            <v>0</v>
          </cell>
          <cell r="Y249">
            <v>0</v>
          </cell>
          <cell r="Z249">
            <v>0</v>
          </cell>
          <cell r="AA249">
            <v>0</v>
          </cell>
          <cell r="AB249" t="str">
            <v>N.M.</v>
          </cell>
          <cell r="AC249">
            <v>0</v>
          </cell>
          <cell r="AD249">
            <v>0</v>
          </cell>
          <cell r="AE249">
            <v>0</v>
          </cell>
          <cell r="AF249">
            <v>0</v>
          </cell>
          <cell r="AG249" t="str">
            <v>N.M.</v>
          </cell>
          <cell r="AH249">
            <v>0</v>
          </cell>
          <cell r="AI249">
            <v>0</v>
          </cell>
          <cell r="AJ249">
            <v>0</v>
          </cell>
          <cell r="AK249">
            <v>0</v>
          </cell>
          <cell r="AL249" t="str">
            <v>N.M.</v>
          </cell>
          <cell r="AM249">
            <v>0</v>
          </cell>
          <cell r="AN249">
            <v>0</v>
          </cell>
          <cell r="AO249">
            <v>0</v>
          </cell>
          <cell r="AP249">
            <v>0</v>
          </cell>
          <cell r="AQ249" t="str">
            <v>N.M.</v>
          </cell>
          <cell r="AR249">
            <v>0</v>
          </cell>
          <cell r="AS249">
            <v>0.5</v>
          </cell>
          <cell r="AT249">
            <v>0.5</v>
          </cell>
          <cell r="AU249">
            <v>0.5</v>
          </cell>
          <cell r="AV249">
            <v>0.46360935953232263</v>
          </cell>
          <cell r="AW249">
            <v>0.5</v>
          </cell>
          <cell r="AX249">
            <v>0.55000000000000004</v>
          </cell>
          <cell r="AY249">
            <v>0.55000000000000004</v>
          </cell>
          <cell r="AZ249">
            <v>0.6</v>
          </cell>
          <cell r="BA249">
            <v>0.6</v>
          </cell>
          <cell r="BK249">
            <v>0.75</v>
          </cell>
          <cell r="BL249">
            <v>-0.28639064046767737</v>
          </cell>
        </row>
        <row r="250">
          <cell r="A250" t="str">
            <v>Penninsula Project - PBL/Melco ("Trinity")</v>
          </cell>
          <cell r="X250">
            <v>0</v>
          </cell>
          <cell r="Y250">
            <v>0</v>
          </cell>
          <cell r="Z250">
            <v>0</v>
          </cell>
          <cell r="AA250">
            <v>0</v>
          </cell>
          <cell r="AB250" t="str">
            <v>N.M.</v>
          </cell>
          <cell r="AC250">
            <v>0</v>
          </cell>
          <cell r="AD250">
            <v>0</v>
          </cell>
          <cell r="AE250">
            <v>0</v>
          </cell>
          <cell r="AF250">
            <v>0</v>
          </cell>
          <cell r="AG250" t="str">
            <v>N.M.</v>
          </cell>
          <cell r="AH250">
            <v>0</v>
          </cell>
          <cell r="AI250">
            <v>0</v>
          </cell>
          <cell r="AJ250">
            <v>0</v>
          </cell>
          <cell r="AK250">
            <v>0</v>
          </cell>
          <cell r="AL250" t="str">
            <v>N.M.</v>
          </cell>
          <cell r="AM250">
            <v>0</v>
          </cell>
          <cell r="AN250">
            <v>0</v>
          </cell>
          <cell r="AO250">
            <v>0</v>
          </cell>
          <cell r="AP250">
            <v>0</v>
          </cell>
          <cell r="AQ250" t="str">
            <v>N.M.</v>
          </cell>
          <cell r="AR250">
            <v>0</v>
          </cell>
          <cell r="AS250">
            <v>0</v>
          </cell>
          <cell r="AT250">
            <v>0</v>
          </cell>
          <cell r="AU250">
            <v>0</v>
          </cell>
          <cell r="AV250" t="str">
            <v>N.M.</v>
          </cell>
          <cell r="AW250">
            <v>0</v>
          </cell>
          <cell r="AX250">
            <v>1.5</v>
          </cell>
          <cell r="AY250">
            <v>1.5</v>
          </cell>
          <cell r="AZ250">
            <v>1.5</v>
          </cell>
          <cell r="BA250">
            <v>1.5</v>
          </cell>
          <cell r="BK250">
            <v>0</v>
          </cell>
          <cell r="BL250" t="e">
            <v>#VALUE!</v>
          </cell>
        </row>
        <row r="251">
          <cell r="A251" t="str">
            <v>City of Dreams - PBL/Melco</v>
          </cell>
          <cell r="X251">
            <v>0</v>
          </cell>
          <cell r="Y251">
            <v>0</v>
          </cell>
          <cell r="Z251">
            <v>0</v>
          </cell>
          <cell r="AA251">
            <v>0</v>
          </cell>
          <cell r="AB251" t="str">
            <v>N.M.</v>
          </cell>
          <cell r="AC251">
            <v>0</v>
          </cell>
          <cell r="AD251">
            <v>0</v>
          </cell>
          <cell r="AE251">
            <v>0</v>
          </cell>
          <cell r="AF251">
            <v>0</v>
          </cell>
          <cell r="AG251" t="str">
            <v>N.M.</v>
          </cell>
          <cell r="AH251">
            <v>0</v>
          </cell>
          <cell r="AI251">
            <v>0</v>
          </cell>
          <cell r="AJ251">
            <v>0</v>
          </cell>
          <cell r="AK251">
            <v>0</v>
          </cell>
          <cell r="AL251" t="str">
            <v>N.M.</v>
          </cell>
          <cell r="AM251">
            <v>0</v>
          </cell>
          <cell r="AN251">
            <v>0</v>
          </cell>
          <cell r="AO251">
            <v>0</v>
          </cell>
          <cell r="AP251">
            <v>0</v>
          </cell>
          <cell r="AQ251" t="str">
            <v>N.M.</v>
          </cell>
          <cell r="AR251">
            <v>0</v>
          </cell>
          <cell r="AS251">
            <v>0</v>
          </cell>
          <cell r="AT251">
            <v>0</v>
          </cell>
          <cell r="AU251">
            <v>0</v>
          </cell>
          <cell r="AV251" t="str">
            <v>N.M.</v>
          </cell>
          <cell r="AW251">
            <v>0</v>
          </cell>
          <cell r="AX251">
            <v>1</v>
          </cell>
          <cell r="AY251">
            <v>1</v>
          </cell>
          <cell r="AZ251">
            <v>1</v>
          </cell>
          <cell r="BA251">
            <v>1</v>
          </cell>
          <cell r="BK251">
            <v>0</v>
          </cell>
          <cell r="BL251" t="e">
            <v>#VALUE!</v>
          </cell>
        </row>
        <row r="252">
          <cell r="A252" t="str">
            <v>Galaxy Cotai Mega Resort</v>
          </cell>
          <cell r="X252">
            <v>0</v>
          </cell>
          <cell r="Y252">
            <v>0</v>
          </cell>
          <cell r="Z252">
            <v>0</v>
          </cell>
          <cell r="AA252">
            <v>0</v>
          </cell>
          <cell r="AB252" t="str">
            <v>N.M.</v>
          </cell>
          <cell r="AC252">
            <v>0</v>
          </cell>
          <cell r="AD252">
            <v>0</v>
          </cell>
          <cell r="AE252">
            <v>0</v>
          </cell>
          <cell r="AF252">
            <v>0</v>
          </cell>
          <cell r="AG252" t="str">
            <v>N.M.</v>
          </cell>
          <cell r="AH252">
            <v>0</v>
          </cell>
          <cell r="AI252">
            <v>0</v>
          </cell>
          <cell r="AJ252">
            <v>0</v>
          </cell>
          <cell r="AK252">
            <v>0</v>
          </cell>
          <cell r="AL252" t="str">
            <v>N.M.</v>
          </cell>
          <cell r="AM252">
            <v>0</v>
          </cell>
          <cell r="AN252">
            <v>0</v>
          </cell>
          <cell r="AO252">
            <v>0</v>
          </cell>
          <cell r="AP252">
            <v>0</v>
          </cell>
          <cell r="AQ252" t="str">
            <v>N.M.</v>
          </cell>
          <cell r="AR252">
            <v>0</v>
          </cell>
          <cell r="AS252">
            <v>0</v>
          </cell>
          <cell r="AT252">
            <v>0</v>
          </cell>
          <cell r="AU252">
            <v>0</v>
          </cell>
          <cell r="AV252" t="str">
            <v>N.M.</v>
          </cell>
          <cell r="AW252">
            <v>0.85</v>
          </cell>
          <cell r="AX252">
            <v>0.85</v>
          </cell>
          <cell r="AY252">
            <v>0.85</v>
          </cell>
          <cell r="AZ252">
            <v>0.85</v>
          </cell>
          <cell r="BA252">
            <v>0.85</v>
          </cell>
          <cell r="BK252">
            <v>0.75</v>
          </cell>
          <cell r="BL252" t="e">
            <v>#VALUE!</v>
          </cell>
        </row>
        <row r="253">
          <cell r="A253" t="str">
            <v>Galaxy StarWorld</v>
          </cell>
          <cell r="X253">
            <v>0</v>
          </cell>
          <cell r="Y253">
            <v>0</v>
          </cell>
          <cell r="Z253">
            <v>0</v>
          </cell>
          <cell r="AA253">
            <v>0</v>
          </cell>
          <cell r="AB253" t="str">
            <v>N.M.</v>
          </cell>
          <cell r="AC253">
            <v>0</v>
          </cell>
          <cell r="AD253">
            <v>0</v>
          </cell>
          <cell r="AE253">
            <v>0</v>
          </cell>
          <cell r="AF253">
            <v>0</v>
          </cell>
          <cell r="AG253" t="str">
            <v>N.M.</v>
          </cell>
          <cell r="AH253">
            <v>0</v>
          </cell>
          <cell r="AI253">
            <v>0</v>
          </cell>
          <cell r="AJ253">
            <v>0</v>
          </cell>
          <cell r="AK253">
            <v>0</v>
          </cell>
          <cell r="AL253" t="str">
            <v>N.M.</v>
          </cell>
          <cell r="AM253">
            <v>0</v>
          </cell>
          <cell r="AN253">
            <v>0</v>
          </cell>
          <cell r="AO253">
            <v>0</v>
          </cell>
          <cell r="AP253">
            <v>1.1000000000000001</v>
          </cell>
          <cell r="AQ253">
            <v>0.94088975663695162</v>
          </cell>
          <cell r="AR253">
            <v>1.1000000000000001</v>
          </cell>
          <cell r="AS253">
            <v>1.1000000000000001</v>
          </cell>
          <cell r="AT253">
            <v>1.1499999999999999</v>
          </cell>
          <cell r="AU253">
            <v>1.1499999999999999</v>
          </cell>
          <cell r="AV253">
            <v>1.1569694570031994</v>
          </cell>
          <cell r="AW253">
            <v>1.4</v>
          </cell>
          <cell r="AX253">
            <v>1.5</v>
          </cell>
          <cell r="AY253">
            <v>1.5</v>
          </cell>
          <cell r="AZ253">
            <v>1.5</v>
          </cell>
          <cell r="BA253">
            <v>1.5</v>
          </cell>
          <cell r="BK253">
            <v>1.1499999999999999</v>
          </cell>
          <cell r="BL253">
            <v>6.9694570031995084E-3</v>
          </cell>
        </row>
        <row r="254">
          <cell r="A254" t="str">
            <v>Galaxy City Clubs</v>
          </cell>
          <cell r="X254">
            <v>0</v>
          </cell>
          <cell r="Y254">
            <v>0</v>
          </cell>
          <cell r="Z254">
            <v>0</v>
          </cell>
          <cell r="AA254">
            <v>0</v>
          </cell>
          <cell r="AB254" t="str">
            <v>N.M.</v>
          </cell>
          <cell r="AC254">
            <v>0</v>
          </cell>
          <cell r="AD254">
            <v>0</v>
          </cell>
          <cell r="AE254">
            <v>0</v>
          </cell>
          <cell r="AF254">
            <v>0</v>
          </cell>
          <cell r="AG254" t="str">
            <v>N.M.</v>
          </cell>
          <cell r="AH254">
            <v>0</v>
          </cell>
          <cell r="AI254">
            <v>0</v>
          </cell>
          <cell r="AJ254">
            <v>0</v>
          </cell>
          <cell r="AK254">
            <v>0</v>
          </cell>
          <cell r="AL254" t="str">
            <v>N.M.</v>
          </cell>
          <cell r="AM254">
            <v>0.57491558020767908</v>
          </cell>
          <cell r="AN254">
            <v>0.66857634651014053</v>
          </cell>
          <cell r="AO254">
            <v>0.55000000000000004</v>
          </cell>
          <cell r="AP254">
            <v>0.6</v>
          </cell>
          <cell r="AQ254">
            <v>0.58052837261357459</v>
          </cell>
          <cell r="AR254">
            <v>0.55000000000000004</v>
          </cell>
          <cell r="AS254">
            <v>0.55000000000000004</v>
          </cell>
          <cell r="AT254">
            <v>0.5</v>
          </cell>
          <cell r="AU254">
            <v>0.5</v>
          </cell>
          <cell r="AV254">
            <v>0.54473962502349715</v>
          </cell>
          <cell r="AW254">
            <v>0.5</v>
          </cell>
          <cell r="AX254">
            <v>0.5</v>
          </cell>
          <cell r="AY254">
            <v>0.5</v>
          </cell>
          <cell r="AZ254">
            <v>0.5</v>
          </cell>
          <cell r="BA254">
            <v>0.5</v>
          </cell>
          <cell r="BK254">
            <v>0.55000000000000004</v>
          </cell>
          <cell r="BL254">
            <v>-5.2603749765028907E-3</v>
          </cell>
        </row>
        <row r="255">
          <cell r="A255" t="str">
            <v>Macau Studio City</v>
          </cell>
          <cell r="X255">
            <v>0</v>
          </cell>
          <cell r="Y255">
            <v>0</v>
          </cell>
          <cell r="Z255">
            <v>0</v>
          </cell>
          <cell r="AA255">
            <v>0</v>
          </cell>
          <cell r="AB255" t="str">
            <v>N.M.</v>
          </cell>
          <cell r="AC255">
            <v>0</v>
          </cell>
          <cell r="AD255">
            <v>0</v>
          </cell>
          <cell r="AE255">
            <v>0</v>
          </cell>
          <cell r="AF255">
            <v>0</v>
          </cell>
          <cell r="AG255" t="str">
            <v>N.M.</v>
          </cell>
          <cell r="AH255">
            <v>0</v>
          </cell>
          <cell r="AI255">
            <v>0</v>
          </cell>
          <cell r="AJ255">
            <v>0</v>
          </cell>
          <cell r="AK255">
            <v>0</v>
          </cell>
          <cell r="AL255" t="str">
            <v>N.M.</v>
          </cell>
          <cell r="AM255">
            <v>0</v>
          </cell>
          <cell r="AN255">
            <v>0</v>
          </cell>
          <cell r="AO255">
            <v>0</v>
          </cell>
          <cell r="AP255">
            <v>0</v>
          </cell>
          <cell r="AQ255" t="str">
            <v>N.M.</v>
          </cell>
          <cell r="AR255">
            <v>0</v>
          </cell>
          <cell r="AS255">
            <v>0</v>
          </cell>
          <cell r="AT255">
            <v>0</v>
          </cell>
          <cell r="AU255">
            <v>0</v>
          </cell>
          <cell r="AV255" t="str">
            <v>N.M.</v>
          </cell>
          <cell r="AW255">
            <v>0</v>
          </cell>
          <cell r="AX255">
            <v>1.05</v>
          </cell>
          <cell r="AY255">
            <v>1.05</v>
          </cell>
          <cell r="AZ255">
            <v>1.05</v>
          </cell>
          <cell r="BA255">
            <v>1.05</v>
          </cell>
          <cell r="BK255">
            <v>0</v>
          </cell>
          <cell r="BL255" t="e">
            <v>#VALUE!</v>
          </cell>
        </row>
        <row r="256">
          <cell r="A256" t="str">
            <v>New SJM</v>
          </cell>
          <cell r="X256">
            <v>0</v>
          </cell>
          <cell r="Y256">
            <v>0</v>
          </cell>
          <cell r="Z256">
            <v>0</v>
          </cell>
          <cell r="AA256">
            <v>0</v>
          </cell>
          <cell r="AB256" t="str">
            <v>N.M.</v>
          </cell>
          <cell r="AC256">
            <v>0</v>
          </cell>
          <cell r="AD256">
            <v>0</v>
          </cell>
          <cell r="AE256">
            <v>0</v>
          </cell>
          <cell r="AF256">
            <v>0</v>
          </cell>
          <cell r="AG256" t="str">
            <v>N.M.</v>
          </cell>
          <cell r="AH256">
            <v>0</v>
          </cell>
          <cell r="AI256">
            <v>0</v>
          </cell>
          <cell r="AJ256">
            <v>0</v>
          </cell>
          <cell r="AK256">
            <v>0</v>
          </cell>
          <cell r="AL256" t="str">
            <v>N.M.</v>
          </cell>
          <cell r="AM256">
            <v>0</v>
          </cell>
          <cell r="AN256">
            <v>0</v>
          </cell>
          <cell r="AO256">
            <v>0</v>
          </cell>
          <cell r="AP256">
            <v>1.1000000000000001</v>
          </cell>
          <cell r="AQ256">
            <v>0.94088975663695151</v>
          </cell>
          <cell r="AR256">
            <v>1</v>
          </cell>
          <cell r="AS256">
            <v>0.75</v>
          </cell>
          <cell r="AT256">
            <v>0.75</v>
          </cell>
          <cell r="AU256">
            <v>0.95</v>
          </cell>
          <cell r="AV256">
            <v>0.8394303830947113</v>
          </cell>
          <cell r="AW256">
            <v>0.9</v>
          </cell>
          <cell r="AX256">
            <v>0.9</v>
          </cell>
          <cell r="AY256">
            <v>0.9</v>
          </cell>
          <cell r="AZ256">
            <v>0.9</v>
          </cell>
          <cell r="BA256">
            <v>0.95</v>
          </cell>
          <cell r="BK256">
            <v>0.95</v>
          </cell>
          <cell r="BL256">
            <v>-0.11056961690528866</v>
          </cell>
        </row>
        <row r="257">
          <cell r="A257" t="str">
            <v>Old SJM</v>
          </cell>
          <cell r="X257">
            <v>0</v>
          </cell>
          <cell r="Y257">
            <v>0</v>
          </cell>
          <cell r="Z257">
            <v>0</v>
          </cell>
          <cell r="AA257">
            <v>0</v>
          </cell>
          <cell r="AB257" t="str">
            <v>N.M.</v>
          </cell>
          <cell r="AC257">
            <v>0</v>
          </cell>
          <cell r="AD257">
            <v>0</v>
          </cell>
          <cell r="AE257">
            <v>0</v>
          </cell>
          <cell r="AF257">
            <v>0</v>
          </cell>
          <cell r="AG257" t="str">
            <v>N.M.</v>
          </cell>
          <cell r="AH257">
            <v>0</v>
          </cell>
          <cell r="AI257">
            <v>0</v>
          </cell>
          <cell r="AJ257">
            <v>0</v>
          </cell>
          <cell r="AK257">
            <v>0</v>
          </cell>
          <cell r="AL257" t="str">
            <v>N.M.</v>
          </cell>
          <cell r="AM257">
            <v>0.92550160041463581</v>
          </cell>
          <cell r="AN257">
            <v>0.90293257621499312</v>
          </cell>
          <cell r="AO257">
            <v>0.98118890118406865</v>
          </cell>
          <cell r="AP257">
            <v>0.96625854343459661</v>
          </cell>
          <cell r="AQ257">
            <v>0.96347501509491673</v>
          </cell>
          <cell r="AR257">
            <v>0.81740541993076521</v>
          </cell>
          <cell r="AS257">
            <v>0.93692859271367102</v>
          </cell>
          <cell r="AT257">
            <v>0.96976371491309177</v>
          </cell>
          <cell r="AU257">
            <v>0.89261230175899886</v>
          </cell>
          <cell r="AV257">
            <v>0.92382837350893987</v>
          </cell>
          <cell r="AW257">
            <v>0.43950267881362903</v>
          </cell>
          <cell r="AX257">
            <v>0.27521889636202584</v>
          </cell>
          <cell r="AY257">
            <v>0.2411129758307253</v>
          </cell>
          <cell r="AZ257">
            <v>0.29025571235026953</v>
          </cell>
          <cell r="BA257">
            <v>0.22785176628572573</v>
          </cell>
          <cell r="BK257">
            <v>0.8886022228998155</v>
          </cell>
          <cell r="BL257">
            <v>3.5226150609124374E-2</v>
          </cell>
        </row>
        <row r="258">
          <cell r="A258" t="str">
            <v>Other Mass Market</v>
          </cell>
          <cell r="X258">
            <v>1</v>
          </cell>
          <cell r="Y258">
            <v>1</v>
          </cell>
          <cell r="Z258">
            <v>1</v>
          </cell>
          <cell r="AA258">
            <v>1</v>
          </cell>
          <cell r="AB258">
            <v>1</v>
          </cell>
          <cell r="AC258">
            <v>1</v>
          </cell>
          <cell r="AD258">
            <v>1.1341975378346341</v>
          </cell>
          <cell r="AE258">
            <v>1.172702200893613</v>
          </cell>
          <cell r="AF258">
            <v>0.91152300447488022</v>
          </cell>
          <cell r="AG258">
            <v>1.0830071562426964</v>
          </cell>
          <cell r="AH258">
            <v>0.95119910866555779</v>
          </cell>
          <cell r="AI258">
            <v>0.95707964180435601</v>
          </cell>
          <cell r="AJ258">
            <v>0.95631633320714948</v>
          </cell>
          <cell r="AK258">
            <v>0.95561747383260465</v>
          </cell>
          <cell r="AL258">
            <v>0.95549877503650993</v>
          </cell>
          <cell r="BL258">
            <v>0</v>
          </cell>
        </row>
        <row r="259">
          <cell r="BL259">
            <v>0</v>
          </cell>
        </row>
        <row r="260">
          <cell r="A260" t="str">
            <v>Mass Market Casino Revenue Growth</v>
          </cell>
          <cell r="BL260">
            <v>0</v>
          </cell>
        </row>
        <row r="261">
          <cell r="A261" t="str">
            <v>Sands Macao</v>
          </cell>
          <cell r="D261" t="str">
            <v>N.M.</v>
          </cell>
          <cell r="E261" t="str">
            <v>N.M.</v>
          </cell>
          <cell r="F261" t="str">
            <v>N.M.</v>
          </cell>
          <cell r="G261" t="str">
            <v>N.M.</v>
          </cell>
          <cell r="H261" t="str">
            <v>N.M.</v>
          </cell>
          <cell r="I261" t="str">
            <v>N.M.</v>
          </cell>
          <cell r="J261" t="str">
            <v>N.M.</v>
          </cell>
          <cell r="K261" t="str">
            <v>N.M.</v>
          </cell>
          <cell r="L261" t="str">
            <v>N.M.</v>
          </cell>
          <cell r="M261" t="str">
            <v>N.M.</v>
          </cell>
          <cell r="N261" t="str">
            <v>N.M.</v>
          </cell>
          <cell r="O261" t="str">
            <v>N.M.</v>
          </cell>
          <cell r="P261" t="str">
            <v>N.M.</v>
          </cell>
          <cell r="Q261" t="str">
            <v>N.M.</v>
          </cell>
          <cell r="R261" t="str">
            <v>N.M.</v>
          </cell>
          <cell r="S261" t="str">
            <v>N.M.</v>
          </cell>
          <cell r="T261" t="str">
            <v>N.M.</v>
          </cell>
          <cell r="U261" t="str">
            <v>N.M.</v>
          </cell>
          <cell r="V261" t="str">
            <v>N.M.</v>
          </cell>
          <cell r="W261" t="str">
            <v>N.M.</v>
          </cell>
          <cell r="X261" t="str">
            <v>N.M.</v>
          </cell>
          <cell r="Y261" t="str">
            <v>N.M.</v>
          </cell>
          <cell r="Z261" t="str">
            <v>N.M.</v>
          </cell>
          <cell r="AA261" t="str">
            <v>N.M.</v>
          </cell>
          <cell r="AB261" t="str">
            <v>N.M.</v>
          </cell>
          <cell r="AC261" t="str">
            <v>N.M.</v>
          </cell>
          <cell r="AD261" t="str">
            <v>N.M.</v>
          </cell>
          <cell r="AE261" t="str">
            <v>N.M.</v>
          </cell>
          <cell r="AF261" t="str">
            <v>N.M.</v>
          </cell>
          <cell r="AG261" t="str">
            <v>N.M.</v>
          </cell>
          <cell r="AH261" t="str">
            <v>N.M.</v>
          </cell>
          <cell r="AI261">
            <v>1.9288189930555562</v>
          </cell>
          <cell r="AJ261">
            <v>0.16201882418760705</v>
          </cell>
          <cell r="AK261">
            <v>0.28885456257296283</v>
          </cell>
          <cell r="AL261">
            <v>0.90557358060345949</v>
          </cell>
          <cell r="AM261">
            <v>0.35743207153378109</v>
          </cell>
          <cell r="AN261">
            <v>0.26589773511168402</v>
          </cell>
          <cell r="AO261">
            <v>0.14327077871911054</v>
          </cell>
          <cell r="AP261">
            <v>2.7229550647894341E-2</v>
          </cell>
          <cell r="AQ261">
            <v>0.18623512248067087</v>
          </cell>
          <cell r="AR261">
            <v>5.8825882040764554E-2</v>
          </cell>
          <cell r="AS261">
            <v>-0.11459617424241197</v>
          </cell>
          <cell r="AT261">
            <v>-0.23273302965998288</v>
          </cell>
          <cell r="AU261">
            <v>-0.33041781280620242</v>
          </cell>
          <cell r="AV261">
            <v>-0.1535915058141234</v>
          </cell>
          <cell r="AW261">
            <v>-9.6478808532325155E-2</v>
          </cell>
          <cell r="AX261">
            <v>-0.13486608281863344</v>
          </cell>
          <cell r="AY261">
            <v>-7.0602532032567611E-3</v>
          </cell>
          <cell r="AZ261">
            <v>-6.2096928775425608E-2</v>
          </cell>
          <cell r="BA261">
            <v>0.12391149511417221</v>
          </cell>
          <cell r="BK261">
            <v>-8.2019875567194367E-2</v>
          </cell>
          <cell r="BL261">
            <v>-7.157163024692903E-2</v>
          </cell>
        </row>
        <row r="262">
          <cell r="A262" t="str">
            <v>Venetian Macao</v>
          </cell>
          <cell r="D262" t="str">
            <v>N.M.</v>
          </cell>
          <cell r="E262" t="str">
            <v>N.M.</v>
          </cell>
          <cell r="F262" t="str">
            <v>N.M.</v>
          </cell>
          <cell r="G262" t="str">
            <v>N.M.</v>
          </cell>
          <cell r="H262" t="str">
            <v>N.M.</v>
          </cell>
          <cell r="I262" t="str">
            <v>N.M.</v>
          </cell>
          <cell r="J262" t="str">
            <v>N.M.</v>
          </cell>
          <cell r="K262" t="str">
            <v>N.M.</v>
          </cell>
          <cell r="L262" t="str">
            <v>N.M.</v>
          </cell>
          <cell r="M262" t="str">
            <v>N.M.</v>
          </cell>
          <cell r="N262" t="str">
            <v>N.M.</v>
          </cell>
          <cell r="O262" t="str">
            <v>N.M.</v>
          </cell>
          <cell r="P262" t="str">
            <v>N.M.</v>
          </cell>
          <cell r="Q262" t="str">
            <v>N.M.</v>
          </cell>
          <cell r="R262" t="str">
            <v>N.M.</v>
          </cell>
          <cell r="S262" t="str">
            <v>N.M.</v>
          </cell>
          <cell r="T262" t="str">
            <v>N.M.</v>
          </cell>
          <cell r="U262" t="str">
            <v>N.M.</v>
          </cell>
          <cell r="V262" t="str">
            <v>N.M.</v>
          </cell>
          <cell r="W262" t="str">
            <v>N.M.</v>
          </cell>
          <cell r="X262" t="str">
            <v>N.M.</v>
          </cell>
          <cell r="Y262" t="str">
            <v>N.M.</v>
          </cell>
          <cell r="Z262" t="str">
            <v>N.M.</v>
          </cell>
          <cell r="AA262" t="str">
            <v>N.M.</v>
          </cell>
          <cell r="AB262" t="str">
            <v>N.M.</v>
          </cell>
          <cell r="AC262" t="str">
            <v>N.M.</v>
          </cell>
          <cell r="AD262" t="str">
            <v>N.M.</v>
          </cell>
          <cell r="AE262" t="str">
            <v>N.M.</v>
          </cell>
          <cell r="AF262" t="str">
            <v>N.M.</v>
          </cell>
          <cell r="AG262" t="str">
            <v>N.M.</v>
          </cell>
          <cell r="AH262" t="str">
            <v>N.M.</v>
          </cell>
          <cell r="AI262" t="str">
            <v>N.M.</v>
          </cell>
          <cell r="AJ262" t="str">
            <v>N.M.</v>
          </cell>
          <cell r="AK262" t="str">
            <v>N.M.</v>
          </cell>
          <cell r="AL262" t="str">
            <v>N.M.</v>
          </cell>
          <cell r="AM262" t="str">
            <v>N.M.</v>
          </cell>
          <cell r="AN262" t="str">
            <v>N.M.</v>
          </cell>
          <cell r="AO262" t="str">
            <v>N.M.</v>
          </cell>
          <cell r="AP262" t="str">
            <v>N.M.</v>
          </cell>
          <cell r="AQ262" t="str">
            <v>N.M.</v>
          </cell>
          <cell r="AR262" t="str">
            <v>N.M.</v>
          </cell>
          <cell r="AS262" t="str">
            <v>N.M.</v>
          </cell>
          <cell r="AT262" t="str">
            <v>N.M.</v>
          </cell>
          <cell r="AU262" t="str">
            <v>N.M.</v>
          </cell>
          <cell r="AV262" t="str">
            <v>N.M.</v>
          </cell>
          <cell r="AW262">
            <v>1.2819743685358502</v>
          </cell>
          <cell r="AX262">
            <v>-9.3669229619520844E-2</v>
          </cell>
          <cell r="AY262">
            <v>-7.0602532032568721E-3</v>
          </cell>
          <cell r="AZ262">
            <v>0.29151513059102463</v>
          </cell>
          <cell r="BA262">
            <v>0.12391149511417199</v>
          </cell>
          <cell r="BK262" t="str">
            <v>N.M.</v>
          </cell>
          <cell r="BL262" t="e">
            <v>#VALUE!</v>
          </cell>
        </row>
        <row r="263">
          <cell r="A263" t="str">
            <v>Cotai Site 2 - Four Seasons (LVS)</v>
          </cell>
          <cell r="D263" t="str">
            <v>N.M.</v>
          </cell>
          <cell r="E263" t="str">
            <v>N.M.</v>
          </cell>
          <cell r="F263" t="str">
            <v>N.M.</v>
          </cell>
          <cell r="G263" t="str">
            <v>N.M.</v>
          </cell>
          <cell r="H263" t="str">
            <v>N.M.</v>
          </cell>
          <cell r="I263" t="str">
            <v>N.M.</v>
          </cell>
          <cell r="J263" t="str">
            <v>N.M.</v>
          </cell>
          <cell r="K263" t="str">
            <v>N.M.</v>
          </cell>
          <cell r="L263" t="str">
            <v>N.M.</v>
          </cell>
          <cell r="M263" t="str">
            <v>N.M.</v>
          </cell>
          <cell r="N263" t="str">
            <v>N.M.</v>
          </cell>
          <cell r="O263" t="str">
            <v>N.M.</v>
          </cell>
          <cell r="P263" t="str">
            <v>N.M.</v>
          </cell>
          <cell r="Q263" t="str">
            <v>N.M.</v>
          </cell>
          <cell r="R263" t="str">
            <v>N.M.</v>
          </cell>
          <cell r="S263" t="str">
            <v>N.M.</v>
          </cell>
          <cell r="T263" t="str">
            <v>N.M.</v>
          </cell>
          <cell r="U263" t="str">
            <v>N.M.</v>
          </cell>
          <cell r="V263" t="str">
            <v>N.M.</v>
          </cell>
          <cell r="W263" t="str">
            <v>N.M.</v>
          </cell>
          <cell r="X263" t="str">
            <v>N.M.</v>
          </cell>
          <cell r="Y263" t="str">
            <v>N.M.</v>
          </cell>
          <cell r="Z263" t="str">
            <v>N.M.</v>
          </cell>
          <cell r="AA263" t="str">
            <v>N.M.</v>
          </cell>
          <cell r="AB263" t="str">
            <v>N.M.</v>
          </cell>
          <cell r="AC263" t="str">
            <v>N.M.</v>
          </cell>
          <cell r="AD263" t="str">
            <v>N.M.</v>
          </cell>
          <cell r="AE263" t="str">
            <v>N.M.</v>
          </cell>
          <cell r="AF263" t="str">
            <v>N.M.</v>
          </cell>
          <cell r="AG263" t="str">
            <v>N.M.</v>
          </cell>
          <cell r="AH263" t="str">
            <v>N.M.</v>
          </cell>
          <cell r="AI263" t="str">
            <v>N.M.</v>
          </cell>
          <cell r="AJ263" t="str">
            <v>N.M.</v>
          </cell>
          <cell r="AK263" t="str">
            <v>N.M.</v>
          </cell>
          <cell r="AL263" t="str">
            <v>N.M.</v>
          </cell>
          <cell r="AM263" t="str">
            <v>N.M.</v>
          </cell>
          <cell r="AN263" t="str">
            <v>N.M.</v>
          </cell>
          <cell r="AO263" t="str">
            <v>N.M.</v>
          </cell>
          <cell r="AP263" t="str">
            <v>N.M.</v>
          </cell>
          <cell r="AQ263" t="str">
            <v>N.M.</v>
          </cell>
          <cell r="AR263" t="str">
            <v>N.M.</v>
          </cell>
          <cell r="AS263" t="str">
            <v>N.M.</v>
          </cell>
          <cell r="AT263" t="str">
            <v>N.M.</v>
          </cell>
          <cell r="AU263" t="str">
            <v>N.M.</v>
          </cell>
          <cell r="AV263" t="str">
            <v>N.M.</v>
          </cell>
          <cell r="AW263" t="str">
            <v>N.M.</v>
          </cell>
          <cell r="AX263">
            <v>-0.13486608281863366</v>
          </cell>
          <cell r="AY263">
            <v>-7.0602532032566501E-3</v>
          </cell>
          <cell r="AZ263">
            <v>-2.1318534374357156E-2</v>
          </cell>
          <cell r="BA263">
            <v>0.12391149511417221</v>
          </cell>
          <cell r="BK263" t="str">
            <v>N.M.</v>
          </cell>
          <cell r="BL263" t="e">
            <v>#VALUE!</v>
          </cell>
        </row>
        <row r="264">
          <cell r="A264" t="str">
            <v>Cotai Site 3 - Far East (LVS)</v>
          </cell>
          <cell r="D264" t="str">
            <v>N.M.</v>
          </cell>
          <cell r="E264" t="str">
            <v>N.M.</v>
          </cell>
          <cell r="F264" t="str">
            <v>N.M.</v>
          </cell>
          <cell r="G264" t="str">
            <v>N.M.</v>
          </cell>
          <cell r="H264" t="str">
            <v>N.M.</v>
          </cell>
          <cell r="I264" t="str">
            <v>N.M.</v>
          </cell>
          <cell r="J264" t="str">
            <v>N.M.</v>
          </cell>
          <cell r="K264" t="str">
            <v>N.M.</v>
          </cell>
          <cell r="L264" t="str">
            <v>N.M.</v>
          </cell>
          <cell r="M264" t="str">
            <v>N.M.</v>
          </cell>
          <cell r="N264" t="str">
            <v>N.M.</v>
          </cell>
          <cell r="O264" t="str">
            <v>N.M.</v>
          </cell>
          <cell r="P264" t="str">
            <v>N.M.</v>
          </cell>
          <cell r="Q264" t="str">
            <v>N.M.</v>
          </cell>
          <cell r="R264" t="str">
            <v>N.M.</v>
          </cell>
          <cell r="S264" t="str">
            <v>N.M.</v>
          </cell>
          <cell r="T264" t="str">
            <v>N.M.</v>
          </cell>
          <cell r="U264" t="str">
            <v>N.M.</v>
          </cell>
          <cell r="V264" t="str">
            <v>N.M.</v>
          </cell>
          <cell r="W264" t="str">
            <v>N.M.</v>
          </cell>
          <cell r="X264" t="str">
            <v>N.M.</v>
          </cell>
          <cell r="Y264" t="str">
            <v>N.M.</v>
          </cell>
          <cell r="Z264" t="str">
            <v>N.M.</v>
          </cell>
          <cell r="AA264" t="str">
            <v>N.M.</v>
          </cell>
          <cell r="AB264" t="str">
            <v>N.M.</v>
          </cell>
          <cell r="AC264" t="str">
            <v>N.M.</v>
          </cell>
          <cell r="AD264" t="str">
            <v>N.M.</v>
          </cell>
          <cell r="AE264" t="str">
            <v>N.M.</v>
          </cell>
          <cell r="AF264" t="str">
            <v>N.M.</v>
          </cell>
          <cell r="AG264" t="str">
            <v>N.M.</v>
          </cell>
          <cell r="AH264" t="str">
            <v>N.M.</v>
          </cell>
          <cell r="AI264" t="str">
            <v>N.M.</v>
          </cell>
          <cell r="AJ264" t="str">
            <v>N.M.</v>
          </cell>
          <cell r="AK264" t="str">
            <v>N.M.</v>
          </cell>
          <cell r="AL264" t="str">
            <v>N.M.</v>
          </cell>
          <cell r="AM264" t="str">
            <v>N.M.</v>
          </cell>
          <cell r="AN264" t="str">
            <v>N.M.</v>
          </cell>
          <cell r="AO264" t="str">
            <v>N.M.</v>
          </cell>
          <cell r="AP264" t="str">
            <v>N.M.</v>
          </cell>
          <cell r="AQ264" t="str">
            <v>N.M.</v>
          </cell>
          <cell r="AR264" t="str">
            <v>N.M.</v>
          </cell>
          <cell r="AS264" t="str">
            <v>N.M.</v>
          </cell>
          <cell r="AT264" t="str">
            <v>N.M.</v>
          </cell>
          <cell r="AU264" t="str">
            <v>N.M.</v>
          </cell>
          <cell r="AV264" t="str">
            <v>N.M.</v>
          </cell>
          <cell r="AW264" t="str">
            <v>N.M.</v>
          </cell>
          <cell r="AX264" t="str">
            <v>N.M.</v>
          </cell>
          <cell r="AY264">
            <v>0.9858794935934867</v>
          </cell>
          <cell r="AZ264">
            <v>3.62509636036219E-2</v>
          </cell>
          <cell r="BA264">
            <v>0.12391149511417221</v>
          </cell>
          <cell r="BK264" t="str">
            <v>N.M.</v>
          </cell>
          <cell r="BL264" t="e">
            <v>#VALUE!</v>
          </cell>
        </row>
        <row r="265">
          <cell r="A265" t="str">
            <v>Cotai Site 5 - Shangri-La/St.Regis/Traders (LVS)</v>
          </cell>
          <cell r="D265" t="str">
            <v>N.M.</v>
          </cell>
          <cell r="E265" t="str">
            <v>N.M.</v>
          </cell>
          <cell r="F265" t="str">
            <v>N.M.</v>
          </cell>
          <cell r="G265" t="str">
            <v>N.M.</v>
          </cell>
          <cell r="H265" t="str">
            <v>N.M.</v>
          </cell>
          <cell r="I265" t="str">
            <v>N.M.</v>
          </cell>
          <cell r="J265" t="str">
            <v>N.M.</v>
          </cell>
          <cell r="K265" t="str">
            <v>N.M.</v>
          </cell>
          <cell r="L265" t="str">
            <v>N.M.</v>
          </cell>
          <cell r="M265" t="str">
            <v>N.M.</v>
          </cell>
          <cell r="N265" t="str">
            <v>N.M.</v>
          </cell>
          <cell r="O265" t="str">
            <v>N.M.</v>
          </cell>
          <cell r="P265" t="str">
            <v>N.M.</v>
          </cell>
          <cell r="Q265" t="str">
            <v>N.M.</v>
          </cell>
          <cell r="R265" t="str">
            <v>N.M.</v>
          </cell>
          <cell r="S265" t="str">
            <v>N.M.</v>
          </cell>
          <cell r="T265" t="str">
            <v>N.M.</v>
          </cell>
          <cell r="U265" t="str">
            <v>N.M.</v>
          </cell>
          <cell r="V265" t="str">
            <v>N.M.</v>
          </cell>
          <cell r="W265" t="str">
            <v>N.M.</v>
          </cell>
          <cell r="X265" t="str">
            <v>N.M.</v>
          </cell>
          <cell r="Y265" t="str">
            <v>N.M.</v>
          </cell>
          <cell r="Z265" t="str">
            <v>N.M.</v>
          </cell>
          <cell r="AA265" t="str">
            <v>N.M.</v>
          </cell>
          <cell r="AB265" t="str">
            <v>N.M.</v>
          </cell>
          <cell r="AC265" t="str">
            <v>N.M.</v>
          </cell>
          <cell r="AD265" t="str">
            <v>N.M.</v>
          </cell>
          <cell r="AE265" t="str">
            <v>N.M.</v>
          </cell>
          <cell r="AF265" t="str">
            <v>N.M.</v>
          </cell>
          <cell r="AG265" t="str">
            <v>N.M.</v>
          </cell>
          <cell r="AH265" t="str">
            <v>N.M.</v>
          </cell>
          <cell r="AI265" t="str">
            <v>N.M.</v>
          </cell>
          <cell r="AJ265" t="str">
            <v>N.M.</v>
          </cell>
          <cell r="AK265" t="str">
            <v>N.M.</v>
          </cell>
          <cell r="AL265" t="str">
            <v>N.M.</v>
          </cell>
          <cell r="AM265" t="str">
            <v>N.M.</v>
          </cell>
          <cell r="AN265" t="str">
            <v>N.M.</v>
          </cell>
          <cell r="AO265" t="str">
            <v>N.M.</v>
          </cell>
          <cell r="AP265" t="str">
            <v>N.M.</v>
          </cell>
          <cell r="AQ265" t="str">
            <v>N.M.</v>
          </cell>
          <cell r="AR265" t="str">
            <v>N.M.</v>
          </cell>
          <cell r="AS265" t="str">
            <v>N.M.</v>
          </cell>
          <cell r="AT265" t="str">
            <v>N.M.</v>
          </cell>
          <cell r="AU265" t="str">
            <v>N.M.</v>
          </cell>
          <cell r="AV265" t="str">
            <v>N.M.</v>
          </cell>
          <cell r="AW265" t="str">
            <v>N.M.</v>
          </cell>
          <cell r="AX265">
            <v>0.92251981595859189</v>
          </cell>
          <cell r="AY265">
            <v>-0.10635422788293114</v>
          </cell>
          <cell r="AZ265">
            <v>-2.1318534374356934E-2</v>
          </cell>
          <cell r="BA265">
            <v>0.12391149511417199</v>
          </cell>
          <cell r="BK265" t="str">
            <v>N.M.</v>
          </cell>
          <cell r="BL265" t="e">
            <v>#VALUE!</v>
          </cell>
        </row>
        <row r="266">
          <cell r="A266" t="str">
            <v>Cotai Site 6 - Starwood (LVS)</v>
          </cell>
          <cell r="D266" t="str">
            <v>N.M.</v>
          </cell>
          <cell r="E266" t="str">
            <v>N.M.</v>
          </cell>
          <cell r="F266" t="str">
            <v>N.M.</v>
          </cell>
          <cell r="G266" t="str">
            <v>N.M.</v>
          </cell>
          <cell r="H266" t="str">
            <v>N.M.</v>
          </cell>
          <cell r="I266" t="str">
            <v>N.M.</v>
          </cell>
          <cell r="J266" t="str">
            <v>N.M.</v>
          </cell>
          <cell r="K266" t="str">
            <v>N.M.</v>
          </cell>
          <cell r="L266" t="str">
            <v>N.M.</v>
          </cell>
          <cell r="M266" t="str">
            <v>N.M.</v>
          </cell>
          <cell r="N266" t="str">
            <v>N.M.</v>
          </cell>
          <cell r="O266" t="str">
            <v>N.M.</v>
          </cell>
          <cell r="P266" t="str">
            <v>N.M.</v>
          </cell>
          <cell r="Q266" t="str">
            <v>N.M.</v>
          </cell>
          <cell r="R266" t="str">
            <v>N.M.</v>
          </cell>
          <cell r="S266" t="str">
            <v>N.M.</v>
          </cell>
          <cell r="T266" t="str">
            <v>N.M.</v>
          </cell>
          <cell r="U266" t="str">
            <v>N.M.</v>
          </cell>
          <cell r="V266" t="str">
            <v>N.M.</v>
          </cell>
          <cell r="W266" t="str">
            <v>N.M.</v>
          </cell>
          <cell r="X266" t="str">
            <v>N.M.</v>
          </cell>
          <cell r="Y266" t="str">
            <v>N.M.</v>
          </cell>
          <cell r="Z266" t="str">
            <v>N.M.</v>
          </cell>
          <cell r="AA266" t="str">
            <v>N.M.</v>
          </cell>
          <cell r="AB266" t="str">
            <v>N.M.</v>
          </cell>
          <cell r="AC266" t="str">
            <v>N.M.</v>
          </cell>
          <cell r="AD266" t="str">
            <v>N.M.</v>
          </cell>
          <cell r="AE266" t="str">
            <v>N.M.</v>
          </cell>
          <cell r="AF266" t="str">
            <v>N.M.</v>
          </cell>
          <cell r="AG266" t="str">
            <v>N.M.</v>
          </cell>
          <cell r="AH266" t="str">
            <v>N.M.</v>
          </cell>
          <cell r="AI266" t="str">
            <v>N.M.</v>
          </cell>
          <cell r="AJ266" t="str">
            <v>N.M.</v>
          </cell>
          <cell r="AK266" t="str">
            <v>N.M.</v>
          </cell>
          <cell r="AL266" t="str">
            <v>N.M.</v>
          </cell>
          <cell r="AM266" t="str">
            <v>N.M.</v>
          </cell>
          <cell r="AN266" t="str">
            <v>N.M.</v>
          </cell>
          <cell r="AO266" t="str">
            <v>N.M.</v>
          </cell>
          <cell r="AP266" t="str">
            <v>N.M.</v>
          </cell>
          <cell r="AQ266" t="str">
            <v>N.M.</v>
          </cell>
          <cell r="AR266" t="str">
            <v>N.M.</v>
          </cell>
          <cell r="AS266" t="str">
            <v>N.M.</v>
          </cell>
          <cell r="AT266" t="str">
            <v>N.M.</v>
          </cell>
          <cell r="AU266" t="str">
            <v>N.M.</v>
          </cell>
          <cell r="AV266" t="str">
            <v>N.M.</v>
          </cell>
          <cell r="AW266" t="str">
            <v>N.M.</v>
          </cell>
          <cell r="AX266">
            <v>0.92251981595859189</v>
          </cell>
          <cell r="AY266">
            <v>-0.10635422788293114</v>
          </cell>
          <cell r="AZ266">
            <v>-2.1318534374356934E-2</v>
          </cell>
          <cell r="BA266">
            <v>0.12391149511417199</v>
          </cell>
          <cell r="BK266" t="str">
            <v>N.M.</v>
          </cell>
          <cell r="BL266" t="e">
            <v>#VALUE!</v>
          </cell>
        </row>
        <row r="267">
          <cell r="A267" t="str">
            <v>Cotai Site 7 - Hilton (LVS)</v>
          </cell>
          <cell r="D267" t="str">
            <v>N.M.</v>
          </cell>
          <cell r="E267" t="str">
            <v>N.M.</v>
          </cell>
          <cell r="F267" t="str">
            <v>N.M.</v>
          </cell>
          <cell r="G267" t="str">
            <v>N.M.</v>
          </cell>
          <cell r="H267" t="str">
            <v>N.M.</v>
          </cell>
          <cell r="I267" t="str">
            <v>N.M.</v>
          </cell>
          <cell r="J267" t="str">
            <v>N.M.</v>
          </cell>
          <cell r="K267" t="str">
            <v>N.M.</v>
          </cell>
          <cell r="L267" t="str">
            <v>N.M.</v>
          </cell>
          <cell r="M267" t="str">
            <v>N.M.</v>
          </cell>
          <cell r="N267" t="str">
            <v>N.M.</v>
          </cell>
          <cell r="O267" t="str">
            <v>N.M.</v>
          </cell>
          <cell r="P267" t="str">
            <v>N.M.</v>
          </cell>
          <cell r="Q267" t="str">
            <v>N.M.</v>
          </cell>
          <cell r="R267" t="str">
            <v>N.M.</v>
          </cell>
          <cell r="S267" t="str">
            <v>N.M.</v>
          </cell>
          <cell r="T267" t="str">
            <v>N.M.</v>
          </cell>
          <cell r="U267" t="str">
            <v>N.M.</v>
          </cell>
          <cell r="V267" t="str">
            <v>N.M.</v>
          </cell>
          <cell r="W267" t="str">
            <v>N.M.</v>
          </cell>
          <cell r="X267" t="str">
            <v>N.M.</v>
          </cell>
          <cell r="Y267" t="str">
            <v>N.M.</v>
          </cell>
          <cell r="Z267" t="str">
            <v>N.M.</v>
          </cell>
          <cell r="AA267" t="str">
            <v>N.M.</v>
          </cell>
          <cell r="AB267" t="str">
            <v>N.M.</v>
          </cell>
          <cell r="AC267" t="str">
            <v>N.M.</v>
          </cell>
          <cell r="AD267" t="str">
            <v>N.M.</v>
          </cell>
          <cell r="AE267" t="str">
            <v>N.M.</v>
          </cell>
          <cell r="AF267" t="str">
            <v>N.M.</v>
          </cell>
          <cell r="AG267" t="str">
            <v>N.M.</v>
          </cell>
          <cell r="AH267" t="str">
            <v>N.M.</v>
          </cell>
          <cell r="AI267" t="str">
            <v>N.M.</v>
          </cell>
          <cell r="AJ267" t="str">
            <v>N.M.</v>
          </cell>
          <cell r="AK267" t="str">
            <v>N.M.</v>
          </cell>
          <cell r="AL267" t="str">
            <v>N.M.</v>
          </cell>
          <cell r="AM267" t="str">
            <v>N.M.</v>
          </cell>
          <cell r="AN267" t="str">
            <v>N.M.</v>
          </cell>
          <cell r="AO267" t="str">
            <v>N.M.</v>
          </cell>
          <cell r="AP267" t="str">
            <v>N.M.</v>
          </cell>
          <cell r="AQ267" t="str">
            <v>N.M.</v>
          </cell>
          <cell r="AR267" t="str">
            <v>N.M.</v>
          </cell>
          <cell r="AS267" t="str">
            <v>N.M.</v>
          </cell>
          <cell r="AT267" t="str">
            <v>N.M.</v>
          </cell>
          <cell r="AU267" t="str">
            <v>N.M.</v>
          </cell>
          <cell r="AV267" t="str">
            <v>N.M.</v>
          </cell>
          <cell r="AW267" t="str">
            <v>N.M.</v>
          </cell>
          <cell r="AX267" t="str">
            <v>N.M.</v>
          </cell>
          <cell r="AY267">
            <v>1.2065327706594293</v>
          </cell>
          <cell r="AZ267">
            <v>-0.1191866809369212</v>
          </cell>
          <cell r="BA267">
            <v>0.12391149511417199</v>
          </cell>
          <cell r="BK267" t="str">
            <v>N.M.</v>
          </cell>
          <cell r="BL267" t="e">
            <v>#VALUE!</v>
          </cell>
        </row>
        <row r="268">
          <cell r="A268" t="str">
            <v>Cotai Site 8 - FHR/Raffles (LVS)</v>
          </cell>
          <cell r="D268" t="str">
            <v>N.M.</v>
          </cell>
          <cell r="E268" t="str">
            <v>N.M.</v>
          </cell>
          <cell r="F268" t="str">
            <v>N.M.</v>
          </cell>
          <cell r="G268" t="str">
            <v>N.M.</v>
          </cell>
          <cell r="H268" t="str">
            <v>N.M.</v>
          </cell>
          <cell r="I268" t="str">
            <v>N.M.</v>
          </cell>
          <cell r="J268" t="str">
            <v>N.M.</v>
          </cell>
          <cell r="K268" t="str">
            <v>N.M.</v>
          </cell>
          <cell r="L268" t="str">
            <v>N.M.</v>
          </cell>
          <cell r="M268" t="str">
            <v>N.M.</v>
          </cell>
          <cell r="N268" t="str">
            <v>N.M.</v>
          </cell>
          <cell r="O268" t="str">
            <v>N.M.</v>
          </cell>
          <cell r="P268" t="str">
            <v>N.M.</v>
          </cell>
          <cell r="Q268" t="str">
            <v>N.M.</v>
          </cell>
          <cell r="R268" t="str">
            <v>N.M.</v>
          </cell>
          <cell r="S268" t="str">
            <v>N.M.</v>
          </cell>
          <cell r="T268" t="str">
            <v>N.M.</v>
          </cell>
          <cell r="U268" t="str">
            <v>N.M.</v>
          </cell>
          <cell r="V268" t="str">
            <v>N.M.</v>
          </cell>
          <cell r="W268" t="str">
            <v>N.M.</v>
          </cell>
          <cell r="X268" t="str">
            <v>N.M.</v>
          </cell>
          <cell r="Y268" t="str">
            <v>N.M.</v>
          </cell>
          <cell r="Z268" t="str">
            <v>N.M.</v>
          </cell>
          <cell r="AA268" t="str">
            <v>N.M.</v>
          </cell>
          <cell r="AB268" t="str">
            <v>N.M.</v>
          </cell>
          <cell r="AC268" t="str">
            <v>N.M.</v>
          </cell>
          <cell r="AD268" t="str">
            <v>N.M.</v>
          </cell>
          <cell r="AE268" t="str">
            <v>N.M.</v>
          </cell>
          <cell r="AF268" t="str">
            <v>N.M.</v>
          </cell>
          <cell r="AG268" t="str">
            <v>N.M.</v>
          </cell>
          <cell r="AH268" t="str">
            <v>N.M.</v>
          </cell>
          <cell r="AI268" t="str">
            <v>N.M.</v>
          </cell>
          <cell r="AJ268" t="str">
            <v>N.M.</v>
          </cell>
          <cell r="AK268" t="str">
            <v>N.M.</v>
          </cell>
          <cell r="AL268" t="str">
            <v>N.M.</v>
          </cell>
          <cell r="AM268" t="str">
            <v>N.M.</v>
          </cell>
          <cell r="AN268" t="str">
            <v>N.M.</v>
          </cell>
          <cell r="AO268" t="str">
            <v>N.M.</v>
          </cell>
          <cell r="AP268" t="str">
            <v>N.M.</v>
          </cell>
          <cell r="AQ268" t="str">
            <v>N.M.</v>
          </cell>
          <cell r="AR268" t="str">
            <v>N.M.</v>
          </cell>
          <cell r="AS268" t="str">
            <v>N.M.</v>
          </cell>
          <cell r="AT268" t="str">
            <v>N.M.</v>
          </cell>
          <cell r="AU268" t="str">
            <v>N.M.</v>
          </cell>
          <cell r="AV268" t="str">
            <v>N.M.</v>
          </cell>
          <cell r="AW268" t="str">
            <v>N.M.</v>
          </cell>
          <cell r="AX268" t="str">
            <v>N.M.</v>
          </cell>
          <cell r="AY268">
            <v>1.2065327706594293</v>
          </cell>
          <cell r="AZ268">
            <v>-0.1191866809369212</v>
          </cell>
          <cell r="BA268">
            <v>0.12391149511417199</v>
          </cell>
          <cell r="BK268" t="str">
            <v>N.M.</v>
          </cell>
          <cell r="BL268" t="e">
            <v>#VALUE!</v>
          </cell>
        </row>
        <row r="269">
          <cell r="A269" t="str">
            <v>Wynn Macau</v>
          </cell>
          <cell r="D269" t="str">
            <v>N.M.</v>
          </cell>
          <cell r="E269" t="str">
            <v>N.M.</v>
          </cell>
          <cell r="F269" t="str">
            <v>N.M.</v>
          </cell>
          <cell r="G269" t="str">
            <v>N.M.</v>
          </cell>
          <cell r="H269" t="str">
            <v>N.M.</v>
          </cell>
          <cell r="I269" t="str">
            <v>N.M.</v>
          </cell>
          <cell r="J269" t="str">
            <v>N.M.</v>
          </cell>
          <cell r="K269" t="str">
            <v>N.M.</v>
          </cell>
          <cell r="L269" t="str">
            <v>N.M.</v>
          </cell>
          <cell r="M269" t="str">
            <v>N.M.</v>
          </cell>
          <cell r="N269" t="str">
            <v>N.M.</v>
          </cell>
          <cell r="O269" t="str">
            <v>N.M.</v>
          </cell>
          <cell r="P269" t="str">
            <v>N.M.</v>
          </cell>
          <cell r="Q269" t="str">
            <v>N.M.</v>
          </cell>
          <cell r="R269" t="str">
            <v>N.M.</v>
          </cell>
          <cell r="S269" t="str">
            <v>N.M.</v>
          </cell>
          <cell r="T269" t="str">
            <v>N.M.</v>
          </cell>
          <cell r="U269" t="str">
            <v>N.M.</v>
          </cell>
          <cell r="V269" t="str">
            <v>N.M.</v>
          </cell>
          <cell r="W269" t="str">
            <v>N.M.</v>
          </cell>
          <cell r="X269" t="str">
            <v>N.M.</v>
          </cell>
          <cell r="Y269" t="str">
            <v>N.M.</v>
          </cell>
          <cell r="Z269" t="str">
            <v>N.M.</v>
          </cell>
          <cell r="AA269" t="str">
            <v>N.M.</v>
          </cell>
          <cell r="AB269" t="str">
            <v>N.M.</v>
          </cell>
          <cell r="AC269" t="str">
            <v>N.M.</v>
          </cell>
          <cell r="AD269" t="str">
            <v>N.M.</v>
          </cell>
          <cell r="AE269" t="str">
            <v>N.M.</v>
          </cell>
          <cell r="AF269" t="str">
            <v>N.M.</v>
          </cell>
          <cell r="AG269" t="str">
            <v>N.M.</v>
          </cell>
          <cell r="AH269" t="str">
            <v>N.M.</v>
          </cell>
          <cell r="AI269" t="str">
            <v>N.M.</v>
          </cell>
          <cell r="AJ269" t="str">
            <v>N.M.</v>
          </cell>
          <cell r="AK269" t="str">
            <v>N.M.</v>
          </cell>
          <cell r="AL269" t="str">
            <v>N.M.</v>
          </cell>
          <cell r="AM269" t="str">
            <v>N.M.</v>
          </cell>
          <cell r="AN269" t="str">
            <v>N.M.</v>
          </cell>
          <cell r="AO269" t="str">
            <v>N.M.</v>
          </cell>
          <cell r="AP269" t="str">
            <v>N.M.</v>
          </cell>
          <cell r="AQ269" t="str">
            <v>N.M.</v>
          </cell>
          <cell r="AR269" t="str">
            <v>N.M.</v>
          </cell>
          <cell r="AS269" t="str">
            <v>N.M.</v>
          </cell>
          <cell r="AT269" t="str">
            <v>N.M.</v>
          </cell>
          <cell r="AU269" t="str">
            <v>N.M.</v>
          </cell>
          <cell r="AV269" t="str">
            <v>N.M.</v>
          </cell>
          <cell r="AW269">
            <v>7.9155573046075789E-2</v>
          </cell>
          <cell r="AX269">
            <v>-3.4692681881843823E-2</v>
          </cell>
          <cell r="AY269">
            <v>2.3071028985992559E-3</v>
          </cell>
          <cell r="AZ269">
            <v>6.1211328861749958E-3</v>
          </cell>
          <cell r="BA269">
            <v>0.12391149511417199</v>
          </cell>
          <cell r="BK269">
            <v>2.8998221033914597</v>
          </cell>
          <cell r="BL269" t="e">
            <v>#VALUE!</v>
          </cell>
        </row>
        <row r="270">
          <cell r="A270" t="str">
            <v>Wynn Cotai</v>
          </cell>
          <cell r="D270" t="str">
            <v>N.M.</v>
          </cell>
          <cell r="E270" t="str">
            <v>N.M.</v>
          </cell>
          <cell r="F270" t="str">
            <v>N.M.</v>
          </cell>
          <cell r="G270" t="str">
            <v>N.M.</v>
          </cell>
          <cell r="H270" t="str">
            <v>N.M.</v>
          </cell>
          <cell r="I270" t="str">
            <v>N.M.</v>
          </cell>
          <cell r="J270" t="str">
            <v>N.M.</v>
          </cell>
          <cell r="K270" t="str">
            <v>N.M.</v>
          </cell>
          <cell r="L270" t="str">
            <v>N.M.</v>
          </cell>
          <cell r="M270" t="str">
            <v>N.M.</v>
          </cell>
          <cell r="N270" t="str">
            <v>N.M.</v>
          </cell>
          <cell r="O270" t="str">
            <v>N.M.</v>
          </cell>
          <cell r="P270" t="str">
            <v>N.M.</v>
          </cell>
          <cell r="Q270" t="str">
            <v>N.M.</v>
          </cell>
          <cell r="R270" t="str">
            <v>N.M.</v>
          </cell>
          <cell r="S270" t="str">
            <v>N.M.</v>
          </cell>
          <cell r="T270" t="str">
            <v>N.M.</v>
          </cell>
          <cell r="U270" t="str">
            <v>N.M.</v>
          </cell>
          <cell r="V270" t="str">
            <v>N.M.</v>
          </cell>
          <cell r="W270" t="str">
            <v>N.M.</v>
          </cell>
          <cell r="X270" t="str">
            <v>N.M.</v>
          </cell>
          <cell r="Y270" t="str">
            <v>N.M.</v>
          </cell>
          <cell r="Z270" t="str">
            <v>N.M.</v>
          </cell>
          <cell r="AA270" t="str">
            <v>N.M.</v>
          </cell>
          <cell r="AB270" t="str">
            <v>N.M.</v>
          </cell>
          <cell r="AC270" t="str">
            <v>N.M.</v>
          </cell>
          <cell r="AD270" t="str">
            <v>N.M.</v>
          </cell>
          <cell r="AE270" t="str">
            <v>N.M.</v>
          </cell>
          <cell r="AF270" t="str">
            <v>N.M.</v>
          </cell>
          <cell r="AG270" t="str">
            <v>N.M.</v>
          </cell>
          <cell r="AH270" t="str">
            <v>N.M.</v>
          </cell>
          <cell r="AI270" t="str">
            <v>N.M.</v>
          </cell>
          <cell r="AJ270" t="str">
            <v>N.M.</v>
          </cell>
          <cell r="AK270" t="str">
            <v>N.M.</v>
          </cell>
          <cell r="AL270" t="str">
            <v>N.M.</v>
          </cell>
          <cell r="AM270" t="str">
            <v>N.M.</v>
          </cell>
          <cell r="AN270" t="str">
            <v>N.M.</v>
          </cell>
          <cell r="AO270" t="str">
            <v>N.M.</v>
          </cell>
          <cell r="AP270" t="str">
            <v>N.M.</v>
          </cell>
          <cell r="AQ270" t="str">
            <v>N.M.</v>
          </cell>
          <cell r="AR270" t="str">
            <v>N.M.</v>
          </cell>
          <cell r="AS270" t="str">
            <v>N.M.</v>
          </cell>
          <cell r="AT270" t="str">
            <v>N.M.</v>
          </cell>
          <cell r="AU270" t="str">
            <v>N.M.</v>
          </cell>
          <cell r="AV270" t="str">
            <v>N.M.</v>
          </cell>
          <cell r="AW270" t="str">
            <v>N.M.</v>
          </cell>
          <cell r="AX270" t="str">
            <v>N.M.</v>
          </cell>
          <cell r="AY270" t="str">
            <v>N.M.</v>
          </cell>
          <cell r="AZ270">
            <v>2.761553890692503E-2</v>
          </cell>
          <cell r="BA270">
            <v>0.12391149511417199</v>
          </cell>
          <cell r="BK270" t="str">
            <v>N.M.</v>
          </cell>
          <cell r="BL270" t="e">
            <v>#VALUE!</v>
          </cell>
        </row>
        <row r="271">
          <cell r="A271" t="str">
            <v>Wynn Cotai #2</v>
          </cell>
          <cell r="D271" t="str">
            <v>N.M.</v>
          </cell>
          <cell r="E271" t="str">
            <v>N.M.</v>
          </cell>
          <cell r="F271" t="str">
            <v>N.M.</v>
          </cell>
          <cell r="G271" t="str">
            <v>N.M.</v>
          </cell>
          <cell r="H271" t="str">
            <v>N.M.</v>
          </cell>
          <cell r="I271" t="str">
            <v>N.M.</v>
          </cell>
          <cell r="J271" t="str">
            <v>N.M.</v>
          </cell>
          <cell r="K271" t="str">
            <v>N.M.</v>
          </cell>
          <cell r="L271" t="str">
            <v>N.M.</v>
          </cell>
          <cell r="M271" t="str">
            <v>N.M.</v>
          </cell>
          <cell r="N271" t="str">
            <v>N.M.</v>
          </cell>
          <cell r="O271" t="str">
            <v>N.M.</v>
          </cell>
          <cell r="P271" t="str">
            <v>N.M.</v>
          </cell>
          <cell r="Q271" t="str">
            <v>N.M.</v>
          </cell>
          <cell r="R271" t="str">
            <v>N.M.</v>
          </cell>
          <cell r="S271" t="str">
            <v>N.M.</v>
          </cell>
          <cell r="T271" t="str">
            <v>N.M.</v>
          </cell>
          <cell r="U271" t="str">
            <v>N.M.</v>
          </cell>
          <cell r="V271" t="str">
            <v>N.M.</v>
          </cell>
          <cell r="W271" t="str">
            <v>N.M.</v>
          </cell>
          <cell r="X271" t="str">
            <v>N.M.</v>
          </cell>
          <cell r="Y271" t="str">
            <v>N.M.</v>
          </cell>
          <cell r="Z271" t="str">
            <v>N.M.</v>
          </cell>
          <cell r="AA271" t="str">
            <v>N.M.</v>
          </cell>
          <cell r="AB271" t="str">
            <v>N.M.</v>
          </cell>
          <cell r="AC271" t="str">
            <v>N.M.</v>
          </cell>
          <cell r="AD271" t="str">
            <v>N.M.</v>
          </cell>
          <cell r="AE271" t="str">
            <v>N.M.</v>
          </cell>
          <cell r="AF271" t="str">
            <v>N.M.</v>
          </cell>
          <cell r="AG271" t="str">
            <v>N.M.</v>
          </cell>
          <cell r="AH271" t="str">
            <v>N.M.</v>
          </cell>
          <cell r="AI271" t="str">
            <v>N.M.</v>
          </cell>
          <cell r="AJ271" t="str">
            <v>N.M.</v>
          </cell>
          <cell r="AK271" t="str">
            <v>N.M.</v>
          </cell>
          <cell r="AL271" t="str">
            <v>N.M.</v>
          </cell>
          <cell r="AM271" t="str">
            <v>N.M.</v>
          </cell>
          <cell r="AN271" t="str">
            <v>N.M.</v>
          </cell>
          <cell r="AO271" t="str">
            <v>N.M.</v>
          </cell>
          <cell r="AP271" t="str">
            <v>N.M.</v>
          </cell>
          <cell r="AQ271" t="str">
            <v>N.M.</v>
          </cell>
          <cell r="AR271" t="str">
            <v>N.M.</v>
          </cell>
          <cell r="AS271" t="str">
            <v>N.M.</v>
          </cell>
          <cell r="AT271" t="str">
            <v>N.M.</v>
          </cell>
          <cell r="AU271" t="str">
            <v>N.M.</v>
          </cell>
          <cell r="AV271" t="str">
            <v>N.M.</v>
          </cell>
          <cell r="AW271" t="str">
            <v>N.M.</v>
          </cell>
          <cell r="AX271" t="str">
            <v>N.M.</v>
          </cell>
          <cell r="AY271" t="str">
            <v>N.M.</v>
          </cell>
          <cell r="AZ271" t="str">
            <v>N.M.</v>
          </cell>
          <cell r="BA271">
            <v>0.12391149511417199</v>
          </cell>
        </row>
        <row r="272">
          <cell r="A272" t="str">
            <v>MGM Grand</v>
          </cell>
          <cell r="D272" t="str">
            <v>N.M.</v>
          </cell>
          <cell r="E272" t="str">
            <v>N.M.</v>
          </cell>
          <cell r="F272" t="str">
            <v>N.M.</v>
          </cell>
          <cell r="G272" t="str">
            <v>N.M.</v>
          </cell>
          <cell r="H272" t="str">
            <v>N.M.</v>
          </cell>
          <cell r="I272" t="str">
            <v>N.M.</v>
          </cell>
          <cell r="J272" t="str">
            <v>N.M.</v>
          </cell>
          <cell r="K272" t="str">
            <v>N.M.</v>
          </cell>
          <cell r="L272" t="str">
            <v>N.M.</v>
          </cell>
          <cell r="M272" t="str">
            <v>N.M.</v>
          </cell>
          <cell r="N272" t="str">
            <v>N.M.</v>
          </cell>
          <cell r="O272" t="str">
            <v>N.M.</v>
          </cell>
          <cell r="P272" t="str">
            <v>N.M.</v>
          </cell>
          <cell r="Q272" t="str">
            <v>N.M.</v>
          </cell>
          <cell r="R272" t="str">
            <v>N.M.</v>
          </cell>
          <cell r="S272" t="str">
            <v>N.M.</v>
          </cell>
          <cell r="T272" t="str">
            <v>N.M.</v>
          </cell>
          <cell r="U272" t="str">
            <v>N.M.</v>
          </cell>
          <cell r="V272" t="str">
            <v>N.M.</v>
          </cell>
          <cell r="W272" t="str">
            <v>N.M.</v>
          </cell>
          <cell r="X272" t="str">
            <v>N.M.</v>
          </cell>
          <cell r="Y272" t="str">
            <v>N.M.</v>
          </cell>
          <cell r="Z272" t="str">
            <v>N.M.</v>
          </cell>
          <cell r="AA272" t="str">
            <v>N.M.</v>
          </cell>
          <cell r="AB272" t="str">
            <v>N.M.</v>
          </cell>
          <cell r="AC272" t="str">
            <v>N.M.</v>
          </cell>
          <cell r="AD272" t="str">
            <v>N.M.</v>
          </cell>
          <cell r="AE272" t="str">
            <v>N.M.</v>
          </cell>
          <cell r="AF272" t="str">
            <v>N.M.</v>
          </cell>
          <cell r="AG272" t="str">
            <v>N.M.</v>
          </cell>
          <cell r="AH272" t="str">
            <v>N.M.</v>
          </cell>
          <cell r="AI272" t="str">
            <v>N.M.</v>
          </cell>
          <cell r="AJ272" t="str">
            <v>N.M.</v>
          </cell>
          <cell r="AK272" t="str">
            <v>N.M.</v>
          </cell>
          <cell r="AL272" t="str">
            <v>N.M.</v>
          </cell>
          <cell r="AM272" t="str">
            <v>N.M.</v>
          </cell>
          <cell r="AN272" t="str">
            <v>N.M.</v>
          </cell>
          <cell r="AO272" t="str">
            <v>N.M.</v>
          </cell>
          <cell r="AP272" t="str">
            <v>N.M.</v>
          </cell>
          <cell r="AQ272" t="str">
            <v>N.M.</v>
          </cell>
          <cell r="AR272" t="str">
            <v>N.M.</v>
          </cell>
          <cell r="AS272" t="str">
            <v>N.M.</v>
          </cell>
          <cell r="AT272" t="str">
            <v>N.M.</v>
          </cell>
          <cell r="AU272" t="str">
            <v>N.M.</v>
          </cell>
          <cell r="AV272" t="str">
            <v>N.M.</v>
          </cell>
          <cell r="AW272">
            <v>4.5711749241413875</v>
          </cell>
          <cell r="AX272">
            <v>-3.8740092020704164E-2</v>
          </cell>
          <cell r="AY272">
            <v>-7.0602532032566501E-3</v>
          </cell>
          <cell r="AZ272">
            <v>-2.1318534374357045E-2</v>
          </cell>
          <cell r="BA272">
            <v>0.12391149511417199</v>
          </cell>
          <cell r="BK272" t="str">
            <v>N.M.</v>
          </cell>
          <cell r="BL272" t="e">
            <v>#VALUE!</v>
          </cell>
        </row>
        <row r="273">
          <cell r="A273" t="str">
            <v>MGM Cotai #1</v>
          </cell>
          <cell r="D273" t="str">
            <v>N.M.</v>
          </cell>
          <cell r="E273" t="str">
            <v>N.M.</v>
          </cell>
          <cell r="F273" t="str">
            <v>N.M.</v>
          </cell>
          <cell r="G273" t="str">
            <v>N.M.</v>
          </cell>
          <cell r="H273" t="str">
            <v>N.M.</v>
          </cell>
          <cell r="I273" t="str">
            <v>N.M.</v>
          </cell>
          <cell r="J273" t="str">
            <v>N.M.</v>
          </cell>
          <cell r="K273" t="str">
            <v>N.M.</v>
          </cell>
          <cell r="L273" t="str">
            <v>N.M.</v>
          </cell>
          <cell r="M273" t="str">
            <v>N.M.</v>
          </cell>
          <cell r="N273" t="str">
            <v>N.M.</v>
          </cell>
          <cell r="O273" t="str">
            <v>N.M.</v>
          </cell>
          <cell r="P273" t="str">
            <v>N.M.</v>
          </cell>
          <cell r="Q273" t="str">
            <v>N.M.</v>
          </cell>
          <cell r="R273" t="str">
            <v>N.M.</v>
          </cell>
          <cell r="S273" t="str">
            <v>N.M.</v>
          </cell>
          <cell r="T273" t="str">
            <v>N.M.</v>
          </cell>
          <cell r="U273" t="str">
            <v>N.M.</v>
          </cell>
          <cell r="V273" t="str">
            <v>N.M.</v>
          </cell>
          <cell r="W273" t="str">
            <v>N.M.</v>
          </cell>
          <cell r="X273" t="str">
            <v>N.M.</v>
          </cell>
          <cell r="Y273" t="str">
            <v>N.M.</v>
          </cell>
          <cell r="Z273" t="str">
            <v>N.M.</v>
          </cell>
          <cell r="AA273" t="str">
            <v>N.M.</v>
          </cell>
          <cell r="AB273" t="str">
            <v>N.M.</v>
          </cell>
          <cell r="AC273" t="str">
            <v>N.M.</v>
          </cell>
          <cell r="AD273" t="str">
            <v>N.M.</v>
          </cell>
          <cell r="AE273" t="str">
            <v>N.M.</v>
          </cell>
          <cell r="AF273" t="str">
            <v>N.M.</v>
          </cell>
          <cell r="AG273" t="str">
            <v>N.M.</v>
          </cell>
          <cell r="AH273" t="str">
            <v>N.M.</v>
          </cell>
          <cell r="AI273" t="str">
            <v>N.M.</v>
          </cell>
          <cell r="AJ273" t="str">
            <v>N.M.</v>
          </cell>
          <cell r="AK273" t="str">
            <v>N.M.</v>
          </cell>
          <cell r="AL273" t="str">
            <v>N.M.</v>
          </cell>
          <cell r="AM273" t="str">
            <v>N.M.</v>
          </cell>
          <cell r="AN273" t="str">
            <v>N.M.</v>
          </cell>
          <cell r="AO273" t="str">
            <v>N.M.</v>
          </cell>
          <cell r="AP273" t="str">
            <v>N.M.</v>
          </cell>
          <cell r="AQ273" t="str">
            <v>N.M.</v>
          </cell>
          <cell r="AR273" t="str">
            <v>N.M.</v>
          </cell>
          <cell r="AS273" t="str">
            <v>N.M.</v>
          </cell>
          <cell r="AT273" t="str">
            <v>N.M.</v>
          </cell>
          <cell r="AU273" t="str">
            <v>N.M.</v>
          </cell>
          <cell r="AV273" t="str">
            <v>N.M.</v>
          </cell>
          <cell r="AW273" t="str">
            <v>N.M.</v>
          </cell>
          <cell r="AX273" t="str">
            <v>N.M.</v>
          </cell>
          <cell r="AY273" t="str">
            <v>N.M.</v>
          </cell>
          <cell r="AZ273" t="str">
            <v>N.M.</v>
          </cell>
          <cell r="BA273">
            <v>0.12391149511417199</v>
          </cell>
        </row>
        <row r="274">
          <cell r="A274" t="str">
            <v>Crown Macau - PBL/Melco</v>
          </cell>
          <cell r="D274" t="str">
            <v>N.M.</v>
          </cell>
          <cell r="E274" t="str">
            <v>N.M.</v>
          </cell>
          <cell r="F274" t="str">
            <v>N.M.</v>
          </cell>
          <cell r="G274" t="str">
            <v>N.M.</v>
          </cell>
          <cell r="H274" t="str">
            <v>N.M.</v>
          </cell>
          <cell r="I274" t="str">
            <v>N.M.</v>
          </cell>
          <cell r="J274" t="str">
            <v>N.M.</v>
          </cell>
          <cell r="K274" t="str">
            <v>N.M.</v>
          </cell>
          <cell r="L274" t="str">
            <v>N.M.</v>
          </cell>
          <cell r="M274" t="str">
            <v>N.M.</v>
          </cell>
          <cell r="N274" t="str">
            <v>N.M.</v>
          </cell>
          <cell r="O274" t="str">
            <v>N.M.</v>
          </cell>
          <cell r="P274" t="str">
            <v>N.M.</v>
          </cell>
          <cell r="Q274" t="str">
            <v>N.M.</v>
          </cell>
          <cell r="R274" t="str">
            <v>N.M.</v>
          </cell>
          <cell r="S274" t="str">
            <v>N.M.</v>
          </cell>
          <cell r="T274" t="str">
            <v>N.M.</v>
          </cell>
          <cell r="U274" t="str">
            <v>N.M.</v>
          </cell>
          <cell r="V274" t="str">
            <v>N.M.</v>
          </cell>
          <cell r="W274" t="str">
            <v>N.M.</v>
          </cell>
          <cell r="X274" t="str">
            <v>N.M.</v>
          </cell>
          <cell r="Y274" t="str">
            <v>N.M.</v>
          </cell>
          <cell r="Z274" t="str">
            <v>N.M.</v>
          </cell>
          <cell r="AA274" t="str">
            <v>N.M.</v>
          </cell>
          <cell r="AB274" t="str">
            <v>N.M.</v>
          </cell>
          <cell r="AC274" t="str">
            <v>N.M.</v>
          </cell>
          <cell r="AD274" t="str">
            <v>N.M.</v>
          </cell>
          <cell r="AE274" t="str">
            <v>N.M.</v>
          </cell>
          <cell r="AF274" t="str">
            <v>N.M.</v>
          </cell>
          <cell r="AG274" t="str">
            <v>N.M.</v>
          </cell>
          <cell r="AH274" t="str">
            <v>N.M.</v>
          </cell>
          <cell r="AI274" t="str">
            <v>N.M.</v>
          </cell>
          <cell r="AJ274" t="str">
            <v>N.M.</v>
          </cell>
          <cell r="AK274" t="str">
            <v>N.M.</v>
          </cell>
          <cell r="AL274" t="str">
            <v>N.M.</v>
          </cell>
          <cell r="AM274" t="str">
            <v>N.M.</v>
          </cell>
          <cell r="AN274" t="str">
            <v>N.M.</v>
          </cell>
          <cell r="AO274" t="str">
            <v>N.M.</v>
          </cell>
          <cell r="AP274" t="str">
            <v>N.M.</v>
          </cell>
          <cell r="AQ274" t="str">
            <v>N.M.</v>
          </cell>
          <cell r="AR274" t="str">
            <v>N.M.</v>
          </cell>
          <cell r="AS274" t="str">
            <v>N.M.</v>
          </cell>
          <cell r="AT274" t="str">
            <v>N.M.</v>
          </cell>
          <cell r="AU274" t="str">
            <v>N.M.</v>
          </cell>
          <cell r="AV274" t="str">
            <v>N.M.</v>
          </cell>
          <cell r="AW274">
            <v>0.24132244765344901</v>
          </cell>
          <cell r="AX274">
            <v>-4.8352691100496892E-2</v>
          </cell>
          <cell r="AY274">
            <v>-7.0602532032566501E-3</v>
          </cell>
          <cell r="AZ274">
            <v>6.7652507955246799E-2</v>
          </cell>
          <cell r="BA274">
            <v>0.12391149511417199</v>
          </cell>
          <cell r="BK274" t="str">
            <v>N.M.</v>
          </cell>
          <cell r="BL274" t="e">
            <v>#VALUE!</v>
          </cell>
        </row>
        <row r="275">
          <cell r="A275" t="str">
            <v>Penninsula Project - PBL/Melco ("Trinity")</v>
          </cell>
          <cell r="D275" t="str">
            <v>N.M.</v>
          </cell>
          <cell r="E275" t="str">
            <v>N.M.</v>
          </cell>
          <cell r="F275" t="str">
            <v>N.M.</v>
          </cell>
          <cell r="G275" t="str">
            <v>N.M.</v>
          </cell>
          <cell r="H275" t="str">
            <v>N.M.</v>
          </cell>
          <cell r="I275" t="str">
            <v>N.M.</v>
          </cell>
          <cell r="J275" t="str">
            <v>N.M.</v>
          </cell>
          <cell r="K275" t="str">
            <v>N.M.</v>
          </cell>
          <cell r="L275" t="str">
            <v>N.M.</v>
          </cell>
          <cell r="M275" t="str">
            <v>N.M.</v>
          </cell>
          <cell r="N275" t="str">
            <v>N.M.</v>
          </cell>
          <cell r="O275" t="str">
            <v>N.M.</v>
          </cell>
          <cell r="P275" t="str">
            <v>N.M.</v>
          </cell>
          <cell r="Q275" t="str">
            <v>N.M.</v>
          </cell>
          <cell r="R275" t="str">
            <v>N.M.</v>
          </cell>
          <cell r="S275" t="str">
            <v>N.M.</v>
          </cell>
          <cell r="T275" t="str">
            <v>N.M.</v>
          </cell>
          <cell r="U275" t="str">
            <v>N.M.</v>
          </cell>
          <cell r="V275" t="str">
            <v>N.M.</v>
          </cell>
          <cell r="W275" t="str">
            <v>N.M.</v>
          </cell>
          <cell r="X275" t="str">
            <v>N.M.</v>
          </cell>
          <cell r="Y275" t="str">
            <v>N.M.</v>
          </cell>
          <cell r="Z275" t="str">
            <v>N.M.</v>
          </cell>
          <cell r="AA275" t="str">
            <v>N.M.</v>
          </cell>
          <cell r="AB275" t="str">
            <v>N.M.</v>
          </cell>
          <cell r="AC275" t="str">
            <v>N.M.</v>
          </cell>
          <cell r="AD275" t="str">
            <v>N.M.</v>
          </cell>
          <cell r="AE275" t="str">
            <v>N.M.</v>
          </cell>
          <cell r="AF275" t="str">
            <v>N.M.</v>
          </cell>
          <cell r="AG275" t="str">
            <v>N.M.</v>
          </cell>
          <cell r="AH275" t="str">
            <v>N.M.</v>
          </cell>
          <cell r="AI275" t="str">
            <v>N.M.</v>
          </cell>
          <cell r="AJ275" t="str">
            <v>N.M.</v>
          </cell>
          <cell r="AK275" t="str">
            <v>N.M.</v>
          </cell>
          <cell r="AL275" t="str">
            <v>N.M.</v>
          </cell>
          <cell r="AM275" t="str">
            <v>N.M.</v>
          </cell>
          <cell r="AN275" t="str">
            <v>N.M.</v>
          </cell>
          <cell r="AO275" t="str">
            <v>N.M.</v>
          </cell>
          <cell r="AP275" t="str">
            <v>N.M.</v>
          </cell>
          <cell r="AQ275" t="str">
            <v>N.M.</v>
          </cell>
          <cell r="AR275" t="str">
            <v>N.M.</v>
          </cell>
          <cell r="AS275" t="str">
            <v>N.M.</v>
          </cell>
          <cell r="AT275" t="str">
            <v>N.M.</v>
          </cell>
          <cell r="AU275" t="str">
            <v>N.M.</v>
          </cell>
          <cell r="AV275" t="str">
            <v>N.M.</v>
          </cell>
          <cell r="AW275" t="str">
            <v>N.M.</v>
          </cell>
          <cell r="AX275" t="str">
            <v>N.M.</v>
          </cell>
          <cell r="AY275">
            <v>1.53370831941238</v>
          </cell>
          <cell r="AZ275">
            <v>-2.1318534374357045E-2</v>
          </cell>
          <cell r="BA275">
            <v>0.12391149511417199</v>
          </cell>
          <cell r="BK275" t="str">
            <v>N.M.</v>
          </cell>
          <cell r="BL275" t="e">
            <v>#VALUE!</v>
          </cell>
        </row>
        <row r="276">
          <cell r="A276" t="str">
            <v>City of Dreams - PBL/Melco</v>
          </cell>
          <cell r="D276" t="str">
            <v>N.M.</v>
          </cell>
          <cell r="E276" t="str">
            <v>N.M.</v>
          </cell>
          <cell r="F276" t="str">
            <v>N.M.</v>
          </cell>
          <cell r="G276" t="str">
            <v>N.M.</v>
          </cell>
          <cell r="H276" t="str">
            <v>N.M.</v>
          </cell>
          <cell r="I276" t="str">
            <v>N.M.</v>
          </cell>
          <cell r="J276" t="str">
            <v>N.M.</v>
          </cell>
          <cell r="K276" t="str">
            <v>N.M.</v>
          </cell>
          <cell r="L276" t="str">
            <v>N.M.</v>
          </cell>
          <cell r="M276" t="str">
            <v>N.M.</v>
          </cell>
          <cell r="N276" t="str">
            <v>N.M.</v>
          </cell>
          <cell r="O276" t="str">
            <v>N.M.</v>
          </cell>
          <cell r="P276" t="str">
            <v>N.M.</v>
          </cell>
          <cell r="Q276" t="str">
            <v>N.M.</v>
          </cell>
          <cell r="R276" t="str">
            <v>N.M.</v>
          </cell>
          <cell r="S276" t="str">
            <v>N.M.</v>
          </cell>
          <cell r="T276" t="str">
            <v>N.M.</v>
          </cell>
          <cell r="U276" t="str">
            <v>N.M.</v>
          </cell>
          <cell r="V276" t="str">
            <v>N.M.</v>
          </cell>
          <cell r="W276" t="str">
            <v>N.M.</v>
          </cell>
          <cell r="X276" t="str">
            <v>N.M.</v>
          </cell>
          <cell r="Y276" t="str">
            <v>N.M.</v>
          </cell>
          <cell r="Z276" t="str">
            <v>N.M.</v>
          </cell>
          <cell r="AA276" t="str">
            <v>N.M.</v>
          </cell>
          <cell r="AB276" t="str">
            <v>N.M.</v>
          </cell>
          <cell r="AC276" t="str">
            <v>N.M.</v>
          </cell>
          <cell r="AD276" t="str">
            <v>N.M.</v>
          </cell>
          <cell r="AE276" t="str">
            <v>N.M.</v>
          </cell>
          <cell r="AF276" t="str">
            <v>N.M.</v>
          </cell>
          <cell r="AG276" t="str">
            <v>N.M.</v>
          </cell>
          <cell r="AH276" t="str">
            <v>N.M.</v>
          </cell>
          <cell r="AI276" t="str">
            <v>N.M.</v>
          </cell>
          <cell r="AJ276" t="str">
            <v>N.M.</v>
          </cell>
          <cell r="AK276" t="str">
            <v>N.M.</v>
          </cell>
          <cell r="AL276" t="str">
            <v>N.M.</v>
          </cell>
          <cell r="AM276" t="str">
            <v>N.M.</v>
          </cell>
          <cell r="AN276" t="str">
            <v>N.M.</v>
          </cell>
          <cell r="AO276" t="str">
            <v>N.M.</v>
          </cell>
          <cell r="AP276" t="str">
            <v>N.M.</v>
          </cell>
          <cell r="AQ276" t="str">
            <v>N.M.</v>
          </cell>
          <cell r="AR276" t="str">
            <v>N.M.</v>
          </cell>
          <cell r="AS276" t="str">
            <v>N.M.</v>
          </cell>
          <cell r="AT276" t="str">
            <v>N.M.</v>
          </cell>
          <cell r="AU276" t="str">
            <v>N.M.</v>
          </cell>
          <cell r="AV276" t="str">
            <v>N.M.</v>
          </cell>
          <cell r="AW276" t="str">
            <v>N.M.</v>
          </cell>
          <cell r="AX276" t="str">
            <v>N.M.</v>
          </cell>
          <cell r="AY276">
            <v>-7.0602532032567611E-3</v>
          </cell>
          <cell r="AZ276">
            <v>-2.1318534374357045E-2</v>
          </cell>
          <cell r="BA276">
            <v>0.12391149511417221</v>
          </cell>
          <cell r="BK276" t="str">
            <v>N.M.</v>
          </cell>
          <cell r="BL276" t="e">
            <v>#VALUE!</v>
          </cell>
        </row>
        <row r="277">
          <cell r="A277" t="str">
            <v>Galaxy Cotai Mega Resort</v>
          </cell>
          <cell r="D277" t="str">
            <v>N.M.</v>
          </cell>
          <cell r="E277" t="str">
            <v>N.M.</v>
          </cell>
          <cell r="F277" t="str">
            <v>N.M.</v>
          </cell>
          <cell r="G277" t="str">
            <v>N.M.</v>
          </cell>
          <cell r="H277" t="str">
            <v>N.M.</v>
          </cell>
          <cell r="I277" t="str">
            <v>N.M.</v>
          </cell>
          <cell r="J277" t="str">
            <v>N.M.</v>
          </cell>
          <cell r="K277" t="str">
            <v>N.M.</v>
          </cell>
          <cell r="L277" t="str">
            <v>N.M.</v>
          </cell>
          <cell r="M277" t="str">
            <v>N.M.</v>
          </cell>
          <cell r="N277" t="str">
            <v>N.M.</v>
          </cell>
          <cell r="O277" t="str">
            <v>N.M.</v>
          </cell>
          <cell r="P277" t="str">
            <v>N.M.</v>
          </cell>
          <cell r="Q277" t="str">
            <v>N.M.</v>
          </cell>
          <cell r="R277" t="str">
            <v>N.M.</v>
          </cell>
          <cell r="S277" t="str">
            <v>N.M.</v>
          </cell>
          <cell r="T277" t="str">
            <v>N.M.</v>
          </cell>
          <cell r="U277" t="str">
            <v>N.M.</v>
          </cell>
          <cell r="V277" t="str">
            <v>N.M.</v>
          </cell>
          <cell r="W277" t="str">
            <v>N.M.</v>
          </cell>
          <cell r="X277" t="str">
            <v>N.M.</v>
          </cell>
          <cell r="Y277" t="str">
            <v>N.M.</v>
          </cell>
          <cell r="Z277" t="str">
            <v>N.M.</v>
          </cell>
          <cell r="AA277" t="str">
            <v>N.M.</v>
          </cell>
          <cell r="AB277" t="str">
            <v>N.M.</v>
          </cell>
          <cell r="AC277" t="str">
            <v>N.M.</v>
          </cell>
          <cell r="AD277" t="str">
            <v>N.M.</v>
          </cell>
          <cell r="AE277" t="str">
            <v>N.M.</v>
          </cell>
          <cell r="AF277" t="str">
            <v>N.M.</v>
          </cell>
          <cell r="AG277" t="str">
            <v>N.M.</v>
          </cell>
          <cell r="AH277" t="str">
            <v>N.M.</v>
          </cell>
          <cell r="AI277" t="str">
            <v>N.M.</v>
          </cell>
          <cell r="AJ277" t="str">
            <v>N.M.</v>
          </cell>
          <cell r="AK277" t="str">
            <v>N.M.</v>
          </cell>
          <cell r="AL277" t="str">
            <v>N.M.</v>
          </cell>
          <cell r="AM277" t="str">
            <v>N.M.</v>
          </cell>
          <cell r="AN277" t="str">
            <v>N.M.</v>
          </cell>
          <cell r="AO277" t="str">
            <v>N.M.</v>
          </cell>
          <cell r="AP277" t="str">
            <v>N.M.</v>
          </cell>
          <cell r="AQ277" t="str">
            <v>N.M.</v>
          </cell>
          <cell r="AR277" t="str">
            <v>N.M.</v>
          </cell>
          <cell r="AS277" t="str">
            <v>N.M.</v>
          </cell>
          <cell r="AT277" t="str">
            <v>N.M.</v>
          </cell>
          <cell r="AU277" t="str">
            <v>N.M.</v>
          </cell>
          <cell r="AV277" t="str">
            <v>N.M.</v>
          </cell>
          <cell r="AW277" t="str">
            <v>N.M.</v>
          </cell>
          <cell r="AX277">
            <v>0.73026783436273268</v>
          </cell>
          <cell r="AY277">
            <v>-2.8645899872751235E-2</v>
          </cell>
          <cell r="AZ277">
            <v>-2.1318534374357045E-2</v>
          </cell>
          <cell r="BA277">
            <v>0.12391149511417243</v>
          </cell>
          <cell r="BK277" t="str">
            <v>N.M.</v>
          </cell>
          <cell r="BL277" t="e">
            <v>#VALUE!</v>
          </cell>
        </row>
        <row r="278">
          <cell r="A278" t="str">
            <v>Galaxy StarWorld</v>
          </cell>
          <cell r="D278" t="str">
            <v>N.M.</v>
          </cell>
          <cell r="E278" t="str">
            <v>N.M.</v>
          </cell>
          <cell r="F278" t="str">
            <v>N.M.</v>
          </cell>
          <cell r="G278" t="str">
            <v>N.M.</v>
          </cell>
          <cell r="H278" t="str">
            <v>N.M.</v>
          </cell>
          <cell r="I278" t="str">
            <v>N.M.</v>
          </cell>
          <cell r="J278" t="str">
            <v>N.M.</v>
          </cell>
          <cell r="K278" t="str">
            <v>N.M.</v>
          </cell>
          <cell r="L278" t="str">
            <v>N.M.</v>
          </cell>
          <cell r="M278" t="str">
            <v>N.M.</v>
          </cell>
          <cell r="N278" t="str">
            <v>N.M.</v>
          </cell>
          <cell r="O278" t="str">
            <v>N.M.</v>
          </cell>
          <cell r="P278" t="str">
            <v>N.M.</v>
          </cell>
          <cell r="Q278" t="str">
            <v>N.M.</v>
          </cell>
          <cell r="R278" t="str">
            <v>N.M.</v>
          </cell>
          <cell r="S278" t="str">
            <v>N.M.</v>
          </cell>
          <cell r="T278" t="str">
            <v>N.M.</v>
          </cell>
          <cell r="U278" t="str">
            <v>N.M.</v>
          </cell>
          <cell r="V278" t="str">
            <v>N.M.</v>
          </cell>
          <cell r="W278" t="str">
            <v>N.M.</v>
          </cell>
          <cell r="X278" t="str">
            <v>N.M.</v>
          </cell>
          <cell r="Y278" t="str">
            <v>N.M.</v>
          </cell>
          <cell r="Z278" t="str">
            <v>N.M.</v>
          </cell>
          <cell r="AA278" t="str">
            <v>N.M.</v>
          </cell>
          <cell r="AB278" t="str">
            <v>N.M.</v>
          </cell>
          <cell r="AC278" t="str">
            <v>N.M.</v>
          </cell>
          <cell r="AD278" t="str">
            <v>N.M.</v>
          </cell>
          <cell r="AE278" t="str">
            <v>N.M.</v>
          </cell>
          <cell r="AF278" t="str">
            <v>N.M.</v>
          </cell>
          <cell r="AG278" t="str">
            <v>N.M.</v>
          </cell>
          <cell r="AH278" t="str">
            <v>N.M.</v>
          </cell>
          <cell r="AI278" t="str">
            <v>N.M.</v>
          </cell>
          <cell r="AJ278" t="str">
            <v>N.M.</v>
          </cell>
          <cell r="AK278" t="str">
            <v>N.M.</v>
          </cell>
          <cell r="AL278" t="str">
            <v>N.M.</v>
          </cell>
          <cell r="AM278" t="str">
            <v>N.M.</v>
          </cell>
          <cell r="AN278" t="str">
            <v>N.M.</v>
          </cell>
          <cell r="AO278" t="str">
            <v>N.M.</v>
          </cell>
          <cell r="AP278" t="str">
            <v>N.M.</v>
          </cell>
          <cell r="AQ278" t="str">
            <v>N.M.</v>
          </cell>
          <cell r="AR278" t="str">
            <v>N.M.</v>
          </cell>
          <cell r="AS278" t="str">
            <v>N.M.</v>
          </cell>
          <cell r="AT278" t="str">
            <v>N.M.</v>
          </cell>
          <cell r="AU278" t="str">
            <v>N.M.</v>
          </cell>
          <cell r="AV278" t="str">
            <v>N.M.</v>
          </cell>
          <cell r="AW278">
            <v>-5.2295805588948863E-3</v>
          </cell>
          <cell r="AX278">
            <v>-7.3070803019964603E-2</v>
          </cell>
          <cell r="AY278">
            <v>-7.0602532032567611E-3</v>
          </cell>
          <cell r="AZ278">
            <v>-2.1318534374357156E-2</v>
          </cell>
          <cell r="BA278">
            <v>0.12391149511417199</v>
          </cell>
          <cell r="BK278">
            <v>3.1177633087213277</v>
          </cell>
          <cell r="BL278" t="e">
            <v>#VALUE!</v>
          </cell>
        </row>
        <row r="279">
          <cell r="A279" t="str">
            <v>Galaxy City Clubs</v>
          </cell>
          <cell r="D279" t="str">
            <v>N.M.</v>
          </cell>
          <cell r="E279" t="str">
            <v>N.M.</v>
          </cell>
          <cell r="F279" t="str">
            <v>N.M.</v>
          </cell>
          <cell r="G279" t="str">
            <v>N.M.</v>
          </cell>
          <cell r="H279" t="str">
            <v>N.M.</v>
          </cell>
          <cell r="I279" t="str">
            <v>N.M.</v>
          </cell>
          <cell r="J279" t="str">
            <v>N.M.</v>
          </cell>
          <cell r="K279" t="str">
            <v>N.M.</v>
          </cell>
          <cell r="L279" t="str">
            <v>N.M.</v>
          </cell>
          <cell r="M279" t="str">
            <v>N.M.</v>
          </cell>
          <cell r="N279" t="str">
            <v>N.M.</v>
          </cell>
          <cell r="O279" t="str">
            <v>N.M.</v>
          </cell>
          <cell r="P279" t="str">
            <v>N.M.</v>
          </cell>
          <cell r="Q279" t="str">
            <v>N.M.</v>
          </cell>
          <cell r="R279" t="str">
            <v>N.M.</v>
          </cell>
          <cell r="S279" t="str">
            <v>N.M.</v>
          </cell>
          <cell r="T279" t="str">
            <v>N.M.</v>
          </cell>
          <cell r="U279" t="str">
            <v>N.M.</v>
          </cell>
          <cell r="V279" t="str">
            <v>N.M.</v>
          </cell>
          <cell r="W279" t="str">
            <v>N.M.</v>
          </cell>
          <cell r="X279" t="str">
            <v>N.M.</v>
          </cell>
          <cell r="Y279" t="str">
            <v>N.M.</v>
          </cell>
          <cell r="Z279" t="str">
            <v>N.M.</v>
          </cell>
          <cell r="AA279" t="str">
            <v>N.M.</v>
          </cell>
          <cell r="AB279" t="str">
            <v>N.M.</v>
          </cell>
          <cell r="AC279" t="str">
            <v>N.M.</v>
          </cell>
          <cell r="AD279" t="str">
            <v>N.M.</v>
          </cell>
          <cell r="AE279" t="str">
            <v>N.M.</v>
          </cell>
          <cell r="AF279" t="str">
            <v>N.M.</v>
          </cell>
          <cell r="AG279" t="str">
            <v>N.M.</v>
          </cell>
          <cell r="AH279" t="str">
            <v>N.M.</v>
          </cell>
          <cell r="AI279" t="str">
            <v>N.M.</v>
          </cell>
          <cell r="AJ279" t="str">
            <v>N.M.</v>
          </cell>
          <cell r="AK279" t="str">
            <v>N.M.</v>
          </cell>
          <cell r="AL279" t="str">
            <v>N.M.</v>
          </cell>
          <cell r="AM279" t="str">
            <v>N.M.</v>
          </cell>
          <cell r="AN279" t="str">
            <v>N.M.</v>
          </cell>
          <cell r="AO279" t="str">
            <v>N.M.</v>
          </cell>
          <cell r="AP279" t="str">
            <v>N.M.</v>
          </cell>
          <cell r="AQ279" t="str">
            <v>N.M.</v>
          </cell>
          <cell r="AR279">
            <v>1.8107717468912279</v>
          </cell>
          <cell r="AS279">
            <v>-0.30565578590559139</v>
          </cell>
          <cell r="AT279">
            <v>-0.43815019587598825</v>
          </cell>
          <cell r="AU279">
            <v>-0.43424069810710741</v>
          </cell>
          <cell r="AV279">
            <v>-0.17872257087004007</v>
          </cell>
          <cell r="AW279">
            <v>-0.24239503281355324</v>
          </cell>
          <cell r="AX279">
            <v>-0.13486608281863388</v>
          </cell>
          <cell r="AY279">
            <v>-7.0602532032567611E-3</v>
          </cell>
          <cell r="AZ279">
            <v>-2.1318534374356934E-2</v>
          </cell>
          <cell r="BA279">
            <v>0.12391149511417199</v>
          </cell>
          <cell r="BK279">
            <v>-6.3819661019634544E-2</v>
          </cell>
          <cell r="BL279">
            <v>-0.11490290985040552</v>
          </cell>
        </row>
        <row r="280">
          <cell r="A280" t="str">
            <v>Macau Studio City</v>
          </cell>
          <cell r="D280" t="str">
            <v>N.M.</v>
          </cell>
          <cell r="E280" t="str">
            <v>N.M.</v>
          </cell>
          <cell r="F280" t="str">
            <v>N.M.</v>
          </cell>
          <cell r="G280" t="str">
            <v>N.M.</v>
          </cell>
          <cell r="H280" t="str">
            <v>N.M.</v>
          </cell>
          <cell r="I280" t="str">
            <v>N.M.</v>
          </cell>
          <cell r="J280" t="str">
            <v>N.M.</v>
          </cell>
          <cell r="K280" t="str">
            <v>N.M.</v>
          </cell>
          <cell r="L280" t="str">
            <v>N.M.</v>
          </cell>
          <cell r="M280" t="str">
            <v>N.M.</v>
          </cell>
          <cell r="N280" t="str">
            <v>N.M.</v>
          </cell>
          <cell r="O280" t="str">
            <v>N.M.</v>
          </cell>
          <cell r="P280" t="str">
            <v>N.M.</v>
          </cell>
          <cell r="Q280" t="str">
            <v>N.M.</v>
          </cell>
          <cell r="R280" t="str">
            <v>N.M.</v>
          </cell>
          <cell r="S280" t="str">
            <v>N.M.</v>
          </cell>
          <cell r="T280" t="str">
            <v>N.M.</v>
          </cell>
          <cell r="U280" t="str">
            <v>N.M.</v>
          </cell>
          <cell r="V280" t="str">
            <v>N.M.</v>
          </cell>
          <cell r="W280" t="str">
            <v>N.M.</v>
          </cell>
          <cell r="X280" t="str">
            <v>N.M.</v>
          </cell>
          <cell r="Y280" t="str">
            <v>N.M.</v>
          </cell>
          <cell r="Z280" t="str">
            <v>N.M.</v>
          </cell>
          <cell r="AA280" t="str">
            <v>N.M.</v>
          </cell>
          <cell r="AB280" t="str">
            <v>N.M.</v>
          </cell>
          <cell r="AC280" t="str">
            <v>N.M.</v>
          </cell>
          <cell r="AD280" t="str">
            <v>N.M.</v>
          </cell>
          <cell r="AE280" t="str">
            <v>N.M.</v>
          </cell>
          <cell r="AF280" t="str">
            <v>N.M.</v>
          </cell>
          <cell r="AG280" t="str">
            <v>N.M.</v>
          </cell>
          <cell r="AH280" t="str">
            <v>N.M.</v>
          </cell>
          <cell r="AI280" t="str">
            <v>N.M.</v>
          </cell>
          <cell r="AJ280" t="str">
            <v>N.M.</v>
          </cell>
          <cell r="AK280" t="str">
            <v>N.M.</v>
          </cell>
          <cell r="AL280" t="str">
            <v>N.M.</v>
          </cell>
          <cell r="AM280" t="str">
            <v>N.M.</v>
          </cell>
          <cell r="AN280" t="str">
            <v>N.M.</v>
          </cell>
          <cell r="AO280" t="str">
            <v>N.M.</v>
          </cell>
          <cell r="AP280" t="str">
            <v>N.M.</v>
          </cell>
          <cell r="AQ280" t="str">
            <v>N.M.</v>
          </cell>
          <cell r="AR280" t="str">
            <v>N.M.</v>
          </cell>
          <cell r="AS280" t="str">
            <v>N.M.</v>
          </cell>
          <cell r="AT280" t="str">
            <v>N.M.</v>
          </cell>
          <cell r="AU280" t="str">
            <v>N.M.</v>
          </cell>
          <cell r="AV280" t="str">
            <v>N.M.</v>
          </cell>
          <cell r="AW280" t="str">
            <v>N.M.</v>
          </cell>
          <cell r="AX280" t="str">
            <v>N.M.</v>
          </cell>
          <cell r="AY280">
            <v>-7.0602532032567611E-3</v>
          </cell>
          <cell r="AZ280">
            <v>0.58737359668549405</v>
          </cell>
          <cell r="BA280">
            <v>0.12391149511417199</v>
          </cell>
          <cell r="BK280">
            <v>-6.3819661019634544E-2</v>
          </cell>
          <cell r="BL280" t="e">
            <v>#VALUE!</v>
          </cell>
        </row>
        <row r="281">
          <cell r="A281" t="str">
            <v>New SJM</v>
          </cell>
          <cell r="D281" t="str">
            <v>N.M.</v>
          </cell>
          <cell r="E281" t="str">
            <v>N.M.</v>
          </cell>
          <cell r="F281" t="str">
            <v>N.M.</v>
          </cell>
          <cell r="G281" t="str">
            <v>N.M.</v>
          </cell>
          <cell r="H281" t="str">
            <v>N.M.</v>
          </cell>
          <cell r="I281" t="str">
            <v>N.M.</v>
          </cell>
          <cell r="J281" t="str">
            <v>N.M.</v>
          </cell>
          <cell r="K281" t="str">
            <v>N.M.</v>
          </cell>
          <cell r="L281" t="str">
            <v>N.M.</v>
          </cell>
          <cell r="M281" t="str">
            <v>N.M.</v>
          </cell>
          <cell r="N281" t="str">
            <v>N.M.</v>
          </cell>
          <cell r="O281" t="str">
            <v>N.M.</v>
          </cell>
          <cell r="P281" t="str">
            <v>N.M.</v>
          </cell>
          <cell r="Q281" t="str">
            <v>N.M.</v>
          </cell>
          <cell r="R281" t="str">
            <v>N.M.</v>
          </cell>
          <cell r="S281" t="str">
            <v>N.M.</v>
          </cell>
          <cell r="T281" t="str">
            <v>N.M.</v>
          </cell>
          <cell r="U281" t="str">
            <v>N.M.</v>
          </cell>
          <cell r="V281" t="str">
            <v>N.M.</v>
          </cell>
          <cell r="W281" t="str">
            <v>N.M.</v>
          </cell>
          <cell r="X281" t="str">
            <v>N.M.</v>
          </cell>
          <cell r="Y281" t="str">
            <v>N.M.</v>
          </cell>
          <cell r="Z281" t="str">
            <v>N.M.</v>
          </cell>
          <cell r="AA281" t="str">
            <v>N.M.</v>
          </cell>
          <cell r="AB281" t="str">
            <v>N.M.</v>
          </cell>
          <cell r="AC281" t="str">
            <v>N.M.</v>
          </cell>
          <cell r="AD281" t="str">
            <v>N.M.</v>
          </cell>
          <cell r="AE281" t="str">
            <v>N.M.</v>
          </cell>
          <cell r="AF281" t="str">
            <v>N.M.</v>
          </cell>
          <cell r="AG281" t="str">
            <v>N.M.</v>
          </cell>
          <cell r="AH281" t="str">
            <v>N.M.</v>
          </cell>
          <cell r="AI281" t="str">
            <v>N.M.</v>
          </cell>
          <cell r="AJ281" t="str">
            <v>N.M.</v>
          </cell>
          <cell r="AK281" t="str">
            <v>N.M.</v>
          </cell>
          <cell r="AL281" t="str">
            <v>N.M.</v>
          </cell>
          <cell r="AM281" t="str">
            <v>N.M.</v>
          </cell>
          <cell r="AN281" t="str">
            <v>N.M.</v>
          </cell>
          <cell r="AO281" t="str">
            <v>N.M.</v>
          </cell>
          <cell r="AP281" t="str">
            <v>N.M.</v>
          </cell>
          <cell r="AQ281" t="str">
            <v>N.M.</v>
          </cell>
          <cell r="AR281" t="str">
            <v>N.M.</v>
          </cell>
          <cell r="AS281" t="str">
            <v>N.M.</v>
          </cell>
          <cell r="AT281" t="str">
            <v>N.M.</v>
          </cell>
          <cell r="AU281" t="str">
            <v>N.M.</v>
          </cell>
          <cell r="AV281" t="str">
            <v>N.M.</v>
          </cell>
          <cell r="AW281">
            <v>0.30590165895739441</v>
          </cell>
          <cell r="AX281">
            <v>0.65012716052006403</v>
          </cell>
          <cell r="AY281">
            <v>0.13464718806427989</v>
          </cell>
          <cell r="AZ281">
            <v>0.38611045256437371</v>
          </cell>
          <cell r="BA281">
            <v>0.18635102262051473</v>
          </cell>
          <cell r="BK281">
            <v>6.6765812661224047</v>
          </cell>
          <cell r="BL281" t="e">
            <v>#VALUE!</v>
          </cell>
        </row>
        <row r="282">
          <cell r="A282" t="str">
            <v>Old SJM</v>
          </cell>
          <cell r="D282" t="str">
            <v>N.M.</v>
          </cell>
          <cell r="E282" t="str">
            <v>N.M.</v>
          </cell>
          <cell r="F282" t="str">
            <v>N.M.</v>
          </cell>
          <cell r="G282" t="str">
            <v>N.M.</v>
          </cell>
          <cell r="H282" t="str">
            <v>N.M.</v>
          </cell>
          <cell r="I282" t="str">
            <v>N.M.</v>
          </cell>
          <cell r="J282" t="str">
            <v>N.M.</v>
          </cell>
          <cell r="K282" t="str">
            <v>N.M.</v>
          </cell>
          <cell r="L282" t="str">
            <v>N.M.</v>
          </cell>
          <cell r="M282" t="str">
            <v>N.M.</v>
          </cell>
          <cell r="N282" t="str">
            <v>N.M.</v>
          </cell>
          <cell r="O282" t="str">
            <v>N.M.</v>
          </cell>
          <cell r="P282" t="str">
            <v>N.M.</v>
          </cell>
          <cell r="Q282" t="str">
            <v>N.M.</v>
          </cell>
          <cell r="R282" t="str">
            <v>N.M.</v>
          </cell>
          <cell r="S282" t="str">
            <v>N.M.</v>
          </cell>
          <cell r="T282" t="str">
            <v>N.M.</v>
          </cell>
          <cell r="U282" t="str">
            <v>N.M.</v>
          </cell>
          <cell r="V282" t="str">
            <v>N.M.</v>
          </cell>
          <cell r="W282" t="str">
            <v>N.M.</v>
          </cell>
          <cell r="X282" t="str">
            <v>N.M.</v>
          </cell>
          <cell r="Y282" t="str">
            <v>N.M.</v>
          </cell>
          <cell r="Z282" t="str">
            <v>N.M.</v>
          </cell>
          <cell r="AA282" t="str">
            <v>N.M.</v>
          </cell>
          <cell r="AB282" t="str">
            <v>N.M.</v>
          </cell>
          <cell r="AC282" t="str">
            <v>N.M.</v>
          </cell>
          <cell r="AD282" t="str">
            <v>N.M.</v>
          </cell>
          <cell r="AE282" t="str">
            <v>N.M.</v>
          </cell>
          <cell r="AF282" t="str">
            <v>N.M.</v>
          </cell>
          <cell r="AG282" t="str">
            <v>N.M.</v>
          </cell>
          <cell r="AH282" t="str">
            <v>N.M.</v>
          </cell>
          <cell r="AI282" t="str">
            <v>N.M.</v>
          </cell>
          <cell r="AJ282" t="str">
            <v>N.M.</v>
          </cell>
          <cell r="AK282" t="str">
            <v>N.M.</v>
          </cell>
          <cell r="AL282" t="str">
            <v>N.M.</v>
          </cell>
          <cell r="AM282" t="str">
            <v>N.M.</v>
          </cell>
          <cell r="AN282" t="str">
            <v>N.M.</v>
          </cell>
          <cell r="AO282" t="str">
            <v>N.M.</v>
          </cell>
          <cell r="AP282" t="str">
            <v>N.M.</v>
          </cell>
          <cell r="AQ282" t="str">
            <v>N.M.</v>
          </cell>
          <cell r="AR282">
            <v>-0.30484419570942689</v>
          </cell>
          <cell r="AS282">
            <v>-0.32701754488662971</v>
          </cell>
          <cell r="AT282">
            <v>-0.35110440202352433</v>
          </cell>
          <cell r="AU282">
            <v>-0.33239816115027365</v>
          </cell>
          <cell r="AV282">
            <v>-0.32791877621430943</v>
          </cell>
          <cell r="AW282">
            <v>-0.59038111926489412</v>
          </cell>
          <cell r="AX282">
            <v>-0.45441731799691243</v>
          </cell>
          <cell r="AY282">
            <v>-0.10567356589056653</v>
          </cell>
          <cell r="AZ282">
            <v>0.21034193131689816</v>
          </cell>
          <cell r="BA282">
            <v>-9.4261199342509094E-2</v>
          </cell>
          <cell r="BK282">
            <v>-0.405802609940355</v>
          </cell>
          <cell r="BL282">
            <v>7.788383372604557E-2</v>
          </cell>
        </row>
        <row r="283">
          <cell r="A283" t="str">
            <v>Other Mass Market</v>
          </cell>
          <cell r="D283">
            <v>4.9656657911086644E-2</v>
          </cell>
          <cell r="E283">
            <v>-8.5061861588807242E-2</v>
          </cell>
          <cell r="F283">
            <v>-8.446295437400575E-2</v>
          </cell>
          <cell r="G283">
            <v>-2.6274725835415125E-2</v>
          </cell>
          <cell r="H283">
            <v>-0.16787585389042037</v>
          </cell>
          <cell r="I283" t="str">
            <v>N.M.</v>
          </cell>
          <cell r="J283" t="str">
            <v>N.M.</v>
          </cell>
          <cell r="K283" t="str">
            <v>N.M.</v>
          </cell>
          <cell r="L283" t="str">
            <v>N.M.</v>
          </cell>
          <cell r="M283">
            <v>0.15427894312811197</v>
          </cell>
          <cell r="N283">
            <v>-3.6284284956789037E-2</v>
          </cell>
          <cell r="O283">
            <v>8.8131752679579956E-2</v>
          </cell>
          <cell r="P283">
            <v>1.9617142594859249E-2</v>
          </cell>
          <cell r="Q283">
            <v>0.12963339379537331</v>
          </cell>
          <cell r="R283">
            <v>4.7515816853742177E-2</v>
          </cell>
          <cell r="S283">
            <v>-8.3791201752341227E-3</v>
          </cell>
          <cell r="T283">
            <v>6.4680092309518988E-2</v>
          </cell>
          <cell r="U283">
            <v>5.2785605978953987E-2</v>
          </cell>
          <cell r="V283">
            <v>0.14895037438963543</v>
          </cell>
          <cell r="W283">
            <v>6.5638265911447391E-2</v>
          </cell>
          <cell r="X283">
            <v>0.17961350655231589</v>
          </cell>
          <cell r="Y283">
            <v>-0.16653363672271004</v>
          </cell>
          <cell r="Z283">
            <v>0.22419881485991899</v>
          </cell>
          <cell r="AA283">
            <v>0.20072561908201503</v>
          </cell>
          <cell r="AB283">
            <v>0.11054127036749239</v>
          </cell>
          <cell r="AC283">
            <v>0.4813841646179613</v>
          </cell>
          <cell r="AD283">
            <v>0.90159557655879441</v>
          </cell>
          <cell r="AE283">
            <v>0.12306125027376758</v>
          </cell>
          <cell r="AF283">
            <v>-5.3244344923872311E-2</v>
          </cell>
          <cell r="AG283">
            <v>0.30136889991799753</v>
          </cell>
          <cell r="AH283">
            <v>2.8765113712549528E-2</v>
          </cell>
          <cell r="AI283">
            <v>0.13776422222697704</v>
          </cell>
          <cell r="AJ283">
            <v>0.49842775059904465</v>
          </cell>
          <cell r="AK283">
            <v>0.75629481489603911</v>
          </cell>
          <cell r="AL283">
            <v>0.32803108055802754</v>
          </cell>
          <cell r="BL283">
            <v>0</v>
          </cell>
        </row>
        <row r="284">
          <cell r="B284" t="str">
            <v>______</v>
          </cell>
          <cell r="C284" t="str">
            <v>______</v>
          </cell>
          <cell r="D284" t="str">
            <v>______</v>
          </cell>
          <cell r="E284" t="str">
            <v>______</v>
          </cell>
          <cell r="F284" t="str">
            <v>______</v>
          </cell>
          <cell r="G284" t="str">
            <v>______</v>
          </cell>
          <cell r="H284" t="str">
            <v>______</v>
          </cell>
          <cell r="I284" t="str">
            <v>______</v>
          </cell>
          <cell r="J284" t="str">
            <v>______</v>
          </cell>
          <cell r="K284" t="str">
            <v>______</v>
          </cell>
          <cell r="L284" t="str">
            <v>______</v>
          </cell>
          <cell r="M284" t="str">
            <v>______</v>
          </cell>
          <cell r="N284" t="str">
            <v>______</v>
          </cell>
          <cell r="O284" t="str">
            <v>______</v>
          </cell>
          <cell r="P284" t="str">
            <v>______</v>
          </cell>
          <cell r="Q284" t="str">
            <v>______</v>
          </cell>
          <cell r="R284" t="str">
            <v>______</v>
          </cell>
          <cell r="S284" t="str">
            <v>______</v>
          </cell>
          <cell r="T284" t="str">
            <v>______</v>
          </cell>
          <cell r="U284" t="str">
            <v>______</v>
          </cell>
          <cell r="V284" t="str">
            <v>______</v>
          </cell>
          <cell r="W284" t="str">
            <v>______</v>
          </cell>
          <cell r="X284" t="str">
            <v>______</v>
          </cell>
          <cell r="Y284" t="str">
            <v>______</v>
          </cell>
          <cell r="Z284" t="str">
            <v>______</v>
          </cell>
          <cell r="AA284" t="str">
            <v>______</v>
          </cell>
          <cell r="AB284" t="str">
            <v>______</v>
          </cell>
          <cell r="AC284" t="str">
            <v>______</v>
          </cell>
          <cell r="AD284" t="str">
            <v>______</v>
          </cell>
          <cell r="AE284" t="str">
            <v>______</v>
          </cell>
          <cell r="AF284" t="str">
            <v>______</v>
          </cell>
          <cell r="AG284" t="str">
            <v>______</v>
          </cell>
          <cell r="AH284" t="str">
            <v>______</v>
          </cell>
          <cell r="AI284" t="str">
            <v>______</v>
          </cell>
          <cell r="AJ284" t="str">
            <v>______</v>
          </cell>
          <cell r="AK284" t="str">
            <v>______</v>
          </cell>
          <cell r="AL284" t="str">
            <v>______</v>
          </cell>
          <cell r="AM284" t="str">
            <v>______</v>
          </cell>
          <cell r="AN284" t="str">
            <v>______</v>
          </cell>
          <cell r="AO284" t="str">
            <v>______</v>
          </cell>
          <cell r="AP284" t="str">
            <v>______</v>
          </cell>
          <cell r="AQ284" t="str">
            <v>______</v>
          </cell>
          <cell r="AR284" t="str">
            <v>______</v>
          </cell>
          <cell r="AS284" t="str">
            <v>______</v>
          </cell>
          <cell r="AT284" t="str">
            <v>______</v>
          </cell>
          <cell r="AU284" t="str">
            <v>______</v>
          </cell>
          <cell r="AV284" t="str">
            <v>______</v>
          </cell>
          <cell r="AW284" t="str">
            <v>______</v>
          </cell>
          <cell r="AX284" t="str">
            <v>______</v>
          </cell>
          <cell r="AY284" t="str">
            <v>______</v>
          </cell>
          <cell r="AZ284" t="str">
            <v>______</v>
          </cell>
          <cell r="BA284" t="str">
            <v>______</v>
          </cell>
          <cell r="BK284" t="str">
            <v>______</v>
          </cell>
          <cell r="BL284" t="e">
            <v>#VALUE!</v>
          </cell>
        </row>
        <row r="285">
          <cell r="A285" t="str">
            <v>Total Mass Market</v>
          </cell>
          <cell r="D285">
            <v>4.9656657911086644E-2</v>
          </cell>
          <cell r="E285">
            <v>-8.5061861588807242E-2</v>
          </cell>
          <cell r="F285">
            <v>-8.446295437400575E-2</v>
          </cell>
          <cell r="G285">
            <v>-2.6274725835415125E-2</v>
          </cell>
          <cell r="H285">
            <v>-0.16787585389042037</v>
          </cell>
          <cell r="I285" t="str">
            <v>N.M.</v>
          </cell>
          <cell r="J285" t="str">
            <v>N.M.</v>
          </cell>
          <cell r="K285" t="str">
            <v>N.M.</v>
          </cell>
          <cell r="L285" t="str">
            <v>N.M.</v>
          </cell>
          <cell r="M285">
            <v>0.15427894312811197</v>
          </cell>
          <cell r="N285">
            <v>-3.6284284956789037E-2</v>
          </cell>
          <cell r="O285">
            <v>8.8131752679579956E-2</v>
          </cell>
          <cell r="P285">
            <v>1.9617142594859249E-2</v>
          </cell>
          <cell r="Q285">
            <v>0.12963339379537331</v>
          </cell>
          <cell r="R285">
            <v>4.7515816853742177E-2</v>
          </cell>
          <cell r="S285">
            <v>-8.3791201752341227E-3</v>
          </cell>
          <cell r="T285">
            <v>6.4680092309518988E-2</v>
          </cell>
          <cell r="U285">
            <v>5.2785605978953987E-2</v>
          </cell>
          <cell r="V285">
            <v>0.14895037438963543</v>
          </cell>
          <cell r="W285">
            <v>6.5638265911447391E-2</v>
          </cell>
          <cell r="X285">
            <v>0.17961350655231589</v>
          </cell>
          <cell r="Y285">
            <v>-0.16653363672271004</v>
          </cell>
          <cell r="Z285">
            <v>0.22419881485991899</v>
          </cell>
          <cell r="AA285">
            <v>0.20072561908201503</v>
          </cell>
          <cell r="AB285">
            <v>0.11054127036749239</v>
          </cell>
          <cell r="AC285">
            <v>0.4813841646179613</v>
          </cell>
          <cell r="AD285">
            <v>1.2931036892078374</v>
          </cell>
          <cell r="AE285">
            <v>0.87226179059238773</v>
          </cell>
          <cell r="AF285">
            <v>0.61963728927632111</v>
          </cell>
          <cell r="AG285">
            <v>0.78093957094616173</v>
          </cell>
          <cell r="AH285">
            <v>0.59625230108695404</v>
          </cell>
          <cell r="AI285">
            <v>0.44355609560728526</v>
          </cell>
          <cell r="AJ285">
            <v>0.36381102621686812</v>
          </cell>
          <cell r="AK285">
            <v>0.56209580320581076</v>
          </cell>
          <cell r="AL285">
            <v>0.48355148608583787</v>
          </cell>
          <cell r="AM285">
            <v>0.27654644354034463</v>
          </cell>
          <cell r="AN285">
            <v>0.17248515228973837</v>
          </cell>
          <cell r="AO285">
            <v>6.6284713865562894E-2</v>
          </cell>
          <cell r="AP285">
            <v>0.13413819194537213</v>
          </cell>
          <cell r="AQ285">
            <v>0.15581648221155531</v>
          </cell>
          <cell r="AR285">
            <v>0.35211617223146474</v>
          </cell>
          <cell r="AS285">
            <v>0.16895088321352492</v>
          </cell>
          <cell r="AT285">
            <v>0.41208559979785919</v>
          </cell>
          <cell r="AU285">
            <v>0.31839942372462504</v>
          </cell>
          <cell r="AV285">
            <v>0.31380832906717648</v>
          </cell>
          <cell r="AW285">
            <v>0.25915432679073525</v>
          </cell>
          <cell r="AX285">
            <v>0.29106358826728473</v>
          </cell>
          <cell r="AY285">
            <v>0.23086396067109427</v>
          </cell>
          <cell r="AZ285">
            <v>0.14366063557073927</v>
          </cell>
          <cell r="BA285">
            <v>0.12672300235166678</v>
          </cell>
          <cell r="BK285">
            <v>0.34732741003516732</v>
          </cell>
          <cell r="BL285">
            <v>-3.3519080967990833E-2</v>
          </cell>
        </row>
        <row r="286">
          <cell r="BL286">
            <v>0</v>
          </cell>
        </row>
        <row r="287">
          <cell r="A287" t="str">
            <v>Key Revenue Components</v>
          </cell>
          <cell r="BL287">
            <v>0</v>
          </cell>
        </row>
        <row r="288">
          <cell r="A288" t="str">
            <v>Total Table Revenue</v>
          </cell>
          <cell r="C288">
            <v>1895.8932845995764</v>
          </cell>
          <cell r="D288">
            <v>2144.2134168124958</v>
          </cell>
          <cell r="E288">
            <v>2018.1792057423277</v>
          </cell>
          <cell r="F288">
            <v>2194.2883417659837</v>
          </cell>
          <cell r="G288">
            <v>1788.0614110235351</v>
          </cell>
          <cell r="H288">
            <v>1600.2127752616966</v>
          </cell>
          <cell r="I288">
            <v>517.73439125212087</v>
          </cell>
          <cell r="J288">
            <v>468.88836717837728</v>
          </cell>
          <cell r="K288">
            <v>504.66001046392228</v>
          </cell>
          <cell r="L288">
            <v>467.88034354288664</v>
          </cell>
          <cell r="M288">
            <v>1959.1631124373068</v>
          </cell>
          <cell r="N288">
            <v>541.80882802576639</v>
          </cell>
          <cell r="O288">
            <v>554.0399269594194</v>
          </cell>
          <cell r="P288">
            <v>558.76107261557149</v>
          </cell>
          <cell r="Q288">
            <v>573.93464845442213</v>
          </cell>
          <cell r="R288">
            <v>2228.5444760551795</v>
          </cell>
          <cell r="S288">
            <v>603.17374632115923</v>
          </cell>
          <cell r="T288">
            <v>662.23310504929054</v>
          </cell>
          <cell r="U288">
            <v>660.414760431079</v>
          </cell>
          <cell r="V288">
            <v>740.31134583452376</v>
          </cell>
          <cell r="W288">
            <v>2666.1329576360527</v>
          </cell>
          <cell r="X288">
            <v>828.66257279070874</v>
          </cell>
          <cell r="Y288">
            <v>642.82761029735127</v>
          </cell>
          <cell r="Z288">
            <v>941.59530261341718</v>
          </cell>
          <cell r="AA288">
            <v>1035.2702629825894</v>
          </cell>
          <cell r="AB288">
            <v>3448.3557486840668</v>
          </cell>
          <cell r="AC288">
            <v>1121.3474474926816</v>
          </cell>
          <cell r="AD288">
            <v>1145.40730823325</v>
          </cell>
          <cell r="AE288">
            <v>1334.2003657555961</v>
          </cell>
          <cell r="AF288">
            <v>1334.5290571145167</v>
          </cell>
          <cell r="AG288">
            <v>4935.4841785960443</v>
          </cell>
          <cell r="AH288">
            <v>1289.4886404087426</v>
          </cell>
          <cell r="AI288">
            <v>1376.7339070187459</v>
          </cell>
          <cell r="AJ288">
            <v>1383.1984615854853</v>
          </cell>
          <cell r="AK288">
            <v>1382.0502356661298</v>
          </cell>
          <cell r="AL288">
            <v>5431.4712446791036</v>
          </cell>
          <cell r="AM288">
            <v>1492.5772531741247</v>
          </cell>
          <cell r="AN288">
            <v>1528.7395783512056</v>
          </cell>
          <cell r="AO288">
            <v>1626.642037125717</v>
          </cell>
          <cell r="AP288">
            <v>1975.0538680916068</v>
          </cell>
          <cell r="AQ288">
            <v>6623.0127367426549</v>
          </cell>
          <cell r="AR288">
            <v>2120.857316290118</v>
          </cell>
          <cell r="AS288">
            <v>1878.2599983684229</v>
          </cell>
          <cell r="AT288">
            <v>1913.0006504801811</v>
          </cell>
          <cell r="AU288">
            <v>2207.8702014593828</v>
          </cell>
          <cell r="AV288">
            <v>8119.9881665981047</v>
          </cell>
          <cell r="AW288">
            <v>9001.2384207385985</v>
          </cell>
          <cell r="AX288">
            <v>9958.1353886705128</v>
          </cell>
          <cell r="AY288">
            <v>10758.701284174629</v>
          </cell>
          <cell r="AZ288">
            <v>11354.910003211991</v>
          </cell>
          <cell r="BA288">
            <v>12380.320149448944</v>
          </cell>
          <cell r="BK288">
            <v>7433.1848391300427</v>
          </cell>
          <cell r="BL288">
            <v>686.80332746806198</v>
          </cell>
        </row>
        <row r="289">
          <cell r="A289" t="str">
            <v>VIP Table Revenue</v>
          </cell>
          <cell r="C289">
            <v>1158.4249182304775</v>
          </cell>
          <cell r="D289">
            <v>1373.1958703116916</v>
          </cell>
          <cell r="E289">
            <v>1311.6412933882118</v>
          </cell>
          <cell r="F289">
            <v>1543.9553513896376</v>
          </cell>
          <cell r="G289">
            <v>1152.1755032529654</v>
          </cell>
          <cell r="H289">
            <v>1070.2080149186154</v>
          </cell>
          <cell r="I289">
            <v>356.7836313191666</v>
          </cell>
          <cell r="J289">
            <v>323.12262262629986</v>
          </cell>
          <cell r="K289">
            <v>347.77375070532207</v>
          </cell>
          <cell r="L289">
            <v>322.42796849630065</v>
          </cell>
          <cell r="M289">
            <v>1350.1079731470891</v>
          </cell>
          <cell r="N289">
            <v>386.33383027944319</v>
          </cell>
          <cell r="O289">
            <v>395.05514867652977</v>
          </cell>
          <cell r="P289">
            <v>398.421535841712</v>
          </cell>
          <cell r="Q289">
            <v>409.2409713503929</v>
          </cell>
          <cell r="R289">
            <v>1589.0514861480779</v>
          </cell>
          <cell r="S289">
            <v>448.8076265927283</v>
          </cell>
          <cell r="T289">
            <v>492.75232872959464</v>
          </cell>
          <cell r="U289">
            <v>491.39934057749974</v>
          </cell>
          <cell r="V289">
            <v>550.84854088916359</v>
          </cell>
          <cell r="W289">
            <v>1983.8078367889864</v>
          </cell>
          <cell r="X289">
            <v>646.14830969658385</v>
          </cell>
          <cell r="Y289">
            <v>501.2437962789877</v>
          </cell>
          <cell r="Z289">
            <v>734.20742432344173</v>
          </cell>
          <cell r="AA289">
            <v>807.25032416093984</v>
          </cell>
          <cell r="AB289">
            <v>2688.8498544599533</v>
          </cell>
          <cell r="AC289">
            <v>851.76682704702944</v>
          </cell>
          <cell r="AD289">
            <v>827.74883397630197</v>
          </cell>
          <cell r="AE289">
            <v>954.29704649257633</v>
          </cell>
          <cell r="AF289">
            <v>973.19097327333657</v>
          </cell>
          <cell r="AG289">
            <v>3607.0036807892443</v>
          </cell>
          <cell r="AH289">
            <v>871.38028739791866</v>
          </cell>
          <cell r="AI289">
            <v>926.51373647604282</v>
          </cell>
          <cell r="AJ289">
            <v>873.66750231017863</v>
          </cell>
          <cell r="AK289">
            <v>826.27410821960814</v>
          </cell>
          <cell r="AL289">
            <v>3497.8356344037484</v>
          </cell>
          <cell r="AM289">
            <v>973.27110396866146</v>
          </cell>
          <cell r="AN289">
            <v>1013.2898875543249</v>
          </cell>
          <cell r="AO289">
            <v>1104.6934295107803</v>
          </cell>
          <cell r="AP289">
            <v>1371.0374881365419</v>
          </cell>
          <cell r="AQ289">
            <v>4462.2919091703079</v>
          </cell>
          <cell r="AR289">
            <v>1449.0493350188763</v>
          </cell>
          <cell r="AS289">
            <v>1317.2768538206224</v>
          </cell>
          <cell r="AT289">
            <v>1270.3974439373974</v>
          </cell>
          <cell r="AU289">
            <v>1508.1412369501963</v>
          </cell>
          <cell r="AV289">
            <v>5544.8648697270928</v>
          </cell>
          <cell r="AW289">
            <v>5988.4540593052607</v>
          </cell>
          <cell r="AX289">
            <v>6347.7613028635769</v>
          </cell>
          <cell r="AY289">
            <v>6601.6717549781206</v>
          </cell>
          <cell r="AZ289">
            <v>6799.7219076274641</v>
          </cell>
          <cell r="BA289">
            <v>7003.713564856288</v>
          </cell>
          <cell r="BK289">
            <v>4009.0761184965568</v>
          </cell>
          <cell r="BL289">
            <v>1535.788751230536</v>
          </cell>
        </row>
        <row r="290">
          <cell r="A290" t="str">
            <v>Mass Market Table Revenue</v>
          </cell>
          <cell r="C290">
            <v>737.46836636909893</v>
          </cell>
          <cell r="D290">
            <v>771.0175465008042</v>
          </cell>
          <cell r="E290">
            <v>706.53791235411586</v>
          </cell>
          <cell r="F290">
            <v>650.33299037634606</v>
          </cell>
          <cell r="G290">
            <v>635.8859077705697</v>
          </cell>
          <cell r="H290">
            <v>530.00476034308122</v>
          </cell>
          <cell r="I290">
            <v>160.95075993295427</v>
          </cell>
          <cell r="J290">
            <v>145.76574455207739</v>
          </cell>
          <cell r="K290">
            <v>156.8862597586002</v>
          </cell>
          <cell r="L290">
            <v>145.45237504658596</v>
          </cell>
          <cell r="M290">
            <v>609.05513929021777</v>
          </cell>
          <cell r="N290">
            <v>155.47499774632325</v>
          </cell>
          <cell r="O290">
            <v>158.98477828288966</v>
          </cell>
          <cell r="P290">
            <v>160.33953677385955</v>
          </cell>
          <cell r="Q290">
            <v>164.69367710402926</v>
          </cell>
          <cell r="R290">
            <v>639.49298990710167</v>
          </cell>
          <cell r="S290">
            <v>154.3661197284309</v>
          </cell>
          <cell r="T290">
            <v>169.48077631969596</v>
          </cell>
          <cell r="U290">
            <v>169.0154198535792</v>
          </cell>
          <cell r="V290">
            <v>189.46280494536018</v>
          </cell>
          <cell r="W290">
            <v>682.32512084706627</v>
          </cell>
          <cell r="X290">
            <v>182.51426309412486</v>
          </cell>
          <cell r="Y290">
            <v>141.5838140183636</v>
          </cell>
          <cell r="Z290">
            <v>207.38787828997545</v>
          </cell>
          <cell r="AA290">
            <v>228.0199388216497</v>
          </cell>
          <cell r="AB290">
            <v>759.50589422411349</v>
          </cell>
          <cell r="AC290">
            <v>269.58062044565219</v>
          </cell>
          <cell r="AD290">
            <v>317.65847425694795</v>
          </cell>
          <cell r="AE290">
            <v>379.9033192630198</v>
          </cell>
          <cell r="AF290">
            <v>361.33808384118015</v>
          </cell>
          <cell r="AG290">
            <v>1328.4804978068</v>
          </cell>
          <cell r="AH290">
            <v>418.10835301082398</v>
          </cell>
          <cell r="AI290">
            <v>450.22017054270304</v>
          </cell>
          <cell r="AJ290">
            <v>509.53095927530671</v>
          </cell>
          <cell r="AK290">
            <v>555.77612744652163</v>
          </cell>
          <cell r="AL290">
            <v>1933.6356102753552</v>
          </cell>
          <cell r="AM290">
            <v>519.30614920546327</v>
          </cell>
          <cell r="AN290">
            <v>515.44969079688076</v>
          </cell>
          <cell r="AO290">
            <v>521.94860761493669</v>
          </cell>
          <cell r="AP290">
            <v>604.01637995506485</v>
          </cell>
          <cell r="AQ290">
            <v>2160.7208275723456</v>
          </cell>
          <cell r="AR290">
            <v>671.80798127124172</v>
          </cell>
          <cell r="AS290">
            <v>560.98314454780052</v>
          </cell>
          <cell r="AT290">
            <v>642.60320654278371</v>
          </cell>
          <cell r="AU290">
            <v>699.72896450918643</v>
          </cell>
          <cell r="AV290">
            <v>2575.1232968710124</v>
          </cell>
          <cell r="AW290">
            <v>3012.7843614333378</v>
          </cell>
          <cell r="AX290">
            <v>3610.3740858069359</v>
          </cell>
          <cell r="AY290">
            <v>4157.0295291965085</v>
          </cell>
          <cell r="AZ290">
            <v>4555.1880955845272</v>
          </cell>
          <cell r="BA290">
            <v>5376.606584592656</v>
          </cell>
          <cell r="BK290">
            <v>3424.108720633486</v>
          </cell>
          <cell r="BL290">
            <v>-848.9854237624736</v>
          </cell>
        </row>
        <row r="291">
          <cell r="A291" t="str">
            <v>Total Slot Revenue</v>
          </cell>
          <cell r="C291">
            <v>36.715117150683447</v>
          </cell>
          <cell r="D291">
            <v>41.609301420533271</v>
          </cell>
          <cell r="E291">
            <v>36.965383105988082</v>
          </cell>
          <cell r="F291">
            <v>30.371820162388602</v>
          </cell>
          <cell r="G291">
            <v>26.933570496411342</v>
          </cell>
          <cell r="H291">
            <v>21.543332034627358</v>
          </cell>
          <cell r="I291">
            <v>7.2897512952124828</v>
          </cell>
          <cell r="J291">
            <v>6.6019944583595134</v>
          </cell>
          <cell r="K291">
            <v>7.1056627241318893</v>
          </cell>
          <cell r="L291">
            <v>6.5878013861460829</v>
          </cell>
          <cell r="M291">
            <v>27.146312202215412</v>
          </cell>
          <cell r="N291">
            <v>6.6610268311648326</v>
          </cell>
          <cell r="O291">
            <v>6.8113966183618402</v>
          </cell>
          <cell r="P291">
            <v>6.8694386366213962</v>
          </cell>
          <cell r="Q291">
            <v>7.0559833929251567</v>
          </cell>
          <cell r="R291">
            <v>27.408306391555204</v>
          </cell>
          <cell r="S291">
            <v>6.4113476143876937</v>
          </cell>
          <cell r="T291">
            <v>7.0391104787336474</v>
          </cell>
          <cell r="U291">
            <v>7.0197826490640125</v>
          </cell>
          <cell r="V291">
            <v>7.8690317839083832</v>
          </cell>
          <cell r="W291">
            <v>28.134317393683137</v>
          </cell>
          <cell r="X291">
            <v>7.141008932737833</v>
          </cell>
          <cell r="Y291">
            <v>5.5395740776424418</v>
          </cell>
          <cell r="Z291">
            <v>8.1142079873862372</v>
          </cell>
          <cell r="AA291">
            <v>8.9214529996924057</v>
          </cell>
          <cell r="AB291">
            <v>28.71341040465337</v>
          </cell>
          <cell r="AC291">
            <v>11.371696271254004</v>
          </cell>
          <cell r="AD291">
            <v>19.710709754759932</v>
          </cell>
          <cell r="AE291">
            <v>23.573002667028618</v>
          </cell>
          <cell r="AF291">
            <v>22.421029725697053</v>
          </cell>
          <cell r="AG291">
            <v>77.592537637416328</v>
          </cell>
          <cell r="AH291">
            <v>30.362429044248191</v>
          </cell>
          <cell r="AI291">
            <v>36.791171507453747</v>
          </cell>
          <cell r="AJ291">
            <v>40.734497390320115</v>
          </cell>
          <cell r="AK291">
            <v>43.692373298279279</v>
          </cell>
          <cell r="AL291">
            <v>151.58047124030134</v>
          </cell>
          <cell r="AM291">
            <v>53.187632658696295</v>
          </cell>
          <cell r="AN291">
            <v>55.563876753627298</v>
          </cell>
          <cell r="AO291">
            <v>64.791037395874682</v>
          </cell>
          <cell r="AP291">
            <v>75.863741607846507</v>
          </cell>
          <cell r="AQ291">
            <v>249.40628841604479</v>
          </cell>
          <cell r="AR291">
            <v>102.27011968924069</v>
          </cell>
          <cell r="AS291">
            <v>106.5036695672716</v>
          </cell>
          <cell r="AT291">
            <v>185.92339700749039</v>
          </cell>
          <cell r="AU291">
            <v>196.62459596118438</v>
          </cell>
          <cell r="AV291">
            <v>591.32178222518701</v>
          </cell>
          <cell r="AW291">
            <v>974.25866045587532</v>
          </cell>
          <cell r="AX291">
            <v>1537.1519846093893</v>
          </cell>
          <cell r="AY291">
            <v>2178.8747974938415</v>
          </cell>
          <cell r="AZ291">
            <v>2690.9362735935561</v>
          </cell>
          <cell r="BA291">
            <v>2787.7684200612503</v>
          </cell>
          <cell r="BK291">
            <v>509.64522229542894</v>
          </cell>
          <cell r="BL291">
            <v>81.676559929758071</v>
          </cell>
        </row>
        <row r="292">
          <cell r="BL292">
            <v>0</v>
          </cell>
        </row>
        <row r="293">
          <cell r="A293" t="str">
            <v>Key Revenue Component Growth</v>
          </cell>
          <cell r="BL293">
            <v>0</v>
          </cell>
        </row>
        <row r="294">
          <cell r="A294" t="str">
            <v>Total Table Revenue</v>
          </cell>
          <cell r="D294">
            <v>0.13097790589271807</v>
          </cell>
          <cell r="E294">
            <v>-5.8778762450580002E-2</v>
          </cell>
          <cell r="F294">
            <v>8.7261396571014282E-2</v>
          </cell>
          <cell r="G294">
            <v>-0.1851292389474728</v>
          </cell>
          <cell r="H294">
            <v>-0.10505714994112469</v>
          </cell>
          <cell r="I294" t="str">
            <v>N.M.</v>
          </cell>
          <cell r="J294" t="str">
            <v>N.M.</v>
          </cell>
          <cell r="K294" t="str">
            <v>N.M.</v>
          </cell>
          <cell r="L294" t="str">
            <v>N.M.</v>
          </cell>
          <cell r="M294">
            <v>0.22431413042362935</v>
          </cell>
          <cell r="N294">
            <v>4.6499589713216549E-2</v>
          </cell>
          <cell r="O294">
            <v>0.18160305467473514</v>
          </cell>
          <cell r="P294">
            <v>0.10720299019118906</v>
          </cell>
          <cell r="Q294">
            <v>0.22666971668112912</v>
          </cell>
          <cell r="R294">
            <v>0.13749818068121322</v>
          </cell>
          <cell r="S294">
            <v>0.11325935481522742</v>
          </cell>
          <cell r="T294">
            <v>0.19528047136176108</v>
          </cell>
          <cell r="U294">
            <v>0.18192693227476386</v>
          </cell>
          <cell r="V294">
            <v>0.28988787805048166</v>
          </cell>
          <cell r="W294">
            <v>0.19635618058449666</v>
          </cell>
          <cell r="X294">
            <v>0.3738372696836314</v>
          </cell>
          <cell r="Y294">
            <v>-2.9303117896069097E-2</v>
          </cell>
          <cell r="Z294">
            <v>0.42576356409538829</v>
          </cell>
          <cell r="AA294">
            <v>0.39842549868740718</v>
          </cell>
          <cell r="AB294">
            <v>0.29339226643129535</v>
          </cell>
          <cell r="AC294">
            <v>0.3532015132725137</v>
          </cell>
          <cell r="AD294">
            <v>0.78182655798406286</v>
          </cell>
          <cell r="AE294">
            <v>0.41695732981302625</v>
          </cell>
          <cell r="AF294">
            <v>0.28906345022387647</v>
          </cell>
          <cell r="AG294">
            <v>0.43125725368662526</v>
          </cell>
          <cell r="AH294">
            <v>0.14994566875059334</v>
          </cell>
          <cell r="AI294">
            <v>0.201960121192442</v>
          </cell>
          <cell r="AJ294">
            <v>3.6724690749234012E-2</v>
          </cell>
          <cell r="AK294">
            <v>3.5608950062400391E-2</v>
          </cell>
          <cell r="AL294">
            <v>0.1004941051648045</v>
          </cell>
          <cell r="AM294">
            <v>0.15749546479215737</v>
          </cell>
          <cell r="AN294">
            <v>0.11041034912957226</v>
          </cell>
          <cell r="AO294">
            <v>0.17600046725123275</v>
          </cell>
          <cell r="AP294">
            <v>0.4290753093643207</v>
          </cell>
          <cell r="AQ294">
            <v>0.21937729914907211</v>
          </cell>
          <cell r="AR294">
            <v>0.42093637818738605</v>
          </cell>
          <cell r="AS294">
            <v>0.22863306802992978</v>
          </cell>
          <cell r="AT294">
            <v>0.17604279664409805</v>
          </cell>
          <cell r="AU294">
            <v>0.11787847264780393</v>
          </cell>
          <cell r="AV294">
            <v>0.2260263552794699</v>
          </cell>
          <cell r="AW294">
            <v>0.10852851458153001</v>
          </cell>
          <cell r="AX294">
            <v>0.10630725720221457</v>
          </cell>
          <cell r="AY294">
            <v>8.0393152358114062E-2</v>
          </cell>
          <cell r="AZ294">
            <v>5.5416420931246435E-2</v>
          </cell>
          <cell r="BA294">
            <v>9.0305440196962516E-2</v>
          </cell>
          <cell r="BK294">
            <v>0.17742275055351331</v>
          </cell>
          <cell r="BL294">
            <v>4.8603604725956595E-2</v>
          </cell>
        </row>
        <row r="295">
          <cell r="A295" t="str">
            <v>VIP Table Revenue</v>
          </cell>
          <cell r="D295">
            <v>0.18539911279643562</v>
          </cell>
          <cell r="E295">
            <v>-4.4825780687432371E-2</v>
          </cell>
          <cell r="F295">
            <v>0.17711706635990065</v>
          </cell>
          <cell r="G295">
            <v>-0.2537507627950838</v>
          </cell>
          <cell r="H295">
            <v>-7.114149546048254E-2</v>
          </cell>
          <cell r="I295" t="str">
            <v>N.M.</v>
          </cell>
          <cell r="J295" t="str">
            <v>N.M.</v>
          </cell>
          <cell r="K295" t="str">
            <v>N.M.</v>
          </cell>
          <cell r="L295" t="str">
            <v>N.M.</v>
          </cell>
          <cell r="M295">
            <v>0.26153790134879418</v>
          </cell>
          <cell r="N295">
            <v>8.2823864006928094E-2</v>
          </cell>
          <cell r="O295">
            <v>0.22261680555069607</v>
          </cell>
          <cell r="P295">
            <v>0.14563429538218697</v>
          </cell>
          <cell r="Q295">
            <v>0.26924774317488609</v>
          </cell>
          <cell r="R295">
            <v>0.17698103985269698</v>
          </cell>
          <cell r="S295">
            <v>0.16170935966983913</v>
          </cell>
          <cell r="T295">
            <v>0.24730010577095163</v>
          </cell>
          <cell r="U295">
            <v>0.23336540917488624</v>
          </cell>
          <cell r="V295">
            <v>0.34602490818918041</v>
          </cell>
          <cell r="W295">
            <v>0.24842263078448967</v>
          </cell>
          <cell r="X295">
            <v>0.43969993246779859</v>
          </cell>
          <cell r="Y295">
            <v>1.723272941456333E-2</v>
          </cell>
          <cell r="Z295">
            <v>0.49411560760458162</v>
          </cell>
          <cell r="AA295">
            <v>0.46546693735069167</v>
          </cell>
          <cell r="AB295">
            <v>0.35539834282142757</v>
          </cell>
          <cell r="AC295">
            <v>0.31822186062360713</v>
          </cell>
          <cell r="AD295">
            <v>0.65138968326619362</v>
          </cell>
          <cell r="AE295">
            <v>0.29976490958524837</v>
          </cell>
          <cell r="AF295">
            <v>0.20556281508449858</v>
          </cell>
          <cell r="AG295">
            <v>0.34146712387319189</v>
          </cell>
          <cell r="AH295">
            <v>2.3026795277865775E-2</v>
          </cell>
          <cell r="AI295">
            <v>0.11931747704831985</v>
          </cell>
          <cell r="AJ295">
            <v>-8.4491033980188424E-2</v>
          </cell>
          <cell r="AK295">
            <v>-0.15096406469900991</v>
          </cell>
          <cell r="AL295">
            <v>-3.0265576652145021E-2</v>
          </cell>
          <cell r="AM295">
            <v>0.11693036673460355</v>
          </cell>
          <cell r="AN295">
            <v>9.3658785252695331E-2</v>
          </cell>
          <cell r="AO295">
            <v>0.2644323230401906</v>
          </cell>
          <cell r="AP295">
            <v>0.65930104126189804</v>
          </cell>
          <cell r="AQ295">
            <v>0.27572944402545185</v>
          </cell>
          <cell r="AR295">
            <v>0.48884450499984688</v>
          </cell>
          <cell r="AS295">
            <v>0.30000000000000004</v>
          </cell>
          <cell r="AT295">
            <v>0.14999999999999991</v>
          </cell>
          <cell r="AU295">
            <v>0.10000000000000009</v>
          </cell>
          <cell r="AV295">
            <v>0.24260469341596069</v>
          </cell>
          <cell r="AW295">
            <v>8.0000000000000071E-2</v>
          </cell>
          <cell r="AX295">
            <v>6.0000000000000053E-2</v>
          </cell>
          <cell r="AY295">
            <v>4.0000000000000036E-2</v>
          </cell>
          <cell r="AZ295">
            <v>3.0000000000000027E-2</v>
          </cell>
          <cell r="BA295">
            <v>3.0000000000000027E-2</v>
          </cell>
          <cell r="BK295">
            <v>0.1</v>
          </cell>
          <cell r="BL295">
            <v>0.14260469341596069</v>
          </cell>
        </row>
        <row r="296">
          <cell r="A296" t="str">
            <v>Mass Market Table Revenue</v>
          </cell>
          <cell r="D296">
            <v>4.5492365044596417E-2</v>
          </cell>
          <cell r="E296">
            <v>-8.3629269449604027E-2</v>
          </cell>
          <cell r="F296">
            <v>-7.9549760876242881E-2</v>
          </cell>
          <cell r="G296">
            <v>-2.2214900396512083E-2</v>
          </cell>
          <cell r="H296">
            <v>-0.1665096617704741</v>
          </cell>
          <cell r="I296" t="str">
            <v>N.M.</v>
          </cell>
          <cell r="J296" t="str">
            <v>N.M.</v>
          </cell>
          <cell r="K296" t="str">
            <v>N.M.</v>
          </cell>
          <cell r="L296" t="str">
            <v>N.M.</v>
          </cell>
          <cell r="M296">
            <v>0.14915031875556339</v>
          </cell>
          <cell r="N296">
            <v>-3.4021350311809639E-2</v>
          </cell>
          <cell r="O296">
            <v>9.06868329828312E-2</v>
          </cell>
          <cell r="P296">
            <v>2.2011341341000135E-2</v>
          </cell>
          <cell r="Q296">
            <v>0.13228592555659979</v>
          </cell>
          <cell r="R296">
            <v>4.9975525454650338E-2</v>
          </cell>
          <cell r="S296">
            <v>-7.1321951051037669E-3</v>
          </cell>
          <cell r="T296">
            <v>6.6018886525917919E-2</v>
          </cell>
          <cell r="U296">
            <v>5.4109443336835872E-2</v>
          </cell>
          <cell r="V296">
            <v>0.15039513524059234</v>
          </cell>
          <cell r="W296">
            <v>6.6978264994252301E-2</v>
          </cell>
          <cell r="X296">
            <v>0.18234664066968631</v>
          </cell>
          <cell r="Y296">
            <v>-0.16460251662235492</v>
          </cell>
          <cell r="Z296">
            <v>0.22703525198848085</v>
          </cell>
          <cell r="AA296">
            <v>0.20350766942043919</v>
          </cell>
          <cell r="AB296">
            <v>0.11311436589236501</v>
          </cell>
          <cell r="AC296">
            <v>0.47703864824321229</v>
          </cell>
          <cell r="AD296">
            <v>1.2436072686652393</v>
          </cell>
          <cell r="AE296">
            <v>0.83184920158076214</v>
          </cell>
          <cell r="AF296">
            <v>0.58467757560363109</v>
          </cell>
          <cell r="AG296">
            <v>0.74913783804657963</v>
          </cell>
          <cell r="AH296">
            <v>0.5509584936767189</v>
          </cell>
          <cell r="AI296">
            <v>0.41730886165035352</v>
          </cell>
          <cell r="AJ296">
            <v>0.34121218067731962</v>
          </cell>
          <cell r="AK296">
            <v>0.53810559224308974</v>
          </cell>
          <cell r="AL296">
            <v>0.45552427263148454</v>
          </cell>
          <cell r="AM296">
            <v>0.24203725054978631</v>
          </cell>
          <cell r="AN296">
            <v>0.14488360256171773</v>
          </cell>
          <cell r="AO296">
            <v>2.437074355067903E-2</v>
          </cell>
          <cell r="AP296">
            <v>8.6797993159907882E-2</v>
          </cell>
          <cell r="AQ296">
            <v>0.11743950933167424</v>
          </cell>
          <cell r="AR296">
            <v>0.29366459900216046</v>
          </cell>
          <cell r="AS296">
            <v>8.8337338374430807E-2</v>
          </cell>
          <cell r="AT296">
            <v>0.23116183694632819</v>
          </cell>
          <cell r="AU296">
            <v>0.15846024665960545</v>
          </cell>
          <cell r="AV296">
            <v>0.19178899190057064</v>
          </cell>
          <cell r="AW296">
            <v>0.16995732402177399</v>
          </cell>
          <cell r="AX296">
            <v>0.19835130984591731</v>
          </cell>
          <cell r="AY296">
            <v>0.15141241056946941</v>
          </cell>
          <cell r="AZ296">
            <v>9.5779585781527121E-2</v>
          </cell>
          <cell r="BA296">
            <v>0.18032592107543333</v>
          </cell>
          <cell r="BK296">
            <v>0.28316675864369611</v>
          </cell>
          <cell r="BL296">
            <v>-9.1377766743125477E-2</v>
          </cell>
        </row>
        <row r="297">
          <cell r="A297" t="str">
            <v>Total Slot Revenue</v>
          </cell>
          <cell r="D297">
            <v>0.13330161115279782</v>
          </cell>
          <cell r="E297">
            <v>-0.11160769722160047</v>
          </cell>
          <cell r="F297">
            <v>-0.17837128658167156</v>
          </cell>
          <cell r="G297">
            <v>-0.11320525564796635</v>
          </cell>
          <cell r="H297">
            <v>-0.20013085389113872</v>
          </cell>
          <cell r="I297" t="str">
            <v>N.M.</v>
          </cell>
          <cell r="J297" t="str">
            <v>N.M.</v>
          </cell>
          <cell r="K297" t="str">
            <v>N.M.</v>
          </cell>
          <cell r="L297" t="str">
            <v>N.M.</v>
          </cell>
          <cell r="M297">
            <v>0.26007955308780395</v>
          </cell>
          <cell r="N297">
            <v>-8.6247724865533115E-2</v>
          </cell>
          <cell r="O297">
            <v>3.171801511241501E-2</v>
          </cell>
          <cell r="P297">
            <v>-3.3244483545249226E-2</v>
          </cell>
          <cell r="Q297">
            <v>7.1068020927838482E-2</v>
          </cell>
          <cell r="R297">
            <v>9.6511889861197186E-3</v>
          </cell>
          <cell r="S297">
            <v>-3.7483592711107128E-2</v>
          </cell>
          <cell r="T297">
            <v>3.3431302437733068E-2</v>
          </cell>
          <cell r="U297">
            <v>2.1885924075531138E-2</v>
          </cell>
          <cell r="V297">
            <v>0.11522821777024705</v>
          </cell>
          <cell r="W297">
            <v>2.6488721767632617E-2</v>
          </cell>
          <cell r="X297">
            <v>0.11380779240743522</v>
          </cell>
          <cell r="Y297">
            <v>-0.21302924646822363</v>
          </cell>
          <cell r="Z297">
            <v>0.15590587245149967</v>
          </cell>
          <cell r="AA297">
            <v>0.13374214829531494</v>
          </cell>
          <cell r="AB297">
            <v>2.0583154830699835E-2</v>
          </cell>
          <cell r="AC297">
            <v>0.59244952336085976</v>
          </cell>
          <cell r="AD297">
            <v>2.5581634036291305</v>
          </cell>
          <cell r="AE297">
            <v>1.9051513966210267</v>
          </cell>
          <cell r="AF297">
            <v>1.5131589805461156</v>
          </cell>
          <cell r="AG297">
            <v>1.7023100545674463</v>
          </cell>
          <cell r="AH297">
            <v>1.67</v>
          </cell>
          <cell r="AI297">
            <v>0.86655741803356734</v>
          </cell>
          <cell r="AJ297">
            <v>0.72801479581110606</v>
          </cell>
          <cell r="AK297">
            <v>0.94872286566762098</v>
          </cell>
          <cell r="AL297">
            <v>0.95354444970758223</v>
          </cell>
          <cell r="AM297">
            <v>0.75175815417087222</v>
          </cell>
          <cell r="AN297">
            <v>0.51025027138291246</v>
          </cell>
          <cell r="AO297">
            <v>0.59056921152220254</v>
          </cell>
          <cell r="AP297">
            <v>0.73631542260109328</v>
          </cell>
          <cell r="AQ297">
            <v>0.6453721668450263</v>
          </cell>
          <cell r="AR297">
            <v>0.92281766600716142</v>
          </cell>
          <cell r="AS297">
            <v>0.91677895405883225</v>
          </cell>
          <cell r="AT297">
            <v>1.869585122885042</v>
          </cell>
          <cell r="AU297">
            <v>1.5918125285406131</v>
          </cell>
          <cell r="AV297">
            <v>1.3709176940991119</v>
          </cell>
          <cell r="AW297">
            <v>0.6475947440827714</v>
          </cell>
          <cell r="AX297">
            <v>0.57776578951848867</v>
          </cell>
          <cell r="AY297">
            <v>0.4174751874308138</v>
          </cell>
          <cell r="AZ297">
            <v>0.23501188626748615</v>
          </cell>
          <cell r="BA297">
            <v>3.5984555791201078E-2</v>
          </cell>
          <cell r="BK297">
            <v>1.0289325626855028</v>
          </cell>
          <cell r="BL297">
            <v>0.34198513141360909</v>
          </cell>
        </row>
        <row r="298">
          <cell r="BL298">
            <v>0</v>
          </cell>
        </row>
        <row r="299">
          <cell r="A299" t="str">
            <v>Key Revenue Component Market Share</v>
          </cell>
          <cell r="BL299">
            <v>0</v>
          </cell>
        </row>
        <row r="300">
          <cell r="A300" t="str">
            <v>Total Table Revenue</v>
          </cell>
          <cell r="D300">
            <v>0.98096400907838965</v>
          </cell>
          <cell r="E300">
            <v>0.9820132445636327</v>
          </cell>
          <cell r="F300">
            <v>0.98634765854032214</v>
          </cell>
          <cell r="G300">
            <v>0.98516052618842176</v>
          </cell>
          <cell r="H300">
            <v>0.98671604692117187</v>
          </cell>
          <cell r="I300">
            <v>0.98611539793228609</v>
          </cell>
          <cell r="J300">
            <v>0.98611539793228598</v>
          </cell>
          <cell r="K300">
            <v>0.98611539793228598</v>
          </cell>
          <cell r="L300">
            <v>0.98611539793228609</v>
          </cell>
          <cell r="M300">
            <v>0.98611539793228586</v>
          </cell>
          <cell r="N300">
            <v>0.98785525444620392</v>
          </cell>
          <cell r="O300">
            <v>0.98785525444620403</v>
          </cell>
          <cell r="P300">
            <v>0.98785525444620392</v>
          </cell>
          <cell r="Q300">
            <v>0.98785525444620392</v>
          </cell>
          <cell r="R300">
            <v>0.98785525444620392</v>
          </cell>
          <cell r="S300">
            <v>0.9894824403054292</v>
          </cell>
          <cell r="T300">
            <v>0.98948244030542909</v>
          </cell>
          <cell r="U300">
            <v>0.98948244030542931</v>
          </cell>
          <cell r="V300">
            <v>0.98948244030542909</v>
          </cell>
          <cell r="W300">
            <v>0.9894824403054292</v>
          </cell>
          <cell r="X300">
            <v>0.99145611589984706</v>
          </cell>
          <cell r="Y300">
            <v>0.99145611589984706</v>
          </cell>
          <cell r="Z300">
            <v>0.99145611589984695</v>
          </cell>
          <cell r="AA300">
            <v>0.99145611589984695</v>
          </cell>
          <cell r="AB300">
            <v>0.99145611589984706</v>
          </cell>
          <cell r="AC300">
            <v>0.98996070973651351</v>
          </cell>
          <cell r="AD300">
            <v>0.98308264961106917</v>
          </cell>
          <cell r="AE300">
            <v>0.9826384850261024</v>
          </cell>
          <cell r="AF300">
            <v>0.98347689429173735</v>
          </cell>
          <cell r="AG300">
            <v>0.98462334038273591</v>
          </cell>
          <cell r="AH300">
            <v>0.97699556431254631</v>
          </cell>
          <cell r="AI300">
            <v>0.97397204190688025</v>
          </cell>
          <cell r="AJ300">
            <v>0.97139296682926757</v>
          </cell>
          <cell r="AK300">
            <v>0.96935465558540379</v>
          </cell>
          <cell r="AL300">
            <v>0.97284988945954287</v>
          </cell>
          <cell r="AM300">
            <v>0.96559138252772514</v>
          </cell>
          <cell r="AN300">
            <v>0.96492851380548772</v>
          </cell>
          <cell r="AO300">
            <v>0.96169459000664259</v>
          </cell>
          <cell r="AP300">
            <v>0.96300985410186035</v>
          </cell>
          <cell r="AQ300">
            <v>0.96370909755313061</v>
          </cell>
          <cell r="AR300">
            <v>0.95399718521120791</v>
          </cell>
          <cell r="AS300">
            <v>0.94633936962477583</v>
          </cell>
          <cell r="AT300">
            <v>0.9114196641703004</v>
          </cell>
          <cell r="AU300">
            <v>0.91822623356385957</v>
          </cell>
          <cell r="AV300">
            <v>0.93212022236620551</v>
          </cell>
          <cell r="AW300">
            <v>0.90233482577098645</v>
          </cell>
          <cell r="AX300">
            <v>0.86627981235315565</v>
          </cell>
          <cell r="AY300">
            <v>0.83158554711178578</v>
          </cell>
          <cell r="AZ300">
            <v>0.8084176474266842</v>
          </cell>
          <cell r="BA300">
            <v>0.81620832398981225</v>
          </cell>
          <cell r="BK300">
            <v>0.93583581439435148</v>
          </cell>
          <cell r="BL300">
            <v>-3.7155920281459753E-3</v>
          </cell>
        </row>
        <row r="301">
          <cell r="A301" t="str">
            <v>VIP Table Revenue</v>
          </cell>
          <cell r="D301">
            <v>0.62822838231901657</v>
          </cell>
          <cell r="E301">
            <v>0.6382233641883287</v>
          </cell>
          <cell r="F301">
            <v>0.69401851923815261</v>
          </cell>
          <cell r="G301">
            <v>0.63480919505798827</v>
          </cell>
          <cell r="H301">
            <v>0.6599068812528105</v>
          </cell>
          <cell r="I301">
            <v>0.67955661922156452</v>
          </cell>
          <cell r="J301">
            <v>0.6795566192215643</v>
          </cell>
          <cell r="K301">
            <v>0.67955661922156441</v>
          </cell>
          <cell r="L301">
            <v>0.6795566192215643</v>
          </cell>
          <cell r="M301">
            <v>0.6795566192215643</v>
          </cell>
          <cell r="N301">
            <v>0.70438480229732703</v>
          </cell>
          <cell r="O301">
            <v>0.70438480229732725</v>
          </cell>
          <cell r="P301">
            <v>0.70438480229732714</v>
          </cell>
          <cell r="Q301">
            <v>0.70438480229732703</v>
          </cell>
          <cell r="R301">
            <v>0.70438480229732703</v>
          </cell>
          <cell r="S301">
            <v>0.73625098621617868</v>
          </cell>
          <cell r="T301">
            <v>0.73625098621617846</v>
          </cell>
          <cell r="U301">
            <v>0.73625098621617857</v>
          </cell>
          <cell r="V301">
            <v>0.73625098621617857</v>
          </cell>
          <cell r="W301">
            <v>0.73625098621617857</v>
          </cell>
          <cell r="X301">
            <v>0.77308631337067368</v>
          </cell>
          <cell r="Y301">
            <v>0.77308631337067357</v>
          </cell>
          <cell r="Z301">
            <v>0.77308631337067346</v>
          </cell>
          <cell r="AA301">
            <v>0.77308631337067357</v>
          </cell>
          <cell r="AB301">
            <v>0.77308631337067357</v>
          </cell>
          <cell r="AC301">
            <v>0.75196647971947927</v>
          </cell>
          <cell r="AD301">
            <v>0.71044205067372013</v>
          </cell>
          <cell r="AE301">
            <v>0.70283971440772786</v>
          </cell>
          <cell r="AF301">
            <v>0.7171899561460684</v>
          </cell>
          <cell r="AG301">
            <v>0.71959302966741678</v>
          </cell>
          <cell r="AH301">
            <v>0.66021107044983496</v>
          </cell>
          <cell r="AI301">
            <v>0.65546324614351004</v>
          </cell>
          <cell r="AJ301">
            <v>0.61355943536736657</v>
          </cell>
          <cell r="AK301">
            <v>0.57953946457402572</v>
          </cell>
          <cell r="AL301">
            <v>0.6265096245535553</v>
          </cell>
          <cell r="AM301">
            <v>0.62963721901619363</v>
          </cell>
          <cell r="AN301">
            <v>0.63958068404722113</v>
          </cell>
          <cell r="AO301">
            <v>0.65311093069599224</v>
          </cell>
          <cell r="AP301">
            <v>0.66849954461966765</v>
          </cell>
          <cell r="AQ301">
            <v>0.64930439963492537</v>
          </cell>
          <cell r="AR301">
            <v>0.65180668978632961</v>
          </cell>
          <cell r="AS301">
            <v>0.66369456228040025</v>
          </cell>
          <cell r="AT301">
            <v>0.60526127444107014</v>
          </cell>
          <cell r="AU301">
            <v>0.62721750887881389</v>
          </cell>
          <cell r="AV301">
            <v>0.63651332604415989</v>
          </cell>
          <cell r="AW301">
            <v>0.60031635622394453</v>
          </cell>
          <cell r="AX301">
            <v>0.55220553403637074</v>
          </cell>
          <cell r="AY301">
            <v>0.51027114455637257</v>
          </cell>
          <cell r="AZ301">
            <v>0.48410909343754599</v>
          </cell>
          <cell r="BA301">
            <v>0.46174002299371142</v>
          </cell>
          <cell r="BK301">
            <v>0.50474152002404316</v>
          </cell>
          <cell r="BL301">
            <v>0.13177180602011673</v>
          </cell>
        </row>
        <row r="302">
          <cell r="A302" t="str">
            <v>Mass Market Table Revenue</v>
          </cell>
          <cell r="D302">
            <v>0.35273562675937314</v>
          </cell>
          <cell r="E302">
            <v>0.343789880375304</v>
          </cell>
          <cell r="F302">
            <v>0.29232913930216953</v>
          </cell>
          <cell r="G302">
            <v>0.35035133113043349</v>
          </cell>
          <cell r="H302">
            <v>0.32680916566836138</v>
          </cell>
          <cell r="I302">
            <v>0.30655877871072151</v>
          </cell>
          <cell r="J302">
            <v>0.30655877871072162</v>
          </cell>
          <cell r="K302">
            <v>0.30655877871072168</v>
          </cell>
          <cell r="L302">
            <v>0.30655877871072168</v>
          </cell>
          <cell r="M302">
            <v>0.30655877871072157</v>
          </cell>
          <cell r="N302">
            <v>0.28347045214887701</v>
          </cell>
          <cell r="O302">
            <v>0.28347045214887678</v>
          </cell>
          <cell r="P302">
            <v>0.28347045214887689</v>
          </cell>
          <cell r="Q302">
            <v>0.28347045214887695</v>
          </cell>
          <cell r="R302">
            <v>0.28347045214887684</v>
          </cell>
          <cell r="S302">
            <v>0.25323145408925052</v>
          </cell>
          <cell r="T302">
            <v>0.25323145408925068</v>
          </cell>
          <cell r="U302">
            <v>0.25323145408925063</v>
          </cell>
          <cell r="V302">
            <v>0.25323145408925057</v>
          </cell>
          <cell r="W302">
            <v>0.25323145408925063</v>
          </cell>
          <cell r="X302">
            <v>0.2183698025291734</v>
          </cell>
          <cell r="Y302">
            <v>0.21836980252917348</v>
          </cell>
          <cell r="Z302">
            <v>0.21836980252917348</v>
          </cell>
          <cell r="AA302">
            <v>0.21836980252917348</v>
          </cell>
          <cell r="AB302">
            <v>0.2183698025291734</v>
          </cell>
          <cell r="AC302">
            <v>0.23799423001703426</v>
          </cell>
          <cell r="AD302">
            <v>0.27264059893734899</v>
          </cell>
          <cell r="AE302">
            <v>0.2797987706183746</v>
          </cell>
          <cell r="AF302">
            <v>0.26628693814566895</v>
          </cell>
          <cell r="AG302">
            <v>0.26503031071531913</v>
          </cell>
          <cell r="AH302">
            <v>0.31678449386271129</v>
          </cell>
          <cell r="AI302">
            <v>0.3185087957633701</v>
          </cell>
          <cell r="AJ302">
            <v>0.35783353146190106</v>
          </cell>
          <cell r="AK302">
            <v>0.38981519101137807</v>
          </cell>
          <cell r="AL302">
            <v>0.34634026490598763</v>
          </cell>
          <cell r="AM302">
            <v>0.33595416351153146</v>
          </cell>
          <cell r="AN302">
            <v>0.32534782975826659</v>
          </cell>
          <cell r="AO302">
            <v>0.30858365931065035</v>
          </cell>
          <cell r="AP302">
            <v>0.2945103094821927</v>
          </cell>
          <cell r="AQ302">
            <v>0.31440469791820502</v>
          </cell>
          <cell r="AR302">
            <v>0.30219049542487825</v>
          </cell>
          <cell r="AS302">
            <v>0.28264480734437553</v>
          </cell>
          <cell r="AT302">
            <v>0.30615838972923015</v>
          </cell>
          <cell r="AU302">
            <v>0.29100872468504568</v>
          </cell>
          <cell r="AV302">
            <v>0.29560689632204579</v>
          </cell>
          <cell r="AW302">
            <v>0.30201846954704187</v>
          </cell>
          <cell r="AX302">
            <v>0.31407427831678497</v>
          </cell>
          <cell r="AY302">
            <v>0.32131440255541321</v>
          </cell>
          <cell r="AZ302">
            <v>0.32430855398913816</v>
          </cell>
          <cell r="BA302">
            <v>0.35446830099610083</v>
          </cell>
          <cell r="BK302">
            <v>0.43109429437030827</v>
          </cell>
          <cell r="BL302">
            <v>-0.13548739804826249</v>
          </cell>
        </row>
        <row r="303">
          <cell r="A303" t="str">
            <v>Total Slot Revenue</v>
          </cell>
          <cell r="D303">
            <v>1.9035990921610197E-2</v>
          </cell>
          <cell r="E303">
            <v>1.7986755436367203E-2</v>
          </cell>
          <cell r="F303">
            <v>1.3652341459677962E-2</v>
          </cell>
          <cell r="G303">
            <v>1.4839473811578331E-2</v>
          </cell>
          <cell r="H303">
            <v>1.328395307882815E-2</v>
          </cell>
          <cell r="I303">
            <v>1.3884602067714016E-2</v>
          </cell>
          <cell r="J303">
            <v>1.3884602067714E-2</v>
          </cell>
          <cell r="K303">
            <v>1.3884602067713971E-2</v>
          </cell>
          <cell r="L303">
            <v>1.3884602067714021E-2</v>
          </cell>
          <cell r="M303">
            <v>1.3663689505862079E-2</v>
          </cell>
          <cell r="N303">
            <v>1.2144745553795961E-2</v>
          </cell>
          <cell r="O303">
            <v>1.2144745553795962E-2</v>
          </cell>
          <cell r="P303">
            <v>1.2144745553795943E-2</v>
          </cell>
          <cell r="Q303">
            <v>1.2144745553795924E-2</v>
          </cell>
          <cell r="R303">
            <v>1.2149382601641594E-2</v>
          </cell>
          <cell r="S303">
            <v>1.0517559694570851E-2</v>
          </cell>
          <cell r="T303">
            <v>1.0517559694570796E-2</v>
          </cell>
          <cell r="U303">
            <v>1.0517559694570834E-2</v>
          </cell>
          <cell r="V303">
            <v>1.0517559694570799E-2</v>
          </cell>
          <cell r="W303">
            <v>1.0441494656632659E-2</v>
          </cell>
          <cell r="X303">
            <v>8.5438841001529396E-3</v>
          </cell>
          <cell r="Y303">
            <v>8.5438841001529448E-3</v>
          </cell>
          <cell r="Z303">
            <v>8.5438841001529431E-3</v>
          </cell>
          <cell r="AA303">
            <v>8.5438841001529136E-3</v>
          </cell>
          <cell r="AB303">
            <v>8.2555537852785753E-3</v>
          </cell>
          <cell r="AC303">
            <v>1.0039290263486465E-2</v>
          </cell>
          <cell r="AD303">
            <v>1.6917350388930965E-2</v>
          </cell>
          <cell r="AE303">
            <v>1.7361514973897478E-2</v>
          </cell>
          <cell r="AF303">
            <v>1.6523105708262664E-2</v>
          </cell>
          <cell r="AG303">
            <v>1.5479620809778124E-2</v>
          </cell>
          <cell r="AH303">
            <v>2.3004435687453605E-2</v>
          </cell>
          <cell r="AI303">
            <v>2.6027958093119762E-2</v>
          </cell>
          <cell r="AJ303">
            <v>2.8607033170732481E-2</v>
          </cell>
          <cell r="AK303">
            <v>3.0645344414596206E-2</v>
          </cell>
          <cell r="AL303">
            <v>2.7150110540457247E-2</v>
          </cell>
          <cell r="AM303">
            <v>3.4408617472274951E-2</v>
          </cell>
          <cell r="AN303">
            <v>3.5071486194512308E-2</v>
          </cell>
          <cell r="AO303">
            <v>3.8305409993357444E-2</v>
          </cell>
          <cell r="AP303">
            <v>3.6990145898139599E-2</v>
          </cell>
          <cell r="AQ303">
            <v>3.6290902446869569E-2</v>
          </cell>
          <cell r="AR303">
            <v>4.600281478879209E-2</v>
          </cell>
          <cell r="AS303">
            <v>5.3660630375224241E-2</v>
          </cell>
          <cell r="AT303">
            <v>8.8580335829699652E-2</v>
          </cell>
          <cell r="AU303">
            <v>8.1773766436140483E-2</v>
          </cell>
          <cell r="AV303">
            <v>6.7879777633794533E-2</v>
          </cell>
          <cell r="AW303">
            <v>9.7665174229013649E-2</v>
          </cell>
          <cell r="AX303">
            <v>0.13372018764684437</v>
          </cell>
          <cell r="AY303">
            <v>0.16841445288821419</v>
          </cell>
          <cell r="AZ303">
            <v>0.19158235257331585</v>
          </cell>
          <cell r="BA303">
            <v>0.18379167601018778</v>
          </cell>
          <cell r="BK303">
            <v>6.4164185605648572E-2</v>
          </cell>
          <cell r="BL303">
            <v>3.7155920281459615E-3</v>
          </cell>
        </row>
        <row r="304">
          <cell r="BL304">
            <v>0</v>
          </cell>
        </row>
        <row r="305">
          <cell r="A305" t="str">
            <v>Daily Win per Position Summary</v>
          </cell>
          <cell r="BL305">
            <v>0</v>
          </cell>
        </row>
        <row r="306">
          <cell r="A306" t="str">
            <v>Average Positions</v>
          </cell>
          <cell r="X306">
            <v>4679.333333333333</v>
          </cell>
          <cell r="Y306">
            <v>4679.333333333333</v>
          </cell>
          <cell r="Z306">
            <v>4679.333333333333</v>
          </cell>
          <cell r="AA306">
            <v>4701</v>
          </cell>
          <cell r="AB306">
            <v>4684.75</v>
          </cell>
          <cell r="AC306">
            <v>4701</v>
          </cell>
          <cell r="AD306">
            <v>6225.7509157509157</v>
          </cell>
          <cell r="AE306">
            <v>7475.6666666666661</v>
          </cell>
          <cell r="AF306">
            <v>10084.304347826088</v>
          </cell>
          <cell r="AG306">
            <v>7121.6804825609161</v>
          </cell>
          <cell r="AH306">
            <v>12497</v>
          </cell>
          <cell r="AI306">
            <v>13279.833333333334</v>
          </cell>
          <cell r="AJ306">
            <v>13680.666666666668</v>
          </cell>
          <cell r="AK306">
            <v>14503.833333333334</v>
          </cell>
          <cell r="AL306">
            <v>13490.333333333334</v>
          </cell>
          <cell r="AM306">
            <v>16939.499999999996</v>
          </cell>
          <cell r="AN306">
            <v>20359.333333333328</v>
          </cell>
          <cell r="AO306">
            <v>23441.333333333328</v>
          </cell>
          <cell r="AP306">
            <v>28194.538647342993</v>
          </cell>
          <cell r="AQ306">
            <v>22233.676328502414</v>
          </cell>
          <cell r="AR306">
            <v>31805.313043478258</v>
          </cell>
          <cell r="AS306">
            <v>36425.313043478258</v>
          </cell>
          <cell r="AT306">
            <v>49924.513043478255</v>
          </cell>
          <cell r="AU306">
            <v>54109.313043478258</v>
          </cell>
          <cell r="AV306">
            <v>43066.113043478254</v>
          </cell>
          <cell r="AW306">
            <v>64954.391304347824</v>
          </cell>
          <cell r="AX306">
            <v>96016.891304347824</v>
          </cell>
          <cell r="AY306">
            <v>119079.39130434782</v>
          </cell>
          <cell r="AZ306">
            <v>139629.39130434784</v>
          </cell>
          <cell r="BA306">
            <v>139929.39130434784</v>
          </cell>
          <cell r="BK306">
            <v>44799.843478260867</v>
          </cell>
          <cell r="BL306">
            <v>-1733.7304347826139</v>
          </cell>
        </row>
        <row r="307">
          <cell r="A307" t="str">
            <v xml:space="preserve">  Year-over-Year growth</v>
          </cell>
          <cell r="AC307">
            <v>4.6302892149878705E-3</v>
          </cell>
          <cell r="AD307">
            <v>0.33047818401857443</v>
          </cell>
          <cell r="AE307">
            <v>0.59759224960820623</v>
          </cell>
          <cell r="AF307">
            <v>1.1451402569296083</v>
          </cell>
          <cell r="AG307">
            <v>0.52018367737038607</v>
          </cell>
          <cell r="AH307">
            <v>1.658370559455435</v>
          </cell>
          <cell r="AI307">
            <v>1.1330492518960011</v>
          </cell>
          <cell r="AJ307">
            <v>0.8300263075756904</v>
          </cell>
          <cell r="AK307">
            <v>0.43825819144976319</v>
          </cell>
          <cell r="AL307">
            <v>0.89426264859362048</v>
          </cell>
          <cell r="AM307">
            <v>0.35548531647595394</v>
          </cell>
          <cell r="AN307">
            <v>0.5331015700498245</v>
          </cell>
          <cell r="AO307">
            <v>0.71346425612786857</v>
          </cell>
          <cell r="AP307">
            <v>0.94393702680967051</v>
          </cell>
          <cell r="AQ307">
            <v>0.64811912197640864</v>
          </cell>
          <cell r="AR307">
            <v>0.87758275294301868</v>
          </cell>
          <cell r="AS307">
            <v>0.78912110957193748</v>
          </cell>
          <cell r="AT307">
            <v>1.1297642217512482</v>
          </cell>
          <cell r="AU307">
            <v>0.91914163662250337</v>
          </cell>
          <cell r="AV307">
            <v>0.93697670179131576</v>
          </cell>
          <cell r="AW307">
            <v>0.50824828882912709</v>
          </cell>
          <cell r="AX307">
            <v>0.47822016920233668</v>
          </cell>
          <cell r="AY307">
            <v>0.24019211293665044</v>
          </cell>
          <cell r="AZ307">
            <v>0.17257394226577394</v>
          </cell>
          <cell r="BA307">
            <v>2.1485447812781278E-3</v>
          </cell>
          <cell r="BK307">
            <v>0.94087187960905649</v>
          </cell>
          <cell r="BL307">
            <v>-3.8951778177407359E-3</v>
          </cell>
        </row>
        <row r="308">
          <cell r="A308" t="str">
            <v>Average VIP Positions</v>
          </cell>
          <cell r="X308">
            <v>1829.9999999999995</v>
          </cell>
          <cell r="Y308">
            <v>1829.9999999999995</v>
          </cell>
          <cell r="Z308">
            <v>1829.9999999999995</v>
          </cell>
          <cell r="AA308">
            <v>1830</v>
          </cell>
          <cell r="AB308">
            <v>1830</v>
          </cell>
          <cell r="AC308">
            <v>1830</v>
          </cell>
          <cell r="AD308">
            <v>1848.7912087912091</v>
          </cell>
          <cell r="AE308">
            <v>1840</v>
          </cell>
          <cell r="AF308">
            <v>2273.04347826087</v>
          </cell>
          <cell r="AG308">
            <v>1947.9586717630191</v>
          </cell>
          <cell r="AH308">
            <v>2760</v>
          </cell>
          <cell r="AI308">
            <v>2860</v>
          </cell>
          <cell r="AJ308">
            <v>2880</v>
          </cell>
          <cell r="AK308">
            <v>2945</v>
          </cell>
          <cell r="AL308">
            <v>2861.25</v>
          </cell>
          <cell r="AM308">
            <v>3739.9999999999964</v>
          </cell>
          <cell r="AN308">
            <v>4989.9999999999927</v>
          </cell>
          <cell r="AO308">
            <v>5599.7101449275324</v>
          </cell>
          <cell r="AP308">
            <v>5356.6666666666606</v>
          </cell>
          <cell r="AQ308">
            <v>4921.5942028985482</v>
          </cell>
          <cell r="AR308">
            <v>5334.4666666666635</v>
          </cell>
          <cell r="AS308">
            <v>6654.4666666666635</v>
          </cell>
          <cell r="AT308">
            <v>8594.4666666666672</v>
          </cell>
          <cell r="AU308">
            <v>9144.4666666666672</v>
          </cell>
          <cell r="AV308">
            <v>7431.9666666666599</v>
          </cell>
          <cell r="AW308">
            <v>9478.1666666666642</v>
          </cell>
          <cell r="AX308">
            <v>13228.166666666672</v>
          </cell>
          <cell r="AY308">
            <v>16453.166666666672</v>
          </cell>
          <cell r="AZ308">
            <v>19703.166666666686</v>
          </cell>
          <cell r="BA308">
            <v>19703.166666666686</v>
          </cell>
          <cell r="BK308">
            <v>10078.09782608696</v>
          </cell>
          <cell r="BL308">
            <v>-2646.1311594202998</v>
          </cell>
        </row>
        <row r="309">
          <cell r="A309" t="str">
            <v xml:space="preserve">  Year-over-Year growth</v>
          </cell>
          <cell r="AC309">
            <v>0</v>
          </cell>
          <cell r="AD309">
            <v>1.0268420104486031E-2</v>
          </cell>
          <cell r="AE309">
            <v>5.464480874317168E-3</v>
          </cell>
          <cell r="AF309">
            <v>0.24210026134473761</v>
          </cell>
          <cell r="AG309">
            <v>6.4458290580884814E-2</v>
          </cell>
          <cell r="AH309">
            <v>0.50819672131147531</v>
          </cell>
          <cell r="AI309">
            <v>0.54695672848311916</v>
          </cell>
          <cell r="AJ309">
            <v>0.56521739130434789</v>
          </cell>
          <cell r="AK309">
            <v>0.29561973986227974</v>
          </cell>
          <cell r="AL309">
            <v>0.46884533099996295</v>
          </cell>
          <cell r="AM309">
            <v>0.35507246376811463</v>
          </cell>
          <cell r="AN309">
            <v>0.74475524475524213</v>
          </cell>
          <cell r="AO309">
            <v>0.94434380032205989</v>
          </cell>
          <cell r="AP309">
            <v>0.81890209394453661</v>
          </cell>
          <cell r="AQ309">
            <v>0.7200853483262728</v>
          </cell>
          <cell r="AR309">
            <v>0.42632798573975106</v>
          </cell>
          <cell r="AS309">
            <v>0.33356045424181824</v>
          </cell>
          <cell r="AT309">
            <v>0.53480563176147955</v>
          </cell>
          <cell r="AU309">
            <v>0.70711885500933613</v>
          </cell>
          <cell r="AV309">
            <v>0.51007302924114306</v>
          </cell>
          <cell r="AW309">
            <v>0.27532416273844151</v>
          </cell>
          <cell r="AX309">
            <v>0.39564613409766403</v>
          </cell>
          <cell r="AY309">
            <v>0.24379795638095469</v>
          </cell>
          <cell r="AZ309">
            <v>0.19753036396235868</v>
          </cell>
          <cell r="BA309">
            <v>0</v>
          </cell>
          <cell r="BK309">
            <v>0.88193406087833237</v>
          </cell>
          <cell r="BL309">
            <v>-0.37186103163718931</v>
          </cell>
        </row>
        <row r="310">
          <cell r="A310" t="str">
            <v>Average Mass Market Positions</v>
          </cell>
          <cell r="X310">
            <v>2849.3333333333335</v>
          </cell>
          <cell r="Y310">
            <v>2849.3333333333335</v>
          </cell>
          <cell r="Z310">
            <v>2849.3333333333335</v>
          </cell>
          <cell r="AA310">
            <v>2871</v>
          </cell>
          <cell r="AB310">
            <v>2854.75</v>
          </cell>
          <cell r="AC310">
            <v>2871</v>
          </cell>
          <cell r="AD310">
            <v>4376.9597069597066</v>
          </cell>
          <cell r="AE310">
            <v>5635.6666666666661</v>
          </cell>
          <cell r="AF310">
            <v>7811.2608695652179</v>
          </cell>
          <cell r="AG310">
            <v>5173.721810797897</v>
          </cell>
          <cell r="AH310">
            <v>9737</v>
          </cell>
          <cell r="AI310">
            <v>10419.833333333334</v>
          </cell>
          <cell r="AJ310">
            <v>10800.666666666668</v>
          </cell>
          <cell r="AK310">
            <v>11558.833333333334</v>
          </cell>
          <cell r="AL310">
            <v>10629.083333333334</v>
          </cell>
          <cell r="AM310">
            <v>13199.5</v>
          </cell>
          <cell r="AN310">
            <v>15369.333333333336</v>
          </cell>
          <cell r="AO310">
            <v>17841.623188405796</v>
          </cell>
          <cell r="AP310">
            <v>22837.871980676333</v>
          </cell>
          <cell r="AQ310">
            <v>17312.082125603865</v>
          </cell>
          <cell r="AR310">
            <v>26470.846376811594</v>
          </cell>
          <cell r="AS310">
            <v>29770.846376811594</v>
          </cell>
          <cell r="AT310">
            <v>41330.046376811588</v>
          </cell>
          <cell r="AU310">
            <v>44964.846376811591</v>
          </cell>
          <cell r="AV310">
            <v>35634.146376811594</v>
          </cell>
          <cell r="AW310">
            <v>55476.22463768116</v>
          </cell>
          <cell r="AX310">
            <v>82788.724637681153</v>
          </cell>
          <cell r="AY310">
            <v>102626.22463768115</v>
          </cell>
          <cell r="AZ310">
            <v>119926.22463768115</v>
          </cell>
          <cell r="BA310">
            <v>120226.22463768115</v>
          </cell>
          <cell r="BK310">
            <v>34721.745652173908</v>
          </cell>
          <cell r="BL310">
            <v>912.40072463768593</v>
          </cell>
        </row>
        <row r="311">
          <cell r="A311" t="str">
            <v xml:space="preserve">  Year-over-Year growth</v>
          </cell>
          <cell r="AC311">
            <v>7.6041179223209632E-3</v>
          </cell>
          <cell r="AD311">
            <v>0.53613466552165634</v>
          </cell>
          <cell r="AE311">
            <v>0.97788956481048173</v>
          </cell>
          <cell r="AF311">
            <v>1.7207456877621796</v>
          </cell>
          <cell r="AG311">
            <v>0.81232045215794613</v>
          </cell>
          <cell r="AH311">
            <v>2.3915012190874259</v>
          </cell>
          <cell r="AI311">
            <v>1.3806098367241049</v>
          </cell>
          <cell r="AJ311">
            <v>0.91648429644525975</v>
          </cell>
          <cell r="AK311">
            <v>0.47976537032192468</v>
          </cell>
          <cell r="AL311">
            <v>1.0544365781611487</v>
          </cell>
          <cell r="AM311">
            <v>0.35560234158365001</v>
          </cell>
          <cell r="AN311">
            <v>0.47500759769030232</v>
          </cell>
          <cell r="AO311">
            <v>0.65190017792782484</v>
          </cell>
          <cell r="AP311">
            <v>0.97579386449119698</v>
          </cell>
          <cell r="AQ311">
            <v>0.62874648572114533</v>
          </cell>
          <cell r="AR311">
            <v>1.0054431135127539</v>
          </cell>
          <cell r="AS311">
            <v>0.93702913009531463</v>
          </cell>
          <cell r="AT311">
            <v>1.3164958670167137</v>
          </cell>
          <cell r="AU311">
            <v>0.96887198662193308</v>
          </cell>
          <cell r="AV311">
            <v>1.0583397258790805</v>
          </cell>
          <cell r="AW311">
            <v>0.55682765769244047</v>
          </cell>
          <cell r="AX311">
            <v>0.49232802301129386</v>
          </cell>
          <cell r="AY311">
            <v>0.23961596324641277</v>
          </cell>
          <cell r="AZ311">
            <v>0.1685728970453424</v>
          </cell>
          <cell r="BA311">
            <v>2.5015379322275155E-3</v>
          </cell>
          <cell r="BK311">
            <v>0.95867636216824947</v>
          </cell>
          <cell r="BL311">
            <v>9.9663363710831065E-2</v>
          </cell>
        </row>
        <row r="312">
          <cell r="BL312">
            <v>0</v>
          </cell>
        </row>
        <row r="313">
          <cell r="A313" t="str">
            <v>Daily Win/Position (US$)</v>
          </cell>
          <cell r="X313">
            <v>1984.6216975909358</v>
          </cell>
          <cell r="Y313">
            <v>1522.6344452224507</v>
          </cell>
          <cell r="Z313">
            <v>2206.0684135316028</v>
          </cell>
          <cell r="AA313">
            <v>2414.3607650136464</v>
          </cell>
          <cell r="AB313">
            <v>2034.0390337821721</v>
          </cell>
          <cell r="AC313">
            <v>2647.8330394139557</v>
          </cell>
          <cell r="AD313">
            <v>2056.5382194736676</v>
          </cell>
          <cell r="AE313">
            <v>1974.1926488393624</v>
          </cell>
          <cell r="AF313">
            <v>1462.6152639704985</v>
          </cell>
          <cell r="AG313">
            <v>1923.074314419533</v>
          </cell>
          <cell r="AH313">
            <v>1173.4825864456277</v>
          </cell>
          <cell r="AI313">
            <v>1169.6865639252771</v>
          </cell>
          <cell r="AJ313">
            <v>1131.3434162161072</v>
          </cell>
          <cell r="AK313">
            <v>1068.4900960448804</v>
          </cell>
          <cell r="AL313">
            <v>1133.8513082263344</v>
          </cell>
          <cell r="AM313">
            <v>1013.9121814777565</v>
          </cell>
          <cell r="AN313">
            <v>855.13252290882599</v>
          </cell>
          <cell r="AO313">
            <v>784.30445286239956</v>
          </cell>
          <cell r="AP313">
            <v>790.67024266507394</v>
          </cell>
          <cell r="AQ313">
            <v>846.84804241168968</v>
          </cell>
          <cell r="AR313">
            <v>776.64432736628203</v>
          </cell>
          <cell r="AS313">
            <v>598.77562977980131</v>
          </cell>
          <cell r="AT313">
            <v>456.97775360672165</v>
          </cell>
          <cell r="AU313">
            <v>483.01875491267333</v>
          </cell>
          <cell r="AV313">
            <v>554.18520300220416</v>
          </cell>
          <cell r="AW313">
            <v>420.75875765684395</v>
          </cell>
          <cell r="AX313">
            <v>328.00414157503479</v>
          </cell>
          <cell r="AY313">
            <v>297.66203483343799</v>
          </cell>
          <cell r="AZ313">
            <v>275.59935814306453</v>
          </cell>
          <cell r="BA313">
            <v>296.16983649902596</v>
          </cell>
          <cell r="BK313">
            <v>485.74228302918874</v>
          </cell>
          <cell r="BL313">
            <v>68.442919973015421</v>
          </cell>
        </row>
        <row r="314">
          <cell r="A314" t="str">
            <v xml:space="preserve">  Year-over-Year growth</v>
          </cell>
          <cell r="AC314">
            <v>0.33417519451090816</v>
          </cell>
          <cell r="AD314">
            <v>0.35064474991120775</v>
          </cell>
          <cell r="AE314">
            <v>-0.10510814772105825</v>
          </cell>
          <cell r="AF314">
            <v>-0.39420185865958124</v>
          </cell>
          <cell r="AG314">
            <v>-5.455387901593356E-2</v>
          </cell>
          <cell r="AH314">
            <v>-0.55681397996855786</v>
          </cell>
          <cell r="AI314">
            <v>-0.43123519278691713</v>
          </cell>
          <cell r="AJ314">
            <v>-0.42693362935920687</v>
          </cell>
          <cell r="AK314">
            <v>-0.26946605688751224</v>
          </cell>
          <cell r="AL314">
            <v>-0.41039651992409887</v>
          </cell>
          <cell r="AM314">
            <v>-0.13598020695918078</v>
          </cell>
          <cell r="AN314">
            <v>-0.2689216502247056</v>
          </cell>
          <cell r="AO314">
            <v>-0.30674944351947053</v>
          </cell>
          <cell r="AP314">
            <v>-0.26001163174856134</v>
          </cell>
          <cell r="AQ314">
            <v>-0.25312248945904503</v>
          </cell>
          <cell r="AR314">
            <v>-0.23401223345167954</v>
          </cell>
          <cell r="AS314">
            <v>-0.2997861574215408</v>
          </cell>
          <cell r="AT314">
            <v>-0.41734647567161642</v>
          </cell>
          <cell r="AU314">
            <v>-0.38910214543475752</v>
          </cell>
          <cell r="AV314">
            <v>-0.34559073736065793</v>
          </cell>
          <cell r="AW314">
            <v>-0.24076147219836452</v>
          </cell>
          <cell r="AX314">
            <v>-0.22044607365595603</v>
          </cell>
          <cell r="AY314">
            <v>-9.2505254951653404E-2</v>
          </cell>
          <cell r="AZ314">
            <v>-7.4119888022397662E-2</v>
          </cell>
          <cell r="BA314">
            <v>7.4639064816991452E-2</v>
          </cell>
          <cell r="BK314">
            <v>-0.37656544006928927</v>
          </cell>
          <cell r="BL314">
            <v>3.0974702708631341E-2</v>
          </cell>
        </row>
        <row r="315">
          <cell r="A315" t="str">
            <v>Daily VIP Win/Position (US$)</v>
          </cell>
          <cell r="X315">
            <v>3923.1834225657803</v>
          </cell>
          <cell r="Y315">
            <v>3009.9309210291703</v>
          </cell>
          <cell r="Z315">
            <v>4360.9374217358154</v>
          </cell>
          <cell r="AA315">
            <v>4794.7869099604404</v>
          </cell>
          <cell r="AB315">
            <v>4025.5256448236446</v>
          </cell>
          <cell r="AC315">
            <v>5114.7950942594689</v>
          </cell>
          <cell r="AD315">
            <v>4920.0477530688413</v>
          </cell>
          <cell r="AE315">
            <v>5637.3880345733487</v>
          </cell>
          <cell r="AF315">
            <v>4653.7441338625504</v>
          </cell>
          <cell r="AG315">
            <v>5059.2455869262712</v>
          </cell>
          <cell r="AH315">
            <v>3507.9721714892053</v>
          </cell>
          <cell r="AI315">
            <v>3559.9544166450582</v>
          </cell>
          <cell r="AJ315">
            <v>3297.3562134291165</v>
          </cell>
          <cell r="AK315">
            <v>3049.6571499948627</v>
          </cell>
          <cell r="AL315">
            <v>3349.274382571798</v>
          </cell>
          <cell r="AM315">
            <v>2891.4768388849147</v>
          </cell>
          <cell r="AN315">
            <v>2231.4736892561527</v>
          </cell>
          <cell r="AO315">
            <v>2144.3140745718874</v>
          </cell>
          <cell r="AP315">
            <v>2782.0624877638802</v>
          </cell>
          <cell r="AQ315">
            <v>2484.0441493932967</v>
          </cell>
          <cell r="AR315">
            <v>3018.2114113644125</v>
          </cell>
          <cell r="AS315">
            <v>2175.3163021636569</v>
          </cell>
          <cell r="AT315">
            <v>1606.6928181176363</v>
          </cell>
          <cell r="AU315">
            <v>1792.6512425073831</v>
          </cell>
          <cell r="AV315">
            <v>2044.063339267585</v>
          </cell>
          <cell r="AW315">
            <v>1731.0017883364999</v>
          </cell>
          <cell r="AX315">
            <v>1314.7042440116779</v>
          </cell>
          <cell r="AY315">
            <v>1099.2881976993424</v>
          </cell>
          <cell r="AZ315">
            <v>945.50157365856398</v>
          </cell>
          <cell r="BA315">
            <v>971.20578310638541</v>
          </cell>
          <cell r="BK315">
            <v>1089.86540686582</v>
          </cell>
          <cell r="BL315">
            <v>954.197932401765</v>
          </cell>
        </row>
        <row r="316">
          <cell r="A316" t="str">
            <v xml:space="preserve">  Year-over-Year growth</v>
          </cell>
          <cell r="AC316">
            <v>0.30373590611125922</v>
          </cell>
          <cell r="AD316">
            <v>0.63460487371801699</v>
          </cell>
          <cell r="AE316">
            <v>0.29270096985924154</v>
          </cell>
          <cell r="AF316">
            <v>-2.9415859087480012E-2</v>
          </cell>
          <cell r="AG316">
            <v>0.25679129468020401</v>
          </cell>
          <cell r="AH316">
            <v>-0.31415196369716991</v>
          </cell>
          <cell r="AI316">
            <v>-0.27643905195339524</v>
          </cell>
          <cell r="AJ316">
            <v>-0.41509149393178713</v>
          </cell>
          <cell r="AK316">
            <v>-0.34468740388963226</v>
          </cell>
          <cell r="AL316">
            <v>-0.33798936520758238</v>
          </cell>
          <cell r="AM316">
            <v>-0.17574122668783199</v>
          </cell>
          <cell r="AN316">
            <v>-0.37317352187921582</v>
          </cell>
          <cell r="AO316">
            <v>-0.349686859478889</v>
          </cell>
          <cell r="AP316">
            <v>-8.7745818323031299E-2</v>
          </cell>
          <cell r="AQ316">
            <v>-0.25833363718445768</v>
          </cell>
          <cell r="AR316">
            <v>4.3830395172168357E-2</v>
          </cell>
          <cell r="AS316">
            <v>-2.5166053878598715E-2</v>
          </cell>
          <cell r="AT316">
            <v>-0.25071945515331628</v>
          </cell>
          <cell r="AU316">
            <v>-0.35563947596725243</v>
          </cell>
          <cell r="AV316">
            <v>-0.1771227819091592</v>
          </cell>
          <cell r="AW316">
            <v>-0.15315648244210434</v>
          </cell>
          <cell r="AX316">
            <v>-0.24049515553931677</v>
          </cell>
          <cell r="AY316">
            <v>-0.16385133560915321</v>
          </cell>
          <cell r="AZ316">
            <v>-0.13989654793222783</v>
          </cell>
          <cell r="BA316">
            <v>2.7185792349726512E-2</v>
          </cell>
          <cell r="BK316">
            <v>-0.41549492999419424</v>
          </cell>
          <cell r="BL316">
            <v>0.23837214808503504</v>
          </cell>
        </row>
        <row r="317">
          <cell r="A317" t="str">
            <v>Daily Mass Market Win/Position (US$)</v>
          </cell>
          <cell r="X317">
            <v>739.56977081135028</v>
          </cell>
          <cell r="Y317">
            <v>567.41010594087697</v>
          </cell>
          <cell r="Z317">
            <v>822.09194476216783</v>
          </cell>
          <cell r="AA317">
            <v>897.05674367869881</v>
          </cell>
          <cell r="AB317">
            <v>757.42269322489199</v>
          </cell>
          <cell r="AC317">
            <v>1075.3702876315492</v>
          </cell>
          <cell r="AD317">
            <v>847.01571836801418</v>
          </cell>
          <cell r="AE317">
            <v>778.18871382714224</v>
          </cell>
          <cell r="AF317">
            <v>534.01042191996669</v>
          </cell>
          <cell r="AG317">
            <v>742.27406078714728</v>
          </cell>
          <cell r="AH317">
            <v>511.76016118936036</v>
          </cell>
          <cell r="AI317">
            <v>513.61406832119803</v>
          </cell>
          <cell r="AJ317">
            <v>553.77565595685178</v>
          </cell>
          <cell r="AK317">
            <v>563.72142211158007</v>
          </cell>
          <cell r="AL317">
            <v>537.48009984640623</v>
          </cell>
          <cell r="AM317">
            <v>481.91537715162565</v>
          </cell>
          <cell r="AN317">
            <v>408.27238453328494</v>
          </cell>
          <cell r="AO317">
            <v>357.45653687039299</v>
          </cell>
          <cell r="AP317">
            <v>323.58537290991256</v>
          </cell>
          <cell r="AQ317">
            <v>381.41501069034263</v>
          </cell>
          <cell r="AR317">
            <v>324.9185033986729</v>
          </cell>
          <cell r="AS317">
            <v>246.38264705311445</v>
          </cell>
          <cell r="AT317">
            <v>217.8977460980087</v>
          </cell>
          <cell r="AU317">
            <v>216.67979029053356</v>
          </cell>
          <cell r="AV317">
            <v>243.45165745766511</v>
          </cell>
          <cell r="AW317">
            <v>196.90246787275038</v>
          </cell>
          <cell r="AX317">
            <v>170.34700333343068</v>
          </cell>
          <cell r="AY317">
            <v>169.14431035748063</v>
          </cell>
          <cell r="AZ317">
            <v>165.53840156289777</v>
          </cell>
          <cell r="BA317">
            <v>185.54217766603503</v>
          </cell>
          <cell r="BK317">
            <v>310.39361242899304</v>
          </cell>
          <cell r="BL317">
            <v>-66.941954971327931</v>
          </cell>
          <cell r="BN317" t="str">
            <v>gt:winPerPosition</v>
          </cell>
        </row>
        <row r="318">
          <cell r="A318" t="str">
            <v xml:space="preserve">  Year-over-Year growth</v>
          </cell>
          <cell r="AC318">
            <v>0.45404846178583891</v>
          </cell>
          <cell r="AD318">
            <v>0.49277517178425367</v>
          </cell>
          <cell r="AE318">
            <v>-5.3404283078977044E-2</v>
          </cell>
          <cell r="AF318">
            <v>-0.40470831340047919</v>
          </cell>
          <cell r="AG318">
            <v>-2.0000235764320862E-2</v>
          </cell>
          <cell r="AH318">
            <v>-0.52410795883482408</v>
          </cell>
          <cell r="AI318">
            <v>-0.39361920070290679</v>
          </cell>
          <cell r="AJ318">
            <v>-0.28837871056574971</v>
          </cell>
          <cell r="AK318">
            <v>5.5637491277400919E-2</v>
          </cell>
          <cell r="AL318">
            <v>-0.27590073769190659</v>
          </cell>
          <cell r="AM318">
            <v>-5.831791198512537E-2</v>
          </cell>
          <cell r="AN318">
            <v>-0.20509890652379037</v>
          </cell>
          <cell r="AO318">
            <v>-0.35451020097162822</v>
          </cell>
          <cell r="AP318">
            <v>-0.42598354396781501</v>
          </cell>
          <cell r="AQ318">
            <v>-0.29036440456244195</v>
          </cell>
          <cell r="AR318">
            <v>-0.32577685045222504</v>
          </cell>
          <cell r="AS318">
            <v>-0.39652384930524787</v>
          </cell>
          <cell r="AT318">
            <v>-0.39042170551488808</v>
          </cell>
          <cell r="AU318">
            <v>-0.3303782913856923</v>
          </cell>
          <cell r="AV318">
            <v>-0.36171453499685435</v>
          </cell>
          <cell r="AW318">
            <v>-0.19120506334202869</v>
          </cell>
          <cell r="AX318">
            <v>-0.13486608281863366</v>
          </cell>
          <cell r="AY318">
            <v>-7.0602532032567611E-3</v>
          </cell>
          <cell r="AZ318">
            <v>-2.1318534374357045E-2</v>
          </cell>
          <cell r="BA318">
            <v>0.12084069867943392</v>
          </cell>
          <cell r="BK318">
            <v>-0.31212351562578755</v>
          </cell>
          <cell r="BL318">
            <v>-4.9591019371066802E-2</v>
          </cell>
        </row>
        <row r="319">
          <cell r="BL319">
            <v>0</v>
          </cell>
        </row>
        <row r="320">
          <cell r="A320" t="str">
            <v>Average Exchange Rate (US$/MOP)</v>
          </cell>
          <cell r="B320">
            <v>7.9973275454545485</v>
          </cell>
          <cell r="C320">
            <v>7.9755826679841908</v>
          </cell>
          <cell r="D320">
            <v>7.9969583636363657</v>
          </cell>
          <cell r="E320">
            <v>7.9856313176470595</v>
          </cell>
          <cell r="F320">
            <v>7.9940926062992101</v>
          </cell>
          <cell r="G320">
            <v>8.0251389999999994</v>
          </cell>
          <cell r="H320">
            <v>8.0390043992094871</v>
          </cell>
          <cell r="I320">
            <v>7.9943623593750006</v>
          </cell>
          <cell r="J320">
            <v>8.0149042031249991</v>
          </cell>
          <cell r="K320">
            <v>7.9353441874999993</v>
          </cell>
          <cell r="L320">
            <v>8.027346703125005</v>
          </cell>
          <cell r="M320">
            <v>7.9937193083003963</v>
          </cell>
          <cell r="N320">
            <v>8.0437888412698424</v>
          </cell>
          <cell r="O320">
            <v>8.0048747031250045</v>
          </cell>
          <cell r="P320">
            <v>8.0206962833333311</v>
          </cell>
          <cell r="Q320">
            <v>8.0378734769230764</v>
          </cell>
          <cell r="R320">
            <v>8.0267637429718892</v>
          </cell>
          <cell r="S320">
            <v>8.0459319672131162</v>
          </cell>
          <cell r="T320">
            <v>7.9395799692307705</v>
          </cell>
          <cell r="U320">
            <v>8.0023464461538421</v>
          </cell>
          <cell r="V320">
            <v>8.0027988769230785</v>
          </cell>
          <cell r="W320">
            <v>7.9973505968379444</v>
          </cell>
          <cell r="X320">
            <v>8.0352499677419367</v>
          </cell>
          <cell r="Y320">
            <v>8.0117751250000033</v>
          </cell>
          <cell r="Z320">
            <v>8.0374984153846185</v>
          </cell>
          <cell r="AA320">
            <v>7.9566313384615395</v>
          </cell>
          <cell r="AB320">
            <v>8.0101944268774705</v>
          </cell>
          <cell r="AC320">
            <v>7.9878238571428613</v>
          </cell>
          <cell r="AD320">
            <v>8.029138555555555</v>
          </cell>
          <cell r="AE320">
            <v>8.0334246153846163</v>
          </cell>
          <cell r="AF320">
            <v>8.0147200000000023</v>
          </cell>
          <cell r="AG320">
            <v>8.0162347944663939</v>
          </cell>
          <cell r="AH320">
            <v>8.0312387096774192</v>
          </cell>
          <cell r="AI320">
            <v>8.0228000000000037</v>
          </cell>
          <cell r="AJ320">
            <v>8.0030446153846135</v>
          </cell>
          <cell r="AK320">
            <v>7.9876640625000004</v>
          </cell>
          <cell r="AL320">
            <v>8.0111868468905083</v>
          </cell>
          <cell r="AM320">
            <v>7.9905793650793662</v>
          </cell>
          <cell r="AN320">
            <v>7.9908031250000029</v>
          </cell>
          <cell r="AO320">
            <v>8.0103671875</v>
          </cell>
          <cell r="AP320">
            <v>8.0143687500000027</v>
          </cell>
          <cell r="AQ320">
            <v>8.0015296068948434</v>
          </cell>
          <cell r="AR320">
            <v>8.0418241935483863</v>
          </cell>
          <cell r="AS320">
            <v>8.0418241935483863</v>
          </cell>
          <cell r="AT320">
            <v>8.0418241935483863</v>
          </cell>
          <cell r="AU320">
            <v>8.0418241935483863</v>
          </cell>
          <cell r="AV320">
            <v>8.0418241935483863</v>
          </cell>
          <cell r="AW320">
            <v>8.0418241935483863</v>
          </cell>
          <cell r="AX320">
            <v>8.0418241935483863</v>
          </cell>
          <cell r="AY320">
            <v>8.0418241935483863</v>
          </cell>
          <cell r="AZ320">
            <v>8.0418241935483863</v>
          </cell>
          <cell r="BA320">
            <v>8.0418241935483863</v>
          </cell>
          <cell r="BK320">
            <v>7.9994237767609135</v>
          </cell>
          <cell r="BL320">
            <v>4.240041678747275E-2</v>
          </cell>
        </row>
        <row r="321">
          <cell r="BL321">
            <v>0</v>
          </cell>
        </row>
        <row r="322">
          <cell r="A322" t="str">
            <v>Total Gaming Receipts (millions MOP)</v>
          </cell>
          <cell r="BL322">
            <v>0</v>
          </cell>
        </row>
        <row r="323">
          <cell r="A323" t="str">
            <v>Table Revenue</v>
          </cell>
          <cell r="C323">
            <v>15120.853621</v>
          </cell>
          <cell r="D323">
            <v>17147.185416999997</v>
          </cell>
          <cell r="E323">
            <v>16116.43507</v>
          </cell>
          <cell r="F323">
            <v>17541.344209000003</v>
          </cell>
          <cell r="G323">
            <v>14349.441364</v>
          </cell>
          <cell r="H323">
            <v>12864.117540000001</v>
          </cell>
          <cell r="M323">
            <v>15661</v>
          </cell>
          <cell r="R323">
            <v>17888</v>
          </cell>
          <cell r="W323">
            <v>21322</v>
          </cell>
          <cell r="AB323">
            <v>27622</v>
          </cell>
          <cell r="AG323">
            <v>39564</v>
          </cell>
          <cell r="AH323">
            <v>10356.192100499999</v>
          </cell>
          <cell r="AI323">
            <v>11045.259750000001</v>
          </cell>
          <cell r="AJ323">
            <v>11071.4</v>
          </cell>
          <cell r="AK323">
            <v>11038.5</v>
          </cell>
          <cell r="AL323">
            <v>43511.351850500003</v>
          </cell>
          <cell r="AM323">
            <v>11926.5</v>
          </cell>
          <cell r="AN323">
            <v>12216.5</v>
          </cell>
          <cell r="AO323">
            <v>13029.5</v>
          </cell>
          <cell r="AP323">
            <v>15827.7</v>
          </cell>
          <cell r="BL323">
            <v>0</v>
          </cell>
        </row>
        <row r="324">
          <cell r="A324" t="str">
            <v>Slot Revenue</v>
          </cell>
          <cell r="C324">
            <v>292.82445200000001</v>
          </cell>
          <cell r="D324">
            <v>332.74785100000003</v>
          </cell>
          <cell r="E324">
            <v>295.19192099999998</v>
          </cell>
          <cell r="F324">
            <v>242.795143</v>
          </cell>
          <cell r="G324">
            <v>216.145647</v>
          </cell>
          <cell r="H324">
            <v>173.18694099999999</v>
          </cell>
          <cell r="M324">
            <v>217</v>
          </cell>
          <cell r="R324">
            <v>220</v>
          </cell>
          <cell r="W324">
            <v>225</v>
          </cell>
          <cell r="AB324">
            <v>230</v>
          </cell>
          <cell r="AG324">
            <v>622</v>
          </cell>
          <cell r="AH324">
            <v>243.84791546000005</v>
          </cell>
          <cell r="AI324">
            <v>295.16821077000003</v>
          </cell>
          <cell r="AJ324">
            <v>326</v>
          </cell>
          <cell r="AK324">
            <v>349</v>
          </cell>
          <cell r="AL324">
            <v>1214.0161262300001</v>
          </cell>
          <cell r="AM324">
            <v>425</v>
          </cell>
          <cell r="AN324">
            <v>444</v>
          </cell>
          <cell r="AO324">
            <v>519</v>
          </cell>
          <cell r="AP324">
            <v>608</v>
          </cell>
          <cell r="BL324">
            <v>0</v>
          </cell>
        </row>
        <row r="325">
          <cell r="B325" t="str">
            <v>______</v>
          </cell>
          <cell r="C325" t="str">
            <v>______</v>
          </cell>
          <cell r="D325" t="str">
            <v>______</v>
          </cell>
          <cell r="E325" t="str">
            <v>______</v>
          </cell>
          <cell r="F325" t="str">
            <v>______</v>
          </cell>
          <cell r="G325" t="str">
            <v>______</v>
          </cell>
          <cell r="H325" t="str">
            <v>______</v>
          </cell>
          <cell r="I325" t="str">
            <v>______</v>
          </cell>
          <cell r="J325" t="str">
            <v>______</v>
          </cell>
          <cell r="K325" t="str">
            <v>______</v>
          </cell>
          <cell r="L325" t="str">
            <v>______</v>
          </cell>
          <cell r="M325" t="str">
            <v>______</v>
          </cell>
          <cell r="N325" t="str">
            <v>______</v>
          </cell>
          <cell r="O325" t="str">
            <v>______</v>
          </cell>
          <cell r="P325" t="str">
            <v>______</v>
          </cell>
          <cell r="Q325" t="str">
            <v>______</v>
          </cell>
          <cell r="R325" t="str">
            <v>______</v>
          </cell>
          <cell r="S325" t="str">
            <v>______</v>
          </cell>
          <cell r="T325" t="str">
            <v>______</v>
          </cell>
          <cell r="U325" t="str">
            <v>______</v>
          </cell>
          <cell r="V325" t="str">
            <v>______</v>
          </cell>
          <cell r="W325" t="str">
            <v>______</v>
          </cell>
          <cell r="X325" t="str">
            <v>______</v>
          </cell>
          <cell r="Y325" t="str">
            <v>______</v>
          </cell>
          <cell r="Z325" t="str">
            <v>______</v>
          </cell>
          <cell r="AA325" t="str">
            <v>______</v>
          </cell>
          <cell r="AB325" t="str">
            <v>______</v>
          </cell>
          <cell r="AC325" t="str">
            <v>______</v>
          </cell>
          <cell r="AD325" t="str">
            <v>______</v>
          </cell>
          <cell r="AE325" t="str">
            <v>______</v>
          </cell>
          <cell r="AF325" t="str">
            <v>______</v>
          </cell>
          <cell r="AG325" t="str">
            <v>______</v>
          </cell>
          <cell r="AH325" t="str">
            <v>______</v>
          </cell>
          <cell r="AI325" t="str">
            <v>______</v>
          </cell>
          <cell r="AJ325" t="str">
            <v>______</v>
          </cell>
          <cell r="AK325" t="str">
            <v>______</v>
          </cell>
          <cell r="AL325" t="str">
            <v>______</v>
          </cell>
          <cell r="AM325" t="str">
            <v>______</v>
          </cell>
          <cell r="AN325" t="str">
            <v>______</v>
          </cell>
          <cell r="AO325" t="str">
            <v>______</v>
          </cell>
          <cell r="AP325" t="str">
            <v>______</v>
          </cell>
          <cell r="AQ325" t="str">
            <v>______</v>
          </cell>
          <cell r="AR325" t="str">
            <v>______</v>
          </cell>
          <cell r="AS325" t="str">
            <v>______</v>
          </cell>
          <cell r="AT325" t="str">
            <v>______</v>
          </cell>
          <cell r="AU325" t="str">
            <v>______</v>
          </cell>
          <cell r="AV325" t="str">
            <v>______</v>
          </cell>
          <cell r="AW325" t="str">
            <v>______</v>
          </cell>
          <cell r="AX325" t="str">
            <v>______</v>
          </cell>
          <cell r="AY325" t="str">
            <v>______</v>
          </cell>
          <cell r="AZ325" t="str">
            <v>______</v>
          </cell>
          <cell r="BA325" t="str">
            <v>______</v>
          </cell>
          <cell r="BK325" t="str">
            <v>______</v>
          </cell>
          <cell r="BL325" t="e">
            <v>#VALUE!</v>
          </cell>
        </row>
        <row r="326">
          <cell r="A326" t="str">
            <v>Total Casino Revenue</v>
          </cell>
          <cell r="C326">
            <v>15413.678073000001</v>
          </cell>
          <cell r="D326">
            <v>17479.933267999997</v>
          </cell>
          <cell r="E326">
            <v>16411.626991000001</v>
          </cell>
          <cell r="F326">
            <v>17784.139352000002</v>
          </cell>
          <cell r="G326">
            <v>14565.587011</v>
          </cell>
          <cell r="H326">
            <v>13037.304481000001</v>
          </cell>
          <cell r="I326">
            <v>4197.2332429435364</v>
          </cell>
          <cell r="J326">
            <v>3811.0096980277076</v>
          </cell>
          <cell r="K326">
            <v>4061.0367600948498</v>
          </cell>
          <cell r="L326">
            <v>3808.7202989339075</v>
          </cell>
          <cell r="M326">
            <v>15878</v>
          </cell>
          <cell r="N326">
            <v>4411.7756982710744</v>
          </cell>
          <cell r="O326">
            <v>4489.5445723219573</v>
          </cell>
          <cell r="P326">
            <v>4536.7505393403962</v>
          </cell>
          <cell r="Q326">
            <v>4669.929190066573</v>
          </cell>
          <cell r="R326">
            <v>18108</v>
          </cell>
          <cell r="S326">
            <v>4904.6801940326268</v>
          </cell>
          <cell r="T326">
            <v>5313.7402763690006</v>
          </cell>
          <cell r="U326">
            <v>5341.0424438576956</v>
          </cell>
          <cell r="V326">
            <v>5987.5370857406742</v>
          </cell>
          <cell r="W326">
            <v>21547</v>
          </cell>
          <cell r="X326">
            <v>6715.8907030819191</v>
          </cell>
          <cell r="Y326">
            <v>5194.5720796418655</v>
          </cell>
          <cell r="Z326">
            <v>7633.2886865296596</v>
          </cell>
          <cell r="AA326">
            <v>8308.2485307465558</v>
          </cell>
          <cell r="AB326">
            <v>27852</v>
          </cell>
          <cell r="AC326">
            <v>9047.9609999999993</v>
          </cell>
          <cell r="AD326">
            <v>9354.8940000000002</v>
          </cell>
          <cell r="AE326">
            <v>10907.57</v>
          </cell>
          <cell r="AF326">
            <v>10875.575000000001</v>
          </cell>
          <cell r="AG326">
            <v>40186</v>
          </cell>
          <cell r="AH326">
            <v>10600.039000000001</v>
          </cell>
          <cell r="AI326">
            <v>11340.429</v>
          </cell>
          <cell r="AJ326">
            <v>11395.798999999999</v>
          </cell>
          <cell r="AK326">
            <v>11388.353000000001</v>
          </cell>
          <cell r="AL326">
            <v>44725.367976730005</v>
          </cell>
          <cell r="AM326">
            <v>12351.557000000001</v>
          </cell>
          <cell r="AN326">
            <v>12659.857</v>
          </cell>
          <cell r="AO326">
            <v>13549</v>
          </cell>
          <cell r="AP326">
            <v>16436.810000000001</v>
          </cell>
          <cell r="AQ326">
            <v>54997.224000000002</v>
          </cell>
          <cell r="AR326">
            <v>17878</v>
          </cell>
          <cell r="AS326">
            <v>15961.120483281104</v>
          </cell>
          <cell r="AT326">
            <v>16879.178185506858</v>
          </cell>
          <cell r="AU326">
            <v>19336.524435157942</v>
          </cell>
          <cell r="AV326">
            <v>70054.823103945906</v>
          </cell>
          <cell r="AW326">
            <v>80221.193770221027</v>
          </cell>
          <cell r="AX326">
            <v>92443.080110233597</v>
          </cell>
          <cell r="AY326">
            <v>104041.71233943444</v>
          </cell>
          <cell r="AZ326">
            <v>112954.22640767637</v>
          </cell>
          <cell r="BA326">
            <v>121979.1016281718</v>
          </cell>
          <cell r="BK326">
            <v>63538.063648138261</v>
          </cell>
          <cell r="BL326">
            <v>6516.7594558076453</v>
          </cell>
        </row>
        <row r="327">
          <cell r="A327" t="str">
            <v>Other Gaming Revenues (racing, lottery, etc.)</v>
          </cell>
          <cell r="C327">
            <v>1219.5940837990347</v>
          </cell>
          <cell r="D327">
            <v>1383.0847574400825</v>
          </cell>
          <cell r="E327">
            <v>1298.5559377162006</v>
          </cell>
          <cell r="F327">
            <v>1407.154803443701</v>
          </cell>
          <cell r="G327">
            <v>1152.4896044632517</v>
          </cell>
          <cell r="H327">
            <v>1031.5655574490372</v>
          </cell>
          <cell r="I327">
            <v>332.10248762009257</v>
          </cell>
          <cell r="J327">
            <v>301.54288022642669</v>
          </cell>
          <cell r="K327">
            <v>321.32605749550993</v>
          </cell>
          <cell r="L327">
            <v>301.36173348279874</v>
          </cell>
          <cell r="M327">
            <v>1256.3331588248279</v>
          </cell>
          <cell r="N327">
            <v>349.07797575485006</v>
          </cell>
          <cell r="O327">
            <v>355.23137134589405</v>
          </cell>
          <cell r="P327">
            <v>358.96650307908811</v>
          </cell>
          <cell r="Q327">
            <v>369.50414982016667</v>
          </cell>
          <cell r="R327">
            <v>1432.7799999999988</v>
          </cell>
          <cell r="S327">
            <v>294.91976079054683</v>
          </cell>
          <cell r="T327">
            <v>319.51665536042793</v>
          </cell>
          <cell r="U327">
            <v>321.15834215473228</v>
          </cell>
          <cell r="V327">
            <v>360.03224169429313</v>
          </cell>
          <cell r="W327">
            <v>1295.6270000000004</v>
          </cell>
          <cell r="X327">
            <v>391.5562969180807</v>
          </cell>
          <cell r="Y327">
            <v>302.85892035813436</v>
          </cell>
          <cell r="Z327">
            <v>445.04331347034065</v>
          </cell>
          <cell r="AA327">
            <v>484.39546925344365</v>
          </cell>
          <cell r="AB327">
            <v>1623.8539999999994</v>
          </cell>
          <cell r="AC327">
            <v>760</v>
          </cell>
          <cell r="AD327">
            <v>559.65799999999945</v>
          </cell>
          <cell r="AE327">
            <v>403.40800000000002</v>
          </cell>
          <cell r="AF327">
            <v>396.57399999999996</v>
          </cell>
          <cell r="AG327">
            <v>2119.6399999999994</v>
          </cell>
          <cell r="AH327">
            <v>353.34100000000001</v>
          </cell>
          <cell r="AI327">
            <v>279.19</v>
          </cell>
          <cell r="AJ327">
            <v>208.59199999999998</v>
          </cell>
          <cell r="AK327">
            <v>234.70699999999999</v>
          </cell>
          <cell r="AL327">
            <v>1075.0820232699916</v>
          </cell>
          <cell r="AM327">
            <v>237.55999999999997</v>
          </cell>
          <cell r="AN327">
            <v>240.18900000000002</v>
          </cell>
          <cell r="AO327">
            <v>213.72699999999998</v>
          </cell>
          <cell r="AP327">
            <v>195.095</v>
          </cell>
          <cell r="AQ327">
            <v>886.57099999999627</v>
          </cell>
          <cell r="AR327">
            <v>213.80399999999997</v>
          </cell>
          <cell r="AS327">
            <v>216.17010000000002</v>
          </cell>
          <cell r="AT327">
            <v>192.35429999999999</v>
          </cell>
          <cell r="AU327">
            <v>175.5855</v>
          </cell>
          <cell r="AV327">
            <v>797.91389999999956</v>
          </cell>
          <cell r="BL327">
            <v>797.91389999999956</v>
          </cell>
        </row>
        <row r="328">
          <cell r="B328" t="str">
            <v>______</v>
          </cell>
          <cell r="C328" t="str">
            <v>______</v>
          </cell>
          <cell r="D328" t="str">
            <v>______</v>
          </cell>
          <cell r="E328" t="str">
            <v>______</v>
          </cell>
          <cell r="F328" t="str">
            <v>______</v>
          </cell>
          <cell r="G328" t="str">
            <v>______</v>
          </cell>
          <cell r="H328" t="str">
            <v>______</v>
          </cell>
          <cell r="I328" t="str">
            <v>______</v>
          </cell>
          <cell r="J328" t="str">
            <v>______</v>
          </cell>
          <cell r="K328" t="str">
            <v>______</v>
          </cell>
          <cell r="L328" t="str">
            <v>______</v>
          </cell>
          <cell r="M328" t="str">
            <v>______</v>
          </cell>
          <cell r="N328" t="str">
            <v>______</v>
          </cell>
          <cell r="O328" t="str">
            <v>______</v>
          </cell>
          <cell r="P328" t="str">
            <v>______</v>
          </cell>
          <cell r="Q328" t="str">
            <v>______</v>
          </cell>
          <cell r="R328" t="str">
            <v>______</v>
          </cell>
          <cell r="S328" t="str">
            <v>______</v>
          </cell>
          <cell r="T328" t="str">
            <v>______</v>
          </cell>
          <cell r="U328" t="str">
            <v>______</v>
          </cell>
          <cell r="V328" t="str">
            <v>______</v>
          </cell>
          <cell r="W328" t="str">
            <v>______</v>
          </cell>
          <cell r="X328" t="str">
            <v>______</v>
          </cell>
          <cell r="Y328" t="str">
            <v>______</v>
          </cell>
          <cell r="Z328" t="str">
            <v>______</v>
          </cell>
          <cell r="AA328" t="str">
            <v>______</v>
          </cell>
          <cell r="AB328" t="str">
            <v>______</v>
          </cell>
          <cell r="AC328" t="str">
            <v>______</v>
          </cell>
          <cell r="AD328" t="str">
            <v>______</v>
          </cell>
          <cell r="AE328" t="str">
            <v>______</v>
          </cell>
          <cell r="AF328" t="str">
            <v>______</v>
          </cell>
          <cell r="AG328" t="str">
            <v>______</v>
          </cell>
          <cell r="AH328" t="str">
            <v>______</v>
          </cell>
          <cell r="AI328" t="str">
            <v>______</v>
          </cell>
          <cell r="AJ328" t="str">
            <v>______</v>
          </cell>
          <cell r="AK328" t="str">
            <v>______</v>
          </cell>
          <cell r="AL328" t="str">
            <v>______</v>
          </cell>
          <cell r="AM328" t="str">
            <v>______</v>
          </cell>
          <cell r="AN328" t="str">
            <v>______</v>
          </cell>
          <cell r="AO328" t="str">
            <v>______</v>
          </cell>
          <cell r="AP328" t="str">
            <v>______</v>
          </cell>
          <cell r="AQ328" t="str">
            <v>______</v>
          </cell>
          <cell r="AR328" t="str">
            <v>______</v>
          </cell>
          <cell r="AS328" t="str">
            <v>______</v>
          </cell>
          <cell r="AT328" t="str">
            <v>______</v>
          </cell>
          <cell r="AU328" t="str">
            <v>______</v>
          </cell>
          <cell r="AV328" t="str">
            <v>______</v>
          </cell>
          <cell r="BL328" t="e">
            <v>#VALUE!</v>
          </cell>
        </row>
        <row r="329">
          <cell r="A329" t="str">
            <v>Gross Gaming Receipts, gratuity exluded</v>
          </cell>
          <cell r="C329">
            <v>16633.272156799037</v>
          </cell>
          <cell r="D329">
            <v>18863.01802544008</v>
          </cell>
          <cell r="E329">
            <v>17710.1829287162</v>
          </cell>
          <cell r="F329">
            <v>19191.294155443702</v>
          </cell>
          <cell r="G329">
            <v>15718.076615463251</v>
          </cell>
          <cell r="H329">
            <v>14068.870038449038</v>
          </cell>
          <cell r="I329">
            <v>4529.3357305636291</v>
          </cell>
          <cell r="J329">
            <v>4112.5525782541345</v>
          </cell>
          <cell r="K329">
            <v>4382.3628175903596</v>
          </cell>
          <cell r="L329">
            <v>4110.0820324167062</v>
          </cell>
          <cell r="M329">
            <v>17134.333158824829</v>
          </cell>
          <cell r="N329">
            <v>4760.8536740259242</v>
          </cell>
          <cell r="O329">
            <v>4844.7759436678516</v>
          </cell>
          <cell r="P329">
            <v>4895.7170424194846</v>
          </cell>
          <cell r="Q329">
            <v>5039.4333398867393</v>
          </cell>
          <cell r="R329">
            <v>19540.78</v>
          </cell>
          <cell r="S329">
            <v>5199.5999548231739</v>
          </cell>
          <cell r="T329">
            <v>5633.2569317294283</v>
          </cell>
          <cell r="U329">
            <v>5662.2007860124277</v>
          </cell>
          <cell r="V329">
            <v>6347.5693274349678</v>
          </cell>
          <cell r="W329">
            <v>22842.627</v>
          </cell>
          <cell r="X329">
            <v>7107.4470000000001</v>
          </cell>
          <cell r="Y329">
            <v>5497.4309999999996</v>
          </cell>
          <cell r="Z329">
            <v>8078.3320000000003</v>
          </cell>
          <cell r="AA329">
            <v>8792.6440000000002</v>
          </cell>
          <cell r="AB329">
            <v>29475.853999999999</v>
          </cell>
          <cell r="AC329">
            <v>9807.9609999999993</v>
          </cell>
          <cell r="AD329">
            <v>9914.5519999999997</v>
          </cell>
          <cell r="AE329">
            <v>11310.977999999999</v>
          </cell>
          <cell r="AF329">
            <v>11272.149000000001</v>
          </cell>
          <cell r="AG329">
            <v>42305.64</v>
          </cell>
          <cell r="AH329">
            <v>10953.380000000001</v>
          </cell>
          <cell r="AI329">
            <v>11619.619000000001</v>
          </cell>
          <cell r="AJ329">
            <v>11604.391</v>
          </cell>
          <cell r="AK329">
            <v>11623.060000000001</v>
          </cell>
          <cell r="AL329">
            <v>45800.45</v>
          </cell>
          <cell r="AM329">
            <v>12589.117</v>
          </cell>
          <cell r="AN329">
            <v>12900.046</v>
          </cell>
          <cell r="AO329">
            <v>13762.727000000001</v>
          </cell>
          <cell r="AP329">
            <v>16631.905000000002</v>
          </cell>
          <cell r="AQ329">
            <v>55883.794999999998</v>
          </cell>
          <cell r="AR329">
            <v>18091.804</v>
          </cell>
          <cell r="AS329">
            <v>16177.290583281103</v>
          </cell>
          <cell r="AT329">
            <v>17071.532485506857</v>
          </cell>
          <cell r="AU329">
            <v>19512.109935157943</v>
          </cell>
          <cell r="AV329">
            <v>70852.737003945906</v>
          </cell>
          <cell r="BL329">
            <v>70852.737003945906</v>
          </cell>
        </row>
        <row r="330">
          <cell r="A330" t="str">
            <v xml:space="preserve">  Year-over-Year growth</v>
          </cell>
          <cell r="D330">
            <v>0.13405335087537829</v>
          </cell>
          <cell r="E330">
            <v>-6.1116153055098654E-2</v>
          </cell>
          <cell r="F330">
            <v>8.3630487199878312E-2</v>
          </cell>
          <cell r="G330">
            <v>-0.18097880798701926</v>
          </cell>
          <cell r="H330">
            <v>-0.10492419762044825</v>
          </cell>
          <cell r="M330">
            <v>0.2178897887320117</v>
          </cell>
          <cell r="N330">
            <v>5.111520921269519E-2</v>
          </cell>
          <cell r="O330">
            <v>0.17804595843600413</v>
          </cell>
          <cell r="P330">
            <v>0.11714096851328093</v>
          </cell>
          <cell r="Q330">
            <v>0.22611502644962522</v>
          </cell>
          <cell r="R330">
            <v>0.14044589998740387</v>
          </cell>
          <cell r="S330">
            <v>9.2157060652996892E-2</v>
          </cell>
          <cell r="T330">
            <v>0.16274870029688904</v>
          </cell>
          <cell r="U330">
            <v>0.15656210049552688</v>
          </cell>
          <cell r="V330">
            <v>0.25957997642203723</v>
          </cell>
          <cell r="W330">
            <v>0.16897211882023133</v>
          </cell>
          <cell r="X330">
            <v>0.36692189048257418</v>
          </cell>
          <cell r="Y330">
            <v>-2.4111439150660163E-2</v>
          </cell>
          <cell r="Z330">
            <v>0.4267123871615861</v>
          </cell>
          <cell r="AA330">
            <v>0.3851985770359565</v>
          </cell>
          <cell r="AB330">
            <v>0.29038809765619344</v>
          </cell>
          <cell r="AC330">
            <v>0.37995555928872893</v>
          </cell>
          <cell r="AD330">
            <v>0.80348821112988955</v>
          </cell>
          <cell r="AE330">
            <v>0.40016255831030456</v>
          </cell>
          <cell r="AF330">
            <v>0.2819976562226334</v>
          </cell>
          <cell r="AG330">
            <v>0.43526426749162206</v>
          </cell>
          <cell r="AH330">
            <v>0.11678462016722957</v>
          </cell>
          <cell r="AI330">
            <v>0.17197620225301158</v>
          </cell>
          <cell r="AJ330">
            <v>2.5940550852455058E-2</v>
          </cell>
          <cell r="AK330">
            <v>3.1130798572658991E-2</v>
          </cell>
          <cell r="AL330">
            <v>8.2608607268439771E-2</v>
          </cell>
          <cell r="AM330">
            <v>0.14933627793429971</v>
          </cell>
          <cell r="AN330">
            <v>0.11019526543856561</v>
          </cell>
          <cell r="AO330">
            <v>0.18599304349534607</v>
          </cell>
          <cell r="AP330">
            <v>0.43094030315596754</v>
          </cell>
          <cell r="AQ330">
            <v>0.22015820805254105</v>
          </cell>
          <cell r="AR330">
            <v>0.43709872582803055</v>
          </cell>
          <cell r="AS330">
            <v>0.25404906178482634</v>
          </cell>
          <cell r="AT330">
            <v>0.24041786816717758</v>
          </cell>
          <cell r="AU330">
            <v>0.17317348404514932</v>
          </cell>
          <cell r="AV330">
            <v>0.2678583658097291</v>
          </cell>
          <cell r="BL330">
            <v>0.2678583658097291</v>
          </cell>
        </row>
        <row r="331">
          <cell r="R331">
            <v>0.14044589998740387</v>
          </cell>
          <cell r="BL331">
            <v>0</v>
          </cell>
        </row>
        <row r="332">
          <cell r="A332" t="str">
            <v>VIP Baccarat</v>
          </cell>
          <cell r="C332">
            <v>9239.1136999999999</v>
          </cell>
          <cell r="D332">
            <v>10981.3902</v>
          </cell>
          <cell r="E332">
            <v>10474.283789999999</v>
          </cell>
          <cell r="F332">
            <v>12342.522059000001</v>
          </cell>
          <cell r="G332">
            <v>9246.3685659999992</v>
          </cell>
          <cell r="H332">
            <v>8603.4069400000008</v>
          </cell>
          <cell r="I332">
            <v>2852.2576326590729</v>
          </cell>
          <cell r="J332">
            <v>2589.7968662123039</v>
          </cell>
          <cell r="K332">
            <v>2759.7044112245512</v>
          </cell>
          <cell r="L332">
            <v>2588.2410899040719</v>
          </cell>
          <cell r="M332">
            <v>10790</v>
          </cell>
          <cell r="N332">
            <v>3107.5877530068228</v>
          </cell>
          <cell r="O332">
            <v>3162.3669659800403</v>
          </cell>
          <cell r="P332">
            <v>3195.6181317255773</v>
          </cell>
          <cell r="Q332">
            <v>3289.42714928756</v>
          </cell>
          <cell r="R332">
            <v>12755</v>
          </cell>
          <cell r="S332">
            <v>3611.0756299314799</v>
          </cell>
          <cell r="T332">
            <v>3912.2465189733057</v>
          </cell>
          <cell r="U332">
            <v>3932.3477667126967</v>
          </cell>
          <cell r="V332">
            <v>4408.3300843825155</v>
          </cell>
          <cell r="W332">
            <v>15864</v>
          </cell>
          <cell r="X332">
            <v>5191.9631846459824</v>
          </cell>
          <cell r="Y332">
            <v>4015.8525785885627</v>
          </cell>
          <cell r="Z332">
            <v>5901.1910095632857</v>
          </cell>
          <cell r="AA332">
            <v>6422.9932272021706</v>
          </cell>
          <cell r="AB332">
            <v>21532</v>
          </cell>
          <cell r="AC332">
            <v>6803.763381809139</v>
          </cell>
          <cell r="AD332">
            <v>6646.1100771952797</v>
          </cell>
          <cell r="AE332">
            <v>7666.2733836823008</v>
          </cell>
          <cell r="AF332">
            <v>7799.8531573132777</v>
          </cell>
          <cell r="AG332">
            <v>28916</v>
          </cell>
          <cell r="AH332">
            <v>6998.2630949999993</v>
          </cell>
          <cell r="AI332">
            <v>7433.2344050000002</v>
          </cell>
          <cell r="AJ332">
            <v>6992</v>
          </cell>
          <cell r="AK332">
            <v>6600</v>
          </cell>
          <cell r="AL332">
            <v>28023.497499999998</v>
          </cell>
          <cell r="AM332">
            <v>7777</v>
          </cell>
          <cell r="AN332">
            <v>8097</v>
          </cell>
          <cell r="AO332">
            <v>8849</v>
          </cell>
          <cell r="AP332">
            <v>10988</v>
          </cell>
          <cell r="AQ332">
            <v>35711</v>
          </cell>
          <cell r="AR332">
            <v>11653</v>
          </cell>
          <cell r="AS332">
            <v>10593.308872655982</v>
          </cell>
          <cell r="AT332">
            <v>10216.312900077792</v>
          </cell>
          <cell r="AU332">
            <v>12128.206686594078</v>
          </cell>
          <cell r="AV332">
            <v>44590.828459327851</v>
          </cell>
          <cell r="AW332">
            <v>48158.09473607409</v>
          </cell>
          <cell r="AX332">
            <v>51047.580420238541</v>
          </cell>
          <cell r="AY332">
            <v>53089.483637048084</v>
          </cell>
          <cell r="AZ332">
            <v>54682.168146159529</v>
          </cell>
          <cell r="BA332">
            <v>56322.633190544315</v>
          </cell>
          <cell r="BK332">
            <v>32070.29882514571</v>
          </cell>
          <cell r="BL332">
            <v>12520.529634182141</v>
          </cell>
        </row>
        <row r="333">
          <cell r="A333" t="str">
            <v>Mass Market Casino Revenue</v>
          </cell>
          <cell r="C333">
            <v>6174.5643730000011</v>
          </cell>
          <cell r="D333">
            <v>6498.5430679999972</v>
          </cell>
          <cell r="E333">
            <v>5937.3432010000015</v>
          </cell>
          <cell r="F333">
            <v>5441.6172930000012</v>
          </cell>
          <cell r="G333">
            <v>5319.2184450000004</v>
          </cell>
          <cell r="H333">
            <v>4433.8975410000003</v>
          </cell>
          <cell r="I333">
            <v>1344.9756102844635</v>
          </cell>
          <cell r="J333">
            <v>1221.2128318154037</v>
          </cell>
          <cell r="K333">
            <v>1301.3323488702986</v>
          </cell>
          <cell r="L333">
            <v>1220.4792090298356</v>
          </cell>
          <cell r="M333">
            <v>5088.0000000000018</v>
          </cell>
          <cell r="N333">
            <v>1304.1879452642515</v>
          </cell>
          <cell r="O333">
            <v>1327.177606341917</v>
          </cell>
          <cell r="P333">
            <v>1341.1324076148189</v>
          </cell>
          <cell r="Q333">
            <v>1380.502040779013</v>
          </cell>
          <cell r="R333">
            <v>5353</v>
          </cell>
          <cell r="S333">
            <v>1293.6045641011469</v>
          </cell>
          <cell r="T333">
            <v>1401.493757395695</v>
          </cell>
          <cell r="U333">
            <v>1408.6946771449989</v>
          </cell>
          <cell r="V333">
            <v>1579.2070013581588</v>
          </cell>
          <cell r="W333">
            <v>5682.9999999999991</v>
          </cell>
          <cell r="X333">
            <v>1523.9275184359367</v>
          </cell>
          <cell r="Y333">
            <v>1178.7195010533028</v>
          </cell>
          <cell r="Z333">
            <v>1732.0976769663739</v>
          </cell>
          <cell r="AA333">
            <v>1885.2553035443852</v>
          </cell>
          <cell r="AB333">
            <v>6319.9999999999982</v>
          </cell>
          <cell r="AC333">
            <v>2244.1976181908603</v>
          </cell>
          <cell r="AD333">
            <v>2708.7839228047205</v>
          </cell>
          <cell r="AE333">
            <v>3241.2966163176989</v>
          </cell>
          <cell r="AF333">
            <v>3075.721842686723</v>
          </cell>
          <cell r="AG333">
            <v>11270.000000000004</v>
          </cell>
          <cell r="AH333">
            <v>3601.7759050000013</v>
          </cell>
          <cell r="AI333">
            <v>3907.1945949999999</v>
          </cell>
          <cell r="AJ333">
            <v>4403.7989999999991</v>
          </cell>
          <cell r="AK333">
            <v>4788.353000000001</v>
          </cell>
          <cell r="AL333">
            <v>16701.122500000001</v>
          </cell>
          <cell r="AM333">
            <v>4574.5570000000007</v>
          </cell>
          <cell r="AN333">
            <v>4562.857</v>
          </cell>
          <cell r="AO333">
            <v>4700</v>
          </cell>
          <cell r="AP333">
            <v>5448.8100000000013</v>
          </cell>
          <cell r="AQ333">
            <v>19286.224000000002</v>
          </cell>
          <cell r="AR333">
            <v>6225</v>
          </cell>
          <cell r="AS333">
            <v>5367.8116106251218</v>
          </cell>
          <cell r="AT333">
            <v>6662.8652854290667</v>
          </cell>
          <cell r="AU333">
            <v>7208.3177485638644</v>
          </cell>
          <cell r="AV333">
            <v>25463.994644618055</v>
          </cell>
          <cell r="AW333">
            <v>32063.099034146937</v>
          </cell>
          <cell r="AX333">
            <v>41395.499689995057</v>
          </cell>
          <cell r="AY333">
            <v>50952.228702386354</v>
          </cell>
          <cell r="AZ333">
            <v>58272.058261516839</v>
          </cell>
          <cell r="BA333">
            <v>65656.468437627482</v>
          </cell>
          <cell r="BK333">
            <v>31467.764822992551</v>
          </cell>
          <cell r="BL333">
            <v>-6003.770178374496</v>
          </cell>
        </row>
        <row r="334">
          <cell r="BL334">
            <v>0</v>
          </cell>
        </row>
        <row r="335">
          <cell r="A335" t="str">
            <v>Revenue from Gambling tax</v>
          </cell>
          <cell r="I335">
            <v>1492.608892</v>
          </cell>
          <cell r="J335">
            <v>1355.261105</v>
          </cell>
          <cell r="K335">
            <v>1444.175062</v>
          </cell>
          <cell r="L335">
            <v>1354.4469549999999</v>
          </cell>
          <cell r="M335">
            <v>5646.4920139999995</v>
          </cell>
          <cell r="N335">
            <v>1533.1738740000001</v>
          </cell>
          <cell r="O335">
            <v>1560.2</v>
          </cell>
          <cell r="P335">
            <v>1576.604949</v>
          </cell>
          <cell r="Q335">
            <v>1622.8870000000004</v>
          </cell>
          <cell r="R335">
            <v>6292.8658230000001</v>
          </cell>
          <cell r="S335">
            <v>1767.721804</v>
          </cell>
          <cell r="T335">
            <v>1915.1533179999999</v>
          </cell>
          <cell r="U335">
            <v>1924.9934370000001</v>
          </cell>
          <cell r="V335">
            <v>2158</v>
          </cell>
          <cell r="W335">
            <v>7765.8685590000005</v>
          </cell>
          <cell r="X335">
            <v>2426.825707</v>
          </cell>
          <cell r="Y335">
            <v>2340.5494319999989</v>
          </cell>
          <cell r="Z335">
            <v>2732.1434330000011</v>
          </cell>
          <cell r="AA335">
            <v>3079.5</v>
          </cell>
          <cell r="AB335">
            <v>10579.018572000001</v>
          </cell>
          <cell r="AC335">
            <v>3201.9846640000001</v>
          </cell>
          <cell r="AD335">
            <v>3578.3964689999993</v>
          </cell>
          <cell r="AE335">
            <v>4232.7332830000005</v>
          </cell>
          <cell r="AF335">
            <v>4223.498047</v>
          </cell>
          <cell r="AG335">
            <v>15236.612463000001</v>
          </cell>
          <cell r="AH335">
            <v>3993.3477599999992</v>
          </cell>
          <cell r="AI335">
            <v>4524.8817639999997</v>
          </cell>
          <cell r="AJ335">
            <v>4553.4152329999997</v>
          </cell>
          <cell r="AK335">
            <v>4246.9194479999996</v>
          </cell>
          <cell r="AL335">
            <v>17318.564204999999</v>
          </cell>
          <cell r="AM335">
            <v>4614.3039269999999</v>
          </cell>
          <cell r="AN335">
            <v>5161.5482480000001</v>
          </cell>
          <cell r="AO335">
            <v>5082.3907549999994</v>
          </cell>
          <cell r="AP335">
            <v>3999.9357239999999</v>
          </cell>
          <cell r="AQ335">
            <v>18858.178653999999</v>
          </cell>
          <cell r="BL335">
            <v>0</v>
          </cell>
        </row>
        <row r="336">
          <cell r="A336" t="str">
            <v xml:space="preserve">  Effective Tax Rate on Total Gaming Revenues</v>
          </cell>
          <cell r="I336">
            <v>0.32954256005532628</v>
          </cell>
          <cell r="J336">
            <v>0.32954256005532628</v>
          </cell>
          <cell r="K336">
            <v>0.32954256005532628</v>
          </cell>
          <cell r="L336">
            <v>0.32954256005532628</v>
          </cell>
          <cell r="M336">
            <v>0.32954256005532628</v>
          </cell>
          <cell r="N336">
            <v>0.32203759640096252</v>
          </cell>
          <cell r="O336">
            <v>0.32203759640096252</v>
          </cell>
          <cell r="P336">
            <v>0.32203759640096252</v>
          </cell>
          <cell r="Q336">
            <v>0.32203759640096252</v>
          </cell>
          <cell r="R336">
            <v>0.32203759640096252</v>
          </cell>
          <cell r="S336">
            <v>0.33997265546559075</v>
          </cell>
          <cell r="T336">
            <v>0.33997265546559075</v>
          </cell>
          <cell r="U336">
            <v>0.33997265546559075</v>
          </cell>
          <cell r="V336">
            <v>0.33997265546559075</v>
          </cell>
          <cell r="W336">
            <v>0.33997265546559075</v>
          </cell>
          <cell r="X336">
            <v>0.34144830161941409</v>
          </cell>
          <cell r="Y336">
            <v>0.42575330768135133</v>
          </cell>
          <cell r="Z336">
            <v>0.33820638134208908</v>
          </cell>
          <cell r="AA336">
            <v>0.35023594723043489</v>
          </cell>
          <cell r="AB336">
            <v>0.35890456547925637</v>
          </cell>
          <cell r="AC336">
            <v>0.32646792376111611</v>
          </cell>
          <cell r="AD336">
            <v>0.36092366745365795</v>
          </cell>
          <cell r="AE336">
            <v>0.3742146154824102</v>
          </cell>
          <cell r="AF336">
            <v>0.37468437003449828</v>
          </cell>
          <cell r="AG336">
            <v>0.36015558358176358</v>
          </cell>
          <cell r="AH336">
            <v>0.36457675712884963</v>
          </cell>
          <cell r="AI336">
            <v>0.38941739518309504</v>
          </cell>
          <cell r="AJ336">
            <v>0.39238726383831773</v>
          </cell>
          <cell r="AK336">
            <v>0.36538738060373077</v>
          </cell>
          <cell r="AL336">
            <v>0.37813087436913828</v>
          </cell>
          <cell r="AM336">
            <v>0.36653118141645674</v>
          </cell>
          <cell r="AN336">
            <v>0.40011859244532927</v>
          </cell>
          <cell r="AO336">
            <v>0.36928660686214287</v>
          </cell>
          <cell r="AP336">
            <v>0.24049774959633302</v>
          </cell>
          <cell r="AQ336">
            <v>0.33745343626001062</v>
          </cell>
          <cell r="BL336">
            <v>0</v>
          </cell>
        </row>
        <row r="337">
          <cell r="BL337">
            <v>0</v>
          </cell>
        </row>
        <row r="338">
          <cell r="A338" t="str">
            <v>Direct revenue from gambling, DSF</v>
          </cell>
          <cell r="W338">
            <v>7639.4</v>
          </cell>
          <cell r="AB338">
            <v>10178.4</v>
          </cell>
          <cell r="AG338">
            <v>14740</v>
          </cell>
          <cell r="AL338">
            <v>16561.900000000001</v>
          </cell>
          <cell r="BL338">
            <v>0</v>
          </cell>
        </row>
        <row r="339">
          <cell r="A339" t="str">
            <v xml:space="preserve">  Effective Tax Rate on Total Gaming Revenues</v>
          </cell>
          <cell r="W339">
            <v>0.33443613994134735</v>
          </cell>
          <cell r="AB339">
            <v>0.34531315021440939</v>
          </cell>
          <cell r="AG339">
            <v>0.34841690138714365</v>
          </cell>
          <cell r="AL339">
            <v>0.36160998418137819</v>
          </cell>
          <cell r="BL339">
            <v>0</v>
          </cell>
        </row>
        <row r="340">
          <cell r="A340" t="str">
            <v xml:space="preserve">  Share of total revenues from gambling tax</v>
          </cell>
          <cell r="W340">
            <v>0.98371482107388564</v>
          </cell>
          <cell r="AB340">
            <v>0.96213083763173102</v>
          </cell>
          <cell r="AG340">
            <v>0.9674066355493417</v>
          </cell>
          <cell r="AL340">
            <v>0.95630906834750529</v>
          </cell>
          <cell r="BL340">
            <v>0</v>
          </cell>
        </row>
        <row r="341">
          <cell r="BL341">
            <v>0</v>
          </cell>
        </row>
        <row r="342">
          <cell r="A342" t="str">
            <v>Non-Gaming Spend</v>
          </cell>
          <cell r="BL342">
            <v>0</v>
          </cell>
        </row>
        <row r="343">
          <cell r="A343" t="str">
            <v>Per visitor, excl. airfare</v>
          </cell>
          <cell r="AC343">
            <v>1497</v>
          </cell>
          <cell r="AD343">
            <v>1517</v>
          </cell>
          <cell r="AE343">
            <v>1497</v>
          </cell>
          <cell r="AF343">
            <v>1590</v>
          </cell>
          <cell r="AG343">
            <v>1526.7816351014208</v>
          </cell>
          <cell r="AH343">
            <v>1490</v>
          </cell>
          <cell r="AI343">
            <v>1334</v>
          </cell>
          <cell r="AJ343">
            <v>1419</v>
          </cell>
          <cell r="AK343">
            <v>1574</v>
          </cell>
          <cell r="AL343">
            <v>1456.5180065807692</v>
          </cell>
          <cell r="AM343">
            <v>1562</v>
          </cell>
          <cell r="AN343">
            <v>1468</v>
          </cell>
          <cell r="AO343">
            <v>1430</v>
          </cell>
          <cell r="AP343">
            <v>1670</v>
          </cell>
          <cell r="AQ343">
            <v>1537.0058004042342</v>
          </cell>
          <cell r="BL343">
            <v>0</v>
          </cell>
        </row>
        <row r="344">
          <cell r="A344" t="str">
            <v xml:space="preserve">  in USD</v>
          </cell>
          <cell r="AC344">
            <v>187.41024173453133</v>
          </cell>
          <cell r="AD344">
            <v>188.93683170411239</v>
          </cell>
          <cell r="AE344">
            <v>186.34643027994957</v>
          </cell>
          <cell r="AF344">
            <v>198.38497165215998</v>
          </cell>
          <cell r="AG344">
            <v>190.44128015495355</v>
          </cell>
          <cell r="AH344">
            <v>185.52555264041541</v>
          </cell>
          <cell r="AI344">
            <v>166.27611307772841</v>
          </cell>
          <cell r="AJ344">
            <v>177.30752084927681</v>
          </cell>
          <cell r="AK344">
            <v>197.05385550570654</v>
          </cell>
          <cell r="AL344">
            <v>181.84174538080632</v>
          </cell>
          <cell r="AM344">
            <v>195.4801934420791</v>
          </cell>
          <cell r="AN344">
            <v>183.7111961133443</v>
          </cell>
          <cell r="AO344">
            <v>178.51865795009786</v>
          </cell>
          <cell r="AP344">
            <v>208.37573763997312</v>
          </cell>
          <cell r="AQ344">
            <v>192.06893866808741</v>
          </cell>
          <cell r="BL344">
            <v>0</v>
          </cell>
        </row>
        <row r="345">
          <cell r="BL345">
            <v>0</v>
          </cell>
        </row>
        <row r="346">
          <cell r="A346" t="str">
            <v>Total (mm)</v>
          </cell>
          <cell r="AC346">
            <v>5615.9161590000003</v>
          </cell>
          <cell r="AD346">
            <v>6042.8769630000006</v>
          </cell>
          <cell r="AE346">
            <v>6669.474819</v>
          </cell>
          <cell r="AF346">
            <v>7127.0843699999996</v>
          </cell>
          <cell r="AG346">
            <v>25455.352311000002</v>
          </cell>
          <cell r="AH346">
            <v>6640.9627800000007</v>
          </cell>
          <cell r="AI346">
            <v>5958.0455339999999</v>
          </cell>
          <cell r="AJ346">
            <v>6883.756308</v>
          </cell>
          <cell r="AK346">
            <v>7770.4161679999997</v>
          </cell>
          <cell r="AL346">
            <v>27253.180790000002</v>
          </cell>
          <cell r="AM346">
            <v>8197.4041159999997</v>
          </cell>
          <cell r="AN346">
            <v>7596.110216</v>
          </cell>
          <cell r="AO346">
            <v>7826.8390200000003</v>
          </cell>
          <cell r="AP346">
            <v>10190.88776</v>
          </cell>
          <cell r="AQ346">
            <v>33811.241111999996</v>
          </cell>
          <cell r="BL346">
            <v>0</v>
          </cell>
        </row>
        <row r="347">
          <cell r="A347" t="str">
            <v xml:space="preserve">  in USD (mm)</v>
          </cell>
          <cell r="AC347">
            <v>703.05958912428241</v>
          </cell>
          <cell r="AD347">
            <v>752.61834394659775</v>
          </cell>
          <cell r="AE347">
            <v>830.21564753684891</v>
          </cell>
          <cell r="AF347">
            <v>889.24932748742287</v>
          </cell>
          <cell r="AG347">
            <v>3175.1429080951516</v>
          </cell>
          <cell r="AH347">
            <v>826.89146968048965</v>
          </cell>
          <cell r="AI347">
            <v>742.6391701151714</v>
          </cell>
          <cell r="AJ347">
            <v>860.14218823259387</v>
          </cell>
          <cell r="AK347">
            <v>972.80207419839769</v>
          </cell>
          <cell r="AL347">
            <v>3402.4749022266528</v>
          </cell>
          <cell r="AM347">
            <v>1025.8835738275131</v>
          </cell>
          <cell r="AN347">
            <v>950.60660326304776</v>
          </cell>
          <cell r="AO347">
            <v>977.08866981948199</v>
          </cell>
          <cell r="AP347">
            <v>1271.5770983210618</v>
          </cell>
          <cell r="AQ347">
            <v>4225.1559452311049</v>
          </cell>
          <cell r="BL347">
            <v>0</v>
          </cell>
        </row>
        <row r="348">
          <cell r="BL348">
            <v>0</v>
          </cell>
        </row>
        <row r="349">
          <cell r="A349" t="str">
            <v>Share of Gaming + Non-gaming</v>
          </cell>
          <cell r="AC349">
            <v>0.38297621414219329</v>
          </cell>
          <cell r="AD349">
            <v>0.39245141244928911</v>
          </cell>
          <cell r="AE349">
            <v>0.3794423287690884</v>
          </cell>
          <cell r="AF349">
            <v>0.39589064168356808</v>
          </cell>
          <cell r="AG349">
            <v>0.38779407416959683</v>
          </cell>
          <cell r="AH349">
            <v>0.38518427552763701</v>
          </cell>
          <cell r="AI349">
            <v>0.34442606614181576</v>
          </cell>
          <cell r="AJ349">
            <v>0.37658226319036009</v>
          </cell>
          <cell r="AK349">
            <v>0.40558013408181581</v>
          </cell>
          <cell r="AL349">
            <v>0.37866171308818292</v>
          </cell>
          <cell r="AM349">
            <v>0.398920610619934</v>
          </cell>
          <cell r="AN349">
            <v>0.37500604809430693</v>
          </cell>
          <cell r="AO349">
            <v>0.36615353496426167</v>
          </cell>
          <cell r="AP349">
            <v>0.38271756919626382</v>
          </cell>
          <cell r="AQ349">
            <v>0.38072785779817048</v>
          </cell>
          <cell r="BL349">
            <v>0</v>
          </cell>
        </row>
        <row r="350">
          <cell r="BL350">
            <v>0</v>
          </cell>
        </row>
        <row r="351">
          <cell r="A351" t="str">
            <v>Real Estate</v>
          </cell>
          <cell r="BL351">
            <v>0</v>
          </cell>
        </row>
        <row r="352">
          <cell r="A352" t="str">
            <v>Avg Residential Transaction Price / Sq Meter</v>
          </cell>
          <cell r="BL352">
            <v>0</v>
          </cell>
        </row>
        <row r="353">
          <cell r="A353" t="str">
            <v xml:space="preserve">  All Buildings</v>
          </cell>
          <cell r="AC353">
            <v>7343</v>
          </cell>
          <cell r="AD353">
            <v>7669</v>
          </cell>
          <cell r="AE353">
            <v>8016</v>
          </cell>
          <cell r="AF353">
            <v>8635</v>
          </cell>
          <cell r="AG353">
            <v>7984</v>
          </cell>
          <cell r="AH353">
            <v>9190</v>
          </cell>
          <cell r="AI353">
            <v>10072</v>
          </cell>
          <cell r="AJ353">
            <v>11159</v>
          </cell>
          <cell r="AK353">
            <v>10152</v>
          </cell>
          <cell r="AL353">
            <v>10024</v>
          </cell>
          <cell r="AM353">
            <v>9748</v>
          </cell>
          <cell r="AN353">
            <v>10008</v>
          </cell>
          <cell r="AO353">
            <v>11317</v>
          </cell>
          <cell r="AP353">
            <v>10967</v>
          </cell>
          <cell r="AQ353">
            <v>10578</v>
          </cell>
          <cell r="BL353">
            <v>0</v>
          </cell>
        </row>
        <row r="354">
          <cell r="A354" t="str">
            <v xml:space="preserve">    in USD / sq ft</v>
          </cell>
          <cell r="AC354">
            <v>85.403363283978408</v>
          </cell>
          <cell r="AD354">
            <v>88.735971963894414</v>
          </cell>
          <cell r="AE354">
            <v>92.701531948631725</v>
          </cell>
          <cell r="AF354">
            <v>100.0930475924301</v>
          </cell>
          <cell r="AG354">
            <v>92.529459325720239</v>
          </cell>
          <cell r="AH354">
            <v>106.307254517441</v>
          </cell>
          <cell r="AI354">
            <v>116.63252466470578</v>
          </cell>
          <cell r="AJ354">
            <v>129.53882843125695</v>
          </cell>
          <cell r="AK354">
            <v>118.07603007590829</v>
          </cell>
          <cell r="AL354">
            <v>116.24495730260799</v>
          </cell>
          <cell r="AM354">
            <v>113.33581615843281</v>
          </cell>
          <cell r="AN354">
            <v>116.35546637497735</v>
          </cell>
          <cell r="AO354">
            <v>131.25287256752264</v>
          </cell>
          <cell r="AP354">
            <v>127.13011735078969</v>
          </cell>
          <cell r="AQ354">
            <v>122.81756181632998</v>
          </cell>
          <cell r="BL354">
            <v>0</v>
          </cell>
        </row>
        <row r="355">
          <cell r="A355" t="str">
            <v xml:space="preserve">  Built 2000 and after</v>
          </cell>
          <cell r="S355">
            <v>7188</v>
          </cell>
          <cell r="T355">
            <v>8330</v>
          </cell>
          <cell r="U355">
            <v>7792</v>
          </cell>
          <cell r="V355">
            <v>7574</v>
          </cell>
          <cell r="W355">
            <v>7721</v>
          </cell>
          <cell r="X355">
            <v>7175</v>
          </cell>
          <cell r="Y355">
            <v>8014</v>
          </cell>
          <cell r="Z355">
            <v>8388</v>
          </cell>
          <cell r="AA355">
            <v>9157</v>
          </cell>
          <cell r="AB355">
            <v>8183.5</v>
          </cell>
          <cell r="AC355">
            <v>12008</v>
          </cell>
          <cell r="AD355">
            <v>12421</v>
          </cell>
          <cell r="AE355">
            <v>13950</v>
          </cell>
          <cell r="AF355">
            <v>15566</v>
          </cell>
          <cell r="AG355">
            <v>13564</v>
          </cell>
          <cell r="AH355">
            <v>16108</v>
          </cell>
          <cell r="AI355">
            <v>16267</v>
          </cell>
          <cell r="AJ355">
            <v>16960</v>
          </cell>
          <cell r="AK355">
            <v>15269</v>
          </cell>
          <cell r="AL355">
            <v>16280</v>
          </cell>
          <cell r="AM355">
            <v>15877</v>
          </cell>
          <cell r="AN355">
            <v>16159</v>
          </cell>
          <cell r="AO355">
            <v>16945</v>
          </cell>
          <cell r="AP355">
            <v>16351</v>
          </cell>
          <cell r="AQ355">
            <v>16354</v>
          </cell>
          <cell r="BL355">
            <v>0</v>
          </cell>
        </row>
        <row r="356">
          <cell r="A356" t="str">
            <v xml:space="preserve">    in USD / sq ft</v>
          </cell>
          <cell r="S356">
            <v>82.996855335243893</v>
          </cell>
          <cell r="T356">
            <v>97.471443854602242</v>
          </cell>
          <cell r="U356">
            <v>90.461028218533187</v>
          </cell>
          <cell r="V356">
            <v>87.925191646268175</v>
          </cell>
          <cell r="W356">
            <v>89.692750512102705</v>
          </cell>
          <cell r="X356">
            <v>82.956885557515918</v>
          </cell>
          <cell r="Y356">
            <v>92.928839232741339</v>
          </cell>
          <cell r="Z356">
            <v>96.954382974234292</v>
          </cell>
          <cell r="AA356">
            <v>106.91875758623397</v>
          </cell>
          <cell r="AB356">
            <v>94.913055454556599</v>
          </cell>
          <cell r="AC356">
            <v>139.66002809669246</v>
          </cell>
          <cell r="AD356">
            <v>143.72010793630622</v>
          </cell>
          <cell r="AE356">
            <v>161.32564504533588</v>
          </cell>
          <cell r="AF356">
            <v>180.4340913519128</v>
          </cell>
          <cell r="AG356">
            <v>157.19809447571009</v>
          </cell>
          <cell r="AH356">
            <v>186.33267200946023</v>
          </cell>
          <cell r="AI356">
            <v>188.3698648451915</v>
          </cell>
          <cell r="AJ356">
            <v>196.87951699920401</v>
          </cell>
          <cell r="AK356">
            <v>177.59090851349922</v>
          </cell>
          <cell r="AL356">
            <v>188.79368564310235</v>
          </cell>
          <cell r="AM356">
            <v>184.59507110663088</v>
          </cell>
          <cell r="AN356">
            <v>187.86850331267578</v>
          </cell>
          <cell r="AO356">
            <v>196.52557441518695</v>
          </cell>
          <cell r="AP356">
            <v>189.54176609854676</v>
          </cell>
          <cell r="AQ356">
            <v>189.88073415997926</v>
          </cell>
          <cell r="BL356">
            <v>0</v>
          </cell>
        </row>
        <row r="357">
          <cell r="BL357">
            <v>0</v>
          </cell>
        </row>
        <row r="358">
          <cell r="A358" t="str">
            <v>conversion rate</v>
          </cell>
          <cell r="S358">
            <v>10.763910416709701</v>
          </cell>
          <cell r="T358">
            <v>10.763910416709701</v>
          </cell>
          <cell r="U358">
            <v>10.763910416709701</v>
          </cell>
          <cell r="V358">
            <v>10.763910416709701</v>
          </cell>
          <cell r="W358">
            <v>10.763910416709701</v>
          </cell>
          <cell r="X358">
            <v>10.763910416709701</v>
          </cell>
          <cell r="Y358">
            <v>10.763910416709701</v>
          </cell>
          <cell r="Z358">
            <v>10.763910416709701</v>
          </cell>
          <cell r="AA358">
            <v>10.763910416709701</v>
          </cell>
          <cell r="AB358">
            <v>10.763910416709701</v>
          </cell>
          <cell r="AC358">
            <v>10.763910416709701</v>
          </cell>
          <cell r="AD358">
            <v>10.763910416709701</v>
          </cell>
          <cell r="AE358">
            <v>10.763910416709701</v>
          </cell>
          <cell r="AF358">
            <v>10.763910416709701</v>
          </cell>
          <cell r="AG358">
            <v>10.763910416709701</v>
          </cell>
          <cell r="AH358">
            <v>10.763910416709701</v>
          </cell>
          <cell r="AI358">
            <v>10.763910416709701</v>
          </cell>
          <cell r="AJ358">
            <v>10.763910416709701</v>
          </cell>
          <cell r="AK358">
            <v>10.763910416709701</v>
          </cell>
          <cell r="AL358">
            <v>10.763910416709701</v>
          </cell>
          <cell r="AM358">
            <v>10.763910416709701</v>
          </cell>
          <cell r="AN358">
            <v>10.763910416709701</v>
          </cell>
          <cell r="AO358">
            <v>10.763910416709701</v>
          </cell>
          <cell r="AP358">
            <v>10.763910416709701</v>
          </cell>
          <cell r="AQ358">
            <v>10.763910416709701</v>
          </cell>
          <cell r="BL358">
            <v>0</v>
          </cell>
        </row>
        <row r="359">
          <cell r="BL359">
            <v>0</v>
          </cell>
        </row>
        <row r="360">
          <cell r="A360" t="str">
            <v>Hotel Stats</v>
          </cell>
          <cell r="BL360">
            <v>0</v>
          </cell>
        </row>
        <row r="361">
          <cell r="A361" t="str">
            <v>Hotels</v>
          </cell>
          <cell r="H361">
            <v>74</v>
          </cell>
          <cell r="I361">
            <v>74</v>
          </cell>
          <cell r="J361">
            <v>72</v>
          </cell>
          <cell r="K361">
            <v>72</v>
          </cell>
          <cell r="L361">
            <v>71.666666666666671</v>
          </cell>
          <cell r="M361">
            <v>72.416666666666671</v>
          </cell>
          <cell r="N361">
            <v>71</v>
          </cell>
          <cell r="O361">
            <v>70</v>
          </cell>
          <cell r="P361">
            <v>70.333333333333329</v>
          </cell>
          <cell r="Q361">
            <v>70</v>
          </cell>
          <cell r="R361">
            <v>70.333333333333329</v>
          </cell>
          <cell r="S361">
            <v>69</v>
          </cell>
          <cell r="T361">
            <v>68.333333333333329</v>
          </cell>
          <cell r="U361">
            <v>67</v>
          </cell>
          <cell r="V361">
            <v>68</v>
          </cell>
          <cell r="W361">
            <v>68.083333333333329</v>
          </cell>
          <cell r="X361">
            <v>67.666666666666671</v>
          </cell>
          <cell r="Y361">
            <v>67</v>
          </cell>
          <cell r="Z361">
            <v>68.333333333333329</v>
          </cell>
          <cell r="AA361">
            <v>69.333333333333329</v>
          </cell>
          <cell r="AB361">
            <v>68.083333333333329</v>
          </cell>
          <cell r="AC361">
            <v>70</v>
          </cell>
          <cell r="AD361">
            <v>70</v>
          </cell>
          <cell r="AE361">
            <v>71.333333333333329</v>
          </cell>
          <cell r="AF361">
            <v>68.666666666666671</v>
          </cell>
          <cell r="AG361">
            <v>70</v>
          </cell>
          <cell r="AH361">
            <v>73.666666666666671</v>
          </cell>
          <cell r="AI361">
            <v>74.333333333333329</v>
          </cell>
          <cell r="AJ361">
            <v>73</v>
          </cell>
          <cell r="AK361">
            <v>74.333333333333329</v>
          </cell>
          <cell r="AL361">
            <v>73.833333333333329</v>
          </cell>
          <cell r="AM361">
            <v>76.666666666666671</v>
          </cell>
          <cell r="AN361">
            <v>77.333333333333329</v>
          </cell>
          <cell r="AO361">
            <v>78.333333333333329</v>
          </cell>
          <cell r="AP361">
            <v>79.666666666666671</v>
          </cell>
          <cell r="AQ361">
            <v>78</v>
          </cell>
          <cell r="BL361">
            <v>0</v>
          </cell>
        </row>
        <row r="362">
          <cell r="A362" t="str">
            <v>Average Rooms</v>
          </cell>
          <cell r="H362">
            <v>9431</v>
          </cell>
          <cell r="I362">
            <v>9432</v>
          </cell>
          <cell r="J362">
            <v>9272</v>
          </cell>
          <cell r="K362">
            <v>9299.6666666666661</v>
          </cell>
          <cell r="L362">
            <v>9235.3333333333339</v>
          </cell>
          <cell r="M362">
            <v>9309.75</v>
          </cell>
          <cell r="N362">
            <v>9176.6666666666661</v>
          </cell>
          <cell r="O362">
            <v>8981.3333333333339</v>
          </cell>
          <cell r="P362">
            <v>9017.6666666666661</v>
          </cell>
          <cell r="Q362">
            <v>9020.3333333333339</v>
          </cell>
          <cell r="R362">
            <v>9049</v>
          </cell>
          <cell r="S362">
            <v>8968</v>
          </cell>
          <cell r="T362">
            <v>8906.3333333333339</v>
          </cell>
          <cell r="U362">
            <v>8798.6666666666661</v>
          </cell>
          <cell r="V362">
            <v>8942.6666666666661</v>
          </cell>
          <cell r="W362">
            <v>8903.9166666666661</v>
          </cell>
          <cell r="X362">
            <v>8944.3333333333339</v>
          </cell>
          <cell r="Y362">
            <v>8922.6666666666661</v>
          </cell>
          <cell r="Z362">
            <v>8858.3333333333339</v>
          </cell>
          <cell r="AA362">
            <v>9087.3333333333339</v>
          </cell>
          <cell r="AB362">
            <v>8953.1666666666679</v>
          </cell>
          <cell r="AC362">
            <v>9232.3333333333339</v>
          </cell>
          <cell r="AD362">
            <v>9310.3333333333339</v>
          </cell>
          <cell r="AE362">
            <v>9253.6666666666661</v>
          </cell>
          <cell r="AF362">
            <v>9133.6666666666661</v>
          </cell>
          <cell r="AG362">
            <v>9232.5</v>
          </cell>
          <cell r="AH362">
            <v>10222.333333333334</v>
          </cell>
          <cell r="AI362">
            <v>10553.666666666666</v>
          </cell>
          <cell r="AJ362">
            <v>10596.666666666666</v>
          </cell>
          <cell r="AK362">
            <v>10766.666666666666</v>
          </cell>
          <cell r="AL362">
            <v>10534.833333333332</v>
          </cell>
          <cell r="AM362">
            <v>11117.666666666666</v>
          </cell>
          <cell r="AN362">
            <v>11465.333333333334</v>
          </cell>
          <cell r="AO362">
            <v>11998</v>
          </cell>
          <cell r="AP362">
            <v>12696.666666666666</v>
          </cell>
          <cell r="AQ362">
            <v>11819.416666666666</v>
          </cell>
          <cell r="AR362">
            <v>12954.152173913044</v>
          </cell>
          <cell r="AS362">
            <v>13171.511148272017</v>
          </cell>
          <cell r="AT362">
            <v>17077.818840579712</v>
          </cell>
          <cell r="AU362">
            <v>17677.818840579712</v>
          </cell>
          <cell r="AV362">
            <v>15220.325250836122</v>
          </cell>
          <cell r="AW362">
            <v>21337.818840579712</v>
          </cell>
          <cell r="AX362">
            <v>33922.818840579712</v>
          </cell>
          <cell r="AY362">
            <v>48497.818840579712</v>
          </cell>
          <cell r="AZ362">
            <v>50497.818840579712</v>
          </cell>
          <cell r="BA362">
            <v>50497.818840579712</v>
          </cell>
          <cell r="BK362">
            <v>15295.333333333334</v>
          </cell>
          <cell r="BL362">
            <v>-75.008082497211944</v>
          </cell>
        </row>
        <row r="363">
          <cell r="A363" t="str">
            <v xml:space="preserve">  Year-over-Year growth</v>
          </cell>
          <cell r="M363">
            <v>-1.2856536952603137E-2</v>
          </cell>
          <cell r="N363">
            <v>-2.7070964093864891E-2</v>
          </cell>
          <cell r="O363">
            <v>-3.1348863963186591E-2</v>
          </cell>
          <cell r="P363">
            <v>-3.0323667514964736E-2</v>
          </cell>
          <cell r="Q363">
            <v>-2.3280155922904777E-2</v>
          </cell>
          <cell r="R363">
            <v>-2.8008270898788878E-2</v>
          </cell>
          <cell r="S363">
            <v>-2.2738830366872409E-2</v>
          </cell>
          <cell r="T363">
            <v>-8.3506532066508488E-3</v>
          </cell>
          <cell r="U363">
            <v>-2.4285661479318321E-2</v>
          </cell>
          <cell r="V363">
            <v>-8.6101770075016626E-3</v>
          </cell>
          <cell r="W363">
            <v>-1.6033079161601682E-2</v>
          </cell>
          <cell r="X363">
            <v>-2.6390127862027102E-3</v>
          </cell>
          <cell r="Y363">
            <v>1.8339009693475461E-3</v>
          </cell>
          <cell r="Z363">
            <v>6.7813305046220407E-3</v>
          </cell>
          <cell r="AA363">
            <v>1.6177128373341398E-2</v>
          </cell>
          <cell r="AB363">
            <v>5.5312736904173931E-3</v>
          </cell>
          <cell r="AC363">
            <v>3.2199157753512564E-2</v>
          </cell>
          <cell r="AD363">
            <v>4.3447399880454318E-2</v>
          </cell>
          <cell r="AE363">
            <v>4.4628410159924581E-2</v>
          </cell>
          <cell r="AF363">
            <v>5.0986721443766481E-3</v>
          </cell>
          <cell r="AG363">
            <v>3.1199389415290435E-2</v>
          </cell>
          <cell r="AH363">
            <v>0.10723183016211135</v>
          </cell>
          <cell r="AI363">
            <v>0.13354337474490685</v>
          </cell>
          <cell r="AJ363">
            <v>0.14513165952235152</v>
          </cell>
          <cell r="AK363">
            <v>0.17878909528849318</v>
          </cell>
          <cell r="AL363">
            <v>0.14105966242440648</v>
          </cell>
          <cell r="AM363">
            <v>8.758600449995102E-2</v>
          </cell>
          <cell r="AN363">
            <v>8.6383879220492288E-2</v>
          </cell>
          <cell r="AO363">
            <v>0.13224284366152883</v>
          </cell>
          <cell r="AP363">
            <v>0.17925696594427243</v>
          </cell>
          <cell r="AQ363">
            <v>0.12193674951351863</v>
          </cell>
          <cell r="AR363">
            <v>0.16518623577306801</v>
          </cell>
          <cell r="AS363">
            <v>0.14881188059123285</v>
          </cell>
          <cell r="AT363">
            <v>0.42338880151522851</v>
          </cell>
          <cell r="AU363">
            <v>0.39231967765132936</v>
          </cell>
          <cell r="AV363">
            <v>0.28773912284188774</v>
          </cell>
          <cell r="AW363">
            <v>0.40192922877305315</v>
          </cell>
          <cell r="AX363">
            <v>0.58979786519070876</v>
          </cell>
          <cell r="AY363">
            <v>0.42965179481384541</v>
          </cell>
          <cell r="AZ363">
            <v>4.1238968015743671E-2</v>
          </cell>
          <cell r="BA363">
            <v>0</v>
          </cell>
          <cell r="BK363">
            <v>0.29242566927957458</v>
          </cell>
          <cell r="BL363">
            <v>-4.6865464376868449E-3</v>
          </cell>
        </row>
        <row r="364">
          <cell r="BL364">
            <v>0</v>
          </cell>
        </row>
        <row r="365">
          <cell r="A365" t="str">
            <v>Room Nights Sold</v>
          </cell>
          <cell r="H365">
            <v>1848178.9234999998</v>
          </cell>
          <cell r="I365">
            <v>467672.83039999998</v>
          </cell>
          <cell r="J365">
            <v>479657.5613</v>
          </cell>
          <cell r="K365">
            <v>515678.75460000004</v>
          </cell>
          <cell r="L365">
            <v>498414.3897</v>
          </cell>
          <cell r="M365">
            <v>1961423.5360000001</v>
          </cell>
          <cell r="N365">
            <v>459250.26760000002</v>
          </cell>
          <cell r="O365">
            <v>486978.67590000003</v>
          </cell>
          <cell r="P365">
            <v>524873.24580000003</v>
          </cell>
          <cell r="Q365">
            <v>532337.94480000006</v>
          </cell>
          <cell r="R365">
            <v>2003440.1341000004</v>
          </cell>
          <cell r="S365">
            <v>500684.37060000002</v>
          </cell>
          <cell r="T365">
            <v>538486.87650000001</v>
          </cell>
          <cell r="U365">
            <v>563837.97100000002</v>
          </cell>
          <cell r="V365">
            <v>578860.32159999991</v>
          </cell>
          <cell r="W365">
            <v>2181869.5397000001</v>
          </cell>
          <cell r="X365">
            <v>523904.62679999997</v>
          </cell>
          <cell r="Y365">
            <v>341952.7304</v>
          </cell>
          <cell r="Z365">
            <v>596350.77789999999</v>
          </cell>
          <cell r="AA365">
            <v>638185.94559999998</v>
          </cell>
          <cell r="AB365">
            <v>2100394.0806999998</v>
          </cell>
          <cell r="AC365">
            <v>587098.42070000002</v>
          </cell>
          <cell r="AD365">
            <v>629569.19530000002</v>
          </cell>
          <cell r="AE365">
            <v>669807.25349999999</v>
          </cell>
          <cell r="AF365">
            <v>666723.15240000002</v>
          </cell>
          <cell r="AG365">
            <v>2553198.0219000001</v>
          </cell>
          <cell r="AH365">
            <v>604270.85899999994</v>
          </cell>
          <cell r="AI365">
            <v>645644.57120000001</v>
          </cell>
          <cell r="AJ365">
            <v>704562.37190000003</v>
          </cell>
          <cell r="AK365">
            <v>772233.05480000004</v>
          </cell>
          <cell r="AL365">
            <v>2726710.8569</v>
          </cell>
          <cell r="AM365">
            <v>706504.0597000001</v>
          </cell>
          <cell r="AN365">
            <v>733370.08649999998</v>
          </cell>
          <cell r="AO365">
            <v>788058.65720000002</v>
          </cell>
          <cell r="AP365">
            <v>892821.68259999994</v>
          </cell>
          <cell r="AQ365">
            <v>3120754.486</v>
          </cell>
          <cell r="AR365">
            <v>883652.77173913049</v>
          </cell>
          <cell r="AS365">
            <v>908305.88586956519</v>
          </cell>
          <cell r="AT365">
            <v>1206837.98</v>
          </cell>
          <cell r="AU365">
            <v>1252146.5079999999</v>
          </cell>
          <cell r="AV365">
            <v>4250943.1456086952</v>
          </cell>
          <cell r="AW365">
            <v>6081198.4488886949</v>
          </cell>
          <cell r="AX365">
            <v>9785324.0055454969</v>
          </cell>
          <cell r="AY365">
            <v>14076949.894565495</v>
          </cell>
          <cell r="AZ365">
            <v>15403585.464565495</v>
          </cell>
          <cell r="BA365">
            <v>15620317.828578006</v>
          </cell>
          <cell r="BK365">
            <v>3943029.911541895</v>
          </cell>
          <cell r="BL365">
            <v>307913.23406680021</v>
          </cell>
        </row>
        <row r="366">
          <cell r="A366" t="str">
            <v>Room Nights Available</v>
          </cell>
          <cell r="H366">
            <v>3442315</v>
          </cell>
          <cell r="I366">
            <v>858296</v>
          </cell>
          <cell r="J366">
            <v>843619</v>
          </cell>
          <cell r="K366">
            <v>855572</v>
          </cell>
          <cell r="L366">
            <v>849684</v>
          </cell>
          <cell r="M366">
            <v>3407171</v>
          </cell>
          <cell r="N366">
            <v>825896</v>
          </cell>
          <cell r="O366">
            <v>817413</v>
          </cell>
          <cell r="P366">
            <v>829627</v>
          </cell>
          <cell r="Q366">
            <v>829869</v>
          </cell>
          <cell r="R366">
            <v>3302805</v>
          </cell>
          <cell r="S366">
            <v>807045</v>
          </cell>
          <cell r="T366">
            <v>810525</v>
          </cell>
          <cell r="U366">
            <v>809468</v>
          </cell>
          <cell r="V366">
            <v>822740</v>
          </cell>
          <cell r="W366">
            <v>3249778</v>
          </cell>
          <cell r="X366">
            <v>804994</v>
          </cell>
          <cell r="Y366">
            <v>811957</v>
          </cell>
          <cell r="Z366">
            <v>814918</v>
          </cell>
          <cell r="AA366">
            <v>835944</v>
          </cell>
          <cell r="AB366">
            <v>3267813</v>
          </cell>
          <cell r="AC366">
            <v>840191</v>
          </cell>
          <cell r="AD366">
            <v>847243</v>
          </cell>
          <cell r="AE366">
            <v>851486</v>
          </cell>
          <cell r="AF366">
            <v>840276</v>
          </cell>
          <cell r="AG366">
            <v>3379196</v>
          </cell>
          <cell r="AH366">
            <v>920134</v>
          </cell>
          <cell r="AI366">
            <v>960284</v>
          </cell>
          <cell r="AJ366">
            <v>974811</v>
          </cell>
          <cell r="AK366">
            <v>990467</v>
          </cell>
          <cell r="AL366">
            <v>3845696</v>
          </cell>
          <cell r="AM366">
            <v>1000820</v>
          </cell>
          <cell r="AN366">
            <v>1043205</v>
          </cell>
          <cell r="AO366">
            <v>1103403</v>
          </cell>
          <cell r="AP366">
            <v>1168097</v>
          </cell>
          <cell r="AQ366">
            <v>4315525</v>
          </cell>
          <cell r="AR366">
            <v>1165873.6956521741</v>
          </cell>
          <cell r="AS366">
            <v>1198607.5144927534</v>
          </cell>
          <cell r="AT366">
            <v>1571159.3333333335</v>
          </cell>
          <cell r="AU366">
            <v>1626359.3333333335</v>
          </cell>
          <cell r="AV366">
            <v>5561999.8768115947</v>
          </cell>
          <cell r="AW366">
            <v>7788303.8768115947</v>
          </cell>
          <cell r="AX366">
            <v>12381828.876811596</v>
          </cell>
          <cell r="AY366">
            <v>17701703.876811594</v>
          </cell>
          <cell r="AZ366">
            <v>18431703.876811594</v>
          </cell>
          <cell r="BA366">
            <v>18482201.695652176</v>
          </cell>
          <cell r="BK366">
            <v>5582796.666666667</v>
          </cell>
          <cell r="BL366">
            <v>-20796.789855072275</v>
          </cell>
        </row>
        <row r="367">
          <cell r="A367" t="str">
            <v>Occupancy</v>
          </cell>
          <cell r="H367">
            <v>0.53689999999999993</v>
          </cell>
          <cell r="I367">
            <v>0.54488524984387665</v>
          </cell>
          <cell r="J367">
            <v>0.56857131157548613</v>
          </cell>
          <cell r="K367">
            <v>0.60272981654378599</v>
          </cell>
          <cell r="L367">
            <v>0.58658794292937144</v>
          </cell>
          <cell r="M367">
            <v>0.57567510876325256</v>
          </cell>
          <cell r="N367">
            <v>0.55606307283241474</v>
          </cell>
          <cell r="O367">
            <v>0.59575597146118309</v>
          </cell>
          <cell r="P367">
            <v>0.63266172123134856</v>
          </cell>
          <cell r="Q367">
            <v>0.64147226224862008</v>
          </cell>
          <cell r="R367">
            <v>0.60658747158854376</v>
          </cell>
          <cell r="S367">
            <v>0.62039213501105894</v>
          </cell>
          <cell r="T367">
            <v>0.66436800407143515</v>
          </cell>
          <cell r="U367">
            <v>0.69655375011736109</v>
          </cell>
          <cell r="V367">
            <v>0.70357624717407674</v>
          </cell>
          <cell r="W367">
            <v>0.67139033487825939</v>
          </cell>
          <cell r="X367">
            <v>0.65081805181156627</v>
          </cell>
          <cell r="Y367">
            <v>0.42114635430201353</v>
          </cell>
          <cell r="Z367">
            <v>0.73179237407935516</v>
          </cell>
          <cell r="AA367">
            <v>0.76343145665259871</v>
          </cell>
          <cell r="AB367">
            <v>0.64275222624428019</v>
          </cell>
          <cell r="AC367">
            <v>0.69876780482057055</v>
          </cell>
          <cell r="AD367">
            <v>0.7430798428550015</v>
          </cell>
          <cell r="AE367">
            <v>0.78663331340738429</v>
          </cell>
          <cell r="AF367">
            <v>0.79345733116261807</v>
          </cell>
          <cell r="AG367">
            <v>0.75556375596443648</v>
          </cell>
          <cell r="AH367">
            <v>0.65672049831872303</v>
          </cell>
          <cell r="AI367">
            <v>0.67234752552369925</v>
          </cell>
          <cell r="AJ367">
            <v>0.7227681795753228</v>
          </cell>
          <cell r="AK367">
            <v>0.77966560703183452</v>
          </cell>
          <cell r="AL367">
            <v>0.7090292256330194</v>
          </cell>
          <cell r="AM367">
            <v>0.70592520103515133</v>
          </cell>
          <cell r="AN367">
            <v>0.70299709692725776</v>
          </cell>
          <cell r="AO367">
            <v>0.71420746291246262</v>
          </cell>
          <cell r="AP367">
            <v>0.76433864875947799</v>
          </cell>
          <cell r="AQ367">
            <v>0.72314596393254582</v>
          </cell>
          <cell r="AR367">
            <v>0.75793181974555746</v>
          </cell>
          <cell r="AS367">
            <v>0.75780092723176118</v>
          </cell>
          <cell r="AT367">
            <v>0.76811940991344385</v>
          </cell>
          <cell r="AU367">
            <v>0.76990765960290031</v>
          </cell>
          <cell r="AV367">
            <v>0.7642832146277464</v>
          </cell>
          <cell r="AW367">
            <v>0.7808116561802978</v>
          </cell>
          <cell r="AX367">
            <v>0.79029714454148425</v>
          </cell>
          <cell r="AY367">
            <v>0.79523135131673073</v>
          </cell>
          <cell r="AZ367">
            <v>0.83571142242276963</v>
          </cell>
          <cell r="BA367">
            <v>0.84515460256299391</v>
          </cell>
          <cell r="BK367">
            <v>0.70628219993836328</v>
          </cell>
          <cell r="BL367">
            <v>5.8001014689383124E-2</v>
          </cell>
        </row>
        <row r="368">
          <cell r="A368" t="str">
            <v>Guests per Room</v>
          </cell>
          <cell r="I368">
            <v>1.7401874710231193</v>
          </cell>
          <cell r="J368">
            <v>1.7430326288072218</v>
          </cell>
          <cell r="K368">
            <v>1.769003419013454</v>
          </cell>
          <cell r="L368">
            <v>1.7790470840947847</v>
          </cell>
          <cell r="M368">
            <v>1.7587856901804808</v>
          </cell>
          <cell r="N368">
            <v>1.7915024219066271</v>
          </cell>
          <cell r="O368">
            <v>1.7910566789973894</v>
          </cell>
          <cell r="P368">
            <v>1.773399249148774</v>
          </cell>
          <cell r="Q368">
            <v>1.7848720021081863</v>
          </cell>
          <cell r="R368">
            <v>1.7850084170877942</v>
          </cell>
          <cell r="S368">
            <v>1.8256431669808546</v>
          </cell>
          <cell r="T368">
            <v>1.7870877428275944</v>
          </cell>
          <cell r="U368">
            <v>1.7545930407017587</v>
          </cell>
          <cell r="V368">
            <v>1.7408959681578566</v>
          </cell>
          <cell r="W368">
            <v>1.7772722697709271</v>
          </cell>
          <cell r="X368">
            <v>1.7280966681472341</v>
          </cell>
          <cell r="Y368">
            <v>1.7600973072973012</v>
          </cell>
          <cell r="Z368">
            <v>1.7678918444262612</v>
          </cell>
          <cell r="AA368">
            <v>1.7809878993779376</v>
          </cell>
          <cell r="AB368">
            <v>1.7700792409208013</v>
          </cell>
          <cell r="AC368">
            <v>1.8421253607027459</v>
          </cell>
          <cell r="AD368">
            <v>1.8246998718744334</v>
          </cell>
          <cell r="AE368">
            <v>1.8236745923803284</v>
          </cell>
          <cell r="AF368">
            <v>1.7954530537763875</v>
          </cell>
          <cell r="AG368">
            <v>1.8219416218794933</v>
          </cell>
          <cell r="AH368">
            <v>1.7764494249754976</v>
          </cell>
          <cell r="AI368">
            <v>1.7880625525191434</v>
          </cell>
          <cell r="AJ368">
            <v>1.799754288013518</v>
          </cell>
          <cell r="AK368">
            <v>1.7499732646771959</v>
          </cell>
          <cell r="AL368">
            <v>1.7771274235908885</v>
          </cell>
          <cell r="AM368">
            <v>1.7466270288533861</v>
          </cell>
          <cell r="AN368">
            <v>1.7226267109273483</v>
          </cell>
          <cell r="AO368">
            <v>1.7529682856878253</v>
          </cell>
          <cell r="AP368">
            <v>1.7979307976990209</v>
          </cell>
          <cell r="AQ368">
            <v>1.7548958768043246</v>
          </cell>
          <cell r="AR368">
            <v>1.7466270288533861</v>
          </cell>
          <cell r="AS368">
            <v>1.7226267109273483</v>
          </cell>
          <cell r="AT368">
            <v>1.7529682856878253</v>
          </cell>
          <cell r="AU368">
            <v>1.7979307976990209</v>
          </cell>
          <cell r="AV368">
            <v>1.7150671401583086</v>
          </cell>
          <cell r="AW368">
            <v>1.7150671401583086</v>
          </cell>
          <cell r="AX368">
            <v>1.7150671401583086</v>
          </cell>
          <cell r="AY368">
            <v>1.7150671401583086</v>
          </cell>
          <cell r="AZ368">
            <v>1.7150671401583086</v>
          </cell>
          <cell r="BA368">
            <v>1.7150671401583086</v>
          </cell>
          <cell r="BK368">
            <v>1.7229728514305702</v>
          </cell>
          <cell r="BL368">
            <v>-7.9057112722615841E-3</v>
          </cell>
        </row>
        <row r="369">
          <cell r="BL369">
            <v>0</v>
          </cell>
        </row>
        <row r="370">
          <cell r="A370" t="str">
            <v>ADR</v>
          </cell>
          <cell r="H370">
            <v>45.254965935896394</v>
          </cell>
          <cell r="I370">
            <v>47.749307373616297</v>
          </cell>
          <cell r="J370">
            <v>48.335675406915442</v>
          </cell>
          <cell r="K370">
            <v>50.783381206347201</v>
          </cell>
          <cell r="L370">
            <v>52.389399776054503</v>
          </cell>
          <cell r="M370">
            <v>49.860221242161948</v>
          </cell>
          <cell r="N370">
            <v>52.939835851369047</v>
          </cell>
          <cell r="O370">
            <v>52.500572441544328</v>
          </cell>
          <cell r="P370">
            <v>51.403055409518565</v>
          </cell>
          <cell r="Q370">
            <v>50.483305164764261</v>
          </cell>
          <cell r="R370">
            <v>51.77704499752749</v>
          </cell>
          <cell r="S370">
            <v>50.648412514415647</v>
          </cell>
          <cell r="T370">
            <v>47.973118895419333</v>
          </cell>
          <cell r="U370">
            <v>47.510847858151898</v>
          </cell>
          <cell r="V370">
            <v>48.547335694693956</v>
          </cell>
          <cell r="W370">
            <v>48.621434379636526</v>
          </cell>
          <cell r="X370">
            <v>50.261874235043663</v>
          </cell>
          <cell r="Y370">
            <v>45.919385013897511</v>
          </cell>
          <cell r="Z370">
            <v>51.695933513572228</v>
          </cell>
          <cell r="AA370">
            <v>56.788558904483885</v>
          </cell>
          <cell r="AB370">
            <v>51.920478265889656</v>
          </cell>
          <cell r="AC370">
            <v>58.592998889701121</v>
          </cell>
          <cell r="AD370">
            <v>58.382028402147647</v>
          </cell>
          <cell r="AE370">
            <v>59.527013301190301</v>
          </cell>
          <cell r="AF370">
            <v>67.196477919640145</v>
          </cell>
          <cell r="AG370">
            <v>61.03824908884031</v>
          </cell>
          <cell r="AH370">
            <v>66.973341949573197</v>
          </cell>
          <cell r="AI370">
            <v>61.907683767053449</v>
          </cell>
          <cell r="AJ370">
            <v>65.256919906916337</v>
          </cell>
          <cell r="AK370">
            <v>72.182763832568668</v>
          </cell>
          <cell r="AL370">
            <v>66.786957240022872</v>
          </cell>
          <cell r="AM370">
            <v>72.292429237858357</v>
          </cell>
          <cell r="AN370">
            <v>71.226043800563644</v>
          </cell>
          <cell r="BL370">
            <v>0</v>
          </cell>
        </row>
        <row r="371">
          <cell r="A371" t="str">
            <v xml:space="preserve">  Year-over-Year growth</v>
          </cell>
          <cell r="M371">
            <v>0.10176243006765029</v>
          </cell>
          <cell r="N371">
            <v>0.10870374384992143</v>
          </cell>
          <cell r="O371">
            <v>8.6166108150275367E-2</v>
          </cell>
          <cell r="P371">
            <v>1.2202302967056378E-2</v>
          </cell>
          <cell r="Q371">
            <v>-3.6383211478621669E-2</v>
          </cell>
          <cell r="R371">
            <v>3.8443948053416666E-2</v>
          </cell>
          <cell r="S371">
            <v>-4.3283536869790695E-2</v>
          </cell>
          <cell r="T371">
            <v>-8.6236270112406754E-2</v>
          </cell>
          <cell r="U371">
            <v>-7.5719381277205677E-2</v>
          </cell>
          <cell r="V371">
            <v>-3.8348706839851476E-2</v>
          </cell>
          <cell r="W371">
            <v>-6.0946131978788176E-2</v>
          </cell>
          <cell r="X371">
            <v>-7.6317945653670005E-3</v>
          </cell>
          <cell r="Y371">
            <v>-4.28100971712706E-2</v>
          </cell>
          <cell r="Z371">
            <v>8.8086949488152655E-2</v>
          </cell>
          <cell r="AA371">
            <v>0.16975644681342761</v>
          </cell>
          <cell r="AB371">
            <v>6.7851636389296255E-2</v>
          </cell>
          <cell r="AC371">
            <v>0.16575435718329845</v>
          </cell>
          <cell r="AD371">
            <v>0.27140266326472617</v>
          </cell>
          <cell r="AE371">
            <v>0.1514834776232854</v>
          </cell>
          <cell r="AF371">
            <v>0.18327492748428376</v>
          </cell>
          <cell r="AG371">
            <v>0.17561030112738352</v>
          </cell>
          <cell r="AH371">
            <v>0.14302635500271488</v>
          </cell>
          <cell r="AI371">
            <v>6.0389394842884636E-2</v>
          </cell>
          <cell r="AJ371">
            <v>9.6257250077948386E-2</v>
          </cell>
          <cell r="AK371">
            <v>7.4204572431483484E-2</v>
          </cell>
          <cell r="AL371">
            <v>9.4182061854615196E-2</v>
          </cell>
          <cell r="AM371">
            <v>7.942096263152143E-2</v>
          </cell>
          <cell r="AN371">
            <v>0.1505202499349414</v>
          </cell>
          <cell r="BL371">
            <v>0</v>
          </cell>
        </row>
        <row r="372">
          <cell r="BL372">
            <v>0</v>
          </cell>
        </row>
        <row r="373">
          <cell r="A373" t="str">
            <v>RevPAR</v>
          </cell>
          <cell r="H373">
            <v>24.29739121098277</v>
          </cell>
          <cell r="I373">
            <v>26.017893278144978</v>
          </cell>
          <cell r="J373">
            <v>27.482278361996883</v>
          </cell>
          <cell r="K373">
            <v>30.608658037974799</v>
          </cell>
          <cell r="L373">
            <v>30.730990245940284</v>
          </cell>
          <cell r="M373">
            <v>28.703288286541415</v>
          </cell>
          <cell r="N373">
            <v>29.437887798755906</v>
          </cell>
          <cell r="O373">
            <v>31.27752953718046</v>
          </cell>
          <cell r="P373">
            <v>32.520745511936397</v>
          </cell>
          <cell r="Q373">
            <v>32.383639969828778</v>
          </cell>
          <cell r="R373">
            <v>31.407306811376458</v>
          </cell>
          <cell r="S373">
            <v>31.421876774739157</v>
          </cell>
          <cell r="T373">
            <v>31.871805249631393</v>
          </cell>
          <cell r="U373">
            <v>33.093859246851096</v>
          </cell>
          <cell r="V373">
            <v>34.156752258372876</v>
          </cell>
          <cell r="W373">
            <v>32.643961110405478</v>
          </cell>
          <cell r="X373">
            <v>32.711335070049074</v>
          </cell>
          <cell r="Y373">
            <v>19.338781590393452</v>
          </cell>
          <cell r="Z373">
            <v>37.830689916145523</v>
          </cell>
          <cell r="AA373">
            <v>43.354172245652038</v>
          </cell>
          <cell r="AB373">
            <v>33.372002993068342</v>
          </cell>
          <cell r="AC373">
            <v>40.942901212010582</v>
          </cell>
          <cell r="AD373">
            <v>43.382508490624105</v>
          </cell>
          <cell r="AE373">
            <v>46.825931710360763</v>
          </cell>
          <cell r="AF373">
            <v>53.317538033645462</v>
          </cell>
          <cell r="AG373">
            <v>46.118288739057029</v>
          </cell>
          <cell r="AH373">
            <v>43.98276649919395</v>
          </cell>
          <cell r="AI373">
            <v>41.623477991682073</v>
          </cell>
          <cell r="AJ373">
            <v>47.165625205814564</v>
          </cell>
          <cell r="AK373">
            <v>56.278418380755198</v>
          </cell>
          <cell r="AL373">
            <v>47.353904574278992</v>
          </cell>
          <cell r="AM373">
            <v>51.033047643054616</v>
          </cell>
          <cell r="AN373">
            <v>50.071702017409947</v>
          </cell>
          <cell r="BL373">
            <v>0</v>
          </cell>
        </row>
        <row r="374">
          <cell r="A374" t="str">
            <v xml:space="preserve">  Year-over-Year growth</v>
          </cell>
          <cell r="M374">
            <v>0.1813321042288325</v>
          </cell>
          <cell r="N374">
            <v>0.1314477880299294</v>
          </cell>
          <cell r="O374">
            <v>0.1380981272801507</v>
          </cell>
          <cell r="P374">
            <v>6.2468843671269703E-2</v>
          </cell>
          <cell r="Q374">
            <v>5.3777952179943744E-2</v>
          </cell>
          <cell r="R374">
            <v>9.4205879752910393E-2</v>
          </cell>
          <cell r="S374">
            <v>6.7395765265030327E-2</v>
          </cell>
          <cell r="T374">
            <v>1.9000084765150804E-2</v>
          </cell>
          <cell r="U374">
            <v>1.7623019580050636E-2</v>
          </cell>
          <cell r="V374">
            <v>5.475333502336599E-2</v>
          </cell>
          <cell r="W374">
            <v>3.937473233397637E-2</v>
          </cell>
          <cell r="X374">
            <v>4.103695984023914E-2</v>
          </cell>
          <cell r="Y374">
            <v>-0.39323231179014839</v>
          </cell>
          <cell r="Z374">
            <v>0.14313322099915382</v>
          </cell>
          <cell r="AA374">
            <v>0.26927091655866042</v>
          </cell>
          <cell r="AB374">
            <v>2.2302498161927975E-2</v>
          </cell>
          <cell r="AC374">
            <v>0.25164262248343494</v>
          </cell>
          <cell r="AD374">
            <v>1.2432906792935903</v>
          </cell>
          <cell r="AE374">
            <v>0.23777630844570496</v>
          </cell>
          <cell r="AF374">
            <v>0.2298133091214225</v>
          </cell>
          <cell r="AG374">
            <v>0.38194548132565487</v>
          </cell>
          <cell r="AH374">
            <v>7.424645536090213E-2</v>
          </cell>
          <cell r="AI374">
            <v>-4.0546998321274952E-2</v>
          </cell>
          <cell r="AJ374">
            <v>7.2543883922044916E-3</v>
          </cell>
          <cell r="AK374">
            <v>5.5532953251541839E-2</v>
          </cell>
          <cell r="AL374">
            <v>2.6792317516663111E-2</v>
          </cell>
          <cell r="AM374">
            <v>0.16029644574517321</v>
          </cell>
          <cell r="AN374">
            <v>0.20296775842268988</v>
          </cell>
          <cell r="BL374">
            <v>0</v>
          </cell>
        </row>
        <row r="375">
          <cell r="BL375">
            <v>0</v>
          </cell>
        </row>
        <row r="376">
          <cell r="A376" t="str">
            <v>Labor/Population (thousands)</v>
          </cell>
          <cell r="BL376">
            <v>0</v>
          </cell>
        </row>
        <row r="377">
          <cell r="A377" t="str">
            <v>Population (period-end)</v>
          </cell>
          <cell r="G377">
            <v>430.54899999999998</v>
          </cell>
          <cell r="H377">
            <v>437.45499999999998</v>
          </cell>
          <cell r="I377">
            <v>434.68799999999999</v>
          </cell>
          <cell r="J377">
            <v>437.67899999999997</v>
          </cell>
          <cell r="K377">
            <v>437.05099999999999</v>
          </cell>
          <cell r="L377">
            <v>437.90300000000002</v>
          </cell>
          <cell r="M377">
            <v>437.90300000000002</v>
          </cell>
          <cell r="N377">
            <v>432.8</v>
          </cell>
          <cell r="O377">
            <v>434.1</v>
          </cell>
          <cell r="P377">
            <v>435.4</v>
          </cell>
          <cell r="Q377">
            <v>436.7</v>
          </cell>
          <cell r="R377">
            <v>436.7</v>
          </cell>
          <cell r="S377">
            <v>436.8</v>
          </cell>
          <cell r="T377">
            <v>439.2</v>
          </cell>
          <cell r="U377">
            <v>439.8</v>
          </cell>
          <cell r="V377">
            <v>441.6</v>
          </cell>
          <cell r="W377">
            <v>441.6</v>
          </cell>
          <cell r="X377">
            <v>443.4</v>
          </cell>
          <cell r="Y377">
            <v>445.1</v>
          </cell>
          <cell r="Z377">
            <v>446.8</v>
          </cell>
          <cell r="AA377">
            <v>448.5</v>
          </cell>
          <cell r="AB377">
            <v>448.5</v>
          </cell>
          <cell r="AC377">
            <v>451.3</v>
          </cell>
          <cell r="AD377">
            <v>454.3</v>
          </cell>
          <cell r="AE377">
            <v>461.1</v>
          </cell>
          <cell r="AF377">
            <v>465.33300000000003</v>
          </cell>
          <cell r="AG377">
            <v>465.33300000000003</v>
          </cell>
          <cell r="AH377">
            <v>471</v>
          </cell>
          <cell r="AI377">
            <v>476.7</v>
          </cell>
          <cell r="AJ377">
            <v>482.4</v>
          </cell>
          <cell r="AK377">
            <v>488.1</v>
          </cell>
          <cell r="AL377">
            <v>488.1</v>
          </cell>
          <cell r="AM377">
            <v>498.5</v>
          </cell>
          <cell r="AN377">
            <v>503</v>
          </cell>
          <cell r="AO377">
            <v>508.5</v>
          </cell>
          <cell r="AP377">
            <v>513.42700000000002</v>
          </cell>
          <cell r="AQ377">
            <v>513.42700000000002</v>
          </cell>
          <cell r="BL377">
            <v>0</v>
          </cell>
        </row>
        <row r="378">
          <cell r="A378" t="str">
            <v xml:space="preserve">  Year-over-Year growth</v>
          </cell>
          <cell r="H378">
            <v>1.6039986157208697E-2</v>
          </cell>
          <cell r="M378">
            <v>1.0241053365489527E-3</v>
          </cell>
          <cell r="N378">
            <v>-4.3433451118962685E-3</v>
          </cell>
          <cell r="O378">
            <v>-8.1772257750541977E-3</v>
          </cell>
          <cell r="P378">
            <v>-3.7775911735701273E-3</v>
          </cell>
          <cell r="Q378">
            <v>-2.7471837370377505E-3</v>
          </cell>
          <cell r="R378">
            <v>-2.7471837370377505E-3</v>
          </cell>
          <cell r="S378">
            <v>9.2421441774490631E-3</v>
          </cell>
          <cell r="T378">
            <v>1.1748445058742174E-2</v>
          </cell>
          <cell r="U378">
            <v>1.0105649977032671E-2</v>
          </cell>
          <cell r="V378">
            <v>1.1220517517746886E-2</v>
          </cell>
          <cell r="W378">
            <v>1.1220517517746886E-2</v>
          </cell>
          <cell r="X378">
            <v>1.5109890109890056E-2</v>
          </cell>
          <cell r="Y378">
            <v>1.343351548269589E-2</v>
          </cell>
          <cell r="Z378">
            <v>1.5916325602546522E-2</v>
          </cell>
          <cell r="AA378">
            <v>1.5625E-2</v>
          </cell>
          <cell r="AB378">
            <v>1.5625E-2</v>
          </cell>
          <cell r="AC378">
            <v>1.7816869643662692E-2</v>
          </cell>
          <cell r="AD378">
            <v>2.0669512469108087E-2</v>
          </cell>
          <cell r="AE378">
            <v>3.200537153088634E-2</v>
          </cell>
          <cell r="AF378">
            <v>3.7531772575250866E-2</v>
          </cell>
          <cell r="AG378">
            <v>3.7531772575250866E-2</v>
          </cell>
          <cell r="AL378">
            <v>4.8926252812502069E-2</v>
          </cell>
          <cell r="AQ378">
            <v>5.1888957180905582E-2</v>
          </cell>
          <cell r="BL378">
            <v>0</v>
          </cell>
        </row>
        <row r="379">
          <cell r="BL379">
            <v>0</v>
          </cell>
        </row>
        <row r="380">
          <cell r="A380" t="str">
            <v>Resident employed population</v>
          </cell>
          <cell r="G380">
            <v>169.03399999999999</v>
          </cell>
          <cell r="H380">
            <v>170.297</v>
          </cell>
          <cell r="I380">
            <v>173.274</v>
          </cell>
          <cell r="J380">
            <v>170.52600000000001</v>
          </cell>
          <cell r="K380">
            <v>169.48400000000001</v>
          </cell>
          <cell r="L380">
            <v>175.44499999999999</v>
          </cell>
          <cell r="M380">
            <v>172.87700000000001</v>
          </cell>
          <cell r="N380">
            <v>172.32299999999998</v>
          </cell>
          <cell r="O380">
            <v>174.7</v>
          </cell>
          <cell r="P380">
            <v>179.608</v>
          </cell>
          <cell r="Q380">
            <v>180.9</v>
          </cell>
          <cell r="R380">
            <v>176.9</v>
          </cell>
          <cell r="S380">
            <v>178.1</v>
          </cell>
          <cell r="T380">
            <v>177.9</v>
          </cell>
          <cell r="U380">
            <v>176.10000000000002</v>
          </cell>
          <cell r="V380">
            <v>175.2</v>
          </cell>
          <cell r="W380">
            <v>177.1</v>
          </cell>
          <cell r="X380">
            <v>177.6</v>
          </cell>
          <cell r="Y380">
            <v>176.7</v>
          </cell>
          <cell r="Z380">
            <v>178.8</v>
          </cell>
          <cell r="AA380">
            <v>182.53</v>
          </cell>
          <cell r="AB380">
            <v>177.63</v>
          </cell>
          <cell r="AC380">
            <v>185.78100000000001</v>
          </cell>
          <cell r="AD380">
            <v>186.93900000000002</v>
          </cell>
          <cell r="AE380">
            <v>194.066</v>
          </cell>
          <cell r="AF380">
            <v>200.66400000000002</v>
          </cell>
          <cell r="AG380">
            <v>190.239</v>
          </cell>
          <cell r="AH380">
            <v>201.05199999999999</v>
          </cell>
          <cell r="AI380">
            <v>200.803</v>
          </cell>
          <cell r="AJ380">
            <v>206.08199999999999</v>
          </cell>
          <cell r="AK380">
            <v>209.38900000000001</v>
          </cell>
          <cell r="AL380">
            <v>198.38900000000001</v>
          </cell>
          <cell r="AM380">
            <v>207.524</v>
          </cell>
          <cell r="AN380">
            <v>213.60000000000002</v>
          </cell>
          <cell r="AO380">
            <v>214.64699999999999</v>
          </cell>
          <cell r="AP380">
            <v>211.62700000000001</v>
          </cell>
          <cell r="BL380">
            <v>0</v>
          </cell>
        </row>
        <row r="381">
          <cell r="A381" t="str">
            <v>Non-resident workers (period-end)</v>
          </cell>
          <cell r="G381">
            <v>32.012999999999998</v>
          </cell>
          <cell r="H381">
            <v>32.183</v>
          </cell>
          <cell r="I381">
            <v>28.010999999999999</v>
          </cell>
          <cell r="J381">
            <v>28.215</v>
          </cell>
          <cell r="K381">
            <v>28.113</v>
          </cell>
          <cell r="L381">
            <v>27.221</v>
          </cell>
          <cell r="M381">
            <v>27.221</v>
          </cell>
          <cell r="N381">
            <v>25.777000000000001</v>
          </cell>
          <cell r="O381">
            <v>25.8</v>
          </cell>
          <cell r="P381">
            <v>26.292000000000002</v>
          </cell>
          <cell r="Q381">
            <v>25.9</v>
          </cell>
          <cell r="R381">
            <v>25.9</v>
          </cell>
          <cell r="S381">
            <v>24.5</v>
          </cell>
          <cell r="T381">
            <v>23.7</v>
          </cell>
          <cell r="U381">
            <v>23.2</v>
          </cell>
          <cell r="V381">
            <v>23.5</v>
          </cell>
          <cell r="W381">
            <v>23.5</v>
          </cell>
          <cell r="X381">
            <v>23</v>
          </cell>
          <cell r="Y381">
            <v>23.5</v>
          </cell>
          <cell r="Z381">
            <v>23.2</v>
          </cell>
          <cell r="AA381">
            <v>24.97</v>
          </cell>
          <cell r="AB381">
            <v>24.97</v>
          </cell>
          <cell r="AC381">
            <v>25.219000000000001</v>
          </cell>
          <cell r="AD381">
            <v>24.960999999999999</v>
          </cell>
          <cell r="AE381">
            <v>26.533999999999999</v>
          </cell>
          <cell r="AF381">
            <v>27.736000000000001</v>
          </cell>
          <cell r="AG381">
            <v>27.736000000000001</v>
          </cell>
          <cell r="AH381">
            <v>28.648</v>
          </cell>
          <cell r="AI381">
            <v>31.097000000000001</v>
          </cell>
          <cell r="AJ381">
            <v>34.718000000000004</v>
          </cell>
          <cell r="AK381">
            <v>39.411000000000001</v>
          </cell>
          <cell r="AL381">
            <v>39.411000000000001</v>
          </cell>
          <cell r="AM381">
            <v>47.875999999999998</v>
          </cell>
          <cell r="AN381">
            <v>50.2</v>
          </cell>
          <cell r="AO381">
            <v>56.552999999999997</v>
          </cell>
          <cell r="AP381">
            <v>64.673000000000002</v>
          </cell>
          <cell r="BL381">
            <v>0</v>
          </cell>
        </row>
        <row r="382">
          <cell r="B382" t="str">
            <v>______</v>
          </cell>
          <cell r="C382" t="str">
            <v>______</v>
          </cell>
          <cell r="D382" t="str">
            <v>______</v>
          </cell>
          <cell r="E382" t="str">
            <v>______</v>
          </cell>
          <cell r="F382" t="str">
            <v>______</v>
          </cell>
          <cell r="G382" t="str">
            <v>______</v>
          </cell>
          <cell r="H382" t="str">
            <v>______</v>
          </cell>
          <cell r="I382" t="str">
            <v>______</v>
          </cell>
          <cell r="J382" t="str">
            <v>______</v>
          </cell>
          <cell r="K382" t="str">
            <v>______</v>
          </cell>
          <cell r="L382" t="str">
            <v>______</v>
          </cell>
          <cell r="M382" t="str">
            <v>______</v>
          </cell>
          <cell r="N382" t="str">
            <v>______</v>
          </cell>
          <cell r="O382" t="str">
            <v>______</v>
          </cell>
          <cell r="P382" t="str">
            <v>______</v>
          </cell>
          <cell r="Q382" t="str">
            <v>______</v>
          </cell>
          <cell r="R382" t="str">
            <v>______</v>
          </cell>
          <cell r="S382" t="str">
            <v>______</v>
          </cell>
          <cell r="T382" t="str">
            <v>______</v>
          </cell>
          <cell r="U382" t="str">
            <v>______</v>
          </cell>
          <cell r="V382" t="str">
            <v>______</v>
          </cell>
          <cell r="W382" t="str">
            <v>______</v>
          </cell>
          <cell r="X382" t="str">
            <v>______</v>
          </cell>
          <cell r="Y382" t="str">
            <v>______</v>
          </cell>
          <cell r="Z382" t="str">
            <v>______</v>
          </cell>
          <cell r="AA382" t="str">
            <v>______</v>
          </cell>
          <cell r="AB382" t="str">
            <v>______</v>
          </cell>
          <cell r="AC382" t="str">
            <v>______</v>
          </cell>
          <cell r="AD382" t="str">
            <v>______</v>
          </cell>
          <cell r="AE382" t="str">
            <v>______</v>
          </cell>
          <cell r="AF382" t="str">
            <v>______</v>
          </cell>
          <cell r="AG382" t="str">
            <v>______</v>
          </cell>
          <cell r="AH382" t="str">
            <v>______</v>
          </cell>
          <cell r="AI382" t="str">
            <v>______</v>
          </cell>
          <cell r="AJ382" t="str">
            <v>______</v>
          </cell>
          <cell r="AK382" t="str">
            <v>______</v>
          </cell>
          <cell r="AL382" t="str">
            <v>______</v>
          </cell>
          <cell r="AM382" t="str">
            <v>______</v>
          </cell>
          <cell r="AN382" t="str">
            <v>______</v>
          </cell>
          <cell r="AO382" t="str">
            <v>______</v>
          </cell>
          <cell r="AP382" t="str">
            <v>______</v>
          </cell>
          <cell r="BL382">
            <v>0</v>
          </cell>
        </row>
        <row r="383">
          <cell r="A383" t="str">
            <v>Total employed population</v>
          </cell>
          <cell r="G383">
            <v>201.047</v>
          </cell>
          <cell r="H383">
            <v>202.48</v>
          </cell>
          <cell r="I383">
            <v>201.285</v>
          </cell>
          <cell r="J383">
            <v>198.74100000000001</v>
          </cell>
          <cell r="K383">
            <v>197.59700000000001</v>
          </cell>
          <cell r="L383">
            <v>202.666</v>
          </cell>
          <cell r="M383">
            <v>200.09800000000001</v>
          </cell>
          <cell r="N383">
            <v>198.1</v>
          </cell>
          <cell r="O383">
            <v>200.5</v>
          </cell>
          <cell r="P383">
            <v>205.9</v>
          </cell>
          <cell r="Q383">
            <v>206.8</v>
          </cell>
          <cell r="R383">
            <v>202.8</v>
          </cell>
          <cell r="S383">
            <v>202.6</v>
          </cell>
          <cell r="T383">
            <v>201.6</v>
          </cell>
          <cell r="U383">
            <v>199.3</v>
          </cell>
          <cell r="V383">
            <v>198.7</v>
          </cell>
          <cell r="W383">
            <v>200.6</v>
          </cell>
          <cell r="X383">
            <v>200.6</v>
          </cell>
          <cell r="Y383">
            <v>200.2</v>
          </cell>
          <cell r="Z383">
            <v>202</v>
          </cell>
          <cell r="AA383">
            <v>207.5</v>
          </cell>
          <cell r="AB383">
            <v>202.6</v>
          </cell>
          <cell r="AC383">
            <v>211</v>
          </cell>
          <cell r="AD383">
            <v>211.9</v>
          </cell>
          <cell r="AE383">
            <v>220.6</v>
          </cell>
          <cell r="AF383">
            <v>228.4</v>
          </cell>
          <cell r="AG383">
            <v>217.97499999999999</v>
          </cell>
          <cell r="AH383">
            <v>229.7</v>
          </cell>
          <cell r="AI383">
            <v>231.9</v>
          </cell>
          <cell r="AJ383">
            <v>240.8</v>
          </cell>
          <cell r="AK383">
            <v>248.8</v>
          </cell>
          <cell r="AL383">
            <v>237.8</v>
          </cell>
          <cell r="AM383">
            <v>255.4</v>
          </cell>
          <cell r="AN383">
            <v>263.8</v>
          </cell>
          <cell r="AO383">
            <v>271.2</v>
          </cell>
          <cell r="AP383">
            <v>276.3</v>
          </cell>
          <cell r="BL383">
            <v>0</v>
          </cell>
        </row>
        <row r="384">
          <cell r="A384" t="str">
            <v xml:space="preserve">  Sequential growth</v>
          </cell>
          <cell r="H384">
            <v>7.1276865608538298E-3</v>
          </cell>
          <cell r="M384">
            <v>-1.1764124851837088E-2</v>
          </cell>
          <cell r="N384">
            <v>-2.2529679373945344E-2</v>
          </cell>
          <cell r="O384">
            <v>1.2115093387178311E-2</v>
          </cell>
          <cell r="P384">
            <v>2.6932668329177067E-2</v>
          </cell>
          <cell r="Q384">
            <v>4.3710539096648571E-3</v>
          </cell>
          <cell r="R384">
            <v>1.3503383342162278E-2</v>
          </cell>
          <cell r="S384">
            <v>-2.0309477756286332E-2</v>
          </cell>
          <cell r="T384">
            <v>-4.9358341559723184E-3</v>
          </cell>
          <cell r="U384">
            <v>-1.1408730158730118E-2</v>
          </cell>
          <cell r="V384">
            <v>-3.0105368790769305E-3</v>
          </cell>
          <cell r="W384">
            <v>-1.0848126232741673E-2</v>
          </cell>
          <cell r="X384">
            <v>9.5621540010064621E-3</v>
          </cell>
          <cell r="Y384">
            <v>-1.9940179461614971E-3</v>
          </cell>
          <cell r="Z384">
            <v>8.9910089910090196E-3</v>
          </cell>
          <cell r="AA384">
            <v>2.7227722772277252E-2</v>
          </cell>
          <cell r="AB384">
            <v>9.9700897308074854E-3</v>
          </cell>
          <cell r="AC384">
            <v>1.6867469879518149E-2</v>
          </cell>
          <cell r="AD384">
            <v>4.2654028436019953E-3</v>
          </cell>
          <cell r="AE384">
            <v>4.1057102406795609E-2</v>
          </cell>
          <cell r="AF384">
            <v>3.5358114233907667E-2</v>
          </cell>
          <cell r="AG384">
            <v>7.5888450148074993E-2</v>
          </cell>
          <cell r="AH384">
            <v>5.6917688266198141E-3</v>
          </cell>
          <cell r="AI384">
            <v>6.3883472875329694E-2</v>
          </cell>
          <cell r="AJ384">
            <v>4.832390074009596E-2</v>
          </cell>
          <cell r="AK384">
            <v>7.2876239758516537E-2</v>
          </cell>
          <cell r="AL384">
            <v>9.0950797109760284E-2</v>
          </cell>
          <cell r="AM384">
            <v>2.6527331189710512E-2</v>
          </cell>
          <cell r="AN384">
            <v>0.10933557611438194</v>
          </cell>
          <cell r="AO384">
            <v>6.1863743148003136E-2</v>
          </cell>
          <cell r="AP384">
            <v>4.7384382107657386E-2</v>
          </cell>
          <cell r="BL384">
            <v>0</v>
          </cell>
        </row>
        <row r="385">
          <cell r="A385" t="str">
            <v xml:space="preserve">  Resident growth</v>
          </cell>
          <cell r="H385">
            <v>7.4718695647029154E-3</v>
          </cell>
          <cell r="M385">
            <v>-1.4637065747100109E-2</v>
          </cell>
          <cell r="N385">
            <v>-1.779475049160717E-2</v>
          </cell>
          <cell r="O385">
            <v>1.3793863848702737E-2</v>
          </cell>
          <cell r="P385">
            <v>2.8093875214653785E-2</v>
          </cell>
          <cell r="Q385">
            <v>7.1934434991760554E-3</v>
          </cell>
          <cell r="R385">
            <v>-2.2111663902708689E-2</v>
          </cell>
          <cell r="S385">
            <v>-1.5478164731896116E-2</v>
          </cell>
          <cell r="T385">
            <v>-1.122964626614209E-3</v>
          </cell>
          <cell r="U385">
            <v>-1.0118043844856595E-2</v>
          </cell>
          <cell r="V385">
            <v>-5.1107325383307201E-3</v>
          </cell>
          <cell r="W385">
            <v>1.084474885844755E-2</v>
          </cell>
          <cell r="X385">
            <v>1.3698630136986356E-2</v>
          </cell>
          <cell r="Y385">
            <v>-5.0675675675676546E-3</v>
          </cell>
          <cell r="Z385">
            <v>1.1884550084889867E-2</v>
          </cell>
          <cell r="AA385">
            <v>2.0861297539149781E-2</v>
          </cell>
          <cell r="AB385">
            <v>-2.6844902207856292E-2</v>
          </cell>
          <cell r="AC385">
            <v>1.7810770832191958E-2</v>
          </cell>
          <cell r="AD385">
            <v>6.2331454777400097E-3</v>
          </cell>
          <cell r="AE385">
            <v>3.8124735876408744E-2</v>
          </cell>
          <cell r="AF385">
            <v>3.3998742695783957E-2</v>
          </cell>
          <cell r="AG385">
            <v>7.0984630974497698E-2</v>
          </cell>
          <cell r="AH385">
            <v>1.9335805126976524E-3</v>
          </cell>
          <cell r="AI385">
            <v>5.5530148917940059E-2</v>
          </cell>
          <cell r="AJ385">
            <v>2.5018403199172257E-2</v>
          </cell>
          <cell r="AK385">
            <v>4.2758325323824842E-2</v>
          </cell>
          <cell r="AL385">
            <v>4.284084756543094E-2</v>
          </cell>
          <cell r="AM385">
            <v>-8.9068671229147744E-3</v>
          </cell>
          <cell r="AN385">
            <v>7.6672597775078399E-2</v>
          </cell>
          <cell r="AO385">
            <v>3.4323740868525965E-2</v>
          </cell>
          <cell r="AP385">
            <v>-9.2368913857678869E-3</v>
          </cell>
          <cell r="BL385">
            <v>0</v>
          </cell>
        </row>
        <row r="386">
          <cell r="A386" t="str">
            <v xml:space="preserve">  Non-resident growth</v>
          </cell>
          <cell r="H386">
            <v>5.3103426732890036E-3</v>
          </cell>
          <cell r="M386">
            <v>-0.15418077867196966</v>
          </cell>
          <cell r="N386">
            <v>-5.30472796737812E-2</v>
          </cell>
          <cell r="O386">
            <v>8.9226830119870648E-4</v>
          </cell>
          <cell r="P386">
            <v>1.9069767441860508E-2</v>
          </cell>
          <cell r="Q386">
            <v>-1.4909478168264267E-2</v>
          </cell>
          <cell r="R386">
            <v>-4.8528709452261176E-2</v>
          </cell>
          <cell r="S386">
            <v>-5.4054054054054057E-2</v>
          </cell>
          <cell r="T386">
            <v>-3.2653061224489854E-2</v>
          </cell>
          <cell r="U386">
            <v>-2.1097046413502074E-2</v>
          </cell>
          <cell r="V386">
            <v>1.2931034482758674E-2</v>
          </cell>
          <cell r="W386">
            <v>-9.266409266409259E-2</v>
          </cell>
          <cell r="X386">
            <v>-2.1276595744680882E-2</v>
          </cell>
          <cell r="Y386">
            <v>2.1739130434782705E-2</v>
          </cell>
          <cell r="Z386">
            <v>-1.2765957446808529E-2</v>
          </cell>
          <cell r="AA386">
            <v>7.629310344827589E-2</v>
          </cell>
          <cell r="AB386">
            <v>6.2553191489361559E-2</v>
          </cell>
          <cell r="AC386">
            <v>9.9719663596316011E-3</v>
          </cell>
          <cell r="AD386">
            <v>-1.0230381854950732E-2</v>
          </cell>
          <cell r="AE386">
            <v>6.3018308561355818E-2</v>
          </cell>
          <cell r="AF386">
            <v>4.530036933745385E-2</v>
          </cell>
          <cell r="AG386">
            <v>0.1107729275130156</v>
          </cell>
          <cell r="AH386">
            <v>3.2881453706374408E-2</v>
          </cell>
          <cell r="AI386">
            <v>0.12117825209114508</v>
          </cell>
          <cell r="AJ386">
            <v>0.21188215582239622</v>
          </cell>
          <cell r="AK386">
            <v>0.26735697977296846</v>
          </cell>
          <cell r="AL386">
            <v>0.42093308335736945</v>
          </cell>
          <cell r="AM386">
            <v>0.21478774961305214</v>
          </cell>
          <cell r="AN386">
            <v>0.27375605795336333</v>
          </cell>
          <cell r="AO386">
            <v>0.18123903417160991</v>
          </cell>
          <cell r="AP386">
            <v>0.28830677290836659</v>
          </cell>
          <cell r="BL386">
            <v>0</v>
          </cell>
        </row>
        <row r="387">
          <cell r="BL387">
            <v>0</v>
          </cell>
        </row>
        <row r="388">
          <cell r="A388" t="str">
            <v>Hotel &amp; restaurant employment</v>
          </cell>
          <cell r="G388">
            <v>23.178000000000001</v>
          </cell>
          <cell r="H388">
            <v>21</v>
          </cell>
          <cell r="I388">
            <v>22.443999999999999</v>
          </cell>
          <cell r="J388">
            <v>19.853000000000002</v>
          </cell>
          <cell r="K388">
            <v>20.696000000000002</v>
          </cell>
          <cell r="L388">
            <v>23.283999999999999</v>
          </cell>
          <cell r="M388">
            <v>21.569249999999997</v>
          </cell>
          <cell r="N388">
            <v>22.9</v>
          </cell>
          <cell r="O388">
            <v>20.2</v>
          </cell>
          <cell r="P388">
            <v>22.4</v>
          </cell>
          <cell r="Q388">
            <v>24.2</v>
          </cell>
          <cell r="R388">
            <v>22.425000000000001</v>
          </cell>
          <cell r="S388">
            <v>24.9</v>
          </cell>
          <cell r="T388">
            <v>24</v>
          </cell>
          <cell r="U388">
            <v>21.9</v>
          </cell>
          <cell r="V388">
            <v>21.8</v>
          </cell>
          <cell r="W388">
            <v>23.15</v>
          </cell>
          <cell r="X388">
            <v>23.1</v>
          </cell>
          <cell r="Y388">
            <v>21.6</v>
          </cell>
          <cell r="Z388">
            <v>21.2</v>
          </cell>
          <cell r="AA388">
            <v>22.5</v>
          </cell>
          <cell r="AB388">
            <v>22.1</v>
          </cell>
          <cell r="AC388">
            <v>23.8</v>
          </cell>
          <cell r="AD388">
            <v>22.8</v>
          </cell>
          <cell r="AE388">
            <v>24</v>
          </cell>
          <cell r="AF388">
            <v>24.8</v>
          </cell>
          <cell r="AG388">
            <v>23.849999999999998</v>
          </cell>
          <cell r="AH388">
            <v>25.1</v>
          </cell>
          <cell r="AI388">
            <v>25.2</v>
          </cell>
          <cell r="AJ388">
            <v>24.9</v>
          </cell>
          <cell r="AK388">
            <v>24.5</v>
          </cell>
          <cell r="AL388">
            <v>24.924999999999997</v>
          </cell>
          <cell r="AM388">
            <v>26.9</v>
          </cell>
          <cell r="AN388">
            <v>28.5</v>
          </cell>
          <cell r="AO388">
            <v>33.299999999999997</v>
          </cell>
          <cell r="AP388">
            <v>32.200000000000003</v>
          </cell>
          <cell r="BL388">
            <v>0</v>
          </cell>
        </row>
        <row r="389">
          <cell r="A389" t="str">
            <v xml:space="preserve">  Year-over-Year growth</v>
          </cell>
          <cell r="H389">
            <v>-9.3968418327724623E-2</v>
          </cell>
          <cell r="M389">
            <v>2.7107142857142774E-2</v>
          </cell>
          <cell r="N389">
            <v>2.0317234004633811E-2</v>
          </cell>
          <cell r="O389">
            <v>1.7478466730468822E-2</v>
          </cell>
          <cell r="P389">
            <v>8.2334750676459123E-2</v>
          </cell>
          <cell r="Q389">
            <v>3.9340319532726431E-2</v>
          </cell>
          <cell r="R389">
            <v>3.9674536666782778E-2</v>
          </cell>
          <cell r="S389">
            <v>8.7336244541484698E-2</v>
          </cell>
          <cell r="T389">
            <v>0.18811881188118806</v>
          </cell>
          <cell r="U389">
            <v>-2.2321428571428603E-2</v>
          </cell>
          <cell r="V389">
            <v>-9.9173553719008156E-2</v>
          </cell>
          <cell r="W389">
            <v>3.2329988851727887E-2</v>
          </cell>
          <cell r="X389">
            <v>-7.2289156626505924E-2</v>
          </cell>
          <cell r="Y389">
            <v>-9.9999999999999978E-2</v>
          </cell>
          <cell r="Z389">
            <v>-3.1963470319634646E-2</v>
          </cell>
          <cell r="AA389">
            <v>3.2110091743119185E-2</v>
          </cell>
          <cell r="AB389">
            <v>-4.5356371490280711E-2</v>
          </cell>
          <cell r="AC389">
            <v>3.0303030303030276E-2</v>
          </cell>
          <cell r="AD389">
            <v>5.555555555555558E-2</v>
          </cell>
          <cell r="AE389">
            <v>0.13207547169811318</v>
          </cell>
          <cell r="AF389">
            <v>0.10222222222222221</v>
          </cell>
          <cell r="AG389">
            <v>7.9185520361990891E-2</v>
          </cell>
          <cell r="AH389">
            <v>5.4621848739495826E-2</v>
          </cell>
          <cell r="AI389">
            <v>0.10526315789473673</v>
          </cell>
          <cell r="AJ389">
            <v>3.7499999999999867E-2</v>
          </cell>
          <cell r="AK389">
            <v>-1.2096774193548376E-2</v>
          </cell>
          <cell r="AL389">
            <v>4.507337526205446E-2</v>
          </cell>
          <cell r="AM389">
            <v>7.1713147410358502E-2</v>
          </cell>
          <cell r="AN389">
            <v>0.13095238095238093</v>
          </cell>
          <cell r="AO389">
            <v>0.33734939759036142</v>
          </cell>
          <cell r="AP389">
            <v>0.3142857142857145</v>
          </cell>
          <cell r="BL389">
            <v>0</v>
          </cell>
        </row>
        <row r="390">
          <cell r="A390" t="str">
            <v xml:space="preserve">  Hotel &amp; restaurant % of total</v>
          </cell>
          <cell r="G390">
            <v>0.1152864753017951</v>
          </cell>
          <cell r="H390">
            <v>0.10371394705649942</v>
          </cell>
          <cell r="I390">
            <v>0.11150358943786173</v>
          </cell>
          <cell r="J390">
            <v>9.9893831670364946E-2</v>
          </cell>
          <cell r="K390">
            <v>0.10473843226364773</v>
          </cell>
          <cell r="L390">
            <v>0.11488853581755203</v>
          </cell>
          <cell r="M390">
            <v>0.10779343121870281</v>
          </cell>
          <cell r="N390">
            <v>0.11559818273599191</v>
          </cell>
          <cell r="O390">
            <v>0.10074812967581047</v>
          </cell>
          <cell r="P390">
            <v>0.10879067508499271</v>
          </cell>
          <cell r="Q390">
            <v>0.11702127659574467</v>
          </cell>
          <cell r="R390">
            <v>0.11057692307692307</v>
          </cell>
          <cell r="S390">
            <v>0.12290227048371175</v>
          </cell>
          <cell r="T390">
            <v>0.11904761904761905</v>
          </cell>
          <cell r="U390">
            <v>0.10988459608630205</v>
          </cell>
          <cell r="V390">
            <v>0.10971313537996981</v>
          </cell>
          <cell r="W390">
            <v>0.1154037886340977</v>
          </cell>
          <cell r="X390">
            <v>0.11515453639082752</v>
          </cell>
          <cell r="Y390">
            <v>0.1078921078921079</v>
          </cell>
          <cell r="Z390">
            <v>0.10495049504950495</v>
          </cell>
          <cell r="AA390">
            <v>0.10843373493975904</v>
          </cell>
          <cell r="AB390">
            <v>0.10908193484698915</v>
          </cell>
          <cell r="AC390">
            <v>0.11279620853080569</v>
          </cell>
          <cell r="AD390">
            <v>0.10759792354884379</v>
          </cell>
          <cell r="AE390">
            <v>0.10879419764279238</v>
          </cell>
          <cell r="AF390">
            <v>0.10858143607705779</v>
          </cell>
          <cell r="AG390">
            <v>0.10941621745613028</v>
          </cell>
          <cell r="AH390">
            <v>0.10927296473661298</v>
          </cell>
          <cell r="AI390">
            <v>0.10866752910737386</v>
          </cell>
          <cell r="AJ390">
            <v>0.10340531561461792</v>
          </cell>
          <cell r="AK390">
            <v>9.847266881028939E-2</v>
          </cell>
          <cell r="AL390">
            <v>0.10481497056349873</v>
          </cell>
          <cell r="AM390">
            <v>0.10532498042286609</v>
          </cell>
          <cell r="AN390">
            <v>0.10803639120545867</v>
          </cell>
          <cell r="AO390">
            <v>0.12278761061946902</v>
          </cell>
          <cell r="AP390">
            <v>0.11653999276149114</v>
          </cell>
          <cell r="BL390">
            <v>0</v>
          </cell>
        </row>
        <row r="391">
          <cell r="BL391">
            <v>0</v>
          </cell>
        </row>
        <row r="392">
          <cell r="A392" t="str">
            <v>Construction Employment</v>
          </cell>
          <cell r="W392">
            <v>15</v>
          </cell>
          <cell r="AB392">
            <v>16.3</v>
          </cell>
          <cell r="AC392">
            <v>17.600000000000001</v>
          </cell>
          <cell r="AD392">
            <v>17.100000000000001</v>
          </cell>
          <cell r="AE392">
            <v>18.100000000000001</v>
          </cell>
          <cell r="AF392">
            <v>19.8</v>
          </cell>
          <cell r="AG392">
            <v>18.100000000000001</v>
          </cell>
          <cell r="AH392">
            <v>20</v>
          </cell>
          <cell r="AI392">
            <v>21.2</v>
          </cell>
          <cell r="AJ392">
            <v>25.3</v>
          </cell>
          <cell r="AK392">
            <v>26.3</v>
          </cell>
          <cell r="AL392">
            <v>23.2</v>
          </cell>
          <cell r="AM392">
            <v>28.4</v>
          </cell>
          <cell r="AN392">
            <v>31.2</v>
          </cell>
          <cell r="AO392">
            <v>32.5</v>
          </cell>
          <cell r="AP392">
            <v>34</v>
          </cell>
          <cell r="BL392">
            <v>0</v>
          </cell>
        </row>
        <row r="393">
          <cell r="A393" t="str">
            <v xml:space="preserve">  Year-over-Year growth</v>
          </cell>
          <cell r="AJ393">
            <v>0.39779005524861866</v>
          </cell>
          <cell r="AK393">
            <v>0.32828282828282829</v>
          </cell>
          <cell r="AL393">
            <v>0.28176795580110481</v>
          </cell>
          <cell r="AM393">
            <v>0.41999999999999993</v>
          </cell>
          <cell r="AN393">
            <v>0.47169811320754729</v>
          </cell>
          <cell r="AO393">
            <v>0.28458498023715406</v>
          </cell>
          <cell r="AP393">
            <v>0.29277566539923949</v>
          </cell>
          <cell r="BL393">
            <v>0</v>
          </cell>
        </row>
        <row r="394">
          <cell r="A394" t="str">
            <v>Gaming Employment, Employment Survey</v>
          </cell>
          <cell r="AE394">
            <v>22.6</v>
          </cell>
          <cell r="AF394">
            <v>26.373000000000001</v>
          </cell>
          <cell r="AG394">
            <v>24.486499999999999</v>
          </cell>
          <cell r="AH394">
            <v>27.149000000000001</v>
          </cell>
          <cell r="AI394">
            <v>28.295999999999999</v>
          </cell>
          <cell r="AJ394">
            <v>32.875</v>
          </cell>
          <cell r="AK394">
            <v>33.165999999999997</v>
          </cell>
          <cell r="AL394">
            <v>30.371499999999997</v>
          </cell>
          <cell r="AM394">
            <v>33.637999999999998</v>
          </cell>
          <cell r="AN394">
            <v>40.429012347865445</v>
          </cell>
          <cell r="AO394">
            <v>45.1</v>
          </cell>
          <cell r="AP394">
            <v>49.6</v>
          </cell>
          <cell r="AQ394">
            <v>42.191753086966358</v>
          </cell>
          <cell r="AR394">
            <v>56.842315779147533</v>
          </cell>
          <cell r="AS394">
            <v>65.099159487639511</v>
          </cell>
          <cell r="AT394">
            <v>89.224870437785626</v>
          </cell>
          <cell r="AU394">
            <v>96.7039266177201</v>
          </cell>
          <cell r="AV394">
            <v>76.967568080573187</v>
          </cell>
          <cell r="AW394">
            <v>104.47758256757747</v>
          </cell>
          <cell r="AX394">
            <v>138.99678280280591</v>
          </cell>
          <cell r="AY394">
            <v>155.14444238004771</v>
          </cell>
          <cell r="AZ394">
            <v>181.91833042219773</v>
          </cell>
          <cell r="BA394">
            <v>182.30919010164519</v>
          </cell>
          <cell r="BK394">
            <v>80.066083498896973</v>
          </cell>
          <cell r="BL394">
            <v>-3.0985154183237853</v>
          </cell>
        </row>
        <row r="395">
          <cell r="A395" t="str">
            <v xml:space="preserve">  Year-over-Year growth</v>
          </cell>
          <cell r="AJ395">
            <v>0.45464601769911495</v>
          </cell>
          <cell r="AK395">
            <v>0.25757403404997525</v>
          </cell>
          <cell r="AL395">
            <v>0.24033651195556738</v>
          </cell>
          <cell r="AM395">
            <v>0.2390143283362185</v>
          </cell>
          <cell r="AN395">
            <v>0.42878895772778658</v>
          </cell>
          <cell r="AO395">
            <v>0.37186311787072257</v>
          </cell>
          <cell r="AP395">
            <v>0.49550744738587738</v>
          </cell>
          <cell r="BL395">
            <v>0</v>
          </cell>
        </row>
        <row r="396">
          <cell r="A396" t="str">
            <v>Gaming Employment, Wages Survey</v>
          </cell>
          <cell r="AD396">
            <v>19.771999999999998</v>
          </cell>
          <cell r="AE396">
            <v>20.518000000000001</v>
          </cell>
          <cell r="AF396">
            <v>21.263999999999999</v>
          </cell>
          <cell r="AG396">
            <v>20.518000000000001</v>
          </cell>
          <cell r="AH396">
            <v>22.315999999999999</v>
          </cell>
          <cell r="AI396">
            <v>23.367999999999999</v>
          </cell>
          <cell r="AJ396">
            <v>24.742999999999999</v>
          </cell>
          <cell r="AK396">
            <v>26.117999999999999</v>
          </cell>
          <cell r="AL396">
            <v>24.136249999999997</v>
          </cell>
          <cell r="AM396">
            <v>28.055499999999999</v>
          </cell>
          <cell r="AN396">
            <v>29.992999999999999</v>
          </cell>
          <cell r="AO396">
            <v>33.202500000000001</v>
          </cell>
          <cell r="AP396">
            <v>36.411999999999999</v>
          </cell>
          <cell r="BL396">
            <v>0</v>
          </cell>
        </row>
        <row r="397">
          <cell r="A397" t="str">
            <v xml:space="preserve">  Year-over-Year growth</v>
          </cell>
          <cell r="AI397">
            <v>0.18187335626137968</v>
          </cell>
          <cell r="AJ397">
            <v>0.20591675601910508</v>
          </cell>
          <cell r="AK397">
            <v>0.22827313769751689</v>
          </cell>
          <cell r="AL397">
            <v>0.17634516034701209</v>
          </cell>
          <cell r="AM397">
            <v>0.25719214913066857</v>
          </cell>
          <cell r="AN397">
            <v>0.28350736049298186</v>
          </cell>
          <cell r="AO397">
            <v>0.34189467728246381</v>
          </cell>
          <cell r="AP397">
            <v>0.39413431350026795</v>
          </cell>
          <cell r="BL397">
            <v>0</v>
          </cell>
        </row>
        <row r="398">
          <cell r="A398" t="str">
            <v>Hotel Employment, Employment Survey</v>
          </cell>
          <cell r="AE398">
            <v>6.17</v>
          </cell>
          <cell r="AF398">
            <v>7.3869999999999996</v>
          </cell>
          <cell r="AG398">
            <v>6.7784999999999993</v>
          </cell>
          <cell r="AH398">
            <v>6.774</v>
          </cell>
          <cell r="AI398">
            <v>6.851</v>
          </cell>
          <cell r="AJ398">
            <v>7.0209999999999999</v>
          </cell>
          <cell r="AK398">
            <v>6.9379999999999997</v>
          </cell>
          <cell r="AL398">
            <v>6.8959999999999999</v>
          </cell>
          <cell r="AM398">
            <v>9.0470000000000006</v>
          </cell>
          <cell r="BL398">
            <v>0</v>
          </cell>
        </row>
        <row r="399">
          <cell r="A399" t="str">
            <v>Hotel Employment, Wages Survey</v>
          </cell>
          <cell r="S399">
            <v>6.0960000000000001</v>
          </cell>
          <cell r="T399">
            <v>6.1735000000000007</v>
          </cell>
          <cell r="U399">
            <v>6.2510000000000003</v>
          </cell>
          <cell r="V399">
            <v>6.2919999999999998</v>
          </cell>
          <cell r="W399">
            <v>6.203125</v>
          </cell>
          <cell r="X399">
            <v>6.3330000000000002</v>
          </cell>
          <cell r="Y399">
            <v>6.3834999999999997</v>
          </cell>
          <cell r="Z399">
            <v>6.4340000000000002</v>
          </cell>
          <cell r="AA399">
            <v>6.6295000000000002</v>
          </cell>
          <cell r="AB399">
            <v>6.4450000000000003</v>
          </cell>
          <cell r="AC399">
            <v>6.8250000000000002</v>
          </cell>
          <cell r="AD399">
            <v>7.1884999999999994</v>
          </cell>
          <cell r="AE399">
            <v>7.5519999999999996</v>
          </cell>
          <cell r="AF399">
            <v>8.2720000000000002</v>
          </cell>
          <cell r="AG399">
            <v>7.4593749999999996</v>
          </cell>
          <cell r="AH399">
            <v>8.9920000000000009</v>
          </cell>
          <cell r="AI399">
            <v>8.9359999999999999</v>
          </cell>
          <cell r="AJ399">
            <v>8.8800000000000008</v>
          </cell>
          <cell r="AK399">
            <v>9.2089999999999996</v>
          </cell>
          <cell r="AL399">
            <v>9.004249999999999</v>
          </cell>
          <cell r="AM399">
            <v>9.5380000000000003</v>
          </cell>
          <cell r="AN399">
            <v>8.6471479081472165</v>
          </cell>
          <cell r="AO399">
            <v>9.0488848065429401</v>
          </cell>
          <cell r="AP399">
            <v>9.5758188109468385</v>
          </cell>
          <cell r="AQ399">
            <v>9.2024628814092484</v>
          </cell>
          <cell r="AR399">
            <v>8.7930128112477295</v>
          </cell>
          <cell r="AS399">
            <v>8.9405516250982355</v>
          </cell>
          <cell r="AT399">
            <v>11.592073169851064</v>
          </cell>
          <cell r="AU399">
            <v>11.999340864094536</v>
          </cell>
          <cell r="AV399">
            <v>10.33124461757289</v>
          </cell>
          <cell r="AW399">
            <v>13.035306419081749</v>
          </cell>
          <cell r="AX399">
            <v>18.651152085446618</v>
          </cell>
          <cell r="AY399">
            <v>23.99818774887428</v>
          </cell>
          <cell r="AZ399">
            <v>24.987848245885917</v>
          </cell>
          <cell r="BA399">
            <v>24.987848245885917</v>
          </cell>
          <cell r="BK399">
            <v>10.717464151802744</v>
          </cell>
          <cell r="BL399">
            <v>-0.38621953422985378</v>
          </cell>
        </row>
        <row r="400">
          <cell r="BL400">
            <v>0</v>
          </cell>
        </row>
        <row r="401">
          <cell r="A401" t="str">
            <v>Non-resident</v>
          </cell>
          <cell r="BL401">
            <v>0</v>
          </cell>
        </row>
        <row r="402">
          <cell r="A402" t="str">
            <v xml:space="preserve">  Construction Employment</v>
          </cell>
          <cell r="AA402">
            <v>1.7150000000000001</v>
          </cell>
          <cell r="AB402">
            <v>1.7150000000000001</v>
          </cell>
          <cell r="AC402">
            <v>2.117</v>
          </cell>
          <cell r="AD402">
            <v>2.077</v>
          </cell>
          <cell r="AE402">
            <v>2.0419999999999998</v>
          </cell>
          <cell r="AF402">
            <v>1.85</v>
          </cell>
          <cell r="AG402">
            <v>2.0215000000000001</v>
          </cell>
          <cell r="AH402">
            <v>2.0840000000000001</v>
          </cell>
          <cell r="AI402">
            <v>3.0059999999999998</v>
          </cell>
          <cell r="AJ402">
            <v>3.9569999999999999</v>
          </cell>
          <cell r="AK402">
            <v>5.0119999999999996</v>
          </cell>
          <cell r="AL402">
            <v>3.5147500000000003</v>
          </cell>
          <cell r="AM402">
            <v>6.1360000000000001</v>
          </cell>
          <cell r="AN402">
            <v>6.4290000000000003</v>
          </cell>
          <cell r="AO402">
            <v>6.8470000000000004</v>
          </cell>
          <cell r="AP402">
            <v>7.42</v>
          </cell>
          <cell r="BL402">
            <v>0</v>
          </cell>
        </row>
        <row r="403">
          <cell r="A403" t="str">
            <v xml:space="preserve">  Gaming Employment</v>
          </cell>
          <cell r="AA403">
            <v>0.57699999999999996</v>
          </cell>
          <cell r="AB403">
            <v>0.57699999999999996</v>
          </cell>
          <cell r="AC403">
            <v>0.61499999999999999</v>
          </cell>
          <cell r="AD403">
            <v>0.71</v>
          </cell>
          <cell r="AE403">
            <v>0.92400000000000004</v>
          </cell>
          <cell r="AF403">
            <v>1.4470000000000001</v>
          </cell>
          <cell r="AG403">
            <v>0.92400000000000004</v>
          </cell>
          <cell r="AH403">
            <v>1.6559999999999999</v>
          </cell>
          <cell r="AI403">
            <v>1.657</v>
          </cell>
          <cell r="AJ403">
            <v>2.698</v>
          </cell>
          <cell r="AK403">
            <v>4.3330000000000002</v>
          </cell>
          <cell r="AL403">
            <v>2.5859999999999999</v>
          </cell>
          <cell r="AM403">
            <v>8.7919999999999998</v>
          </cell>
          <cell r="AN403">
            <v>10.821999999999999</v>
          </cell>
          <cell r="AO403">
            <v>14.406000000000001</v>
          </cell>
          <cell r="AP403">
            <v>18.378</v>
          </cell>
          <cell r="BL403">
            <v>0</v>
          </cell>
        </row>
        <row r="404">
          <cell r="A404" t="str">
            <v xml:space="preserve">  Hotel &amp; Restaurant Employment</v>
          </cell>
          <cell r="AA404">
            <v>2.556</v>
          </cell>
          <cell r="AB404">
            <v>2.556</v>
          </cell>
          <cell r="AC404">
            <v>2.5249999999999999</v>
          </cell>
          <cell r="AD404">
            <v>2.4049999999999998</v>
          </cell>
          <cell r="AE404">
            <v>2.5920000000000001</v>
          </cell>
          <cell r="AF404">
            <v>2.778</v>
          </cell>
          <cell r="AG404">
            <v>2.5750000000000002</v>
          </cell>
          <cell r="AH404">
            <v>3.484</v>
          </cell>
          <cell r="AI404">
            <v>3.9390000000000001</v>
          </cell>
          <cell r="AJ404">
            <v>4.5679999999999996</v>
          </cell>
          <cell r="AK404">
            <v>5.0069999999999997</v>
          </cell>
          <cell r="AL404">
            <v>4.2494999999999994</v>
          </cell>
          <cell r="AM404">
            <v>5.6989999999999998</v>
          </cell>
          <cell r="AN404">
            <v>5.7409999999999997</v>
          </cell>
          <cell r="AO404">
            <v>6.3789999999999996</v>
          </cell>
          <cell r="AP404">
            <v>7.601</v>
          </cell>
          <cell r="BL404">
            <v>0</v>
          </cell>
        </row>
        <row r="405">
          <cell r="BL405">
            <v>0</v>
          </cell>
        </row>
        <row r="406">
          <cell r="A406" t="str">
            <v>Total employees per room</v>
          </cell>
          <cell r="H406">
            <v>21.469621461138797</v>
          </cell>
          <cell r="I406">
            <v>21.340648854961831</v>
          </cell>
          <cell r="J406">
            <v>21.434534081104403</v>
          </cell>
          <cell r="K406">
            <v>21.247750815441414</v>
          </cell>
          <cell r="L406">
            <v>21.944632931494979</v>
          </cell>
          <cell r="M406">
            <v>21.493380595612127</v>
          </cell>
          <cell r="N406">
            <v>21.587359244460586</v>
          </cell>
          <cell r="O406">
            <v>22.324079572446557</v>
          </cell>
          <cell r="P406">
            <v>22.832957527815772</v>
          </cell>
          <cell r="Q406">
            <v>22.925982040574997</v>
          </cell>
          <cell r="R406">
            <v>22.411316167532327</v>
          </cell>
          <cell r="S406">
            <v>22.5914362176628</v>
          </cell>
          <cell r="T406">
            <v>22.635577678805344</v>
          </cell>
          <cell r="U406">
            <v>22.651159266555542</v>
          </cell>
          <cell r="V406">
            <v>22.219323095273595</v>
          </cell>
          <cell r="W406">
            <v>22.529411214166053</v>
          </cell>
          <cell r="X406">
            <v>22.42760779637014</v>
          </cell>
          <cell r="Y406">
            <v>22.437238493723846</v>
          </cell>
          <cell r="Z406">
            <v>22.803386641580431</v>
          </cell>
          <cell r="AA406">
            <v>22.833981366003961</v>
          </cell>
          <cell r="AB406">
            <v>22.628865019825383</v>
          </cell>
          <cell r="AC406">
            <v>22.854460771924757</v>
          </cell>
          <cell r="AD406">
            <v>22.759657727972503</v>
          </cell>
          <cell r="AE406">
            <v>23.839198876121177</v>
          </cell>
          <cell r="AF406">
            <v>25.006386628225247</v>
          </cell>
          <cell r="AG406">
            <v>23.609531546168427</v>
          </cell>
          <cell r="AH406">
            <v>22.470407930348582</v>
          </cell>
          <cell r="AI406">
            <v>21.973405767347842</v>
          </cell>
          <cell r="AJ406">
            <v>22.724127083988677</v>
          </cell>
          <cell r="AK406">
            <v>23.108359133126939</v>
          </cell>
          <cell r="AL406">
            <v>22.572734895347185</v>
          </cell>
          <cell r="AM406">
            <v>22.972446256708544</v>
          </cell>
          <cell r="AN406">
            <v>23.008489359227816</v>
          </cell>
          <cell r="AO406">
            <v>22.60376729454909</v>
          </cell>
          <cell r="AP406">
            <v>21.761617222368081</v>
          </cell>
          <cell r="BL406">
            <v>0</v>
          </cell>
        </row>
        <row r="407">
          <cell r="A407" t="str">
            <v>Total employees per position</v>
          </cell>
          <cell r="X407">
            <v>42.869354608918648</v>
          </cell>
          <cell r="Y407">
            <v>42.783872346488103</v>
          </cell>
          <cell r="Z407">
            <v>43.168542527425558</v>
          </cell>
          <cell r="AA407">
            <v>44.139544777706874</v>
          </cell>
          <cell r="AB407">
            <v>43.246704733443622</v>
          </cell>
          <cell r="AC407">
            <v>44.88406721974048</v>
          </cell>
          <cell r="AD407">
            <v>34.036054906067797</v>
          </cell>
          <cell r="AE407">
            <v>29.509073884157491</v>
          </cell>
          <cell r="AF407">
            <v>22.649058588680642</v>
          </cell>
          <cell r="AG407">
            <v>30.607242284143783</v>
          </cell>
          <cell r="AH407">
            <v>18.380411298711689</v>
          </cell>
          <cell r="AI407">
            <v>17.462568556332283</v>
          </cell>
          <cell r="AJ407">
            <v>17.601481409288045</v>
          </cell>
          <cell r="AK407">
            <v>17.154085701481215</v>
          </cell>
          <cell r="AL407">
            <v>17.627436930147514</v>
          </cell>
          <cell r="AM407">
            <v>15.077186457687656</v>
          </cell>
          <cell r="AN407">
            <v>12.957202265955013</v>
          </cell>
          <cell r="AO407">
            <v>11.569307775439396</v>
          </cell>
          <cell r="AP407">
            <v>9.7997702128046011</v>
          </cell>
          <cell r="BL407">
            <v>0</v>
          </cell>
        </row>
        <row r="408">
          <cell r="A408" t="str">
            <v>Gaming employees per position</v>
          </cell>
          <cell r="AE408">
            <v>3.0231417487849472</v>
          </cell>
          <cell r="AF408">
            <v>2.6152522861614478</v>
          </cell>
          <cell r="AG408">
            <v>3.4383036503759001</v>
          </cell>
          <cell r="AH408">
            <v>2.1724413859326237</v>
          </cell>
          <cell r="AI408">
            <v>2.1307496329020195</v>
          </cell>
          <cell r="AJ408">
            <v>2.403026168315384</v>
          </cell>
          <cell r="AK408">
            <v>2.2867058134056508</v>
          </cell>
          <cell r="AL408">
            <v>2.251352820538163</v>
          </cell>
          <cell r="AM408">
            <v>1.9857728976652207</v>
          </cell>
          <cell r="AN408">
            <v>1.9857728976652207</v>
          </cell>
          <cell r="AO408">
            <v>1.9857728976652207</v>
          </cell>
          <cell r="AP408">
            <v>1.9857728976652207</v>
          </cell>
          <cell r="AQ408">
            <v>1.8976507736994772</v>
          </cell>
          <cell r="AR408">
            <v>1.7871956078986986</v>
          </cell>
          <cell r="AS408">
            <v>1.7871956078986986</v>
          </cell>
          <cell r="AT408">
            <v>1.7871956078986986</v>
          </cell>
          <cell r="AU408">
            <v>1.7871956078986986</v>
          </cell>
          <cell r="AV408">
            <v>1.7871956078986986</v>
          </cell>
          <cell r="AW408">
            <v>1.6084760471088289</v>
          </cell>
          <cell r="AX408">
            <v>1.447628442397946</v>
          </cell>
          <cell r="AY408">
            <v>1.3028655981581514</v>
          </cell>
          <cell r="AZ408">
            <v>1.3028655981581514</v>
          </cell>
          <cell r="BA408">
            <v>1.3028655981581514</v>
          </cell>
          <cell r="BK408">
            <v>1.7871956078986984</v>
          </cell>
          <cell r="BL408">
            <v>0</v>
          </cell>
        </row>
        <row r="409">
          <cell r="A409" t="str">
            <v>Gaming employees per table</v>
          </cell>
          <cell r="AE409">
            <v>33.235294117647065</v>
          </cell>
          <cell r="AF409">
            <v>28.167123287671235</v>
          </cell>
          <cell r="AG409">
            <v>37.070097955006155</v>
          </cell>
          <cell r="AH409">
            <v>23.424503882657465</v>
          </cell>
          <cell r="AI409">
            <v>22.902468636179684</v>
          </cell>
          <cell r="AJ409">
            <v>25.875639512003147</v>
          </cell>
          <cell r="AK409">
            <v>24.71385991058122</v>
          </cell>
          <cell r="AL409">
            <v>24.26323147593369</v>
          </cell>
          <cell r="AM409">
            <v>21.549007046764892</v>
          </cell>
          <cell r="AN409">
            <v>21.549007046764892</v>
          </cell>
          <cell r="AO409">
            <v>21.549007046764892</v>
          </cell>
          <cell r="AP409">
            <v>21.549007046764892</v>
          </cell>
          <cell r="AQ409">
            <v>20.437357965580738</v>
          </cell>
          <cell r="AR409">
            <v>19.394106342088403</v>
          </cell>
          <cell r="AS409">
            <v>19.394106342088403</v>
          </cell>
          <cell r="AT409">
            <v>19.394106342088403</v>
          </cell>
          <cell r="AU409">
            <v>19.394106342088403</v>
          </cell>
          <cell r="AV409">
            <v>20.047988212869072</v>
          </cell>
          <cell r="AW409">
            <v>17.454695707879562</v>
          </cell>
          <cell r="AX409">
            <v>15.709226137091607</v>
          </cell>
          <cell r="AY409">
            <v>14.138303523382445</v>
          </cell>
          <cell r="AZ409">
            <v>14.138303523382445</v>
          </cell>
          <cell r="BA409">
            <v>14.138303523382445</v>
          </cell>
          <cell r="BK409">
            <v>19.179241363994485</v>
          </cell>
          <cell r="BL409">
            <v>0.86874684887458642</v>
          </cell>
        </row>
        <row r="410">
          <cell r="A410" t="str">
            <v>Hotel employees per room</v>
          </cell>
          <cell r="S410">
            <v>0.67975022301516508</v>
          </cell>
          <cell r="T410">
            <v>0.69315842658782145</v>
          </cell>
          <cell r="U410">
            <v>0.71044855281103214</v>
          </cell>
          <cell r="V410">
            <v>0.70359326077232742</v>
          </cell>
          <cell r="W410">
            <v>0.69667374844403684</v>
          </cell>
          <cell r="X410">
            <v>0.70804606268400838</v>
          </cell>
          <cell r="Y410">
            <v>0.71542513448894196</v>
          </cell>
          <cell r="Z410">
            <v>0.72632173095014108</v>
          </cell>
          <cell r="AA410">
            <v>0.72953194923336517</v>
          </cell>
          <cell r="AB410">
            <v>0.71985703382415889</v>
          </cell>
          <cell r="AC410">
            <v>0.73924973823879847</v>
          </cell>
          <cell r="AD410">
            <v>0.77209910135691506</v>
          </cell>
          <cell r="AE410">
            <v>0.81610892979359539</v>
          </cell>
          <cell r="AF410">
            <v>0.9056603773584907</v>
          </cell>
          <cell r="AG410">
            <v>0.80794746818304897</v>
          </cell>
          <cell r="AH410">
            <v>0.87964261258029808</v>
          </cell>
          <cell r="AI410">
            <v>0.84671993935756928</v>
          </cell>
          <cell r="AJ410">
            <v>0.83799937087134324</v>
          </cell>
          <cell r="AK410">
            <v>0.83799937087134324</v>
          </cell>
          <cell r="AL410">
            <v>0.85471214542232909</v>
          </cell>
          <cell r="AM410">
            <v>0.75419943378420895</v>
          </cell>
          <cell r="AN410">
            <v>0.75419943378420895</v>
          </cell>
          <cell r="AO410">
            <v>0.75419943378420895</v>
          </cell>
          <cell r="AP410">
            <v>0.75419943378420895</v>
          </cell>
          <cell r="AQ410">
            <v>0.77858858359416339</v>
          </cell>
          <cell r="AR410">
            <v>0.67877949040578811</v>
          </cell>
          <cell r="AS410">
            <v>0.67877949040578811</v>
          </cell>
          <cell r="AT410">
            <v>0.67877949040578811</v>
          </cell>
          <cell r="AU410">
            <v>0.67877949040578811</v>
          </cell>
          <cell r="AV410">
            <v>0.678779490405788</v>
          </cell>
          <cell r="AW410">
            <v>0.61090154136520936</v>
          </cell>
          <cell r="AX410">
            <v>0.54981138722868839</v>
          </cell>
          <cell r="AY410">
            <v>0.49483024850581958</v>
          </cell>
          <cell r="AZ410">
            <v>0.49483024850581958</v>
          </cell>
          <cell r="BA410">
            <v>0.49483024850581958</v>
          </cell>
          <cell r="BK410">
            <v>0.70070157467219263</v>
          </cell>
          <cell r="BL410">
            <v>-2.1922084266404629E-2</v>
          </cell>
        </row>
        <row r="411">
          <cell r="BL411">
            <v>0</v>
          </cell>
        </row>
        <row r="412">
          <cell r="A412" t="str">
            <v>Unemployment Rate</v>
          </cell>
          <cell r="S412">
            <v>6.3E-2</v>
          </cell>
          <cell r="T412">
            <v>6.2E-2</v>
          </cell>
          <cell r="U412">
            <v>6.4000000000000001E-2</v>
          </cell>
          <cell r="V412">
            <v>6.2E-2</v>
          </cell>
          <cell r="W412">
            <v>6.275E-2</v>
          </cell>
          <cell r="X412">
            <v>6.0999999999999999E-2</v>
          </cell>
          <cell r="Y412">
            <v>6.5000000000000002E-2</v>
          </cell>
          <cell r="Z412">
            <v>0.06</v>
          </cell>
          <cell r="AA412">
            <v>5.5E-2</v>
          </cell>
          <cell r="AB412">
            <v>6.0249999999999998E-2</v>
          </cell>
          <cell r="AC412">
            <v>5.5E-2</v>
          </cell>
          <cell r="AD412">
            <v>0.05</v>
          </cell>
          <cell r="AE412">
            <v>4.7E-2</v>
          </cell>
          <cell r="AF412">
            <v>4.0999999999999995E-2</v>
          </cell>
          <cell r="AG412">
            <v>4.8250000000000001E-2</v>
          </cell>
          <cell r="AH412">
            <v>4.1000000000000002E-2</v>
          </cell>
          <cell r="AI412">
            <v>4.2000000000000003E-2</v>
          </cell>
          <cell r="AJ412">
            <v>4.1000000000000002E-2</v>
          </cell>
          <cell r="AK412">
            <v>0.04</v>
          </cell>
          <cell r="AL412">
            <v>4.1000000000000002E-2</v>
          </cell>
          <cell r="AM412">
            <v>3.9E-2</v>
          </cell>
          <cell r="AN412">
            <v>3.7999999999999999E-2</v>
          </cell>
          <cell r="AO412">
            <v>3.7999999999999999E-2</v>
          </cell>
          <cell r="AP412">
            <v>3.5000000000000003E-2</v>
          </cell>
          <cell r="BL412">
            <v>0</v>
          </cell>
        </row>
        <row r="413">
          <cell r="BL413">
            <v>0</v>
          </cell>
        </row>
        <row r="414">
          <cell r="A414" t="str">
            <v>Exports/Imports (millions MOP)</v>
          </cell>
          <cell r="BL414">
            <v>0</v>
          </cell>
        </row>
        <row r="415">
          <cell r="A415" t="str">
            <v>Total Imports (current prices)</v>
          </cell>
          <cell r="G415">
            <v>27568.218242199513</v>
          </cell>
          <cell r="H415">
            <v>29211.244810954508</v>
          </cell>
          <cell r="I415">
            <v>6816.5181719274642</v>
          </cell>
          <cell r="J415">
            <v>7932.2153340230334</v>
          </cell>
          <cell r="K415">
            <v>8677.9475167882192</v>
          </cell>
          <cell r="L415">
            <v>8224.5087563144243</v>
          </cell>
          <cell r="M415">
            <v>31651.189779053144</v>
          </cell>
          <cell r="N415">
            <v>7499.7337152228602</v>
          </cell>
          <cell r="O415">
            <v>8190.6629003175294</v>
          </cell>
          <cell r="P415">
            <v>8477.2900201686643</v>
          </cell>
          <cell r="Q415">
            <v>8209.7473648190135</v>
          </cell>
          <cell r="R415">
            <v>32377.434000528068</v>
          </cell>
          <cell r="S415">
            <v>7614.2427252273437</v>
          </cell>
          <cell r="T415">
            <v>8804.1241322081605</v>
          </cell>
          <cell r="U415">
            <v>9224.0395736383052</v>
          </cell>
          <cell r="V415">
            <v>9291.111526779152</v>
          </cell>
          <cell r="W415">
            <v>34933.517957852964</v>
          </cell>
          <cell r="X415">
            <v>8701.8222932962071</v>
          </cell>
          <cell r="Y415">
            <v>8738.645515755672</v>
          </cell>
          <cell r="Z415">
            <v>10608.807186988826</v>
          </cell>
          <cell r="AA415">
            <v>10876.786017266861</v>
          </cell>
          <cell r="AB415">
            <v>38926.061013307568</v>
          </cell>
          <cell r="AC415">
            <v>10301.104109288022</v>
          </cell>
          <cell r="AD415">
            <v>11779.024610396467</v>
          </cell>
          <cell r="AE415">
            <v>13151.013047103628</v>
          </cell>
          <cell r="AF415">
            <v>13075.068257534489</v>
          </cell>
          <cell r="AG415">
            <v>48306.210024322609</v>
          </cell>
          <cell r="AH415">
            <v>10984.916984330237</v>
          </cell>
          <cell r="AI415">
            <v>12208.800594500433</v>
          </cell>
          <cell r="AJ415">
            <v>15262.662241270888</v>
          </cell>
          <cell r="AK415">
            <v>16102.672932297981</v>
          </cell>
          <cell r="AL415">
            <v>54559.052752399541</v>
          </cell>
          <cell r="AM415">
            <v>14034.723</v>
          </cell>
          <cell r="AN415">
            <v>15809.415000000001</v>
          </cell>
          <cell r="AO415">
            <v>17467.063999999998</v>
          </cell>
          <cell r="AP415">
            <v>18012.901000000002</v>
          </cell>
          <cell r="AQ415">
            <v>65324.103000000003</v>
          </cell>
          <cell r="BL415">
            <v>0</v>
          </cell>
        </row>
        <row r="416">
          <cell r="A416" t="str">
            <v xml:space="preserve">  Year-over-Year growth</v>
          </cell>
          <cell r="H416">
            <v>5.9598576676963555E-2</v>
          </cell>
          <cell r="M416">
            <v>8.3527593017317603E-2</v>
          </cell>
          <cell r="N416">
            <v>0.10022940246959067</v>
          </cell>
          <cell r="O416">
            <v>3.2582015920061602E-2</v>
          </cell>
          <cell r="P416">
            <v>-2.3122690732038431E-2</v>
          </cell>
          <cell r="Q416">
            <v>-1.7948052501102207E-3</v>
          </cell>
          <cell r="R416">
            <v>2.2945242391979592E-2</v>
          </cell>
          <cell r="S416">
            <v>1.5268410099955165E-2</v>
          </cell>
          <cell r="T416">
            <v>7.489762908773212E-2</v>
          </cell>
          <cell r="U416">
            <v>8.8088239483728792E-2</v>
          </cell>
          <cell r="V416">
            <v>0.13171710576552886</v>
          </cell>
          <cell r="W416">
            <v>7.8946464913902892E-2</v>
          </cell>
          <cell r="X416">
            <v>0.14283489603838317</v>
          </cell>
          <cell r="Y416">
            <v>-7.4372663843922382E-3</v>
          </cell>
          <cell r="Z416">
            <v>0.15012594019090031</v>
          </cell>
          <cell r="AA416">
            <v>0.17066574714095561</v>
          </cell>
          <cell r="AB416">
            <v>0.1142897506134819</v>
          </cell>
          <cell r="AC416">
            <v>0.1837870002498081</v>
          </cell>
          <cell r="AD416">
            <v>0.34792338116462429</v>
          </cell>
          <cell r="AE416">
            <v>0.23963163957138289</v>
          </cell>
          <cell r="AF416">
            <v>0.20210770321102789</v>
          </cell>
          <cell r="AG416">
            <v>0.24097349608038354</v>
          </cell>
          <cell r="AH416">
            <v>6.6382483643248724E-2</v>
          </cell>
          <cell r="AI416">
            <v>3.6486551163551706E-2</v>
          </cell>
          <cell r="AJ416">
            <v>0.16056931786196715</v>
          </cell>
          <cell r="AK416">
            <v>0.23155555406135941</v>
          </cell>
          <cell r="AL416">
            <v>0.12944179899289487</v>
          </cell>
          <cell r="AM416">
            <v>0.27763578186528393</v>
          </cell>
          <cell r="AN416">
            <v>0.29491958506730764</v>
          </cell>
          <cell r="AO416">
            <v>0.14443101235433975</v>
          </cell>
          <cell r="AP416">
            <v>0.11862801137012324</v>
          </cell>
          <cell r="AQ416">
            <v>0.19731006504923254</v>
          </cell>
          <cell r="BL416">
            <v>0</v>
          </cell>
        </row>
        <row r="417">
          <cell r="A417" t="str">
            <v xml:space="preserve">  in USD</v>
          </cell>
          <cell r="G417">
            <v>3435.2324915742288</v>
          </cell>
          <cell r="H417">
            <v>3633.6893675325</v>
          </cell>
          <cell r="I417">
            <v>852.6656493039402</v>
          </cell>
          <cell r="J417">
            <v>989.68311198657557</v>
          </cell>
          <cell r="K417">
            <v>1093.5817416033437</v>
          </cell>
          <cell r="L417">
            <v>1024.5612978336496</v>
          </cell>
          <cell r="M417">
            <v>3959.5072779435304</v>
          </cell>
          <cell r="N417">
            <v>932.36332569353044</v>
          </cell>
          <cell r="O417">
            <v>1023.2093822930165</v>
          </cell>
          <cell r="P417">
            <v>1056.9269450813285</v>
          </cell>
          <cell r="Q417">
            <v>1021.3830048941913</v>
          </cell>
          <cell r="R417">
            <v>4033.6846875401375</v>
          </cell>
          <cell r="S417">
            <v>946.34689384090109</v>
          </cell>
          <cell r="T417">
            <v>1108.8904156552192</v>
          </cell>
          <cell r="U417">
            <v>1152.6668628639097</v>
          </cell>
          <cell r="V417">
            <v>1160.982759865559</v>
          </cell>
          <cell r="W417">
            <v>4368.1363640185109</v>
          </cell>
          <cell r="X417">
            <v>1082.9560160829185</v>
          </cell>
          <cell r="Y417">
            <v>1090.7252611830725</v>
          </cell>
          <cell r="Z417">
            <v>1319.9140626494498</v>
          </cell>
          <cell r="AA417">
            <v>1367.0089205578236</v>
          </cell>
          <cell r="AB417">
            <v>4859.5650665725107</v>
          </cell>
          <cell r="AC417">
            <v>1289.6008091210704</v>
          </cell>
          <cell r="AD417">
            <v>1467.034667404796</v>
          </cell>
          <cell r="AE417">
            <v>1637.0369645242506</v>
          </cell>
          <cell r="AF417">
            <v>1631.381789698765</v>
          </cell>
          <cell r="AG417">
            <v>6026.0472981240991</v>
          </cell>
          <cell r="AH417">
            <v>1367.7736874006393</v>
          </cell>
          <cell r="AI417">
            <v>1521.7630496211332</v>
          </cell>
          <cell r="AJ417">
            <v>1907.1069792527189</v>
          </cell>
          <cell r="AK417">
            <v>2015.942684407051</v>
          </cell>
          <cell r="AL417">
            <v>6810.3582896180096</v>
          </cell>
          <cell r="AM417">
            <v>1756.4086856248377</v>
          </cell>
          <cell r="AN417">
            <v>1978.4513211868168</v>
          </cell>
          <cell r="AO417">
            <v>2180.5572193066209</v>
          </cell>
          <cell r="AP417">
            <v>2247.5757682100657</v>
          </cell>
          <cell r="AQ417">
            <v>8163.9519203566815</v>
          </cell>
          <cell r="BL417">
            <v>0</v>
          </cell>
        </row>
        <row r="418">
          <cell r="BL418">
            <v>0</v>
          </cell>
        </row>
        <row r="419">
          <cell r="A419" t="str">
            <v>Total Exports (current prices)</v>
          </cell>
          <cell r="G419">
            <v>41756.576252353996</v>
          </cell>
          <cell r="H419">
            <v>41119.12116626052</v>
          </cell>
          <cell r="I419">
            <v>10805.519157273628</v>
          </cell>
          <cell r="J419">
            <v>11775.834717029229</v>
          </cell>
          <cell r="K419">
            <v>13939.848640725273</v>
          </cell>
          <cell r="L419">
            <v>12658.295184206569</v>
          </cell>
          <cell r="M419">
            <v>49179.497699234693</v>
          </cell>
          <cell r="N419">
            <v>11470.367513623394</v>
          </cell>
          <cell r="O419">
            <v>12397.091519947178</v>
          </cell>
          <cell r="P419">
            <v>13838.094613471831</v>
          </cell>
          <cell r="Q419">
            <v>13332.793474175118</v>
          </cell>
          <cell r="R419">
            <v>51038.347121217521</v>
          </cell>
          <cell r="S419">
            <v>12297.5242134936</v>
          </cell>
          <cell r="T419">
            <v>14062.447189076527</v>
          </cell>
          <cell r="U419">
            <v>14999.874929752988</v>
          </cell>
          <cell r="V419">
            <v>15806.170048736081</v>
          </cell>
          <cell r="W419">
            <v>57166.016381059191</v>
          </cell>
          <cell r="X419">
            <v>15165.21383305585</v>
          </cell>
          <cell r="Y419">
            <v>13157.325021977367</v>
          </cell>
          <cell r="Z419">
            <v>18212.49206733243</v>
          </cell>
          <cell r="AA419">
            <v>19156.421216237231</v>
          </cell>
          <cell r="AB419">
            <v>65691.452138602879</v>
          </cell>
          <cell r="AC419">
            <v>19154.963420939632</v>
          </cell>
          <cell r="AD419">
            <v>21150.7211014553</v>
          </cell>
          <cell r="AE419">
            <v>23931.976932450176</v>
          </cell>
          <cell r="AF419">
            <v>23035.799758751855</v>
          </cell>
          <cell r="AG419">
            <v>87273.461213596966</v>
          </cell>
          <cell r="AH419">
            <v>19994.017858232572</v>
          </cell>
          <cell r="AI419">
            <v>20763.958772064514</v>
          </cell>
          <cell r="AJ419">
            <v>23708.954491881166</v>
          </cell>
          <cell r="AK419">
            <v>24556.19827720413</v>
          </cell>
          <cell r="AL419">
            <v>89023.129399382378</v>
          </cell>
          <cell r="AM419">
            <v>24183.184000000001</v>
          </cell>
          <cell r="AN419">
            <v>24945.741000000002</v>
          </cell>
          <cell r="AO419">
            <v>26048.107</v>
          </cell>
          <cell r="AP419">
            <v>29351.073</v>
          </cell>
          <cell r="AQ419">
            <v>104528.10500000001</v>
          </cell>
          <cell r="BL419">
            <v>0</v>
          </cell>
        </row>
        <row r="420">
          <cell r="A420" t="str">
            <v xml:space="preserve">  Year-over-Year growth</v>
          </cell>
          <cell r="H420">
            <v>-1.5265980674302515E-2</v>
          </cell>
          <cell r="M420">
            <v>0.19602501961029151</v>
          </cell>
          <cell r="N420">
            <v>6.1528589850514459E-2</v>
          </cell>
          <cell r="O420">
            <v>5.2756922786929117E-2</v>
          </cell>
          <cell r="P420">
            <v>-7.2995073243599107E-3</v>
          </cell>
          <cell r="Q420">
            <v>5.328508145473676E-2</v>
          </cell>
          <cell r="R420">
            <v>3.7797242935479591E-2</v>
          </cell>
          <cell r="S420">
            <v>7.2112484529182508E-2</v>
          </cell>
          <cell r="T420">
            <v>0.1343343853233443</v>
          </cell>
          <cell r="U420">
            <v>8.3955222791302964E-2</v>
          </cell>
          <cell r="V420">
            <v>0.1855107543180472</v>
          </cell>
          <cell r="W420">
            <v>0.12006010393103606</v>
          </cell>
          <cell r="X420">
            <v>0.23319243530463196</v>
          </cell>
          <cell r="Y420">
            <v>-6.4364484710900394E-2</v>
          </cell>
          <cell r="Z420">
            <v>0.21417626164382608</v>
          </cell>
          <cell r="AA420">
            <v>0.21195844136632247</v>
          </cell>
          <cell r="AB420">
            <v>0.14913468345799274</v>
          </cell>
          <cell r="AC420">
            <v>0.26308561368170502</v>
          </cell>
          <cell r="AD420">
            <v>0.60752440683240283</v>
          </cell>
          <cell r="AE420">
            <v>0.31404185895991299</v>
          </cell>
          <cell r="AF420">
            <v>0.20251060982238234</v>
          </cell>
          <cell r="AG420">
            <v>0.32853603280770916</v>
          </cell>
          <cell r="AH420">
            <v>4.3803499847758109E-2</v>
          </cell>
          <cell r="AI420">
            <v>-1.8286011504552113E-2</v>
          </cell>
          <cell r="AJ420">
            <v>-9.319014521805169E-3</v>
          </cell>
          <cell r="AK420">
            <v>6.6001551253918933E-2</v>
          </cell>
          <cell r="AL420">
            <v>2.0048112696059883E-2</v>
          </cell>
          <cell r="AM420">
            <v>0.20952097629754451</v>
          </cell>
          <cell r="AN420">
            <v>0.20139619201910519</v>
          </cell>
          <cell r="AO420">
            <v>9.8661141254450913E-2</v>
          </cell>
          <cell r="AP420">
            <v>0.19526128062123616</v>
          </cell>
          <cell r="AQ420">
            <v>0.17416794607453112</v>
          </cell>
          <cell r="BL420">
            <v>0</v>
          </cell>
        </row>
        <row r="421">
          <cell r="A421" t="str">
            <v xml:space="preserve">  in USD</v>
          </cell>
          <cell r="G421">
            <v>5203.2215582003</v>
          </cell>
          <cell r="H421">
            <v>5114.9519423454922</v>
          </cell>
          <cell r="I421">
            <v>1351.6424039250585</v>
          </cell>
          <cell r="J421">
            <v>1469.2421042833985</v>
          </cell>
          <cell r="K421">
            <v>1756.6785146741026</v>
          </cell>
          <cell r="L421">
            <v>1576.8965328579566</v>
          </cell>
          <cell r="M421">
            <v>6152.2672741546521</v>
          </cell>
          <cell r="N421">
            <v>1425.9906295367907</v>
          </cell>
          <cell r="O421">
            <v>1548.6927628120784</v>
          </cell>
          <cell r="P421">
            <v>1725.2984185708176</v>
          </cell>
          <cell r="Q421">
            <v>1658.7463727133652</v>
          </cell>
          <cell r="R421">
            <v>6358.5211618949061</v>
          </cell>
          <cell r="S421">
            <v>1528.4151374390897</v>
          </cell>
          <cell r="T421">
            <v>1771.1827632663762</v>
          </cell>
          <cell r="U421">
            <v>1874.4345837416674</v>
          </cell>
          <cell r="V421">
            <v>1975.0802552735461</v>
          </cell>
          <cell r="W421">
            <v>7148.1193288764835</v>
          </cell>
          <cell r="X421">
            <v>1887.3356639728252</v>
          </cell>
          <cell r="Y421">
            <v>1642.2484176972405</v>
          </cell>
          <cell r="Z421">
            <v>2265.9403618011052</v>
          </cell>
          <cell r="AA421">
            <v>2407.6044749788844</v>
          </cell>
          <cell r="AB421">
            <v>8200.9809797102116</v>
          </cell>
          <cell r="AC421">
            <v>2398.020257270809</v>
          </cell>
          <cell r="AD421">
            <v>2634.2453745328139</v>
          </cell>
          <cell r="AE421">
            <v>2979.0504147656566</v>
          </cell>
          <cell r="AF421">
            <v>2874.18646674517</v>
          </cell>
          <cell r="AG421">
            <v>10887.088945279127</v>
          </cell>
          <cell r="AH421">
            <v>2489.5310152019683</v>
          </cell>
          <cell r="AI421">
            <v>2588.1187081897224</v>
          </cell>
          <cell r="AJ421">
            <v>2962.4918554501587</v>
          </cell>
          <cell r="AK421">
            <v>3074.2652776910181</v>
          </cell>
          <cell r="AL421">
            <v>11112.352152157848</v>
          </cell>
          <cell r="AM421">
            <v>3026.461899081557</v>
          </cell>
          <cell r="AN421">
            <v>3121.8064829997916</v>
          </cell>
          <cell r="AO421">
            <v>3251.799373273112</v>
          </cell>
          <cell r="AP421">
            <v>3662.3062795806582</v>
          </cell>
          <cell r="AQ421">
            <v>13063.515369602472</v>
          </cell>
          <cell r="BL421">
            <v>0</v>
          </cell>
        </row>
        <row r="422">
          <cell r="BL422">
            <v>0</v>
          </cell>
        </row>
        <row r="423">
          <cell r="A423" t="str">
            <v>Gambling Expenditures of Non-Residents (current prices)</v>
          </cell>
          <cell r="G423">
            <v>15861.970329703558</v>
          </cell>
          <cell r="H423">
            <v>14198.104921598489</v>
          </cell>
          <cell r="I423">
            <v>4203.4167100522081</v>
          </cell>
          <cell r="J423">
            <v>3897.9935566877271</v>
          </cell>
          <cell r="K423">
            <v>4882.100849640824</v>
          </cell>
          <cell r="L423">
            <v>4529.4125654368272</v>
          </cell>
          <cell r="M423">
            <v>17512.923681817585</v>
          </cell>
          <cell r="N423">
            <v>4729.5864305092518</v>
          </cell>
          <cell r="O423">
            <v>4489.8098846641051</v>
          </cell>
          <cell r="P423">
            <v>5368.0661509341035</v>
          </cell>
          <cell r="Q423">
            <v>5290.2672672739791</v>
          </cell>
          <cell r="R423">
            <v>19877.729733381439</v>
          </cell>
          <cell r="S423">
            <v>5441.7477655200009</v>
          </cell>
          <cell r="T423">
            <v>5425.653588526</v>
          </cell>
          <cell r="U423">
            <v>5774.9352368320006</v>
          </cell>
          <cell r="V423">
            <v>6538.1382827499992</v>
          </cell>
          <cell r="W423">
            <v>23180.474873627998</v>
          </cell>
          <cell r="X423">
            <v>7195.5693064013331</v>
          </cell>
          <cell r="Y423">
            <v>5506.0447813527717</v>
          </cell>
          <cell r="Z423">
            <v>8256.5876965126226</v>
          </cell>
          <cell r="AA423">
            <v>8935.2411704225487</v>
          </cell>
          <cell r="AB423">
            <v>29893.442954689275</v>
          </cell>
          <cell r="AC423">
            <v>9917.8558934686043</v>
          </cell>
          <cell r="AD423">
            <v>10068.026597597809</v>
          </cell>
          <cell r="AE423">
            <v>11562.834464761336</v>
          </cell>
          <cell r="AF423">
            <v>11454.189432378822</v>
          </cell>
          <cell r="AG423">
            <v>43002.906388206567</v>
          </cell>
          <cell r="AH423">
            <v>11066.14546498504</v>
          </cell>
          <cell r="AI423">
            <v>11762.862343214458</v>
          </cell>
          <cell r="AJ423">
            <v>11740.527228556946</v>
          </cell>
          <cell r="AK423">
            <v>11733.713477832785</v>
          </cell>
          <cell r="AL423">
            <v>46303.248514589228</v>
          </cell>
          <cell r="AM423">
            <v>12684.135</v>
          </cell>
          <cell r="AN423">
            <v>12941.501</v>
          </cell>
          <cell r="AO423">
            <v>13814.65</v>
          </cell>
          <cell r="AP423">
            <v>16740.940999999999</v>
          </cell>
          <cell r="AQ423">
            <v>56181.226999999999</v>
          </cell>
          <cell r="BL423">
            <v>0</v>
          </cell>
        </row>
        <row r="424">
          <cell r="A424" t="str">
            <v xml:space="preserve">  Year-over-Year growth</v>
          </cell>
          <cell r="H424">
            <v>-0.10489651496758057</v>
          </cell>
          <cell r="M424">
            <v>0.23346909876518218</v>
          </cell>
          <cell r="N424">
            <v>0.12517667334736093</v>
          </cell>
          <cell r="O424">
            <v>0.15182588666956831</v>
          </cell>
          <cell r="P424">
            <v>9.9540201290399866E-2</v>
          </cell>
          <cell r="Q424">
            <v>0.16798087850135457</v>
          </cell>
          <cell r="R424">
            <v>0.13503205372950156</v>
          </cell>
          <cell r="S424">
            <v>0.15057581576621448</v>
          </cell>
          <cell r="T424">
            <v>0.20843726747951341</v>
          </cell>
          <cell r="U424">
            <v>7.5794350229290153E-2</v>
          </cell>
          <cell r="V424">
            <v>0.23588052407020177</v>
          </cell>
          <cell r="W424">
            <v>0.16615303581173713</v>
          </cell>
          <cell r="X424">
            <v>0.32229012009595426</v>
          </cell>
          <cell r="Y424">
            <v>1.4816867961636948E-2</v>
          </cell>
          <cell r="Z424">
            <v>0.42972818878606178</v>
          </cell>
          <cell r="AA424">
            <v>0.36663386181307667</v>
          </cell>
          <cell r="AB424">
            <v>0.28959579636129451</v>
          </cell>
          <cell r="AC424">
            <v>0.37832817267779872</v>
          </cell>
          <cell r="AD424">
            <v>0.82854063078001539</v>
          </cell>
          <cell r="AE424">
            <v>0.40043743127020748</v>
          </cell>
          <cell r="AF424">
            <v>0.28191161423762123</v>
          </cell>
          <cell r="AG424">
            <v>0.43853976450246446</v>
          </cell>
          <cell r="AH424">
            <v>0.11578002179610625</v>
          </cell>
          <cell r="AI424">
            <v>0.1683384255282987</v>
          </cell>
          <cell r="AJ424">
            <v>1.536757828170443E-2</v>
          </cell>
          <cell r="AK424">
            <v>2.4403651354307332E-2</v>
          </cell>
          <cell r="AL424">
            <v>7.6746955114823878E-2</v>
          </cell>
          <cell r="AM424">
            <v>0.14621075966645503</v>
          </cell>
          <cell r="AN424">
            <v>0.10019998724761536</v>
          </cell>
          <cell r="AO424">
            <v>0.17666351187347717</v>
          </cell>
          <cell r="AP424">
            <v>0.42673851987495848</v>
          </cell>
          <cell r="AQ424">
            <v>0.21333229961820965</v>
          </cell>
          <cell r="BL424">
            <v>0</v>
          </cell>
        </row>
        <row r="425">
          <cell r="A425" t="str">
            <v xml:space="preserve">  Share of Total Gaming Revenue</v>
          </cell>
          <cell r="G425">
            <v>1.0091546642608133</v>
          </cell>
          <cell r="H425">
            <v>1.009185875112661</v>
          </cell>
          <cell r="I425">
            <v>0.92804264468360276</v>
          </cell>
          <cell r="J425">
            <v>0.94782826055503167</v>
          </cell>
          <cell r="K425">
            <v>1.1140339248143871</v>
          </cell>
          <cell r="L425">
            <v>1.1020248573417297</v>
          </cell>
          <cell r="M425">
            <v>1.0220954337401666</v>
          </cell>
          <cell r="N425">
            <v>0.99343242921174857</v>
          </cell>
          <cell r="O425">
            <v>0.92673220327811257</v>
          </cell>
          <cell r="P425">
            <v>1.096482109652559</v>
          </cell>
          <cell r="Q425">
            <v>1.049774232630861</v>
          </cell>
          <cell r="R425">
            <v>1.0172434126673264</v>
          </cell>
          <cell r="S425">
            <v>1.0465704694208657</v>
          </cell>
          <cell r="T425">
            <v>0.96314683570811432</v>
          </cell>
          <cell r="U425">
            <v>1.0199100058581578</v>
          </cell>
          <cell r="V425">
            <v>1.0300223511528057</v>
          </cell>
          <cell r="W425">
            <v>1.0147902372887321</v>
          </cell>
          <cell r="X425">
            <v>1.0123985879038329</v>
          </cell>
          <cell r="Y425">
            <v>1.0015668739367118</v>
          </cell>
          <cell r="Z425">
            <v>1.0220659037673399</v>
          </cell>
          <cell r="AA425">
            <v>1.0162177805018091</v>
          </cell>
          <cell r="AB425">
            <v>1.0141671537214587</v>
          </cell>
          <cell r="AC425">
            <v>1.0112046625663178</v>
          </cell>
          <cell r="AD425">
            <v>1.0154797309649302</v>
          </cell>
          <cell r="AE425">
            <v>1.0222665506697419</v>
          </cell>
          <cell r="AF425">
            <v>1.0161495764808308</v>
          </cell>
          <cell r="AG425">
            <v>1.016481641412506</v>
          </cell>
          <cell r="AH425">
            <v>1.010295038151241</v>
          </cell>
          <cell r="AI425">
            <v>1.0123277142920484</v>
          </cell>
          <cell r="AJ425">
            <v>1.0117314410171931</v>
          </cell>
          <cell r="AK425">
            <v>1.0095201674802319</v>
          </cell>
          <cell r="AL425">
            <v>1.0109780256436176</v>
          </cell>
          <cell r="AM425">
            <v>1.007547630226965</v>
          </cell>
          <cell r="AN425">
            <v>1.0032135544322864</v>
          </cell>
          <cell r="AO425">
            <v>1.0037727261464968</v>
          </cell>
          <cell r="AP425">
            <v>1.0065558335019347</v>
          </cell>
          <cell r="AQ425">
            <v>1.0053223300242942</v>
          </cell>
          <cell r="BL425">
            <v>0</v>
          </cell>
        </row>
        <row r="426">
          <cell r="A426" t="str">
            <v xml:space="preserve">  Share of Total Exports</v>
          </cell>
          <cell r="G426">
            <v>0.37986759819201776</v>
          </cell>
          <cell r="H426">
            <v>0.34529203248751489</v>
          </cell>
          <cell r="I426">
            <v>0.38900645576318471</v>
          </cell>
          <cell r="J426">
            <v>0.33101632711019408</v>
          </cell>
          <cell r="K426">
            <v>0.3502262453107105</v>
          </cell>
          <cell r="L426">
            <v>0.3578216892183127</v>
          </cell>
          <cell r="M426">
            <v>0.35610212590866119</v>
          </cell>
          <cell r="N426">
            <v>0.41233085381893003</v>
          </cell>
          <cell r="O426">
            <v>0.36216639019240177</v>
          </cell>
          <cell r="P426">
            <v>0.38791945718510396</v>
          </cell>
          <cell r="Q426">
            <v>0.39678611069172665</v>
          </cell>
          <cell r="R426">
            <v>0.38946656493736498</v>
          </cell>
          <cell r="S426">
            <v>0.44250758697827819</v>
          </cell>
          <cell r="T426">
            <v>0.38582570413068334</v>
          </cell>
          <cell r="U426">
            <v>0.38499889258257303</v>
          </cell>
          <cell r="V426">
            <v>0.41364468828252371</v>
          </cell>
          <cell r="W426">
            <v>0.40549396898868717</v>
          </cell>
          <cell r="X426">
            <v>0.47447859196795761</v>
          </cell>
          <cell r="Y426">
            <v>0.4184775227605716</v>
          </cell>
          <cell r="Z426">
            <v>0.45334749720069245</v>
          </cell>
          <cell r="AA426">
            <v>0.46643582689907248</v>
          </cell>
          <cell r="AB426">
            <v>0.45505833683835883</v>
          </cell>
          <cell r="AC426">
            <v>0.51776950315794923</v>
          </cell>
          <cell r="AD426">
            <v>0.47601339686262834</v>
          </cell>
          <cell r="AE426">
            <v>0.48315417056427534</v>
          </cell>
          <cell r="AF426">
            <v>0.49723428543118414</v>
          </cell>
          <cell r="AG426">
            <v>0.49273749190443283</v>
          </cell>
          <cell r="AH426">
            <v>0.55347282089320204</v>
          </cell>
          <cell r="AI426">
            <v>0.56650383832585993</v>
          </cell>
          <cell r="AJ426">
            <v>0.49519379830001964</v>
          </cell>
          <cell r="AK426">
            <v>0.47783102845872355</v>
          </cell>
          <cell r="AL426">
            <v>0.5201260484436584</v>
          </cell>
          <cell r="AM426">
            <v>0.52450227397682625</v>
          </cell>
          <cell r="AN426">
            <v>0.51878599236639233</v>
          </cell>
          <cell r="AO426">
            <v>0.53035139943182819</v>
          </cell>
          <cell r="AP426">
            <v>0.57036896061687414</v>
          </cell>
          <cell r="AQ426">
            <v>0.53747484468411622</v>
          </cell>
          <cell r="BL426">
            <v>0</v>
          </cell>
        </row>
        <row r="427">
          <cell r="A427" t="str">
            <v xml:space="preserve">  in USD</v>
          </cell>
          <cell r="G427">
            <v>1976.5352761744762</v>
          </cell>
          <cell r="H427">
            <v>1766.152152248437</v>
          </cell>
          <cell r="I427">
            <v>525.79762101011784</v>
          </cell>
          <cell r="J427">
            <v>486.34312499554335</v>
          </cell>
          <cell r="K427">
            <v>615.23492041230691</v>
          </cell>
          <cell r="L427">
            <v>564.24778110973455</v>
          </cell>
          <cell r="M427">
            <v>2190.8354554847556</v>
          </cell>
          <cell r="N427">
            <v>587.97993381469848</v>
          </cell>
          <cell r="O427">
            <v>560.88446742474787</v>
          </cell>
          <cell r="P427">
            <v>669.2768260143099</v>
          </cell>
          <cell r="Q427">
            <v>658.16752185294536</v>
          </cell>
          <cell r="R427">
            <v>2476.4313950047517</v>
          </cell>
          <cell r="S427">
            <v>676.33529436924493</v>
          </cell>
          <cell r="T427">
            <v>683.36783678137908</v>
          </cell>
          <cell r="U427">
            <v>721.65523895901811</v>
          </cell>
          <cell r="V427">
            <v>816.98145652559333</v>
          </cell>
          <cell r="W427">
            <v>2898.5192774708762</v>
          </cell>
          <cell r="X427">
            <v>895.50036841273641</v>
          </cell>
          <cell r="Y427">
            <v>687.24404959540971</v>
          </cell>
          <cell r="Z427">
            <v>1027.2583918285625</v>
          </cell>
          <cell r="AA427">
            <v>1122.9929841326832</v>
          </cell>
          <cell r="AB427">
            <v>3731.9247650699435</v>
          </cell>
          <cell r="AC427">
            <v>1241.6217571698044</v>
          </cell>
          <cell r="AD427">
            <v>1253.9360889010313</v>
          </cell>
          <cell r="AE427">
            <v>1439.3406322152612</v>
          </cell>
          <cell r="AF427">
            <v>1429.1440539880143</v>
          </cell>
          <cell r="AG427">
            <v>5364.4769010373138</v>
          </cell>
          <cell r="AH427">
            <v>1377.8877536849507</v>
          </cell>
          <cell r="AI427">
            <v>1466.179182232444</v>
          </cell>
          <cell r="AJ427">
            <v>1467.0075943332367</v>
          </cell>
          <cell r="AK427">
            <v>1468.9793393940427</v>
          </cell>
          <cell r="AL427">
            <v>5779.8238138162442</v>
          </cell>
          <cell r="AM427">
            <v>1587.3861481725005</v>
          </cell>
          <cell r="AN427">
            <v>1619.5494742588837</v>
          </cell>
          <cell r="AO427">
            <v>1724.5963482869367</v>
          </cell>
          <cell r="AP427">
            <v>2088.8658261450714</v>
          </cell>
          <cell r="AQ427">
            <v>7021.3108943056541</v>
          </cell>
          <cell r="BL427">
            <v>0</v>
          </cell>
        </row>
        <row r="428">
          <cell r="A428" t="str">
            <v xml:space="preserve">    Diff</v>
          </cell>
          <cell r="G428">
            <v>-161.54029465452982</v>
          </cell>
          <cell r="H428">
            <v>-144.39604495211302</v>
          </cell>
          <cell r="I428">
            <v>-0.77347846278451016</v>
          </cell>
          <cell r="J428">
            <v>-10.852763358806556</v>
          </cell>
          <cell r="K428">
            <v>-103.46924722425274</v>
          </cell>
          <cell r="L428">
            <v>-89.779636180701857</v>
          </cell>
          <cell r="M428">
            <v>-204.08713318359855</v>
          </cell>
          <cell r="N428">
            <v>-39.510078957767178</v>
          </cell>
          <cell r="O428">
            <v>-3.3143846966595447E-2</v>
          </cell>
          <cell r="P428">
            <v>-103.64631476211696</v>
          </cell>
          <cell r="Q428">
            <v>-77.176890005598011</v>
          </cell>
          <cell r="R428">
            <v>-220.48907347049862</v>
          </cell>
          <cell r="S428">
            <v>-66.750200433698069</v>
          </cell>
          <cell r="T428">
            <v>-14.095621253354807</v>
          </cell>
          <cell r="U428">
            <v>-54.220695878875176</v>
          </cell>
          <cell r="V428">
            <v>-68.801078907161127</v>
          </cell>
          <cell r="W428">
            <v>-204.04704730872982</v>
          </cell>
          <cell r="X428">
            <v>-59.696786689289866</v>
          </cell>
          <cell r="Y428">
            <v>-38.876865220415993</v>
          </cell>
          <cell r="Z428">
            <v>-77.548881227759011</v>
          </cell>
          <cell r="AA428">
            <v>-78.801268150401256</v>
          </cell>
          <cell r="AB428">
            <v>-253.85277238841763</v>
          </cell>
          <cell r="AC428">
            <v>-108.90261340586881</v>
          </cell>
          <cell r="AD428">
            <v>-88.818070913021529</v>
          </cell>
          <cell r="AE428">
            <v>-81.567263792636368</v>
          </cell>
          <cell r="AF428">
            <v>-72.193967147800549</v>
          </cell>
          <cell r="AG428">
            <v>-351.91628402252991</v>
          </cell>
          <cell r="AH428">
            <v>-58.036684231959725</v>
          </cell>
          <cell r="AI428">
            <v>-52.654103706244314</v>
          </cell>
          <cell r="AJ428">
            <v>-43.074635357431362</v>
          </cell>
          <cell r="AK428">
            <v>-43.236730429633553</v>
          </cell>
          <cell r="AL428">
            <v>-196.77209789684002</v>
          </cell>
          <cell r="AM428">
            <v>-41.621262339679561</v>
          </cell>
          <cell r="AN428">
            <v>-35.246019154050828</v>
          </cell>
          <cell r="AO428">
            <v>-33.163273765345139</v>
          </cell>
          <cell r="AP428">
            <v>-37.948216445618073</v>
          </cell>
          <cell r="AQ428">
            <v>-148.89186914695529</v>
          </cell>
          <cell r="BL428">
            <v>0</v>
          </cell>
        </row>
        <row r="429">
          <cell r="BL429">
            <v>0</v>
          </cell>
        </row>
        <row r="430">
          <cell r="A430" t="str">
            <v>Accomodation Expenditures of Non-Residents (current prices)</v>
          </cell>
          <cell r="G430">
            <v>728.29741416912736</v>
          </cell>
          <cell r="H430">
            <v>672.3764934529928</v>
          </cell>
          <cell r="I430">
            <v>178.52253537676779</v>
          </cell>
          <cell r="J430">
            <v>185.82212508903362</v>
          </cell>
          <cell r="K430">
            <v>207.81008555010288</v>
          </cell>
          <cell r="L430">
            <v>209.60711274235598</v>
          </cell>
          <cell r="M430">
            <v>781.76185875826025</v>
          </cell>
          <cell r="N430">
            <v>195.56569231303783</v>
          </cell>
          <cell r="O430">
            <v>204.65790388635187</v>
          </cell>
          <cell r="P430">
            <v>216.3990958513667</v>
          </cell>
          <cell r="Q430">
            <v>216.01124994005679</v>
          </cell>
          <cell r="R430">
            <v>832.63394199081324</v>
          </cell>
          <cell r="S430">
            <v>204.03573105177259</v>
          </cell>
          <cell r="T430">
            <v>205.10233529192519</v>
          </cell>
          <cell r="U430">
            <v>214.37021803985036</v>
          </cell>
          <cell r="V430">
            <v>224.89566521736856</v>
          </cell>
          <cell r="W430">
            <v>848.40394960091669</v>
          </cell>
          <cell r="X430">
            <v>211.58764496093363</v>
          </cell>
          <cell r="Y430">
            <v>125.80296873382285</v>
          </cell>
          <cell r="Z430">
            <v>247.78731659990927</v>
          </cell>
          <cell r="AA430">
            <v>288.36152901652252</v>
          </cell>
          <cell r="AB430">
            <v>873.53945931118824</v>
          </cell>
          <cell r="AC430">
            <v>274.77999932329948</v>
          </cell>
          <cell r="AD430">
            <v>295.11521608398073</v>
          </cell>
          <cell r="AE430">
            <v>320.30569604664788</v>
          </cell>
          <cell r="AF430">
            <v>359.07105801858245</v>
          </cell>
          <cell r="AG430">
            <v>1249.2719694725106</v>
          </cell>
          <cell r="AH430">
            <v>325.02454275464743</v>
          </cell>
          <cell r="AI430">
            <v>320.6742037247422</v>
          </cell>
          <cell r="AJ430">
            <v>367.96054619784127</v>
          </cell>
          <cell r="AK430">
            <v>445.24770095205213</v>
          </cell>
          <cell r="AL430">
            <v>1458.9069936292831</v>
          </cell>
          <cell r="AM430">
            <v>408.11799999999999</v>
          </cell>
          <cell r="AN430">
            <v>417.4</v>
          </cell>
          <cell r="AO430">
            <v>447.93799999999999</v>
          </cell>
          <cell r="AP430">
            <v>582.41600000000005</v>
          </cell>
          <cell r="AQ430">
            <v>1855.8720000000003</v>
          </cell>
          <cell r="BL430">
            <v>0</v>
          </cell>
        </row>
        <row r="431">
          <cell r="A431" t="str">
            <v xml:space="preserve">  Year-over-Year growth</v>
          </cell>
          <cell r="H431">
            <v>-7.6783082883702836E-2</v>
          </cell>
          <cell r="M431">
            <v>0.16268469580713374</v>
          </cell>
          <cell r="N431">
            <v>9.5467818112155101E-2</v>
          </cell>
          <cell r="O431">
            <v>0.10136456457105636</v>
          </cell>
          <cell r="P431">
            <v>4.1331056086751028E-2</v>
          </cell>
          <cell r="Q431">
            <v>3.0553052870742059E-2</v>
          </cell>
          <cell r="R431">
            <v>6.5073631647056152E-2</v>
          </cell>
          <cell r="S431">
            <v>4.3310453068511334E-2</v>
          </cell>
          <cell r="T431">
            <v>2.1715819283485427E-3</v>
          </cell>
          <cell r="U431">
            <v>-9.3756297988872861E-3</v>
          </cell>
          <cell r="V431">
            <v>4.1129410064416616E-2</v>
          </cell>
          <cell r="W431">
            <v>1.8939904818674247E-2</v>
          </cell>
          <cell r="X431">
            <v>3.7012702972327949E-2</v>
          </cell>
          <cell r="Y431">
            <v>-0.38663317238799044</v>
          </cell>
          <cell r="Z431">
            <v>0.15588498656957483</v>
          </cell>
          <cell r="AA431">
            <v>0.28220136541009921</v>
          </cell>
          <cell r="AB431">
            <v>2.9626818359456131E-2</v>
          </cell>
          <cell r="AC431">
            <v>0.29865805432086234</v>
          </cell>
          <cell r="AD431">
            <v>1.3458525586021191</v>
          </cell>
          <cell r="AE431">
            <v>0.29266380717876173</v>
          </cell>
          <cell r="AF431">
            <v>0.24521138184840319</v>
          </cell>
          <cell r="AG431">
            <v>0.43012654569445385</v>
          </cell>
          <cell r="AH431">
            <v>0.1828537140806652</v>
          </cell>
          <cell r="AI431">
            <v>8.6606810654887401E-2</v>
          </cell>
          <cell r="AJ431">
            <v>0.14877927785665457</v>
          </cell>
          <cell r="AK431">
            <v>0.23999885540485399</v>
          </cell>
          <cell r="AL431">
            <v>0.16780575349440374</v>
          </cell>
          <cell r="AM431">
            <v>0.2556528702144123</v>
          </cell>
          <cell r="AN431">
            <v>0.30163260764899102</v>
          </cell>
          <cell r="AO431">
            <v>0.21735334026588071</v>
          </cell>
          <cell r="AP431">
            <v>0.30807188617627324</v>
          </cell>
          <cell r="AQ431">
            <v>0.27209754158707411</v>
          </cell>
          <cell r="BL431">
            <v>0</v>
          </cell>
        </row>
        <row r="432">
          <cell r="A432" t="str">
            <v xml:space="preserve">  in USD</v>
          </cell>
          <cell r="G432">
            <v>90.751999955281448</v>
          </cell>
          <cell r="H432">
            <v>83.639274226434154</v>
          </cell>
          <cell r="I432">
            <v>22.331053729058723</v>
          </cell>
          <cell r="J432">
            <v>23.184572189469446</v>
          </cell>
          <cell r="K432">
            <v>26.187910774866172</v>
          </cell>
          <cell r="L432">
            <v>26.111630716131522</v>
          </cell>
          <cell r="M432">
            <v>97.797011454543608</v>
          </cell>
          <cell r="N432">
            <v>24.31263378144131</v>
          </cell>
          <cell r="O432">
            <v>25.566659251575288</v>
          </cell>
          <cell r="P432">
            <v>26.980088536831261</v>
          </cell>
          <cell r="Q432">
            <v>26.874178918121835</v>
          </cell>
          <cell r="R432">
            <v>103.73220997314823</v>
          </cell>
          <cell r="S432">
            <v>25.358868541669363</v>
          </cell>
          <cell r="T432">
            <v>25.832894949957485</v>
          </cell>
          <cell r="U432">
            <v>26.788420056830063</v>
          </cell>
          <cell r="V432">
            <v>28.102126353053695</v>
          </cell>
          <cell r="W432">
            <v>106.0856266494513</v>
          </cell>
          <cell r="X432">
            <v>26.332428463379085</v>
          </cell>
          <cell r="Y432">
            <v>15.702259083791096</v>
          </cell>
          <cell r="Z432">
            <v>30.828910165085478</v>
          </cell>
          <cell r="AA432">
            <v>36.241660163719345</v>
          </cell>
          <cell r="AB432">
            <v>109.05346521678761</v>
          </cell>
          <cell r="AC432">
            <v>34.399857112220381</v>
          </cell>
          <cell r="AD432">
            <v>36.75552664112184</v>
          </cell>
          <cell r="AE432">
            <v>39.871625288328246</v>
          </cell>
          <cell r="AF432">
            <v>44.801447588759473</v>
          </cell>
          <cell r="AG432">
            <v>155.84273683386655</v>
          </cell>
          <cell r="AH432">
            <v>40.470038869969322</v>
          </cell>
          <cell r="AI432">
            <v>39.970359939764428</v>
          </cell>
          <cell r="AJ432">
            <v>45.977570272505304</v>
          </cell>
          <cell r="AK432">
            <v>55.741916218331461</v>
          </cell>
          <cell r="AL432">
            <v>182.10872140568642</v>
          </cell>
          <cell r="AM432">
            <v>51.074894742121913</v>
          </cell>
          <cell r="AN432">
            <v>52.235049903072145</v>
          </cell>
          <cell r="AO432">
            <v>55.919783639755899</v>
          </cell>
          <cell r="AP432">
            <v>72.671475217558452</v>
          </cell>
          <cell r="AQ432">
            <v>231.93965293845974</v>
          </cell>
          <cell r="BL432">
            <v>0</v>
          </cell>
        </row>
        <row r="433">
          <cell r="BL433">
            <v>0</v>
          </cell>
        </row>
        <row r="434">
          <cell r="A434" t="str">
            <v>GDP (millions MOP)</v>
          </cell>
          <cell r="BL434">
            <v>0</v>
          </cell>
        </row>
        <row r="435">
          <cell r="A435" t="str">
            <v>GDP (current prices)</v>
          </cell>
          <cell r="G435">
            <v>49360.446020834417</v>
          </cell>
          <cell r="H435">
            <v>47287.43250998178</v>
          </cell>
          <cell r="I435">
            <v>11271.528357578673</v>
          </cell>
          <cell r="J435">
            <v>11678.777279837988</v>
          </cell>
          <cell r="K435">
            <v>13017.267553577984</v>
          </cell>
          <cell r="L435">
            <v>13004.822467383059</v>
          </cell>
          <cell r="M435">
            <v>48972.395658377704</v>
          </cell>
          <cell r="N435">
            <v>11295.949188689237</v>
          </cell>
          <cell r="O435">
            <v>11857.329032152078</v>
          </cell>
          <cell r="P435">
            <v>12957.767817488828</v>
          </cell>
          <cell r="Q435">
            <v>13593.358922594663</v>
          </cell>
          <cell r="R435">
            <v>49704.404960924803</v>
          </cell>
          <cell r="S435">
            <v>12218.950106796745</v>
          </cell>
          <cell r="T435">
            <v>13188.649546200078</v>
          </cell>
          <cell r="U435">
            <v>13819.848311393567</v>
          </cell>
          <cell r="V435">
            <v>15591.296659160953</v>
          </cell>
          <cell r="W435">
            <v>54818.744623551342</v>
          </cell>
          <cell r="X435">
            <v>14484.623386747196</v>
          </cell>
          <cell r="Y435">
            <v>12878.082995155495</v>
          </cell>
          <cell r="Z435">
            <v>16978.384475455245</v>
          </cell>
          <cell r="AA435">
            <v>19225.248118827618</v>
          </cell>
          <cell r="AB435">
            <v>63566.338976185551</v>
          </cell>
          <cell r="AC435">
            <v>18105.358190081708</v>
          </cell>
          <cell r="AD435">
            <v>19545.865529080569</v>
          </cell>
          <cell r="AE435">
            <v>21813.962385827497</v>
          </cell>
          <cell r="AF435">
            <v>23434.1248184414</v>
          </cell>
          <cell r="AG435">
            <v>82899.310923431171</v>
          </cell>
          <cell r="AH435">
            <v>20255.655999999999</v>
          </cell>
          <cell r="AI435">
            <v>21921.989000000001</v>
          </cell>
          <cell r="AJ435">
            <v>23472.812000000002</v>
          </cell>
          <cell r="AK435">
            <v>26940.527999999998</v>
          </cell>
          <cell r="AL435">
            <v>92590.985000000015</v>
          </cell>
          <cell r="AM435">
            <v>25157.226999999999</v>
          </cell>
          <cell r="AN435">
            <v>26885.973000000002</v>
          </cell>
          <cell r="AO435">
            <v>27444.161</v>
          </cell>
          <cell r="AP435">
            <v>34761.017999999996</v>
          </cell>
          <cell r="AQ435">
            <v>114248.379</v>
          </cell>
          <cell r="BL435">
            <v>0</v>
          </cell>
        </row>
        <row r="436">
          <cell r="A436" t="str">
            <v xml:space="preserve">  Year-over-Year growth</v>
          </cell>
          <cell r="H436">
            <v>-4.1997463109989863E-2</v>
          </cell>
          <cell r="M436">
            <v>3.5632366972773388E-2</v>
          </cell>
          <cell r="N436">
            <v>2.1665944791013914E-3</v>
          </cell>
          <cell r="O436">
            <v>1.5288565578036817E-2</v>
          </cell>
          <cell r="P436">
            <v>-4.5708314624601787E-3</v>
          </cell>
          <cell r="Q436">
            <v>4.5255247173707547E-2</v>
          </cell>
          <cell r="R436">
            <v>1.4947386026476162E-2</v>
          </cell>
          <cell r="S436">
            <v>8.1710788769457254E-2</v>
          </cell>
          <cell r="T436">
            <v>0.11227828041526222</v>
          </cell>
          <cell r="U436">
            <v>6.6530015512487273E-2</v>
          </cell>
          <cell r="V436">
            <v>0.14697895847106257</v>
          </cell>
          <cell r="W436">
            <v>0.10289509886794113</v>
          </cell>
          <cell r="X436">
            <v>0.18542290950923679</v>
          </cell>
          <cell r="Y436">
            <v>-2.354801755529734E-2</v>
          </cell>
          <cell r="Z436">
            <v>0.22855071147616512</v>
          </cell>
          <cell r="AA436">
            <v>0.23307564079549925</v>
          </cell>
          <cell r="AB436">
            <v>0.15957305138425304</v>
          </cell>
          <cell r="AC436">
            <v>0.24997093170177465</v>
          </cell>
          <cell r="AD436">
            <v>0.51776204085913835</v>
          </cell>
          <cell r="AE436">
            <v>0.28480789308092258</v>
          </cell>
          <cell r="AF436">
            <v>0.21892444110991516</v>
          </cell>
          <cell r="AG436">
            <v>0.30413851511078072</v>
          </cell>
          <cell r="AH436">
            <v>0.11876582541715441</v>
          </cell>
          <cell r="AI436">
            <v>0.12156655162618457</v>
          </cell>
          <cell r="AJ436">
            <v>7.6045313768866585E-2</v>
          </cell>
          <cell r="AK436">
            <v>0.14962808334959643</v>
          </cell>
          <cell r="AL436">
            <v>0.11690898233786795</v>
          </cell>
          <cell r="AM436">
            <v>0.24198530030328325</v>
          </cell>
          <cell r="AN436">
            <v>0.22643857726595895</v>
          </cell>
          <cell r="AO436">
            <v>0.1691893157070401</v>
          </cell>
          <cell r="AP436">
            <v>0.29028718368103257</v>
          </cell>
          <cell r="AQ436">
            <v>0.23390391623979356</v>
          </cell>
          <cell r="BL436">
            <v>0</v>
          </cell>
        </row>
        <row r="437">
          <cell r="A437" t="str">
            <v xml:space="preserve">  Total Gaming as % of GDP</v>
          </cell>
          <cell r="G437">
            <v>0.31843465532764537</v>
          </cell>
          <cell r="H437">
            <v>0.29751816268475301</v>
          </cell>
          <cell r="I437">
            <v>0.40183864928292762</v>
          </cell>
          <cell r="J437">
            <v>0.35213896795120536</v>
          </cell>
          <cell r="K437">
            <v>0.33665765872545228</v>
          </cell>
          <cell r="L437">
            <v>0.31604291736585094</v>
          </cell>
          <cell r="M437">
            <v>0.34987737333396435</v>
          </cell>
          <cell r="N437">
            <v>0.42146557093165937</v>
          </cell>
          <cell r="O437">
            <v>0.40858914604890034</v>
          </cell>
          <cell r="P437">
            <v>0.37782101912737143</v>
          </cell>
          <cell r="Q437">
            <v>0.37072760077792649</v>
          </cell>
          <cell r="R437">
            <v>0.39313980351162064</v>
          </cell>
          <cell r="S437">
            <v>0.42553573828989744</v>
          </cell>
          <cell r="T437">
            <v>0.42712916982106675</v>
          </cell>
          <cell r="U437">
            <v>0.40971511831604629</v>
          </cell>
          <cell r="V437">
            <v>0.40712260604093736</v>
          </cell>
          <cell r="W437">
            <v>0.41669372687871264</v>
          </cell>
          <cell r="X437">
            <v>0.49068911287697037</v>
          </cell>
          <cell r="Y437">
            <v>0.42688271244004522</v>
          </cell>
          <cell r="Z437">
            <v>0.47580098163511486</v>
          </cell>
          <cell r="AA437">
            <v>0.45734879184155819</v>
          </cell>
          <cell r="AB437">
            <v>0.46370224358906076</v>
          </cell>
          <cell r="AC437">
            <v>0.54171593276585361</v>
          </cell>
          <cell r="AD437">
            <v>0.50724548295131844</v>
          </cell>
          <cell r="AE437">
            <v>0.51852010193933074</v>
          </cell>
          <cell r="AF437">
            <v>0.48101429378448235</v>
          </cell>
          <cell r="AG437">
            <v>0.51032559292410806</v>
          </cell>
          <cell r="AH437">
            <v>0.54075661632484284</v>
          </cell>
          <cell r="AI437">
            <v>0.53004401197354856</v>
          </cell>
          <cell r="AJ437">
            <v>0.49437583362402421</v>
          </cell>
          <cell r="AK437">
            <v>0.43143400901422579</v>
          </cell>
          <cell r="AL437">
            <v>0.49465344817316709</v>
          </cell>
          <cell r="AM437">
            <v>0.5004175142196714</v>
          </cell>
          <cell r="AN437">
            <v>0.47980580803231482</v>
          </cell>
          <cell r="AO437">
            <v>0.5014810618550154</v>
          </cell>
          <cell r="AP437">
            <v>0.47846426707065953</v>
          </cell>
          <cell r="AQ437">
            <v>0.48914300131995742</v>
          </cell>
          <cell r="BL437">
            <v>0</v>
          </cell>
        </row>
        <row r="438">
          <cell r="BL438">
            <v>0</v>
          </cell>
        </row>
        <row r="439">
          <cell r="A439" t="str">
            <v>GDP in USD</v>
          </cell>
          <cell r="G439">
            <v>6150.7278591479126</v>
          </cell>
          <cell r="H439">
            <v>5882.2498610190805</v>
          </cell>
          <cell r="I439">
            <v>1409.9346327928874</v>
          </cell>
          <cell r="J439">
            <v>1457.1324851623867</v>
          </cell>
          <cell r="K439">
            <v>1640.4162498815349</v>
          </cell>
          <cell r="L439">
            <v>1620.0648792608333</v>
          </cell>
          <cell r="M439">
            <v>6126.3591789527181</v>
          </cell>
          <cell r="N439">
            <v>1404.3070264019996</v>
          </cell>
          <cell r="O439">
            <v>1481.2635390186836</v>
          </cell>
          <cell r="P439">
            <v>1615.5415140721041</v>
          </cell>
          <cell r="Q439">
            <v>1691.1635846995498</v>
          </cell>
          <cell r="R439">
            <v>6192.3343644498336</v>
          </cell>
          <cell r="S439">
            <v>1518.6494437920339</v>
          </cell>
          <cell r="T439">
            <v>1661.126860276195</v>
          </cell>
          <cell r="U439">
            <v>1726.9745073378801</v>
          </cell>
          <cell r="V439">
            <v>1948.2304752303742</v>
          </cell>
          <cell r="W439">
            <v>6854.6131571655751</v>
          </cell>
          <cell r="X439">
            <v>1802.6350698356259</v>
          </cell>
          <cell r="Y439">
            <v>1607.3944655499165</v>
          </cell>
          <cell r="Z439">
            <v>2112.3966186987768</v>
          </cell>
          <cell r="AA439">
            <v>2416.2547315589127</v>
          </cell>
          <cell r="AB439">
            <v>7935.6799084544746</v>
          </cell>
          <cell r="AC439">
            <v>2266.6196092808882</v>
          </cell>
          <cell r="AD439">
            <v>2434.3664508761417</v>
          </cell>
          <cell r="AE439">
            <v>2715.4001475351006</v>
          </cell>
          <cell r="AF439">
            <v>2923.8856527041985</v>
          </cell>
          <cell r="AG439">
            <v>10341.427496691658</v>
          </cell>
          <cell r="AH439">
            <v>2522.1085728148632</v>
          </cell>
          <cell r="AI439">
            <v>2732.4611108341219</v>
          </cell>
          <cell r="AJ439">
            <v>2932.9852734891865</v>
          </cell>
          <cell r="AK439">
            <v>3372.7667800250579</v>
          </cell>
          <cell r="AL439">
            <v>11557.711331616067</v>
          </cell>
          <cell r="AM439">
            <v>3148.3608197351441</v>
          </cell>
          <cell r="AN439">
            <v>3364.6146175075478</v>
          </cell>
          <cell r="AO439">
            <v>3426.0802729275638</v>
          </cell>
          <cell r="AP439">
            <v>4337.3369861475348</v>
          </cell>
          <cell r="AQ439">
            <v>14278.317348417138</v>
          </cell>
          <cell r="BL439">
            <v>0</v>
          </cell>
        </row>
        <row r="440">
          <cell r="BL440">
            <v>0</v>
          </cell>
        </row>
        <row r="441">
          <cell r="A441" t="str">
            <v>Per-Capita GDP</v>
          </cell>
          <cell r="G441">
            <v>114645.36213261305</v>
          </cell>
          <cell r="H441">
            <v>108096.67853832229</v>
          </cell>
          <cell r="I441">
            <v>103720.63049892036</v>
          </cell>
          <cell r="J441">
            <v>106733.72293245039</v>
          </cell>
          <cell r="K441">
            <v>119137.28652791536</v>
          </cell>
          <cell r="L441">
            <v>118791.80976045433</v>
          </cell>
          <cell r="M441">
            <v>111833.88937362315</v>
          </cell>
          <cell r="N441">
            <v>104398.79102300589</v>
          </cell>
          <cell r="O441">
            <v>109258.96366875907</v>
          </cell>
          <cell r="P441">
            <v>119042.42367927266</v>
          </cell>
          <cell r="Q441">
            <v>124509.81380897334</v>
          </cell>
          <cell r="R441">
            <v>113818.19317821115</v>
          </cell>
          <cell r="S441">
            <v>111895.14749813869</v>
          </cell>
          <cell r="T441">
            <v>120115.20533879854</v>
          </cell>
          <cell r="U441">
            <v>125692.11742968229</v>
          </cell>
          <cell r="V441">
            <v>141225.5132170376</v>
          </cell>
          <cell r="W441">
            <v>124136.64996275213</v>
          </cell>
          <cell r="X441">
            <v>130668.68188315019</v>
          </cell>
          <cell r="Y441">
            <v>115732.04219416306</v>
          </cell>
          <cell r="Z441">
            <v>151999.86101571392</v>
          </cell>
          <cell r="AA441">
            <v>171462.63651128311</v>
          </cell>
          <cell r="AB441">
            <v>141730.96761691314</v>
          </cell>
          <cell r="AC441">
            <v>160472.92878423849</v>
          </cell>
          <cell r="AD441">
            <v>172096.5487922568</v>
          </cell>
          <cell r="AE441">
            <v>189234.113084602</v>
          </cell>
          <cell r="AF441">
            <v>201439.61265108126</v>
          </cell>
          <cell r="AG441">
            <v>178150.50925558936</v>
          </cell>
          <cell r="AH441">
            <v>172022.55626326962</v>
          </cell>
          <cell r="AI441">
            <v>183947.88336479967</v>
          </cell>
          <cell r="AJ441">
            <v>194633.59867330018</v>
          </cell>
          <cell r="AK441">
            <v>220778.75845113705</v>
          </cell>
          <cell r="AL441">
            <v>189696.75271460769</v>
          </cell>
          <cell r="AM441">
            <v>201863.40621865596</v>
          </cell>
          <cell r="AN441">
            <v>213804.95427435389</v>
          </cell>
          <cell r="AO441">
            <v>215883.27236971486</v>
          </cell>
          <cell r="AP441">
            <v>270815.66025939415</v>
          </cell>
          <cell r="AQ441">
            <v>222521.17438311581</v>
          </cell>
          <cell r="BL441">
            <v>0</v>
          </cell>
        </row>
        <row r="442">
          <cell r="A442" t="str">
            <v xml:space="preserve">  In USD</v>
          </cell>
          <cell r="G442">
            <v>14285.77899181722</v>
          </cell>
          <cell r="H442">
            <v>13446.525610677852</v>
          </cell>
          <cell r="I442">
            <v>12974.221812360935</v>
          </cell>
          <cell r="J442">
            <v>13316.905633237022</v>
          </cell>
          <cell r="K442">
            <v>15013.499567615998</v>
          </cell>
          <cell r="L442">
            <v>14798.390321699857</v>
          </cell>
          <cell r="M442">
            <v>13990.219703799055</v>
          </cell>
          <cell r="N442">
            <v>12978.808007412195</v>
          </cell>
          <cell r="O442">
            <v>13649.053573081626</v>
          </cell>
          <cell r="P442">
            <v>14841.906422343631</v>
          </cell>
          <cell r="Q442">
            <v>15490.392348976871</v>
          </cell>
          <cell r="R442">
            <v>14179.83596164377</v>
          </cell>
          <cell r="S442">
            <v>13907.04618857174</v>
          </cell>
          <cell r="T442">
            <v>15128.659929655692</v>
          </cell>
          <cell r="U442">
            <v>15706.907752049841</v>
          </cell>
          <cell r="V442">
            <v>17647.015174188167</v>
          </cell>
          <cell r="W442">
            <v>15522.221823291611</v>
          </cell>
          <cell r="X442">
            <v>16261.931166762526</v>
          </cell>
          <cell r="Y442">
            <v>14445.243455851865</v>
          </cell>
          <cell r="Z442">
            <v>18911.339469102746</v>
          </cell>
          <cell r="AA442">
            <v>21549.652009444038</v>
          </cell>
          <cell r="AB442">
            <v>17693.823653187232</v>
          </cell>
          <cell r="AC442">
            <v>20089.692969473857</v>
          </cell>
          <cell r="AD442">
            <v>21433.999127238756</v>
          </cell>
          <cell r="AE442">
            <v>23555.845999003257</v>
          </cell>
          <cell r="AF442">
            <v>25133.705563148957</v>
          </cell>
          <cell r="AG442">
            <v>22223.713978358846</v>
          </cell>
          <cell r="AH442">
            <v>21419.181085476543</v>
          </cell>
          <cell r="AI442">
            <v>22928.140220970181</v>
          </cell>
          <cell r="AJ442">
            <v>24319.944224620118</v>
          </cell>
          <cell r="AK442">
            <v>27639.965417128111</v>
          </cell>
          <cell r="AL442">
            <v>23678.982445433448</v>
          </cell>
          <cell r="AM442">
            <v>25262.67458162603</v>
          </cell>
          <cell r="AN442">
            <v>26756.378668052068</v>
          </cell>
          <cell r="AO442">
            <v>26950.483956165695</v>
          </cell>
          <cell r="AP442">
            <v>33791.265252100369</v>
          </cell>
          <cell r="AQ442">
            <v>27809.829534514425</v>
          </cell>
          <cell r="BL442">
            <v>0</v>
          </cell>
        </row>
        <row r="443">
          <cell r="BL443">
            <v>0</v>
          </cell>
        </row>
        <row r="444">
          <cell r="A444" t="str">
            <v>GDP (2002 prices)</v>
          </cell>
          <cell r="G444">
            <v>46862.140508086508</v>
          </cell>
          <cell r="H444">
            <v>45756.818956452487</v>
          </cell>
          <cell r="I444">
            <v>10740.974410156836</v>
          </cell>
          <cell r="J444">
            <v>11465.103403203426</v>
          </cell>
          <cell r="K444">
            <v>13096.406597553228</v>
          </cell>
          <cell r="L444">
            <v>13083.914989173929</v>
          </cell>
          <cell r="M444">
            <v>48386.399400087415</v>
          </cell>
          <cell r="N444">
            <v>11282.722429767848</v>
          </cell>
          <cell r="O444">
            <v>11966.771783262002</v>
          </cell>
          <cell r="P444">
            <v>13030.034975302638</v>
          </cell>
          <cell r="Q444">
            <v>13504.447791149545</v>
          </cell>
          <cell r="R444">
            <v>49783.976979482031</v>
          </cell>
          <cell r="S444">
            <v>12147.810408237641</v>
          </cell>
          <cell r="T444">
            <v>13146.655732570704</v>
          </cell>
          <cell r="U444">
            <v>13962.678910758203</v>
          </cell>
          <cell r="V444">
            <v>15561.599571983794</v>
          </cell>
          <cell r="W444">
            <v>54818.744623550345</v>
          </cell>
          <cell r="X444">
            <v>14119.041775763426</v>
          </cell>
          <cell r="Y444">
            <v>12740.602962244455</v>
          </cell>
          <cell r="Z444">
            <v>17001.791032110676</v>
          </cell>
          <cell r="AA444">
            <v>18722.139730899755</v>
          </cell>
          <cell r="AB444">
            <v>62583.575501018313</v>
          </cell>
          <cell r="AC444">
            <v>17802.330233789475</v>
          </cell>
          <cell r="AD444">
            <v>19100.097500563003</v>
          </cell>
          <cell r="AE444">
            <v>21157.86938615502</v>
          </cell>
          <cell r="AF444">
            <v>22221.969232500334</v>
          </cell>
          <cell r="AG444">
            <v>80282.266353007828</v>
          </cell>
          <cell r="AH444">
            <v>19199.673933649286</v>
          </cell>
          <cell r="AI444">
            <v>20564.717636022517</v>
          </cell>
          <cell r="AJ444">
            <v>21673.879963065563</v>
          </cell>
          <cell r="AK444">
            <v>24205.326145552557</v>
          </cell>
          <cell r="AL444">
            <v>85643.597678289923</v>
          </cell>
          <cell r="AM444">
            <v>22891.016378525928</v>
          </cell>
          <cell r="AN444">
            <v>23898.64266666667</v>
          </cell>
          <cell r="AO444">
            <v>24031.664623467601</v>
          </cell>
          <cell r="AP444">
            <v>29433.546147332767</v>
          </cell>
          <cell r="AQ444">
            <v>100254.86981599298</v>
          </cell>
          <cell r="BL444">
            <v>0</v>
          </cell>
        </row>
        <row r="445">
          <cell r="A445" t="str">
            <v>GDP Deflator</v>
          </cell>
          <cell r="G445">
            <v>105.331180961136</v>
          </cell>
          <cell r="H445">
            <v>103.34510481374591</v>
          </cell>
          <cell r="I445">
            <v>104.93953273848355</v>
          </cell>
          <cell r="J445">
            <v>101.8636890494582</v>
          </cell>
          <cell r="K445">
            <v>99.39571940298471</v>
          </cell>
          <cell r="L445">
            <v>99.395498045834813</v>
          </cell>
          <cell r="M445">
            <v>101.21107638831508</v>
          </cell>
          <cell r="N445">
            <v>100.11723020754719</v>
          </cell>
          <cell r="O445">
            <v>99.085444653812132</v>
          </cell>
          <cell r="P445">
            <v>99.445380170116309</v>
          </cell>
          <cell r="Q445">
            <v>100.65838405849803</v>
          </cell>
          <cell r="R445">
            <v>99.840165403840629</v>
          </cell>
          <cell r="S445">
            <v>100.58561745835992</v>
          </cell>
          <cell r="T445">
            <v>100.31942582572795</v>
          </cell>
          <cell r="U445">
            <v>98.97705447301675</v>
          </cell>
          <cell r="V445">
            <v>100.19083569808996</v>
          </cell>
          <cell r="W445">
            <v>100.00000000000182</v>
          </cell>
          <cell r="X445">
            <v>102.5892806097601</v>
          </cell>
          <cell r="Y445">
            <v>101.07907006692265</v>
          </cell>
          <cell r="Z445">
            <v>99.862328876932892</v>
          </cell>
          <cell r="AA445">
            <v>102.68723765103363</v>
          </cell>
          <cell r="AB445">
            <v>101.57032171348415</v>
          </cell>
          <cell r="AC445">
            <v>101.70218141284153</v>
          </cell>
          <cell r="AD445">
            <v>102.33385210994041</v>
          </cell>
          <cell r="AE445">
            <v>103.10094077857292</v>
          </cell>
          <cell r="AF445">
            <v>105.45476223667995</v>
          </cell>
          <cell r="AG445">
            <v>103.25980405051843</v>
          </cell>
          <cell r="AH445">
            <v>105.5</v>
          </cell>
          <cell r="AI445">
            <v>106.6</v>
          </cell>
          <cell r="AJ445">
            <v>108.3</v>
          </cell>
          <cell r="AK445">
            <v>111.3</v>
          </cell>
          <cell r="AL445">
            <v>108.11197510385672</v>
          </cell>
          <cell r="AM445">
            <v>109.9</v>
          </cell>
          <cell r="AN445">
            <v>112.5</v>
          </cell>
          <cell r="AO445">
            <v>114.2</v>
          </cell>
          <cell r="AP445">
            <v>118.1</v>
          </cell>
          <cell r="AQ445">
            <v>113.95793462172024</v>
          </cell>
          <cell r="BL445">
            <v>0</v>
          </cell>
        </row>
        <row r="446">
          <cell r="A446" t="str">
            <v xml:space="preserve">  Year-over-Year growth in deflator</v>
          </cell>
          <cell r="H446">
            <v>-1.8855538590447307E-2</v>
          </cell>
          <cell r="M446">
            <v>-2.0649535643481931E-2</v>
          </cell>
          <cell r="N446">
            <v>-4.5953154212663216E-2</v>
          </cell>
          <cell r="O446">
            <v>-2.7274138817976024E-2</v>
          </cell>
          <cell r="P446">
            <v>4.9962681924209384E-4</v>
          </cell>
          <cell r="Q446">
            <v>1.2705666126657578E-2</v>
          </cell>
          <cell r="R446">
            <v>-1.3545068715747011E-2</v>
          </cell>
          <cell r="S446">
            <v>4.6783880241367815E-3</v>
          </cell>
          <cell r="T446">
            <v>1.2453707769361388E-2</v>
          </cell>
          <cell r="U446">
            <v>-4.709376104736207E-3</v>
          </cell>
          <cell r="V446">
            <v>-4.6449023077537177E-3</v>
          </cell>
          <cell r="W446">
            <v>1.6009047612719485E-3</v>
          </cell>
          <cell r="X446">
            <v>1.9919976653020477E-2</v>
          </cell>
          <cell r="Y446">
            <v>7.5722546749255049E-3</v>
          </cell>
          <cell r="Z446">
            <v>8.9442387291640557E-3</v>
          </cell>
          <cell r="AA446">
            <v>2.4916470009953784E-2</v>
          </cell>
          <cell r="AB446">
            <v>1.5703217134823033E-2</v>
          </cell>
          <cell r="AC446">
            <v>-8.6470944298070451E-3</v>
          </cell>
          <cell r="AD446">
            <v>1.241386611676365E-2</v>
          </cell>
          <cell r="AE446">
            <v>3.2430766817296952E-2</v>
          </cell>
          <cell r="AF446">
            <v>2.6951008216340666E-2</v>
          </cell>
          <cell r="AG446">
            <v>1.6633621992456327E-2</v>
          </cell>
          <cell r="AH446">
            <v>3.7342547961109362E-2</v>
          </cell>
          <cell r="AI446">
            <v>4.168853025757624E-2</v>
          </cell>
          <cell r="AJ446">
            <v>5.0426884392771543E-2</v>
          </cell>
          <cell r="AK446">
            <v>5.5428864845393555E-2</v>
          </cell>
          <cell r="AL446">
            <v>4.6989930863750695E-2</v>
          </cell>
          <cell r="AM446">
            <v>4.1706161137440745E-2</v>
          </cell>
          <cell r="AN446">
            <v>5.5347091932457904E-2</v>
          </cell>
          <cell r="AO446">
            <v>5.4478301015697284E-2</v>
          </cell>
          <cell r="AP446">
            <v>6.1096136567834636E-2</v>
          </cell>
          <cell r="AQ446">
            <v>5.4073191357827399E-2</v>
          </cell>
          <cell r="BL446">
            <v>0</v>
          </cell>
        </row>
        <row r="447">
          <cell r="BL447">
            <v>0</v>
          </cell>
        </row>
        <row r="448">
          <cell r="A448" t="str">
            <v>Total Average Positions</v>
          </cell>
          <cell r="BL448">
            <v>0</v>
          </cell>
        </row>
        <row r="449">
          <cell r="A449" t="str">
            <v>Average Tables</v>
          </cell>
          <cell r="BL449">
            <v>0</v>
          </cell>
        </row>
        <row r="450">
          <cell r="A450" t="str">
            <v>Casa Real Casino (SJM)</v>
          </cell>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70</v>
          </cell>
          <cell r="AF450">
            <v>70</v>
          </cell>
          <cell r="AG450">
            <v>35</v>
          </cell>
          <cell r="AH450">
            <v>70</v>
          </cell>
          <cell r="AI450">
            <v>70</v>
          </cell>
          <cell r="AJ450">
            <v>70</v>
          </cell>
          <cell r="AK450">
            <v>70</v>
          </cell>
          <cell r="AL450">
            <v>70</v>
          </cell>
          <cell r="AM450">
            <v>70</v>
          </cell>
          <cell r="AN450">
            <v>49</v>
          </cell>
          <cell r="AO450">
            <v>49</v>
          </cell>
          <cell r="AP450">
            <v>49</v>
          </cell>
          <cell r="AQ450">
            <v>54.25</v>
          </cell>
          <cell r="AR450">
            <v>71</v>
          </cell>
          <cell r="AS450">
            <v>71</v>
          </cell>
          <cell r="AT450">
            <v>71</v>
          </cell>
          <cell r="AU450">
            <v>71</v>
          </cell>
          <cell r="AV450">
            <v>71</v>
          </cell>
          <cell r="AW450">
            <v>71</v>
          </cell>
          <cell r="AX450">
            <v>71</v>
          </cell>
          <cell r="AY450">
            <v>71</v>
          </cell>
          <cell r="AZ450">
            <v>71</v>
          </cell>
          <cell r="BA450">
            <v>71</v>
          </cell>
          <cell r="BK450">
            <v>49</v>
          </cell>
          <cell r="BL450">
            <v>22</v>
          </cell>
        </row>
        <row r="451">
          <cell r="A451" t="str">
            <v>Casino Lisboa (SJM)</v>
          </cell>
          <cell r="B451">
            <v>146</v>
          </cell>
          <cell r="C451">
            <v>146</v>
          </cell>
          <cell r="D451">
            <v>146</v>
          </cell>
          <cell r="E451">
            <v>146</v>
          </cell>
          <cell r="F451">
            <v>146</v>
          </cell>
          <cell r="G451">
            <v>146</v>
          </cell>
          <cell r="H451">
            <v>146</v>
          </cell>
          <cell r="I451">
            <v>146</v>
          </cell>
          <cell r="J451">
            <v>146</v>
          </cell>
          <cell r="K451">
            <v>146</v>
          </cell>
          <cell r="L451">
            <v>146</v>
          </cell>
          <cell r="M451">
            <v>146</v>
          </cell>
          <cell r="N451">
            <v>146</v>
          </cell>
          <cell r="O451">
            <v>146</v>
          </cell>
          <cell r="P451">
            <v>146</v>
          </cell>
          <cell r="Q451">
            <v>146</v>
          </cell>
          <cell r="R451">
            <v>146</v>
          </cell>
          <cell r="S451">
            <v>146</v>
          </cell>
          <cell r="T451">
            <v>146</v>
          </cell>
          <cell r="U451">
            <v>146</v>
          </cell>
          <cell r="V451">
            <v>146</v>
          </cell>
          <cell r="W451">
            <v>146</v>
          </cell>
          <cell r="X451">
            <v>146</v>
          </cell>
          <cell r="Y451">
            <v>146</v>
          </cell>
          <cell r="Z451">
            <v>146</v>
          </cell>
          <cell r="AA451">
            <v>146</v>
          </cell>
          <cell r="AB451">
            <v>146</v>
          </cell>
          <cell r="AC451">
            <v>146</v>
          </cell>
          <cell r="AD451">
            <v>146</v>
          </cell>
          <cell r="AE451">
            <v>146</v>
          </cell>
          <cell r="AF451">
            <v>146</v>
          </cell>
          <cell r="AG451">
            <v>146</v>
          </cell>
          <cell r="AH451">
            <v>146</v>
          </cell>
          <cell r="AI451">
            <v>146</v>
          </cell>
          <cell r="AJ451">
            <v>146</v>
          </cell>
          <cell r="AK451">
            <v>146</v>
          </cell>
          <cell r="AL451">
            <v>146</v>
          </cell>
          <cell r="AM451">
            <v>146</v>
          </cell>
          <cell r="AN451">
            <v>260</v>
          </cell>
          <cell r="AO451">
            <v>260</v>
          </cell>
          <cell r="AP451">
            <v>260</v>
          </cell>
          <cell r="AQ451">
            <v>231.5</v>
          </cell>
          <cell r="AR451">
            <v>271</v>
          </cell>
          <cell r="AS451">
            <v>271</v>
          </cell>
          <cell r="AT451">
            <v>271</v>
          </cell>
          <cell r="AU451">
            <v>271</v>
          </cell>
          <cell r="AV451">
            <v>271</v>
          </cell>
          <cell r="AW451">
            <v>271</v>
          </cell>
          <cell r="AX451">
            <v>271</v>
          </cell>
          <cell r="AY451">
            <v>271</v>
          </cell>
          <cell r="AZ451">
            <v>271</v>
          </cell>
          <cell r="BA451">
            <v>271</v>
          </cell>
          <cell r="BK451">
            <v>260</v>
          </cell>
          <cell r="BL451">
            <v>11</v>
          </cell>
        </row>
        <row r="452">
          <cell r="A452" t="str">
            <v>Casino Macau Palace (SJM)</v>
          </cell>
          <cell r="B452">
            <v>12</v>
          </cell>
          <cell r="C452">
            <v>12</v>
          </cell>
          <cell r="D452">
            <v>12</v>
          </cell>
          <cell r="E452">
            <v>12</v>
          </cell>
          <cell r="F452">
            <v>12</v>
          </cell>
          <cell r="G452">
            <v>12</v>
          </cell>
          <cell r="H452">
            <v>12</v>
          </cell>
          <cell r="I452">
            <v>12</v>
          </cell>
          <cell r="J452">
            <v>12</v>
          </cell>
          <cell r="K452">
            <v>12</v>
          </cell>
          <cell r="L452">
            <v>12</v>
          </cell>
          <cell r="M452">
            <v>12</v>
          </cell>
          <cell r="N452">
            <v>12</v>
          </cell>
          <cell r="O452">
            <v>12</v>
          </cell>
          <cell r="P452">
            <v>12</v>
          </cell>
          <cell r="Q452">
            <v>12</v>
          </cell>
          <cell r="R452">
            <v>12</v>
          </cell>
          <cell r="S452">
            <v>12</v>
          </cell>
          <cell r="T452">
            <v>12</v>
          </cell>
          <cell r="U452">
            <v>12</v>
          </cell>
          <cell r="V452">
            <v>12</v>
          </cell>
          <cell r="W452">
            <v>12</v>
          </cell>
          <cell r="X452">
            <v>12</v>
          </cell>
          <cell r="Y452">
            <v>12</v>
          </cell>
          <cell r="Z452">
            <v>12</v>
          </cell>
          <cell r="AA452">
            <v>12</v>
          </cell>
          <cell r="AB452">
            <v>12</v>
          </cell>
          <cell r="AC452">
            <v>12</v>
          </cell>
          <cell r="AD452">
            <v>12</v>
          </cell>
          <cell r="AE452">
            <v>12</v>
          </cell>
          <cell r="AF452">
            <v>12</v>
          </cell>
          <cell r="AG452">
            <v>12</v>
          </cell>
          <cell r="AH452">
            <v>12</v>
          </cell>
          <cell r="AI452">
            <v>12</v>
          </cell>
          <cell r="AJ452">
            <v>12</v>
          </cell>
          <cell r="AK452">
            <v>12</v>
          </cell>
          <cell r="AL452">
            <v>12</v>
          </cell>
          <cell r="AM452">
            <v>12</v>
          </cell>
          <cell r="AN452">
            <v>25</v>
          </cell>
          <cell r="AO452">
            <v>25</v>
          </cell>
          <cell r="AP452">
            <v>25</v>
          </cell>
          <cell r="AQ452">
            <v>21.75</v>
          </cell>
          <cell r="AR452">
            <v>11</v>
          </cell>
          <cell r="AS452">
            <v>11</v>
          </cell>
          <cell r="AT452">
            <v>11</v>
          </cell>
          <cell r="AU452">
            <v>11</v>
          </cell>
          <cell r="AV452">
            <v>11</v>
          </cell>
          <cell r="AW452">
            <v>11</v>
          </cell>
          <cell r="AX452">
            <v>11</v>
          </cell>
          <cell r="AY452">
            <v>11</v>
          </cell>
          <cell r="AZ452">
            <v>11</v>
          </cell>
          <cell r="BA452">
            <v>11</v>
          </cell>
          <cell r="BK452">
            <v>25</v>
          </cell>
          <cell r="BL452">
            <v>-14</v>
          </cell>
        </row>
        <row r="453">
          <cell r="A453" t="str">
            <v>Casino Marina (SJM)</v>
          </cell>
          <cell r="B453">
            <v>20</v>
          </cell>
          <cell r="C453">
            <v>20</v>
          </cell>
          <cell r="D453">
            <v>20</v>
          </cell>
          <cell r="E453">
            <v>20</v>
          </cell>
          <cell r="F453">
            <v>20</v>
          </cell>
          <cell r="G453">
            <v>20</v>
          </cell>
          <cell r="H453">
            <v>20</v>
          </cell>
          <cell r="I453">
            <v>20</v>
          </cell>
          <cell r="J453">
            <v>20</v>
          </cell>
          <cell r="K453">
            <v>20</v>
          </cell>
          <cell r="L453">
            <v>20</v>
          </cell>
          <cell r="M453">
            <v>20</v>
          </cell>
          <cell r="N453">
            <v>20</v>
          </cell>
          <cell r="O453">
            <v>20</v>
          </cell>
          <cell r="P453">
            <v>20</v>
          </cell>
          <cell r="Q453">
            <v>20</v>
          </cell>
          <cell r="R453">
            <v>20</v>
          </cell>
          <cell r="S453">
            <v>20</v>
          </cell>
          <cell r="T453">
            <v>20</v>
          </cell>
          <cell r="U453">
            <v>20</v>
          </cell>
          <cell r="V453">
            <v>20</v>
          </cell>
          <cell r="W453">
            <v>20</v>
          </cell>
          <cell r="X453">
            <v>20</v>
          </cell>
          <cell r="Y453">
            <v>20</v>
          </cell>
          <cell r="Z453">
            <v>20</v>
          </cell>
          <cell r="AA453">
            <v>20</v>
          </cell>
          <cell r="AB453">
            <v>20</v>
          </cell>
          <cell r="AC453">
            <v>20</v>
          </cell>
          <cell r="AD453">
            <v>20</v>
          </cell>
          <cell r="AE453">
            <v>20</v>
          </cell>
          <cell r="AF453">
            <v>20</v>
          </cell>
          <cell r="AG453">
            <v>20</v>
          </cell>
          <cell r="AH453">
            <v>20</v>
          </cell>
          <cell r="AI453">
            <v>20</v>
          </cell>
          <cell r="AJ453">
            <v>20</v>
          </cell>
          <cell r="AK453">
            <v>20</v>
          </cell>
          <cell r="AL453">
            <v>20</v>
          </cell>
          <cell r="AM453">
            <v>20</v>
          </cell>
          <cell r="AN453">
            <v>20</v>
          </cell>
          <cell r="AO453">
            <v>20</v>
          </cell>
          <cell r="AP453">
            <v>20</v>
          </cell>
          <cell r="AQ453">
            <v>20</v>
          </cell>
          <cell r="AR453">
            <v>20</v>
          </cell>
          <cell r="AS453">
            <v>20</v>
          </cell>
          <cell r="AT453">
            <v>20</v>
          </cell>
          <cell r="AU453">
            <v>20</v>
          </cell>
          <cell r="AV453">
            <v>20</v>
          </cell>
          <cell r="AW453">
            <v>20</v>
          </cell>
          <cell r="AX453">
            <v>20</v>
          </cell>
          <cell r="AY453">
            <v>20</v>
          </cell>
          <cell r="AZ453">
            <v>20</v>
          </cell>
          <cell r="BA453">
            <v>20</v>
          </cell>
          <cell r="BK453">
            <v>20</v>
          </cell>
          <cell r="BL453">
            <v>0</v>
          </cell>
        </row>
        <row r="454">
          <cell r="A454" t="str">
            <v>Casino Taipa (SJM)</v>
          </cell>
          <cell r="B454">
            <v>8</v>
          </cell>
          <cell r="C454">
            <v>8</v>
          </cell>
          <cell r="D454">
            <v>8</v>
          </cell>
          <cell r="E454">
            <v>8</v>
          </cell>
          <cell r="F454">
            <v>8</v>
          </cell>
          <cell r="G454">
            <v>8</v>
          </cell>
          <cell r="H454">
            <v>8</v>
          </cell>
          <cell r="I454">
            <v>8</v>
          </cell>
          <cell r="J454">
            <v>8</v>
          </cell>
          <cell r="K454">
            <v>8</v>
          </cell>
          <cell r="L454">
            <v>8</v>
          </cell>
          <cell r="M454">
            <v>8</v>
          </cell>
          <cell r="N454">
            <v>8</v>
          </cell>
          <cell r="O454">
            <v>8</v>
          </cell>
          <cell r="P454">
            <v>8</v>
          </cell>
          <cell r="Q454">
            <v>8</v>
          </cell>
          <cell r="R454">
            <v>8</v>
          </cell>
          <cell r="S454">
            <v>8</v>
          </cell>
          <cell r="T454">
            <v>8</v>
          </cell>
          <cell r="U454">
            <v>8</v>
          </cell>
          <cell r="V454">
            <v>8</v>
          </cell>
          <cell r="W454">
            <v>8</v>
          </cell>
          <cell r="X454">
            <v>8</v>
          </cell>
          <cell r="Y454">
            <v>8</v>
          </cell>
          <cell r="Z454">
            <v>8</v>
          </cell>
          <cell r="AA454">
            <v>8</v>
          </cell>
          <cell r="AB454">
            <v>8</v>
          </cell>
          <cell r="AC454">
            <v>8</v>
          </cell>
          <cell r="AD454">
            <v>8</v>
          </cell>
          <cell r="AE454">
            <v>8</v>
          </cell>
          <cell r="AF454">
            <v>8</v>
          </cell>
          <cell r="AG454">
            <v>8</v>
          </cell>
          <cell r="AH454">
            <v>8</v>
          </cell>
          <cell r="AI454">
            <v>8</v>
          </cell>
          <cell r="AJ454">
            <v>8</v>
          </cell>
          <cell r="AK454">
            <v>8</v>
          </cell>
          <cell r="AL454">
            <v>8</v>
          </cell>
          <cell r="AM454">
            <v>8</v>
          </cell>
          <cell r="AN454">
            <v>8</v>
          </cell>
          <cell r="AO454">
            <v>8</v>
          </cell>
          <cell r="AP454">
            <v>8</v>
          </cell>
          <cell r="AQ454">
            <v>8</v>
          </cell>
          <cell r="AR454">
            <v>8</v>
          </cell>
          <cell r="AS454">
            <v>8</v>
          </cell>
          <cell r="AT454">
            <v>8</v>
          </cell>
          <cell r="AU454">
            <v>8</v>
          </cell>
          <cell r="AV454">
            <v>8</v>
          </cell>
          <cell r="AW454">
            <v>8</v>
          </cell>
          <cell r="AX454">
            <v>8</v>
          </cell>
          <cell r="AY454">
            <v>8</v>
          </cell>
          <cell r="AZ454">
            <v>8</v>
          </cell>
          <cell r="BA454">
            <v>8</v>
          </cell>
          <cell r="BK454">
            <v>8</v>
          </cell>
          <cell r="BL454">
            <v>0</v>
          </cell>
        </row>
        <row r="455">
          <cell r="A455" t="str">
            <v>Diamond Casino (SJM)</v>
          </cell>
          <cell r="B455">
            <v>6</v>
          </cell>
          <cell r="C455">
            <v>6</v>
          </cell>
          <cell r="D455">
            <v>6</v>
          </cell>
          <cell r="E455">
            <v>6</v>
          </cell>
          <cell r="F455">
            <v>6</v>
          </cell>
          <cell r="G455">
            <v>6</v>
          </cell>
          <cell r="H455">
            <v>6</v>
          </cell>
          <cell r="I455">
            <v>6</v>
          </cell>
          <cell r="J455">
            <v>6</v>
          </cell>
          <cell r="K455">
            <v>6</v>
          </cell>
          <cell r="L455">
            <v>6</v>
          </cell>
          <cell r="M455">
            <v>6</v>
          </cell>
          <cell r="N455">
            <v>6</v>
          </cell>
          <cell r="O455">
            <v>6</v>
          </cell>
          <cell r="P455">
            <v>6</v>
          </cell>
          <cell r="Q455">
            <v>6</v>
          </cell>
          <cell r="R455">
            <v>6</v>
          </cell>
          <cell r="S455">
            <v>6</v>
          </cell>
          <cell r="T455">
            <v>6</v>
          </cell>
          <cell r="U455">
            <v>6</v>
          </cell>
          <cell r="V455">
            <v>6</v>
          </cell>
          <cell r="W455">
            <v>6</v>
          </cell>
          <cell r="X455">
            <v>6</v>
          </cell>
          <cell r="Y455">
            <v>6</v>
          </cell>
          <cell r="Z455">
            <v>6</v>
          </cell>
          <cell r="AA455">
            <v>6</v>
          </cell>
          <cell r="AB455">
            <v>6</v>
          </cell>
          <cell r="AC455">
            <v>6</v>
          </cell>
          <cell r="AD455">
            <v>6</v>
          </cell>
          <cell r="AE455">
            <v>6</v>
          </cell>
          <cell r="AF455">
            <v>6</v>
          </cell>
          <cell r="AG455">
            <v>6</v>
          </cell>
          <cell r="AH455">
            <v>6</v>
          </cell>
          <cell r="AI455">
            <v>6</v>
          </cell>
          <cell r="AJ455">
            <v>6</v>
          </cell>
          <cell r="AK455">
            <v>6</v>
          </cell>
          <cell r="AL455">
            <v>6</v>
          </cell>
          <cell r="AM455">
            <v>52</v>
          </cell>
          <cell r="AN455">
            <v>54</v>
          </cell>
          <cell r="AO455">
            <v>54</v>
          </cell>
          <cell r="AP455">
            <v>54</v>
          </cell>
          <cell r="AQ455">
            <v>53.5</v>
          </cell>
          <cell r="AR455">
            <v>54</v>
          </cell>
          <cell r="AS455">
            <v>54</v>
          </cell>
          <cell r="AT455">
            <v>54</v>
          </cell>
          <cell r="AU455">
            <v>54</v>
          </cell>
          <cell r="AV455">
            <v>54</v>
          </cell>
          <cell r="AW455">
            <v>54</v>
          </cell>
          <cell r="AX455">
            <v>54</v>
          </cell>
          <cell r="AY455">
            <v>54</v>
          </cell>
          <cell r="AZ455">
            <v>54</v>
          </cell>
          <cell r="BA455">
            <v>54</v>
          </cell>
          <cell r="BK455">
            <v>54</v>
          </cell>
          <cell r="BL455">
            <v>0</v>
          </cell>
        </row>
        <row r="456">
          <cell r="A456" t="str">
            <v>Golden Dragon (SJM)</v>
          </cell>
          <cell r="B456">
            <v>0</v>
          </cell>
          <cell r="C456">
            <v>0</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70</v>
          </cell>
          <cell r="AI456">
            <v>70</v>
          </cell>
          <cell r="AJ456">
            <v>70</v>
          </cell>
          <cell r="AK456">
            <v>70</v>
          </cell>
          <cell r="AL456">
            <v>70</v>
          </cell>
          <cell r="AM456">
            <v>70</v>
          </cell>
          <cell r="AN456">
            <v>90</v>
          </cell>
          <cell r="AO456">
            <v>90</v>
          </cell>
          <cell r="AP456">
            <v>90</v>
          </cell>
          <cell r="AQ456">
            <v>85</v>
          </cell>
          <cell r="AR456">
            <v>79</v>
          </cell>
          <cell r="AS456">
            <v>79</v>
          </cell>
          <cell r="AT456">
            <v>79</v>
          </cell>
          <cell r="AU456">
            <v>79</v>
          </cell>
          <cell r="AV456">
            <v>79</v>
          </cell>
          <cell r="AW456">
            <v>79</v>
          </cell>
          <cell r="AX456">
            <v>79</v>
          </cell>
          <cell r="AY456">
            <v>79</v>
          </cell>
          <cell r="AZ456">
            <v>79</v>
          </cell>
          <cell r="BA456">
            <v>79</v>
          </cell>
          <cell r="BK456">
            <v>90</v>
          </cell>
          <cell r="BL456">
            <v>-11</v>
          </cell>
        </row>
        <row r="457">
          <cell r="A457" t="str">
            <v>Greek Mythology Casino (SJM)</v>
          </cell>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22.304347826086957</v>
          </cell>
          <cell r="AG457">
            <v>5.5760869565217392</v>
          </cell>
          <cell r="AH457">
            <v>228</v>
          </cell>
          <cell r="AI457">
            <v>228</v>
          </cell>
          <cell r="AJ457">
            <v>228</v>
          </cell>
          <cell r="AK457">
            <v>228</v>
          </cell>
          <cell r="AL457">
            <v>228</v>
          </cell>
          <cell r="AM457">
            <v>228</v>
          </cell>
          <cell r="AN457">
            <v>228</v>
          </cell>
          <cell r="AO457">
            <v>228</v>
          </cell>
          <cell r="AP457">
            <v>228</v>
          </cell>
          <cell r="AQ457">
            <v>228</v>
          </cell>
          <cell r="AR457">
            <v>120</v>
          </cell>
          <cell r="AS457">
            <v>120</v>
          </cell>
          <cell r="AT457">
            <v>120</v>
          </cell>
          <cell r="AU457">
            <v>120</v>
          </cell>
          <cell r="AV457">
            <v>120</v>
          </cell>
          <cell r="AW457">
            <v>120</v>
          </cell>
          <cell r="AX457">
            <v>120</v>
          </cell>
          <cell r="AY457">
            <v>120</v>
          </cell>
          <cell r="AZ457">
            <v>120</v>
          </cell>
          <cell r="BA457">
            <v>120</v>
          </cell>
          <cell r="BK457">
            <v>228</v>
          </cell>
          <cell r="BL457">
            <v>-108</v>
          </cell>
        </row>
        <row r="458">
          <cell r="A458" t="str">
            <v>Hotel Fortuna Casino (SJM)</v>
          </cell>
          <cell r="B458">
            <v>0</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20.611111111111111</v>
          </cell>
          <cell r="AI458">
            <v>35</v>
          </cell>
          <cell r="AJ458">
            <v>35</v>
          </cell>
          <cell r="AK458">
            <v>35</v>
          </cell>
          <cell r="AL458">
            <v>31.402777777777779</v>
          </cell>
          <cell r="AM458">
            <v>35</v>
          </cell>
          <cell r="AN458">
            <v>40</v>
          </cell>
          <cell r="AO458">
            <v>40</v>
          </cell>
          <cell r="AP458">
            <v>40</v>
          </cell>
          <cell r="AQ458">
            <v>38.75</v>
          </cell>
          <cell r="AR458">
            <v>45</v>
          </cell>
          <cell r="AS458">
            <v>45</v>
          </cell>
          <cell r="AT458">
            <v>45</v>
          </cell>
          <cell r="AU458">
            <v>45</v>
          </cell>
          <cell r="AV458">
            <v>45</v>
          </cell>
          <cell r="AW458">
            <v>45</v>
          </cell>
          <cell r="AX458">
            <v>45</v>
          </cell>
          <cell r="AY458">
            <v>45</v>
          </cell>
          <cell r="AZ458">
            <v>45</v>
          </cell>
          <cell r="BA458">
            <v>45</v>
          </cell>
          <cell r="BK458">
            <v>40</v>
          </cell>
          <cell r="BL458">
            <v>5</v>
          </cell>
        </row>
        <row r="459">
          <cell r="A459" t="str">
            <v>Jai Alai Casino (SJM)</v>
          </cell>
          <cell r="B459">
            <v>59</v>
          </cell>
          <cell r="C459">
            <v>59</v>
          </cell>
          <cell r="D459">
            <v>59</v>
          </cell>
          <cell r="E459">
            <v>59</v>
          </cell>
          <cell r="F459">
            <v>59</v>
          </cell>
          <cell r="G459">
            <v>59</v>
          </cell>
          <cell r="H459">
            <v>59</v>
          </cell>
          <cell r="I459">
            <v>59</v>
          </cell>
          <cell r="J459">
            <v>59</v>
          </cell>
          <cell r="K459">
            <v>59</v>
          </cell>
          <cell r="L459">
            <v>59</v>
          </cell>
          <cell r="M459">
            <v>59</v>
          </cell>
          <cell r="N459">
            <v>59</v>
          </cell>
          <cell r="O459">
            <v>59</v>
          </cell>
          <cell r="P459">
            <v>59</v>
          </cell>
          <cell r="Q459">
            <v>59</v>
          </cell>
          <cell r="R459">
            <v>59</v>
          </cell>
          <cell r="S459">
            <v>59</v>
          </cell>
          <cell r="T459">
            <v>59</v>
          </cell>
          <cell r="U459">
            <v>59</v>
          </cell>
          <cell r="V459">
            <v>59</v>
          </cell>
          <cell r="W459">
            <v>59</v>
          </cell>
          <cell r="X459">
            <v>59</v>
          </cell>
          <cell r="Y459">
            <v>59</v>
          </cell>
          <cell r="Z459">
            <v>59</v>
          </cell>
          <cell r="AA459">
            <v>59</v>
          </cell>
          <cell r="AB459">
            <v>59</v>
          </cell>
          <cell r="AC459">
            <v>59</v>
          </cell>
          <cell r="AD459">
            <v>59</v>
          </cell>
          <cell r="AE459">
            <v>59</v>
          </cell>
          <cell r="AF459">
            <v>59</v>
          </cell>
          <cell r="AG459">
            <v>59</v>
          </cell>
          <cell r="AH459">
            <v>59</v>
          </cell>
          <cell r="AI459">
            <v>59</v>
          </cell>
          <cell r="AJ459">
            <v>59</v>
          </cell>
          <cell r="AK459">
            <v>59</v>
          </cell>
          <cell r="AL459">
            <v>59</v>
          </cell>
          <cell r="AM459">
            <v>59</v>
          </cell>
          <cell r="AN459">
            <v>116</v>
          </cell>
          <cell r="AO459">
            <v>116</v>
          </cell>
          <cell r="AP459">
            <v>116</v>
          </cell>
          <cell r="AQ459">
            <v>101.75</v>
          </cell>
          <cell r="AR459">
            <v>90</v>
          </cell>
          <cell r="AS459">
            <v>90</v>
          </cell>
          <cell r="AT459">
            <v>90</v>
          </cell>
          <cell r="AU459">
            <v>90</v>
          </cell>
          <cell r="AV459">
            <v>90</v>
          </cell>
          <cell r="AW459">
            <v>0</v>
          </cell>
          <cell r="AX459">
            <v>0</v>
          </cell>
          <cell r="AY459">
            <v>0</v>
          </cell>
          <cell r="AZ459">
            <v>0</v>
          </cell>
          <cell r="BA459">
            <v>0</v>
          </cell>
          <cell r="BK459">
            <v>116</v>
          </cell>
          <cell r="BL459">
            <v>-26</v>
          </cell>
        </row>
        <row r="460">
          <cell r="A460" t="str">
            <v>Kam Pek Casino (SJM)</v>
          </cell>
          <cell r="B460">
            <v>24</v>
          </cell>
          <cell r="C460">
            <v>24</v>
          </cell>
          <cell r="D460">
            <v>24</v>
          </cell>
          <cell r="E460">
            <v>24</v>
          </cell>
          <cell r="F460">
            <v>24</v>
          </cell>
          <cell r="G460">
            <v>24</v>
          </cell>
          <cell r="H460">
            <v>24</v>
          </cell>
          <cell r="I460">
            <v>24</v>
          </cell>
          <cell r="J460">
            <v>24</v>
          </cell>
          <cell r="K460">
            <v>24</v>
          </cell>
          <cell r="L460">
            <v>24</v>
          </cell>
          <cell r="M460">
            <v>24</v>
          </cell>
          <cell r="N460">
            <v>24</v>
          </cell>
          <cell r="O460">
            <v>24</v>
          </cell>
          <cell r="P460">
            <v>24</v>
          </cell>
          <cell r="Q460">
            <v>24</v>
          </cell>
          <cell r="R460">
            <v>24</v>
          </cell>
          <cell r="S460">
            <v>24</v>
          </cell>
          <cell r="T460">
            <v>24</v>
          </cell>
          <cell r="U460">
            <v>24</v>
          </cell>
          <cell r="V460">
            <v>24</v>
          </cell>
          <cell r="W460">
            <v>24</v>
          </cell>
          <cell r="X460">
            <v>24</v>
          </cell>
          <cell r="Y460">
            <v>24</v>
          </cell>
          <cell r="Z460">
            <v>24</v>
          </cell>
          <cell r="AA460">
            <v>24</v>
          </cell>
          <cell r="AB460">
            <v>24</v>
          </cell>
          <cell r="AC460">
            <v>24</v>
          </cell>
          <cell r="AD460">
            <v>24</v>
          </cell>
          <cell r="AE460">
            <v>24</v>
          </cell>
          <cell r="AF460">
            <v>24</v>
          </cell>
          <cell r="AG460">
            <v>24</v>
          </cell>
          <cell r="AH460">
            <v>24</v>
          </cell>
          <cell r="AI460">
            <v>36.666666666666671</v>
          </cell>
          <cell r="AJ460">
            <v>62</v>
          </cell>
          <cell r="AK460">
            <v>62</v>
          </cell>
          <cell r="AL460">
            <v>46.166666666666671</v>
          </cell>
          <cell r="AM460">
            <v>62</v>
          </cell>
          <cell r="AN460">
            <v>67</v>
          </cell>
          <cell r="AO460">
            <v>67</v>
          </cell>
          <cell r="AP460">
            <v>67</v>
          </cell>
          <cell r="AQ460">
            <v>65.75</v>
          </cell>
          <cell r="AR460">
            <v>84</v>
          </cell>
          <cell r="AS460">
            <v>84</v>
          </cell>
          <cell r="AT460">
            <v>84</v>
          </cell>
          <cell r="AU460">
            <v>84</v>
          </cell>
          <cell r="AV460">
            <v>84</v>
          </cell>
          <cell r="AW460">
            <v>84</v>
          </cell>
          <cell r="AX460">
            <v>84</v>
          </cell>
          <cell r="AY460">
            <v>84</v>
          </cell>
          <cell r="AZ460">
            <v>84</v>
          </cell>
          <cell r="BA460">
            <v>84</v>
          </cell>
          <cell r="BK460">
            <v>67</v>
          </cell>
          <cell r="BL460">
            <v>17</v>
          </cell>
        </row>
        <row r="461">
          <cell r="A461" t="str">
            <v>Kingsway Hotel &amp; Casino (SJM)</v>
          </cell>
          <cell r="B461">
            <v>8</v>
          </cell>
          <cell r="C461">
            <v>8</v>
          </cell>
          <cell r="D461">
            <v>8</v>
          </cell>
          <cell r="E461">
            <v>8</v>
          </cell>
          <cell r="F461">
            <v>8</v>
          </cell>
          <cell r="G461">
            <v>8</v>
          </cell>
          <cell r="H461">
            <v>8</v>
          </cell>
          <cell r="I461">
            <v>8</v>
          </cell>
          <cell r="J461">
            <v>8</v>
          </cell>
          <cell r="K461">
            <v>8</v>
          </cell>
          <cell r="L461">
            <v>8</v>
          </cell>
          <cell r="M461">
            <v>8</v>
          </cell>
          <cell r="N461">
            <v>8</v>
          </cell>
          <cell r="O461">
            <v>8</v>
          </cell>
          <cell r="P461">
            <v>8</v>
          </cell>
          <cell r="Q461">
            <v>8</v>
          </cell>
          <cell r="R461">
            <v>8</v>
          </cell>
          <cell r="S461">
            <v>8</v>
          </cell>
          <cell r="T461">
            <v>8</v>
          </cell>
          <cell r="U461">
            <v>8</v>
          </cell>
          <cell r="V461">
            <v>8</v>
          </cell>
          <cell r="W461">
            <v>8</v>
          </cell>
          <cell r="X461">
            <v>8</v>
          </cell>
          <cell r="Y461">
            <v>8</v>
          </cell>
          <cell r="Z461">
            <v>8</v>
          </cell>
          <cell r="AA461">
            <v>8</v>
          </cell>
          <cell r="AB461">
            <v>8</v>
          </cell>
          <cell r="AC461">
            <v>8</v>
          </cell>
          <cell r="AD461">
            <v>8</v>
          </cell>
          <cell r="AE461">
            <v>8</v>
          </cell>
          <cell r="AF461">
            <v>8</v>
          </cell>
          <cell r="AG461">
            <v>8</v>
          </cell>
          <cell r="AH461">
            <v>8</v>
          </cell>
          <cell r="AI461">
            <v>8</v>
          </cell>
          <cell r="AJ461">
            <v>8</v>
          </cell>
          <cell r="AK461">
            <v>8</v>
          </cell>
          <cell r="AL461">
            <v>8</v>
          </cell>
          <cell r="AM461">
            <v>8</v>
          </cell>
          <cell r="AN461">
            <v>9</v>
          </cell>
          <cell r="AO461">
            <v>9</v>
          </cell>
          <cell r="AP461">
            <v>9</v>
          </cell>
          <cell r="AQ461">
            <v>8.75</v>
          </cell>
          <cell r="AR461">
            <v>8</v>
          </cell>
          <cell r="AS461">
            <v>8</v>
          </cell>
          <cell r="AT461">
            <v>8</v>
          </cell>
          <cell r="AU461">
            <v>8</v>
          </cell>
          <cell r="AV461">
            <v>8</v>
          </cell>
          <cell r="AW461">
            <v>8</v>
          </cell>
          <cell r="AX461">
            <v>8</v>
          </cell>
          <cell r="AY461">
            <v>8</v>
          </cell>
          <cell r="AZ461">
            <v>8</v>
          </cell>
          <cell r="BA461">
            <v>8</v>
          </cell>
          <cell r="BK461">
            <v>9</v>
          </cell>
          <cell r="BL461">
            <v>-1</v>
          </cell>
        </row>
        <row r="462">
          <cell r="A462" t="str">
            <v>Macau Jockey Club (MJC) Casino (SJM)</v>
          </cell>
          <cell r="B462">
            <v>13</v>
          </cell>
          <cell r="C462">
            <v>13</v>
          </cell>
          <cell r="D462">
            <v>13</v>
          </cell>
          <cell r="E462">
            <v>13</v>
          </cell>
          <cell r="F462">
            <v>13</v>
          </cell>
          <cell r="G462">
            <v>13</v>
          </cell>
          <cell r="H462">
            <v>13</v>
          </cell>
          <cell r="I462">
            <v>13</v>
          </cell>
          <cell r="J462">
            <v>13</v>
          </cell>
          <cell r="K462">
            <v>13</v>
          </cell>
          <cell r="L462">
            <v>13</v>
          </cell>
          <cell r="M462">
            <v>13</v>
          </cell>
          <cell r="N462">
            <v>13</v>
          </cell>
          <cell r="O462">
            <v>13</v>
          </cell>
          <cell r="P462">
            <v>13</v>
          </cell>
          <cell r="Q462">
            <v>13</v>
          </cell>
          <cell r="R462">
            <v>13</v>
          </cell>
          <cell r="S462">
            <v>13</v>
          </cell>
          <cell r="T462">
            <v>13</v>
          </cell>
          <cell r="U462">
            <v>13</v>
          </cell>
          <cell r="V462">
            <v>13</v>
          </cell>
          <cell r="W462">
            <v>13</v>
          </cell>
          <cell r="X462">
            <v>13</v>
          </cell>
          <cell r="Y462">
            <v>13</v>
          </cell>
          <cell r="Z462">
            <v>13</v>
          </cell>
          <cell r="AA462">
            <v>13</v>
          </cell>
          <cell r="AB462">
            <v>13</v>
          </cell>
          <cell r="AC462">
            <v>13</v>
          </cell>
          <cell r="AD462">
            <v>13</v>
          </cell>
          <cell r="AE462">
            <v>13</v>
          </cell>
          <cell r="AF462">
            <v>13</v>
          </cell>
          <cell r="AG462">
            <v>13</v>
          </cell>
          <cell r="AH462">
            <v>13</v>
          </cell>
          <cell r="AI462">
            <v>13</v>
          </cell>
          <cell r="AJ462">
            <v>51</v>
          </cell>
          <cell r="AK462">
            <v>51</v>
          </cell>
          <cell r="AL462">
            <v>32</v>
          </cell>
          <cell r="AM462">
            <v>51</v>
          </cell>
          <cell r="AN462">
            <v>21</v>
          </cell>
          <cell r="AO462">
            <v>21</v>
          </cell>
          <cell r="AP462">
            <v>21</v>
          </cell>
          <cell r="AQ462">
            <v>28.5</v>
          </cell>
          <cell r="AR462">
            <v>49</v>
          </cell>
          <cell r="AS462">
            <v>49</v>
          </cell>
          <cell r="AT462">
            <v>49</v>
          </cell>
          <cell r="AU462">
            <v>49</v>
          </cell>
          <cell r="AV462">
            <v>49</v>
          </cell>
          <cell r="AW462">
            <v>49</v>
          </cell>
          <cell r="AX462">
            <v>49</v>
          </cell>
          <cell r="AY462">
            <v>49</v>
          </cell>
          <cell r="AZ462">
            <v>49</v>
          </cell>
          <cell r="BA462">
            <v>49</v>
          </cell>
          <cell r="BK462">
            <v>21</v>
          </cell>
          <cell r="BL462">
            <v>28</v>
          </cell>
        </row>
        <row r="463">
          <cell r="A463" t="str">
            <v>Mandarin Oriental Casino (SJM)</v>
          </cell>
          <cell r="B463">
            <v>11</v>
          </cell>
          <cell r="C463">
            <v>11</v>
          </cell>
          <cell r="D463">
            <v>11</v>
          </cell>
          <cell r="E463">
            <v>11</v>
          </cell>
          <cell r="F463">
            <v>11</v>
          </cell>
          <cell r="G463">
            <v>11</v>
          </cell>
          <cell r="H463">
            <v>11</v>
          </cell>
          <cell r="I463">
            <v>11</v>
          </cell>
          <cell r="J463">
            <v>11</v>
          </cell>
          <cell r="K463">
            <v>11</v>
          </cell>
          <cell r="L463">
            <v>11</v>
          </cell>
          <cell r="M463">
            <v>11</v>
          </cell>
          <cell r="N463">
            <v>11</v>
          </cell>
          <cell r="O463">
            <v>11</v>
          </cell>
          <cell r="P463">
            <v>11</v>
          </cell>
          <cell r="Q463">
            <v>11</v>
          </cell>
          <cell r="R463">
            <v>11</v>
          </cell>
          <cell r="S463">
            <v>11</v>
          </cell>
          <cell r="T463">
            <v>11</v>
          </cell>
          <cell r="U463">
            <v>11</v>
          </cell>
          <cell r="V463">
            <v>11</v>
          </cell>
          <cell r="W463">
            <v>11</v>
          </cell>
          <cell r="X463">
            <v>11</v>
          </cell>
          <cell r="Y463">
            <v>11</v>
          </cell>
          <cell r="Z463">
            <v>11</v>
          </cell>
          <cell r="AA463">
            <v>11</v>
          </cell>
          <cell r="AB463">
            <v>11</v>
          </cell>
          <cell r="AC463">
            <v>11</v>
          </cell>
          <cell r="AD463">
            <v>11</v>
          </cell>
          <cell r="AE463">
            <v>11</v>
          </cell>
          <cell r="AF463">
            <v>11</v>
          </cell>
          <cell r="AG463">
            <v>11</v>
          </cell>
          <cell r="AH463">
            <v>11</v>
          </cell>
          <cell r="AI463">
            <v>11</v>
          </cell>
          <cell r="AJ463">
            <v>11</v>
          </cell>
          <cell r="AK463">
            <v>11</v>
          </cell>
          <cell r="AL463">
            <v>11</v>
          </cell>
          <cell r="AM463">
            <v>11</v>
          </cell>
          <cell r="AN463">
            <v>13</v>
          </cell>
          <cell r="AO463">
            <v>13</v>
          </cell>
          <cell r="AP463">
            <v>13</v>
          </cell>
          <cell r="AQ463">
            <v>12.5</v>
          </cell>
          <cell r="AR463">
            <v>25</v>
          </cell>
          <cell r="AS463">
            <v>25</v>
          </cell>
          <cell r="AT463">
            <v>25</v>
          </cell>
          <cell r="AU463">
            <v>25</v>
          </cell>
          <cell r="AV463">
            <v>25</v>
          </cell>
          <cell r="AW463">
            <v>25</v>
          </cell>
          <cell r="AX463">
            <v>25</v>
          </cell>
          <cell r="AY463">
            <v>25</v>
          </cell>
          <cell r="AZ463">
            <v>25</v>
          </cell>
          <cell r="BA463">
            <v>25</v>
          </cell>
          <cell r="BK463">
            <v>13</v>
          </cell>
          <cell r="BL463">
            <v>12</v>
          </cell>
        </row>
        <row r="464">
          <cell r="A464" t="str">
            <v>New Century Casino (SJM)</v>
          </cell>
          <cell r="B464">
            <v>34</v>
          </cell>
          <cell r="C464">
            <v>34</v>
          </cell>
          <cell r="D464">
            <v>34</v>
          </cell>
          <cell r="E464">
            <v>34</v>
          </cell>
          <cell r="F464">
            <v>34</v>
          </cell>
          <cell r="G464">
            <v>34</v>
          </cell>
          <cell r="H464">
            <v>34</v>
          </cell>
          <cell r="I464">
            <v>34</v>
          </cell>
          <cell r="J464">
            <v>34</v>
          </cell>
          <cell r="K464">
            <v>34</v>
          </cell>
          <cell r="L464">
            <v>34</v>
          </cell>
          <cell r="M464">
            <v>34</v>
          </cell>
          <cell r="N464">
            <v>34</v>
          </cell>
          <cell r="O464">
            <v>34</v>
          </cell>
          <cell r="P464">
            <v>34</v>
          </cell>
          <cell r="Q464">
            <v>34</v>
          </cell>
          <cell r="R464">
            <v>34</v>
          </cell>
          <cell r="S464">
            <v>34</v>
          </cell>
          <cell r="T464">
            <v>34</v>
          </cell>
          <cell r="U464">
            <v>34</v>
          </cell>
          <cell r="V464">
            <v>34</v>
          </cell>
          <cell r="W464">
            <v>34</v>
          </cell>
          <cell r="X464">
            <v>34</v>
          </cell>
          <cell r="Y464">
            <v>34</v>
          </cell>
          <cell r="Z464">
            <v>34</v>
          </cell>
          <cell r="AA464">
            <v>34</v>
          </cell>
          <cell r="AB464">
            <v>34</v>
          </cell>
          <cell r="AC464">
            <v>34</v>
          </cell>
          <cell r="AD464">
            <v>34</v>
          </cell>
          <cell r="AE464">
            <v>34</v>
          </cell>
          <cell r="AF464">
            <v>0</v>
          </cell>
          <cell r="AG464">
            <v>25.5</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K464">
            <v>0</v>
          </cell>
          <cell r="BL464">
            <v>0</v>
          </cell>
        </row>
        <row r="465">
          <cell r="A465" t="str">
            <v>Pharoh's Palace &amp; Legend Club (SJM)</v>
          </cell>
          <cell r="B465">
            <v>0</v>
          </cell>
          <cell r="C465">
            <v>0</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100</v>
          </cell>
          <cell r="Y465">
            <v>100</v>
          </cell>
          <cell r="Z465">
            <v>100</v>
          </cell>
          <cell r="AA465">
            <v>100</v>
          </cell>
          <cell r="AB465">
            <v>100</v>
          </cell>
          <cell r="AC465">
            <v>100</v>
          </cell>
          <cell r="AD465">
            <v>100</v>
          </cell>
          <cell r="AE465">
            <v>100</v>
          </cell>
          <cell r="AF465">
            <v>100</v>
          </cell>
          <cell r="AG465">
            <v>100</v>
          </cell>
          <cell r="AH465">
            <v>100</v>
          </cell>
          <cell r="AI465">
            <v>100</v>
          </cell>
          <cell r="AJ465">
            <v>100</v>
          </cell>
          <cell r="AK465">
            <v>100</v>
          </cell>
          <cell r="AL465">
            <v>100</v>
          </cell>
          <cell r="AM465">
            <v>100</v>
          </cell>
          <cell r="AN465">
            <v>103</v>
          </cell>
          <cell r="AO465">
            <v>103</v>
          </cell>
          <cell r="AP465">
            <v>103</v>
          </cell>
          <cell r="AQ465">
            <v>102.25</v>
          </cell>
          <cell r="AR465">
            <v>118</v>
          </cell>
          <cell r="AS465">
            <v>118</v>
          </cell>
          <cell r="AT465">
            <v>118</v>
          </cell>
          <cell r="AU465">
            <v>118</v>
          </cell>
          <cell r="AV465">
            <v>118</v>
          </cell>
          <cell r="AW465">
            <v>118</v>
          </cell>
          <cell r="AX465">
            <v>118</v>
          </cell>
          <cell r="AY465">
            <v>118</v>
          </cell>
          <cell r="AZ465">
            <v>118</v>
          </cell>
          <cell r="BA465">
            <v>118</v>
          </cell>
          <cell r="BK465">
            <v>103</v>
          </cell>
          <cell r="BL465">
            <v>15</v>
          </cell>
        </row>
        <row r="466">
          <cell r="A466" t="str">
            <v>Hotel Emperor Casino (SJM)</v>
          </cell>
          <cell r="B466">
            <v>0</v>
          </cell>
          <cell r="C466">
            <v>0</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86</v>
          </cell>
          <cell r="AN466">
            <v>86</v>
          </cell>
          <cell r="AO466">
            <v>86</v>
          </cell>
          <cell r="AP466">
            <v>86</v>
          </cell>
          <cell r="AQ466">
            <v>86</v>
          </cell>
          <cell r="AR466">
            <v>76</v>
          </cell>
          <cell r="AS466">
            <v>100</v>
          </cell>
          <cell r="AT466">
            <v>100</v>
          </cell>
          <cell r="AU466">
            <v>100</v>
          </cell>
          <cell r="AV466">
            <v>94</v>
          </cell>
          <cell r="AW466">
            <v>100</v>
          </cell>
          <cell r="AX466">
            <v>100</v>
          </cell>
          <cell r="AY466">
            <v>100</v>
          </cell>
          <cell r="AZ466">
            <v>100</v>
          </cell>
          <cell r="BA466">
            <v>100</v>
          </cell>
          <cell r="BK466">
            <v>100</v>
          </cell>
          <cell r="BL466">
            <v>-6</v>
          </cell>
        </row>
        <row r="467">
          <cell r="A467" t="str">
            <v>Ponte 16 (SJM)</v>
          </cell>
          <cell r="B467">
            <v>0</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174</v>
          </cell>
          <cell r="AU467">
            <v>174</v>
          </cell>
          <cell r="AV467">
            <v>87</v>
          </cell>
          <cell r="AW467">
            <v>174</v>
          </cell>
          <cell r="AX467">
            <v>174</v>
          </cell>
          <cell r="AY467">
            <v>174</v>
          </cell>
          <cell r="AZ467">
            <v>174</v>
          </cell>
          <cell r="BA467">
            <v>174</v>
          </cell>
          <cell r="BK467">
            <v>87</v>
          </cell>
          <cell r="BL467">
            <v>0</v>
          </cell>
        </row>
        <row r="468">
          <cell r="A468" t="str">
            <v>Grand Lisboa (SJM)</v>
          </cell>
          <cell r="B468">
            <v>0</v>
          </cell>
          <cell r="C468">
            <v>0</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120</v>
          </cell>
          <cell r="AS468">
            <v>240</v>
          </cell>
          <cell r="AT468">
            <v>270</v>
          </cell>
          <cell r="AU468">
            <v>270</v>
          </cell>
          <cell r="AV468">
            <v>225</v>
          </cell>
          <cell r="AW468">
            <v>270</v>
          </cell>
          <cell r="AX468">
            <v>270</v>
          </cell>
          <cell r="AY468">
            <v>270</v>
          </cell>
          <cell r="AZ468">
            <v>270</v>
          </cell>
          <cell r="BA468">
            <v>270</v>
          </cell>
          <cell r="BK468">
            <v>500</v>
          </cell>
          <cell r="BL468">
            <v>-275</v>
          </cell>
        </row>
        <row r="469">
          <cell r="A469" t="str">
            <v>Babylon at Fisherman's Wharf (SJM)</v>
          </cell>
          <cell r="B469">
            <v>0</v>
          </cell>
          <cell r="C469">
            <v>0</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7.8260869565217392</v>
          </cell>
          <cell r="AQ469">
            <v>1.9565217391304348</v>
          </cell>
          <cell r="AR469">
            <v>78</v>
          </cell>
          <cell r="AS469">
            <v>78</v>
          </cell>
          <cell r="AT469">
            <v>78</v>
          </cell>
          <cell r="AU469">
            <v>100</v>
          </cell>
          <cell r="AV469">
            <v>83.5</v>
          </cell>
          <cell r="AW469">
            <v>100</v>
          </cell>
          <cell r="AX469">
            <v>100</v>
          </cell>
          <cell r="AY469">
            <v>100</v>
          </cell>
          <cell r="AZ469">
            <v>100</v>
          </cell>
          <cell r="BA469">
            <v>100</v>
          </cell>
          <cell r="BK469">
            <v>50</v>
          </cell>
          <cell r="BL469">
            <v>33.5</v>
          </cell>
        </row>
        <row r="470">
          <cell r="A470" t="str">
            <v>Arc de Triomphe (SJM)</v>
          </cell>
          <cell r="B470">
            <v>0</v>
          </cell>
          <cell r="C470">
            <v>0</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100</v>
          </cell>
          <cell r="AX470">
            <v>100</v>
          </cell>
          <cell r="AY470">
            <v>100</v>
          </cell>
          <cell r="AZ470">
            <v>100</v>
          </cell>
          <cell r="BA470">
            <v>100</v>
          </cell>
          <cell r="BK470">
            <v>0</v>
          </cell>
          <cell r="BL470">
            <v>0</v>
          </cell>
        </row>
        <row r="471">
          <cell r="A471" t="str">
            <v>Oceanus (SJM)</v>
          </cell>
          <cell r="B471">
            <v>0</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600</v>
          </cell>
          <cell r="AY471">
            <v>600</v>
          </cell>
          <cell r="AZ471">
            <v>600</v>
          </cell>
          <cell r="BA471">
            <v>600</v>
          </cell>
          <cell r="BK471">
            <v>0</v>
          </cell>
          <cell r="BL471">
            <v>0</v>
          </cell>
        </row>
        <row r="472">
          <cell r="A472" t="str">
            <v>Shun Tak Nam Van (SJM)</v>
          </cell>
          <cell r="B472">
            <v>0</v>
          </cell>
          <cell r="C472">
            <v>0</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180</v>
          </cell>
          <cell r="AZ472">
            <v>180</v>
          </cell>
          <cell r="BA472">
            <v>180</v>
          </cell>
          <cell r="BK472">
            <v>0</v>
          </cell>
          <cell r="BL472">
            <v>0</v>
          </cell>
        </row>
        <row r="473">
          <cell r="A473" t="str">
            <v>Shun Tak Cotai (SJM)</v>
          </cell>
          <cell r="B473">
            <v>0</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600</v>
          </cell>
          <cell r="BA473">
            <v>600</v>
          </cell>
          <cell r="BK473">
            <v>0</v>
          </cell>
          <cell r="BL473">
            <v>0</v>
          </cell>
        </row>
        <row r="474">
          <cell r="A474" t="str">
            <v>Crown Macau (Melco/PBL)</v>
          </cell>
          <cell r="B474">
            <v>0</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146.66666666666666</v>
          </cell>
          <cell r="AT474">
            <v>220</v>
          </cell>
          <cell r="AU474">
            <v>220</v>
          </cell>
          <cell r="AV474">
            <v>146.66666666666666</v>
          </cell>
          <cell r="AW474">
            <v>220</v>
          </cell>
          <cell r="AX474">
            <v>220</v>
          </cell>
          <cell r="AY474">
            <v>220</v>
          </cell>
          <cell r="AZ474">
            <v>220</v>
          </cell>
          <cell r="BA474">
            <v>220</v>
          </cell>
          <cell r="BK474">
            <v>110</v>
          </cell>
          <cell r="BL474">
            <v>36.666666666666657</v>
          </cell>
        </row>
        <row r="475">
          <cell r="A475" t="str">
            <v>Penninsula Project (Melco/PBL)</v>
          </cell>
          <cell r="B475">
            <v>0</v>
          </cell>
          <cell r="C475">
            <v>0</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100</v>
          </cell>
          <cell r="AY475">
            <v>200</v>
          </cell>
          <cell r="AZ475">
            <v>200</v>
          </cell>
          <cell r="BA475">
            <v>200</v>
          </cell>
          <cell r="BK475">
            <v>0</v>
          </cell>
          <cell r="BL475">
            <v>0</v>
          </cell>
        </row>
        <row r="476">
          <cell r="A476" t="str">
            <v>City of Dreams (Melco/PBL)</v>
          </cell>
          <cell r="B476">
            <v>0</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450</v>
          </cell>
          <cell r="AY476">
            <v>450</v>
          </cell>
          <cell r="AZ476">
            <v>450</v>
          </cell>
          <cell r="BA476">
            <v>450</v>
          </cell>
          <cell r="BK476">
            <v>0</v>
          </cell>
          <cell r="BL476">
            <v>0</v>
          </cell>
        </row>
        <row r="477">
          <cell r="A477" t="str">
            <v>Galaxy Waldo Hotel and Casino (Galaxy)</v>
          </cell>
          <cell r="B477">
            <v>0</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38</v>
          </cell>
          <cell r="AF477">
            <v>38</v>
          </cell>
          <cell r="AG477">
            <v>19</v>
          </cell>
          <cell r="AH477">
            <v>63</v>
          </cell>
          <cell r="AI477">
            <v>63</v>
          </cell>
          <cell r="AJ477">
            <v>63</v>
          </cell>
          <cell r="AK477">
            <v>63</v>
          </cell>
          <cell r="AL477">
            <v>63</v>
          </cell>
          <cell r="AM477">
            <v>63</v>
          </cell>
          <cell r="AN477">
            <v>63</v>
          </cell>
          <cell r="AO477">
            <v>63</v>
          </cell>
          <cell r="AP477">
            <v>63</v>
          </cell>
          <cell r="AQ477">
            <v>63</v>
          </cell>
          <cell r="AR477">
            <v>63</v>
          </cell>
          <cell r="AS477">
            <v>63</v>
          </cell>
          <cell r="AT477">
            <v>63</v>
          </cell>
          <cell r="AU477">
            <v>63</v>
          </cell>
          <cell r="AV477">
            <v>63</v>
          </cell>
          <cell r="AW477">
            <v>63</v>
          </cell>
          <cell r="AX477">
            <v>63</v>
          </cell>
          <cell r="AY477">
            <v>63</v>
          </cell>
          <cell r="AZ477">
            <v>63</v>
          </cell>
          <cell r="BA477">
            <v>63</v>
          </cell>
          <cell r="BK477">
            <v>63</v>
          </cell>
          <cell r="BL477">
            <v>0</v>
          </cell>
        </row>
        <row r="478">
          <cell r="A478" t="str">
            <v>Galaxy Rio Hotel City Club (Galaxy)</v>
          </cell>
          <cell r="B478">
            <v>0</v>
          </cell>
          <cell r="C478">
            <v>0</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45</v>
          </cell>
          <cell r="AN478">
            <v>90</v>
          </cell>
          <cell r="AO478">
            <v>90</v>
          </cell>
          <cell r="AP478">
            <v>90</v>
          </cell>
          <cell r="AQ478">
            <v>78.75</v>
          </cell>
          <cell r="AR478">
            <v>90</v>
          </cell>
          <cell r="AS478">
            <v>90</v>
          </cell>
          <cell r="AT478">
            <v>90</v>
          </cell>
          <cell r="AU478">
            <v>90</v>
          </cell>
          <cell r="AV478">
            <v>90</v>
          </cell>
          <cell r="AW478">
            <v>90</v>
          </cell>
          <cell r="AX478">
            <v>90</v>
          </cell>
          <cell r="AY478">
            <v>90</v>
          </cell>
          <cell r="AZ478">
            <v>90</v>
          </cell>
          <cell r="BA478">
            <v>90</v>
          </cell>
          <cell r="BK478">
            <v>90</v>
          </cell>
          <cell r="BL478">
            <v>0</v>
          </cell>
        </row>
        <row r="479">
          <cell r="A479" t="str">
            <v>Hotel Presidente Casino (Galaxy)</v>
          </cell>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50</v>
          </cell>
          <cell r="AO479">
            <v>75</v>
          </cell>
          <cell r="AP479">
            <v>75</v>
          </cell>
          <cell r="AQ479">
            <v>50</v>
          </cell>
          <cell r="AR479">
            <v>75</v>
          </cell>
          <cell r="AS479">
            <v>75</v>
          </cell>
          <cell r="AT479">
            <v>75</v>
          </cell>
          <cell r="AU479">
            <v>75</v>
          </cell>
          <cell r="AV479">
            <v>75</v>
          </cell>
          <cell r="AW479">
            <v>75</v>
          </cell>
          <cell r="AX479">
            <v>75</v>
          </cell>
          <cell r="AY479">
            <v>75</v>
          </cell>
          <cell r="AZ479">
            <v>75</v>
          </cell>
          <cell r="BA479">
            <v>75</v>
          </cell>
          <cell r="BK479">
            <v>75</v>
          </cell>
          <cell r="BL479">
            <v>0</v>
          </cell>
        </row>
        <row r="480">
          <cell r="A480" t="str">
            <v>Galaxy Grand Waldo (Galaxy)</v>
          </cell>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84</v>
          </cell>
          <cell r="AO480">
            <v>168</v>
          </cell>
          <cell r="AP480">
            <v>168</v>
          </cell>
          <cell r="AQ480">
            <v>105</v>
          </cell>
          <cell r="AR480">
            <v>168</v>
          </cell>
          <cell r="AS480">
            <v>168</v>
          </cell>
          <cell r="AT480">
            <v>168</v>
          </cell>
          <cell r="AU480">
            <v>168</v>
          </cell>
          <cell r="AV480">
            <v>168</v>
          </cell>
          <cell r="AW480">
            <v>168</v>
          </cell>
          <cell r="AX480">
            <v>168</v>
          </cell>
          <cell r="AY480">
            <v>168</v>
          </cell>
          <cell r="AZ480">
            <v>168</v>
          </cell>
          <cell r="BA480">
            <v>168</v>
          </cell>
          <cell r="BK480">
            <v>168</v>
          </cell>
          <cell r="BL480">
            <v>0</v>
          </cell>
        </row>
        <row r="481">
          <cell r="A481" t="str">
            <v>Galaxy StarWorld (Galaxy)</v>
          </cell>
          <cell r="B481">
            <v>0</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135.44444444444446</v>
          </cell>
          <cell r="AQ481">
            <v>33.861111111111114</v>
          </cell>
          <cell r="AR481">
            <v>211</v>
          </cell>
          <cell r="AS481">
            <v>289</v>
          </cell>
          <cell r="AT481">
            <v>289</v>
          </cell>
          <cell r="AU481">
            <v>289</v>
          </cell>
          <cell r="AV481">
            <v>269.5</v>
          </cell>
          <cell r="AW481">
            <v>289</v>
          </cell>
          <cell r="AX481">
            <v>289</v>
          </cell>
          <cell r="AY481">
            <v>289</v>
          </cell>
          <cell r="AZ481">
            <v>289</v>
          </cell>
          <cell r="BA481">
            <v>289</v>
          </cell>
          <cell r="BK481">
            <v>290</v>
          </cell>
          <cell r="BL481">
            <v>-20.5</v>
          </cell>
        </row>
        <row r="482">
          <cell r="A482" t="str">
            <v>Galaxy Cotai Mega Resort (Galaxy)</v>
          </cell>
          <cell r="B482">
            <v>0</v>
          </cell>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225</v>
          </cell>
          <cell r="AX482">
            <v>450</v>
          </cell>
          <cell r="AY482">
            <v>450</v>
          </cell>
          <cell r="AZ482">
            <v>450</v>
          </cell>
          <cell r="BA482">
            <v>450</v>
          </cell>
          <cell r="BK482">
            <v>0</v>
          </cell>
          <cell r="BL482">
            <v>0</v>
          </cell>
        </row>
        <row r="483">
          <cell r="A483" t="str">
            <v>Sands Macao (LVS)</v>
          </cell>
          <cell r="B483">
            <v>0</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113.87912087912088</v>
          </cell>
          <cell r="AE483">
            <v>281</v>
          </cell>
          <cell r="AF483">
            <v>300</v>
          </cell>
          <cell r="AG483">
            <v>173.7197802197802</v>
          </cell>
          <cell r="AH483">
            <v>336</v>
          </cell>
          <cell r="AI483">
            <v>356</v>
          </cell>
          <cell r="AJ483">
            <v>362</v>
          </cell>
          <cell r="AK483">
            <v>390</v>
          </cell>
          <cell r="AL483">
            <v>361</v>
          </cell>
          <cell r="AM483">
            <v>434</v>
          </cell>
          <cell r="AN483">
            <v>454</v>
          </cell>
          <cell r="AO483">
            <v>581</v>
          </cell>
          <cell r="AP483">
            <v>772</v>
          </cell>
          <cell r="AQ483">
            <v>560.25</v>
          </cell>
          <cell r="AR483">
            <v>772</v>
          </cell>
          <cell r="AS483">
            <v>772</v>
          </cell>
          <cell r="AT483">
            <v>772</v>
          </cell>
          <cell r="AU483">
            <v>772</v>
          </cell>
          <cell r="AV483">
            <v>772</v>
          </cell>
          <cell r="AW483">
            <v>772</v>
          </cell>
          <cell r="AX483">
            <v>772</v>
          </cell>
          <cell r="AY483">
            <v>772</v>
          </cell>
          <cell r="AZ483">
            <v>772</v>
          </cell>
          <cell r="BA483">
            <v>772</v>
          </cell>
          <cell r="BK483">
            <v>740</v>
          </cell>
          <cell r="BL483">
            <v>32</v>
          </cell>
        </row>
        <row r="484">
          <cell r="A484" t="str">
            <v>Venetian Macao (LVS)</v>
          </cell>
          <cell r="B484">
            <v>0</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750</v>
          </cell>
          <cell r="AU484">
            <v>750</v>
          </cell>
          <cell r="AV484">
            <v>375</v>
          </cell>
          <cell r="AW484">
            <v>850</v>
          </cell>
          <cell r="AX484">
            <v>850</v>
          </cell>
          <cell r="AY484">
            <v>850</v>
          </cell>
          <cell r="AZ484">
            <v>1150</v>
          </cell>
          <cell r="BA484">
            <v>1150</v>
          </cell>
          <cell r="BK484">
            <v>375</v>
          </cell>
          <cell r="BL484">
            <v>0</v>
          </cell>
        </row>
        <row r="485">
          <cell r="A485" t="str">
            <v>Cotai Site 2 - Four Seasons (LVS)</v>
          </cell>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130</v>
          </cell>
          <cell r="AX485">
            <v>130</v>
          </cell>
          <cell r="AY485">
            <v>130</v>
          </cell>
          <cell r="AZ485">
            <v>130</v>
          </cell>
          <cell r="BA485">
            <v>130</v>
          </cell>
          <cell r="BK485">
            <v>0</v>
          </cell>
          <cell r="BL485">
            <v>0</v>
          </cell>
        </row>
        <row r="486">
          <cell r="A486" t="str">
            <v>Cotai Site 3 - Far East (LVS)</v>
          </cell>
          <cell r="B486">
            <v>0</v>
          </cell>
          <cell r="C486">
            <v>0</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162.5</v>
          </cell>
          <cell r="AY486">
            <v>325</v>
          </cell>
          <cell r="AZ486">
            <v>325</v>
          </cell>
          <cell r="BA486">
            <v>325</v>
          </cell>
          <cell r="BK486">
            <v>0</v>
          </cell>
          <cell r="BL486">
            <v>0</v>
          </cell>
        </row>
        <row r="487">
          <cell r="A487" t="str">
            <v>Cotai Site 5 - Shangri-La/St.Regis/Traders (LVS)</v>
          </cell>
          <cell r="B487">
            <v>0</v>
          </cell>
          <cell r="C487">
            <v>0</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162.5</v>
          </cell>
          <cell r="AX487">
            <v>325</v>
          </cell>
          <cell r="AY487">
            <v>325</v>
          </cell>
          <cell r="AZ487">
            <v>325</v>
          </cell>
          <cell r="BA487">
            <v>325</v>
          </cell>
          <cell r="BK487">
            <v>0</v>
          </cell>
          <cell r="BL487">
            <v>0</v>
          </cell>
        </row>
        <row r="488">
          <cell r="A488" t="str">
            <v>Cotai Site 6 - Starwood (LVS)</v>
          </cell>
          <cell r="B488">
            <v>0</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162.5</v>
          </cell>
          <cell r="AX488">
            <v>325</v>
          </cell>
          <cell r="AY488">
            <v>325</v>
          </cell>
          <cell r="AZ488">
            <v>325</v>
          </cell>
          <cell r="BA488">
            <v>325</v>
          </cell>
          <cell r="BK488">
            <v>0</v>
          </cell>
          <cell r="BL488">
            <v>0</v>
          </cell>
        </row>
        <row r="489">
          <cell r="A489" t="str">
            <v>Cotai Site 7 - Hilton (LVS)</v>
          </cell>
          <cell r="B489">
            <v>0</v>
          </cell>
          <cell r="C489">
            <v>0</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162.5</v>
          </cell>
          <cell r="AY489">
            <v>325</v>
          </cell>
          <cell r="AZ489">
            <v>325</v>
          </cell>
          <cell r="BA489">
            <v>325</v>
          </cell>
          <cell r="BK489">
            <v>0</v>
          </cell>
          <cell r="BL489">
            <v>0</v>
          </cell>
        </row>
        <row r="490">
          <cell r="A490" t="str">
            <v>Cotai Site 8 - FHR/Raffles (LVS)</v>
          </cell>
          <cell r="B490">
            <v>0</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162.5</v>
          </cell>
          <cell r="AY490">
            <v>325</v>
          </cell>
          <cell r="AZ490">
            <v>325</v>
          </cell>
          <cell r="BA490">
            <v>325</v>
          </cell>
          <cell r="BK490">
            <v>0</v>
          </cell>
          <cell r="BL490">
            <v>0</v>
          </cell>
        </row>
        <row r="491">
          <cell r="A491" t="str">
            <v>Wynn Macau (WYNN)</v>
          </cell>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57.065217391304351</v>
          </cell>
          <cell r="AP491">
            <v>224</v>
          </cell>
          <cell r="AQ491">
            <v>70.266304347826093</v>
          </cell>
          <cell r="AR491">
            <v>249</v>
          </cell>
          <cell r="AS491">
            <v>314</v>
          </cell>
          <cell r="AT491">
            <v>420</v>
          </cell>
          <cell r="AU491">
            <v>420</v>
          </cell>
          <cell r="AV491">
            <v>350.75</v>
          </cell>
          <cell r="AW491">
            <v>420</v>
          </cell>
          <cell r="AX491">
            <v>450</v>
          </cell>
          <cell r="AY491">
            <v>450</v>
          </cell>
          <cell r="AZ491">
            <v>450</v>
          </cell>
          <cell r="BA491">
            <v>450</v>
          </cell>
          <cell r="BK491">
            <v>317.5</v>
          </cell>
          <cell r="BL491">
            <v>33.25</v>
          </cell>
        </row>
        <row r="492">
          <cell r="A492" t="str">
            <v>Wynn Cotai (WYNN)</v>
          </cell>
          <cell r="B492">
            <v>0</v>
          </cell>
          <cell r="C492">
            <v>0</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500</v>
          </cell>
          <cell r="AZ492">
            <v>500</v>
          </cell>
          <cell r="BA492">
            <v>500</v>
          </cell>
          <cell r="BK492">
            <v>0</v>
          </cell>
          <cell r="BL492">
            <v>0</v>
          </cell>
        </row>
        <row r="493">
          <cell r="A493" t="str">
            <v>Wynn Cotai #2 (WYNN)</v>
          </cell>
          <cell r="B493">
            <v>0</v>
          </cell>
          <cell r="C493">
            <v>0</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500</v>
          </cell>
          <cell r="AZ493">
            <v>500</v>
          </cell>
          <cell r="BA493">
            <v>500</v>
          </cell>
        </row>
        <row r="494">
          <cell r="A494" t="str">
            <v>MGM Grand (MGM)</v>
          </cell>
          <cell r="B494">
            <v>0</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347</v>
          </cell>
          <cell r="AV494">
            <v>86.75</v>
          </cell>
          <cell r="AW494">
            <v>347</v>
          </cell>
          <cell r="AX494">
            <v>347</v>
          </cell>
          <cell r="AY494">
            <v>347</v>
          </cell>
          <cell r="AZ494">
            <v>347</v>
          </cell>
          <cell r="BA494">
            <v>347</v>
          </cell>
          <cell r="BK494">
            <v>92.5</v>
          </cell>
          <cell r="BL494">
            <v>-5.75</v>
          </cell>
        </row>
        <row r="495">
          <cell r="A495" t="str">
            <v>MGM Cotai #1 (MGM)</v>
          </cell>
          <cell r="B495">
            <v>0</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500</v>
          </cell>
          <cell r="BA495">
            <v>500</v>
          </cell>
        </row>
        <row r="496">
          <cell r="A496" t="str">
            <v>Mocha Slot Lounges (Melco)</v>
          </cell>
          <cell r="B496">
            <v>0</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K496">
            <v>0</v>
          </cell>
          <cell r="BL496">
            <v>0</v>
          </cell>
        </row>
        <row r="497">
          <cell r="A497" t="str">
            <v>Macau Studio City (eSun)</v>
          </cell>
          <cell r="B497">
            <v>0</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400</v>
          </cell>
          <cell r="AY497">
            <v>400</v>
          </cell>
          <cell r="AZ497">
            <v>650</v>
          </cell>
          <cell r="BA497">
            <v>650</v>
          </cell>
          <cell r="BK497">
            <v>0</v>
          </cell>
          <cell r="BL497">
            <v>0</v>
          </cell>
        </row>
        <row r="498">
          <cell r="A498" t="str">
            <v>Adjustment</v>
          </cell>
          <cell r="B498">
            <v>0</v>
          </cell>
          <cell r="C498">
            <v>0</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30</v>
          </cell>
          <cell r="AE498">
            <v>-150</v>
          </cell>
          <cell r="AF498">
            <v>98.999999999999972</v>
          </cell>
          <cell r="AG498">
            <v>-5.2500000000000071</v>
          </cell>
          <cell r="AH498">
            <v>-35.611111111111086</v>
          </cell>
          <cell r="AI498">
            <v>-6.1666666666665151</v>
          </cell>
          <cell r="AJ498">
            <v>-40.5</v>
          </cell>
          <cell r="AK498">
            <v>3</v>
          </cell>
          <cell r="AL498">
            <v>-19.8194444444444</v>
          </cell>
          <cell r="AM498">
            <v>1</v>
          </cell>
          <cell r="AN498">
            <v>-40</v>
          </cell>
          <cell r="AO498">
            <v>-40.565217391304486</v>
          </cell>
          <cell r="AP498">
            <v>-100</v>
          </cell>
          <cell r="AQ498">
            <v>-44.891304347826122</v>
          </cell>
          <cell r="AR498">
            <v>-100</v>
          </cell>
          <cell r="AS498">
            <v>-100</v>
          </cell>
          <cell r="AT498">
            <v>-100</v>
          </cell>
          <cell r="AU498">
            <v>-100</v>
          </cell>
          <cell r="AV498">
            <v>-100</v>
          </cell>
          <cell r="AW498">
            <v>-100</v>
          </cell>
          <cell r="AX498">
            <v>-100</v>
          </cell>
          <cell r="AY498">
            <v>-100</v>
          </cell>
          <cell r="AZ498">
            <v>-100</v>
          </cell>
          <cell r="BA498">
            <v>-100</v>
          </cell>
          <cell r="BK498">
            <v>-56.565217391304486</v>
          </cell>
          <cell r="BL498">
            <v>-43.434782608695514</v>
          </cell>
        </row>
        <row r="499">
          <cell r="B499" t="str">
            <v>______</v>
          </cell>
          <cell r="C499" t="str">
            <v>______</v>
          </cell>
          <cell r="D499" t="str">
            <v>______</v>
          </cell>
          <cell r="E499" t="str">
            <v>______</v>
          </cell>
          <cell r="F499" t="str">
            <v>______</v>
          </cell>
          <cell r="G499" t="str">
            <v>______</v>
          </cell>
          <cell r="H499" t="str">
            <v>______</v>
          </cell>
          <cell r="I499" t="str">
            <v>______</v>
          </cell>
          <cell r="J499" t="str">
            <v>______</v>
          </cell>
          <cell r="K499" t="str">
            <v>______</v>
          </cell>
          <cell r="L499" t="str">
            <v>______</v>
          </cell>
          <cell r="M499" t="str">
            <v>______</v>
          </cell>
          <cell r="N499" t="str">
            <v>______</v>
          </cell>
          <cell r="O499" t="str">
            <v>______</v>
          </cell>
          <cell r="P499" t="str">
            <v>______</v>
          </cell>
          <cell r="Q499" t="str">
            <v>______</v>
          </cell>
          <cell r="R499" t="str">
            <v>______</v>
          </cell>
          <cell r="S499" t="str">
            <v>______</v>
          </cell>
          <cell r="T499" t="str">
            <v>______</v>
          </cell>
          <cell r="U499" t="str">
            <v>______</v>
          </cell>
          <cell r="V499" t="str">
            <v>______</v>
          </cell>
          <cell r="W499" t="str">
            <v>______</v>
          </cell>
          <cell r="X499" t="str">
            <v>______</v>
          </cell>
          <cell r="Y499" t="str">
            <v>______</v>
          </cell>
          <cell r="Z499" t="str">
            <v>______</v>
          </cell>
          <cell r="AA499" t="str">
            <v>______</v>
          </cell>
          <cell r="AB499" t="str">
            <v>______</v>
          </cell>
          <cell r="AC499" t="str">
            <v>______</v>
          </cell>
          <cell r="AD499" t="str">
            <v>______</v>
          </cell>
          <cell r="AE499" t="str">
            <v>______</v>
          </cell>
          <cell r="AF499" t="str">
            <v>______</v>
          </cell>
          <cell r="AG499" t="str">
            <v>______</v>
          </cell>
          <cell r="AH499" t="str">
            <v>______</v>
          </cell>
          <cell r="AI499" t="str">
            <v>______</v>
          </cell>
          <cell r="AJ499" t="str">
            <v>______</v>
          </cell>
          <cell r="AK499" t="str">
            <v>______</v>
          </cell>
          <cell r="AL499" t="str">
            <v>______</v>
          </cell>
          <cell r="AM499" t="str">
            <v>______</v>
          </cell>
          <cell r="AN499" t="str">
            <v>______</v>
          </cell>
          <cell r="AO499" t="str">
            <v>______</v>
          </cell>
          <cell r="AP499" t="str">
            <v>______</v>
          </cell>
          <cell r="AQ499" t="str">
            <v>______</v>
          </cell>
          <cell r="AR499" t="str">
            <v>______</v>
          </cell>
          <cell r="AS499" t="str">
            <v>______</v>
          </cell>
          <cell r="AT499" t="str">
            <v>______</v>
          </cell>
          <cell r="AU499" t="str">
            <v>______</v>
          </cell>
          <cell r="AV499" t="str">
            <v>______</v>
          </cell>
          <cell r="AW499" t="str">
            <v>______</v>
          </cell>
          <cell r="AX499" t="str">
            <v>______</v>
          </cell>
          <cell r="AY499" t="str">
            <v>______</v>
          </cell>
          <cell r="AZ499" t="str">
            <v>______</v>
          </cell>
          <cell r="BA499" t="str">
            <v>______</v>
          </cell>
          <cell r="BK499" t="str">
            <v>______</v>
          </cell>
        </row>
        <row r="500">
          <cell r="A500" t="str">
            <v>Total Average Tables</v>
          </cell>
          <cell r="B500">
            <v>341</v>
          </cell>
          <cell r="C500">
            <v>341</v>
          </cell>
          <cell r="D500">
            <v>341</v>
          </cell>
          <cell r="E500">
            <v>341</v>
          </cell>
          <cell r="F500">
            <v>341</v>
          </cell>
          <cell r="G500">
            <v>341</v>
          </cell>
          <cell r="H500">
            <v>341</v>
          </cell>
          <cell r="I500">
            <v>341</v>
          </cell>
          <cell r="J500">
            <v>341</v>
          </cell>
          <cell r="K500">
            <v>341</v>
          </cell>
          <cell r="L500">
            <v>341</v>
          </cell>
          <cell r="M500">
            <v>341</v>
          </cell>
          <cell r="N500">
            <v>341</v>
          </cell>
          <cell r="O500">
            <v>341</v>
          </cell>
          <cell r="P500">
            <v>341</v>
          </cell>
          <cell r="Q500">
            <v>341</v>
          </cell>
          <cell r="R500">
            <v>341</v>
          </cell>
          <cell r="S500">
            <v>341</v>
          </cell>
          <cell r="T500">
            <v>341</v>
          </cell>
          <cell r="U500">
            <v>341</v>
          </cell>
          <cell r="V500">
            <v>341</v>
          </cell>
          <cell r="W500">
            <v>341</v>
          </cell>
          <cell r="X500">
            <v>441</v>
          </cell>
          <cell r="Y500">
            <v>441</v>
          </cell>
          <cell r="Z500">
            <v>441</v>
          </cell>
          <cell r="AA500">
            <v>441</v>
          </cell>
          <cell r="AB500">
            <v>441</v>
          </cell>
          <cell r="AC500">
            <v>441</v>
          </cell>
          <cell r="AD500">
            <v>584.87912087912082</v>
          </cell>
          <cell r="AE500">
            <v>680</v>
          </cell>
          <cell r="AF500">
            <v>936.304347826087</v>
          </cell>
          <cell r="AG500">
            <v>660.54586717630195</v>
          </cell>
          <cell r="AH500">
            <v>1159</v>
          </cell>
          <cell r="AI500">
            <v>1235.5</v>
          </cell>
          <cell r="AJ500">
            <v>1270.5</v>
          </cell>
          <cell r="AK500">
            <v>1342</v>
          </cell>
          <cell r="AL500">
            <v>1251.75</v>
          </cell>
          <cell r="AM500">
            <v>1561</v>
          </cell>
          <cell r="AN500">
            <v>1890</v>
          </cell>
          <cell r="AO500">
            <v>2182.5</v>
          </cell>
          <cell r="AP500">
            <v>2624.2705314009663</v>
          </cell>
          <cell r="AQ500">
            <v>2064.4426328502418</v>
          </cell>
          <cell r="AR500">
            <v>2855</v>
          </cell>
          <cell r="AS500">
            <v>3288.666666666667</v>
          </cell>
          <cell r="AT500">
            <v>4422</v>
          </cell>
          <cell r="AU500">
            <v>4791</v>
          </cell>
          <cell r="AV500">
            <v>3839.166666666667</v>
          </cell>
          <cell r="AW500">
            <v>5581</v>
          </cell>
          <cell r="AX500">
            <v>8198.5</v>
          </cell>
          <cell r="AY500">
            <v>9966</v>
          </cell>
          <cell r="AZ500">
            <v>11616</v>
          </cell>
          <cell r="BA500">
            <v>11616</v>
          </cell>
          <cell r="BK500">
            <v>4104.434782608696</v>
          </cell>
          <cell r="BL500">
            <v>-265.268115942029</v>
          </cell>
        </row>
        <row r="501">
          <cell r="A501" t="str">
            <v xml:space="preserve">  Growth</v>
          </cell>
          <cell r="AC501">
            <v>0</v>
          </cell>
          <cell r="AD501">
            <v>0.32625650992997923</v>
          </cell>
          <cell r="AE501">
            <v>0.54195011337868482</v>
          </cell>
          <cell r="AF501">
            <v>1.1231391107167505</v>
          </cell>
          <cell r="AG501">
            <v>0.49783643350635365</v>
          </cell>
          <cell r="AH501">
            <v>1.6281179138321997</v>
          </cell>
          <cell r="AI501">
            <v>1.112402299714415</v>
          </cell>
          <cell r="AJ501">
            <v>0.86838235294117649</v>
          </cell>
          <cell r="AK501">
            <v>0.43329463663803103</v>
          </cell>
          <cell r="AL501">
            <v>0.89502358912784419</v>
          </cell>
          <cell r="AM501">
            <v>0.34685073339085415</v>
          </cell>
          <cell r="AN501">
            <v>0.52974504249291776</v>
          </cell>
          <cell r="AO501">
            <v>0.71782762691853597</v>
          </cell>
          <cell r="AP501">
            <v>0.95549219925556361</v>
          </cell>
          <cell r="AQ501">
            <v>0.6492451630519207</v>
          </cell>
          <cell r="AR501">
            <v>0.82895579756566296</v>
          </cell>
          <cell r="AS501">
            <v>0.74003527336860686</v>
          </cell>
          <cell r="AT501">
            <v>1.0261168384879724</v>
          </cell>
          <cell r="AU501">
            <v>0.82565019218591207</v>
          </cell>
          <cell r="AV501">
            <v>0.85966255762030008</v>
          </cell>
          <cell r="AW501">
            <v>0.45370088995007585</v>
          </cell>
          <cell r="AX501">
            <v>0.46900197097294383</v>
          </cell>
          <cell r="AY501">
            <v>0.21558821735683353</v>
          </cell>
          <cell r="AZ501">
            <v>0.16556291390728473</v>
          </cell>
          <cell r="BA501">
            <v>0</v>
          </cell>
          <cell r="BK501">
            <v>0.90824031392313787</v>
          </cell>
          <cell r="BL501">
            <v>-4.8577756302837782E-2</v>
          </cell>
        </row>
        <row r="502">
          <cell r="BL502">
            <v>0</v>
          </cell>
        </row>
        <row r="503">
          <cell r="A503" t="str">
            <v>Period-end total tables</v>
          </cell>
          <cell r="AA503">
            <v>424</v>
          </cell>
          <cell r="AB503">
            <v>424</v>
          </cell>
          <cell r="AC503">
            <v>441</v>
          </cell>
          <cell r="AD503">
            <v>584.87912087912082</v>
          </cell>
          <cell r="AE503">
            <v>680</v>
          </cell>
          <cell r="AF503">
            <v>1092</v>
          </cell>
          <cell r="AG503">
            <v>1092</v>
          </cell>
          <cell r="AH503">
            <v>1226</v>
          </cell>
          <cell r="AI503">
            <v>1245</v>
          </cell>
          <cell r="AJ503">
            <v>1296</v>
          </cell>
          <cell r="AK503">
            <v>1388</v>
          </cell>
          <cell r="AL503">
            <v>1388</v>
          </cell>
          <cell r="AM503">
            <v>1648</v>
          </cell>
          <cell r="AN503">
            <v>1925</v>
          </cell>
          <cell r="AO503">
            <v>2440</v>
          </cell>
          <cell r="AP503">
            <v>2762</v>
          </cell>
          <cell r="AQ503">
            <v>2762</v>
          </cell>
          <cell r="BL503">
            <v>0</v>
          </cell>
        </row>
        <row r="504">
          <cell r="BL504">
            <v>0</v>
          </cell>
        </row>
        <row r="505">
          <cell r="A505" t="str">
            <v>Average Slots</v>
          </cell>
          <cell r="BL505">
            <v>0</v>
          </cell>
        </row>
        <row r="506">
          <cell r="A506" t="str">
            <v>Casa Real Casino (SJM)</v>
          </cell>
          <cell r="B506">
            <v>0</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123</v>
          </cell>
          <cell r="AF506">
            <v>123</v>
          </cell>
          <cell r="AG506">
            <v>61.5</v>
          </cell>
          <cell r="AH506">
            <v>123</v>
          </cell>
          <cell r="AI506">
            <v>123</v>
          </cell>
          <cell r="AJ506">
            <v>123</v>
          </cell>
          <cell r="AK506">
            <v>123</v>
          </cell>
          <cell r="AL506">
            <v>123</v>
          </cell>
          <cell r="AM506">
            <v>123</v>
          </cell>
          <cell r="AN506">
            <v>123</v>
          </cell>
          <cell r="AO506">
            <v>123</v>
          </cell>
          <cell r="AP506">
            <v>123</v>
          </cell>
          <cell r="AQ506">
            <v>123</v>
          </cell>
          <cell r="AR506">
            <v>0</v>
          </cell>
          <cell r="AS506">
            <v>0</v>
          </cell>
          <cell r="AT506">
            <v>0</v>
          </cell>
          <cell r="AU506">
            <v>0</v>
          </cell>
          <cell r="AV506">
            <v>0</v>
          </cell>
          <cell r="AW506">
            <v>0</v>
          </cell>
          <cell r="AX506">
            <v>0</v>
          </cell>
          <cell r="AY506">
            <v>0</v>
          </cell>
          <cell r="AZ506">
            <v>0</v>
          </cell>
          <cell r="BA506">
            <v>0</v>
          </cell>
          <cell r="BK506">
            <v>123</v>
          </cell>
          <cell r="BL506">
            <v>-123</v>
          </cell>
        </row>
        <row r="507">
          <cell r="A507" t="str">
            <v>Casino Lisboa (SJM)</v>
          </cell>
          <cell r="B507">
            <v>107</v>
          </cell>
          <cell r="C507">
            <v>107</v>
          </cell>
          <cell r="D507">
            <v>107</v>
          </cell>
          <cell r="E507">
            <v>107</v>
          </cell>
          <cell r="F507">
            <v>107</v>
          </cell>
          <cell r="G507">
            <v>107</v>
          </cell>
          <cell r="H507">
            <v>107</v>
          </cell>
          <cell r="I507">
            <v>107</v>
          </cell>
          <cell r="J507">
            <v>107</v>
          </cell>
          <cell r="K507">
            <v>107</v>
          </cell>
          <cell r="L507">
            <v>107</v>
          </cell>
          <cell r="M507">
            <v>107</v>
          </cell>
          <cell r="N507">
            <v>107</v>
          </cell>
          <cell r="O507">
            <v>107</v>
          </cell>
          <cell r="P507">
            <v>107</v>
          </cell>
          <cell r="Q507">
            <v>107</v>
          </cell>
          <cell r="R507">
            <v>107</v>
          </cell>
          <cell r="S507">
            <v>107</v>
          </cell>
          <cell r="T507">
            <v>107</v>
          </cell>
          <cell r="U507">
            <v>107</v>
          </cell>
          <cell r="V507">
            <v>107</v>
          </cell>
          <cell r="W507">
            <v>107</v>
          </cell>
          <cell r="X507">
            <v>107</v>
          </cell>
          <cell r="Y507">
            <v>107</v>
          </cell>
          <cell r="Z507">
            <v>107</v>
          </cell>
          <cell r="AA507">
            <v>107</v>
          </cell>
          <cell r="AB507">
            <v>107</v>
          </cell>
          <cell r="AC507">
            <v>107</v>
          </cell>
          <cell r="AD507">
            <v>107</v>
          </cell>
          <cell r="AE507">
            <v>107</v>
          </cell>
          <cell r="AF507">
            <v>107</v>
          </cell>
          <cell r="AG507">
            <v>107</v>
          </cell>
          <cell r="AH507">
            <v>107</v>
          </cell>
          <cell r="AI507">
            <v>107</v>
          </cell>
          <cell r="AJ507">
            <v>107</v>
          </cell>
          <cell r="AK507">
            <v>107</v>
          </cell>
          <cell r="AL507">
            <v>107</v>
          </cell>
          <cell r="AM507">
            <v>107</v>
          </cell>
          <cell r="AN507">
            <v>217</v>
          </cell>
          <cell r="AO507">
            <v>217</v>
          </cell>
          <cell r="AP507">
            <v>217</v>
          </cell>
          <cell r="AQ507">
            <v>189.5</v>
          </cell>
          <cell r="AR507">
            <v>227</v>
          </cell>
          <cell r="AS507">
            <v>227</v>
          </cell>
          <cell r="AT507">
            <v>227</v>
          </cell>
          <cell r="AU507">
            <v>227</v>
          </cell>
          <cell r="AV507">
            <v>227</v>
          </cell>
          <cell r="AW507">
            <v>227</v>
          </cell>
          <cell r="AX507">
            <v>227</v>
          </cell>
          <cell r="AY507">
            <v>227</v>
          </cell>
          <cell r="AZ507">
            <v>227</v>
          </cell>
          <cell r="BA507">
            <v>227</v>
          </cell>
          <cell r="BK507">
            <v>217</v>
          </cell>
          <cell r="BL507">
            <v>10</v>
          </cell>
        </row>
        <row r="508">
          <cell r="A508" t="str">
            <v>Casino Macau Palace (SJM)</v>
          </cell>
          <cell r="B508">
            <v>51</v>
          </cell>
          <cell r="C508">
            <v>51</v>
          </cell>
          <cell r="D508">
            <v>51</v>
          </cell>
          <cell r="E508">
            <v>51</v>
          </cell>
          <cell r="F508">
            <v>51</v>
          </cell>
          <cell r="G508">
            <v>51</v>
          </cell>
          <cell r="H508">
            <v>51</v>
          </cell>
          <cell r="I508">
            <v>51</v>
          </cell>
          <cell r="J508">
            <v>51</v>
          </cell>
          <cell r="K508">
            <v>51</v>
          </cell>
          <cell r="L508">
            <v>51</v>
          </cell>
          <cell r="M508">
            <v>51</v>
          </cell>
          <cell r="N508">
            <v>51</v>
          </cell>
          <cell r="O508">
            <v>51</v>
          </cell>
          <cell r="P508">
            <v>51</v>
          </cell>
          <cell r="Q508">
            <v>51</v>
          </cell>
          <cell r="R508">
            <v>51</v>
          </cell>
          <cell r="S508">
            <v>51</v>
          </cell>
          <cell r="T508">
            <v>51</v>
          </cell>
          <cell r="U508">
            <v>51</v>
          </cell>
          <cell r="V508">
            <v>51</v>
          </cell>
          <cell r="W508">
            <v>51</v>
          </cell>
          <cell r="X508">
            <v>51</v>
          </cell>
          <cell r="Y508">
            <v>51</v>
          </cell>
          <cell r="Z508">
            <v>51</v>
          </cell>
          <cell r="AA508">
            <v>51</v>
          </cell>
          <cell r="AB508">
            <v>51</v>
          </cell>
          <cell r="AC508">
            <v>51</v>
          </cell>
          <cell r="AD508">
            <v>51</v>
          </cell>
          <cell r="AE508">
            <v>51</v>
          </cell>
          <cell r="AF508">
            <v>51</v>
          </cell>
          <cell r="AG508">
            <v>51</v>
          </cell>
          <cell r="AH508">
            <v>51</v>
          </cell>
          <cell r="AI508">
            <v>51</v>
          </cell>
          <cell r="AJ508">
            <v>51</v>
          </cell>
          <cell r="AK508">
            <v>51</v>
          </cell>
          <cell r="AL508">
            <v>51</v>
          </cell>
          <cell r="AM508">
            <v>51</v>
          </cell>
          <cell r="AN508">
            <v>51</v>
          </cell>
          <cell r="AO508">
            <v>51</v>
          </cell>
          <cell r="AP508">
            <v>51</v>
          </cell>
          <cell r="AQ508">
            <v>51</v>
          </cell>
          <cell r="AR508">
            <v>49</v>
          </cell>
          <cell r="AS508">
            <v>49</v>
          </cell>
          <cell r="AT508">
            <v>49</v>
          </cell>
          <cell r="AU508">
            <v>49</v>
          </cell>
          <cell r="AV508">
            <v>49</v>
          </cell>
          <cell r="AW508">
            <v>49</v>
          </cell>
          <cell r="AX508">
            <v>49</v>
          </cell>
          <cell r="AY508">
            <v>49</v>
          </cell>
          <cell r="AZ508">
            <v>49</v>
          </cell>
          <cell r="BA508">
            <v>49</v>
          </cell>
          <cell r="BK508">
            <v>51</v>
          </cell>
          <cell r="BL508">
            <v>-2</v>
          </cell>
        </row>
        <row r="509">
          <cell r="A509" t="str">
            <v>Casino Marina (SJM)</v>
          </cell>
          <cell r="B509">
            <v>37</v>
          </cell>
          <cell r="C509">
            <v>37</v>
          </cell>
          <cell r="D509">
            <v>37</v>
          </cell>
          <cell r="E509">
            <v>37</v>
          </cell>
          <cell r="F509">
            <v>37</v>
          </cell>
          <cell r="G509">
            <v>37</v>
          </cell>
          <cell r="H509">
            <v>37</v>
          </cell>
          <cell r="I509">
            <v>37</v>
          </cell>
          <cell r="J509">
            <v>37</v>
          </cell>
          <cell r="K509">
            <v>37</v>
          </cell>
          <cell r="L509">
            <v>37</v>
          </cell>
          <cell r="M509">
            <v>37</v>
          </cell>
          <cell r="N509">
            <v>37</v>
          </cell>
          <cell r="O509">
            <v>37</v>
          </cell>
          <cell r="P509">
            <v>37</v>
          </cell>
          <cell r="Q509">
            <v>37</v>
          </cell>
          <cell r="R509">
            <v>37</v>
          </cell>
          <cell r="S509">
            <v>37</v>
          </cell>
          <cell r="T509">
            <v>37</v>
          </cell>
          <cell r="U509">
            <v>37</v>
          </cell>
          <cell r="V509">
            <v>37</v>
          </cell>
          <cell r="W509">
            <v>37</v>
          </cell>
          <cell r="X509">
            <v>37</v>
          </cell>
          <cell r="Y509">
            <v>37</v>
          </cell>
          <cell r="Z509">
            <v>37</v>
          </cell>
          <cell r="AA509">
            <v>37</v>
          </cell>
          <cell r="AB509">
            <v>37</v>
          </cell>
          <cell r="AC509">
            <v>37</v>
          </cell>
          <cell r="AD509">
            <v>37</v>
          </cell>
          <cell r="AE509">
            <v>37</v>
          </cell>
          <cell r="AF509">
            <v>37</v>
          </cell>
          <cell r="AG509">
            <v>37</v>
          </cell>
          <cell r="AH509">
            <v>37</v>
          </cell>
          <cell r="AI509">
            <v>37</v>
          </cell>
          <cell r="AJ509">
            <v>37</v>
          </cell>
          <cell r="AK509">
            <v>37</v>
          </cell>
          <cell r="AL509">
            <v>37</v>
          </cell>
          <cell r="AM509">
            <v>37</v>
          </cell>
          <cell r="AN509">
            <v>37</v>
          </cell>
          <cell r="AO509">
            <v>37</v>
          </cell>
          <cell r="AP509">
            <v>37</v>
          </cell>
          <cell r="AQ509">
            <v>37</v>
          </cell>
          <cell r="AR509">
            <v>0</v>
          </cell>
          <cell r="AS509">
            <v>0</v>
          </cell>
          <cell r="AT509">
            <v>0</v>
          </cell>
          <cell r="AU509">
            <v>0</v>
          </cell>
          <cell r="AV509">
            <v>0</v>
          </cell>
          <cell r="AW509">
            <v>0</v>
          </cell>
          <cell r="AX509">
            <v>0</v>
          </cell>
          <cell r="AY509">
            <v>0</v>
          </cell>
          <cell r="AZ509">
            <v>0</v>
          </cell>
          <cell r="BA509">
            <v>0</v>
          </cell>
          <cell r="BK509">
            <v>37</v>
          </cell>
          <cell r="BL509">
            <v>-37</v>
          </cell>
        </row>
        <row r="510">
          <cell r="A510" t="str">
            <v>Casino Taipa (SJM)</v>
          </cell>
          <cell r="B510">
            <v>10</v>
          </cell>
          <cell r="C510">
            <v>10</v>
          </cell>
          <cell r="D510">
            <v>10</v>
          </cell>
          <cell r="E510">
            <v>10</v>
          </cell>
          <cell r="F510">
            <v>10</v>
          </cell>
          <cell r="G510">
            <v>10</v>
          </cell>
          <cell r="H510">
            <v>10</v>
          </cell>
          <cell r="I510">
            <v>10</v>
          </cell>
          <cell r="J510">
            <v>10</v>
          </cell>
          <cell r="K510">
            <v>10</v>
          </cell>
          <cell r="L510">
            <v>10</v>
          </cell>
          <cell r="M510">
            <v>10</v>
          </cell>
          <cell r="N510">
            <v>10</v>
          </cell>
          <cell r="O510">
            <v>10</v>
          </cell>
          <cell r="P510">
            <v>10</v>
          </cell>
          <cell r="Q510">
            <v>10</v>
          </cell>
          <cell r="R510">
            <v>10</v>
          </cell>
          <cell r="S510">
            <v>10</v>
          </cell>
          <cell r="T510">
            <v>10</v>
          </cell>
          <cell r="U510">
            <v>10</v>
          </cell>
          <cell r="V510">
            <v>10</v>
          </cell>
          <cell r="W510">
            <v>10</v>
          </cell>
          <cell r="X510">
            <v>10</v>
          </cell>
          <cell r="Y510">
            <v>10</v>
          </cell>
          <cell r="Z510">
            <v>10</v>
          </cell>
          <cell r="AA510">
            <v>10</v>
          </cell>
          <cell r="AB510">
            <v>10</v>
          </cell>
          <cell r="AC510">
            <v>10</v>
          </cell>
          <cell r="AD510">
            <v>10</v>
          </cell>
          <cell r="AE510">
            <v>10</v>
          </cell>
          <cell r="AF510">
            <v>10</v>
          </cell>
          <cell r="AG510">
            <v>10</v>
          </cell>
          <cell r="AH510">
            <v>10</v>
          </cell>
          <cell r="AI510">
            <v>10</v>
          </cell>
          <cell r="AJ510">
            <v>10</v>
          </cell>
          <cell r="AK510">
            <v>10</v>
          </cell>
          <cell r="AL510">
            <v>10</v>
          </cell>
          <cell r="AM510">
            <v>10</v>
          </cell>
          <cell r="AN510">
            <v>10</v>
          </cell>
          <cell r="AO510">
            <v>10</v>
          </cell>
          <cell r="AP510">
            <v>10</v>
          </cell>
          <cell r="AQ510">
            <v>10</v>
          </cell>
          <cell r="AR510">
            <v>0</v>
          </cell>
          <cell r="AS510">
            <v>0</v>
          </cell>
          <cell r="AT510">
            <v>0</v>
          </cell>
          <cell r="AU510">
            <v>0</v>
          </cell>
          <cell r="AV510">
            <v>0</v>
          </cell>
          <cell r="AW510">
            <v>0</v>
          </cell>
          <cell r="AX510">
            <v>0</v>
          </cell>
          <cell r="AY510">
            <v>0</v>
          </cell>
          <cell r="AZ510">
            <v>0</v>
          </cell>
          <cell r="BA510">
            <v>0</v>
          </cell>
          <cell r="BK510">
            <v>10</v>
          </cell>
          <cell r="BL510">
            <v>-10</v>
          </cell>
        </row>
        <row r="511">
          <cell r="A511" t="str">
            <v>Diamond Casino (SJM)</v>
          </cell>
          <cell r="B511">
            <v>32</v>
          </cell>
          <cell r="C511">
            <v>32</v>
          </cell>
          <cell r="D511">
            <v>32</v>
          </cell>
          <cell r="E511">
            <v>32</v>
          </cell>
          <cell r="F511">
            <v>32</v>
          </cell>
          <cell r="G511">
            <v>32</v>
          </cell>
          <cell r="H511">
            <v>32</v>
          </cell>
          <cell r="I511">
            <v>32</v>
          </cell>
          <cell r="J511">
            <v>32</v>
          </cell>
          <cell r="K511">
            <v>32</v>
          </cell>
          <cell r="L511">
            <v>32</v>
          </cell>
          <cell r="M511">
            <v>32</v>
          </cell>
          <cell r="N511">
            <v>32</v>
          </cell>
          <cell r="O511">
            <v>32</v>
          </cell>
          <cell r="P511">
            <v>32</v>
          </cell>
          <cell r="Q511">
            <v>32</v>
          </cell>
          <cell r="R511">
            <v>32</v>
          </cell>
          <cell r="S511">
            <v>32</v>
          </cell>
          <cell r="T511">
            <v>32</v>
          </cell>
          <cell r="U511">
            <v>32</v>
          </cell>
          <cell r="V511">
            <v>32</v>
          </cell>
          <cell r="W511">
            <v>32</v>
          </cell>
          <cell r="X511">
            <v>32</v>
          </cell>
          <cell r="Y511">
            <v>32</v>
          </cell>
          <cell r="Z511">
            <v>32</v>
          </cell>
          <cell r="AA511">
            <v>32</v>
          </cell>
          <cell r="AB511">
            <v>32</v>
          </cell>
          <cell r="AC511">
            <v>32</v>
          </cell>
          <cell r="AD511">
            <v>32</v>
          </cell>
          <cell r="AE511">
            <v>32</v>
          </cell>
          <cell r="AF511">
            <v>32</v>
          </cell>
          <cell r="AG511">
            <v>32</v>
          </cell>
          <cell r="AH511">
            <v>32</v>
          </cell>
          <cell r="AI511">
            <v>32</v>
          </cell>
          <cell r="AJ511">
            <v>32</v>
          </cell>
          <cell r="AK511">
            <v>32</v>
          </cell>
          <cell r="AL511">
            <v>32</v>
          </cell>
          <cell r="AM511">
            <v>47</v>
          </cell>
          <cell r="AN511">
            <v>47</v>
          </cell>
          <cell r="AO511">
            <v>47</v>
          </cell>
          <cell r="AP511">
            <v>47</v>
          </cell>
          <cell r="AQ511">
            <v>47</v>
          </cell>
          <cell r="AR511">
            <v>85</v>
          </cell>
          <cell r="AS511">
            <v>85</v>
          </cell>
          <cell r="AT511">
            <v>85</v>
          </cell>
          <cell r="AU511">
            <v>85</v>
          </cell>
          <cell r="AV511">
            <v>85</v>
          </cell>
          <cell r="AW511">
            <v>85</v>
          </cell>
          <cell r="AX511">
            <v>85</v>
          </cell>
          <cell r="AY511">
            <v>85</v>
          </cell>
          <cell r="AZ511">
            <v>85</v>
          </cell>
          <cell r="BA511">
            <v>85</v>
          </cell>
          <cell r="BK511">
            <v>47</v>
          </cell>
          <cell r="BL511">
            <v>38</v>
          </cell>
        </row>
        <row r="512">
          <cell r="A512" t="str">
            <v>Golden Dragon (SJM)</v>
          </cell>
          <cell r="B512">
            <v>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123</v>
          </cell>
          <cell r="AI512">
            <v>123</v>
          </cell>
          <cell r="AJ512">
            <v>123</v>
          </cell>
          <cell r="AK512">
            <v>123</v>
          </cell>
          <cell r="AL512">
            <v>123</v>
          </cell>
          <cell r="AM512">
            <v>123</v>
          </cell>
          <cell r="AN512">
            <v>123</v>
          </cell>
          <cell r="AO512">
            <v>123</v>
          </cell>
          <cell r="AP512">
            <v>123</v>
          </cell>
          <cell r="AQ512">
            <v>123</v>
          </cell>
          <cell r="AR512">
            <v>129</v>
          </cell>
          <cell r="AS512">
            <v>129</v>
          </cell>
          <cell r="AT512">
            <v>129</v>
          </cell>
          <cell r="AU512">
            <v>129</v>
          </cell>
          <cell r="AV512">
            <v>129</v>
          </cell>
          <cell r="AW512">
            <v>129</v>
          </cell>
          <cell r="AX512">
            <v>129</v>
          </cell>
          <cell r="AY512">
            <v>129</v>
          </cell>
          <cell r="AZ512">
            <v>129</v>
          </cell>
          <cell r="BA512">
            <v>129</v>
          </cell>
          <cell r="BK512">
            <v>123</v>
          </cell>
          <cell r="BL512">
            <v>6</v>
          </cell>
        </row>
        <row r="513">
          <cell r="A513" t="str">
            <v>Greek Mythology Casino (SJM)</v>
          </cell>
          <cell r="B513">
            <v>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9.7826086956521738</v>
          </cell>
          <cell r="AG513">
            <v>2.4456521739130435</v>
          </cell>
          <cell r="AH513">
            <v>100</v>
          </cell>
          <cell r="AI513">
            <v>100</v>
          </cell>
          <cell r="AJ513">
            <v>100</v>
          </cell>
          <cell r="AK513">
            <v>100</v>
          </cell>
          <cell r="AL513">
            <v>100</v>
          </cell>
          <cell r="AM513">
            <v>100</v>
          </cell>
          <cell r="AN513">
            <v>100</v>
          </cell>
          <cell r="AO513">
            <v>100</v>
          </cell>
          <cell r="AP513">
            <v>100</v>
          </cell>
          <cell r="AQ513">
            <v>100</v>
          </cell>
          <cell r="AR513">
            <v>202</v>
          </cell>
          <cell r="AS513">
            <v>202</v>
          </cell>
          <cell r="AT513">
            <v>202</v>
          </cell>
          <cell r="AU513">
            <v>202</v>
          </cell>
          <cell r="AV513">
            <v>202</v>
          </cell>
          <cell r="AW513">
            <v>202</v>
          </cell>
          <cell r="AX513">
            <v>202</v>
          </cell>
          <cell r="AY513">
            <v>202</v>
          </cell>
          <cell r="AZ513">
            <v>202</v>
          </cell>
          <cell r="BA513">
            <v>202</v>
          </cell>
          <cell r="BK513">
            <v>100</v>
          </cell>
          <cell r="BL513">
            <v>102</v>
          </cell>
        </row>
        <row r="514">
          <cell r="A514" t="str">
            <v>Hotel Fortuna Casino (SJM)</v>
          </cell>
          <cell r="B514">
            <v>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K514">
            <v>0</v>
          </cell>
          <cell r="BL514">
            <v>0</v>
          </cell>
        </row>
        <row r="515">
          <cell r="A515" t="str">
            <v>Jai Alai Casino (SJM)</v>
          </cell>
          <cell r="B515">
            <v>208</v>
          </cell>
          <cell r="C515">
            <v>208</v>
          </cell>
          <cell r="D515">
            <v>208</v>
          </cell>
          <cell r="E515">
            <v>208</v>
          </cell>
          <cell r="F515">
            <v>208</v>
          </cell>
          <cell r="G515">
            <v>208</v>
          </cell>
          <cell r="H515">
            <v>208</v>
          </cell>
          <cell r="I515">
            <v>208</v>
          </cell>
          <cell r="J515">
            <v>208</v>
          </cell>
          <cell r="K515">
            <v>208</v>
          </cell>
          <cell r="L515">
            <v>208</v>
          </cell>
          <cell r="M515">
            <v>208</v>
          </cell>
          <cell r="N515">
            <v>208</v>
          </cell>
          <cell r="O515">
            <v>208</v>
          </cell>
          <cell r="P515">
            <v>208</v>
          </cell>
          <cell r="Q515">
            <v>208</v>
          </cell>
          <cell r="R515">
            <v>208</v>
          </cell>
          <cell r="S515">
            <v>208</v>
          </cell>
          <cell r="T515">
            <v>208</v>
          </cell>
          <cell r="U515">
            <v>208</v>
          </cell>
          <cell r="V515">
            <v>208</v>
          </cell>
          <cell r="W515">
            <v>208</v>
          </cell>
          <cell r="X515">
            <v>208</v>
          </cell>
          <cell r="Y515">
            <v>208</v>
          </cell>
          <cell r="Z515">
            <v>208</v>
          </cell>
          <cell r="AA515">
            <v>208</v>
          </cell>
          <cell r="AB515">
            <v>208</v>
          </cell>
          <cell r="AC515">
            <v>208</v>
          </cell>
          <cell r="AD515">
            <v>208</v>
          </cell>
          <cell r="AE515">
            <v>208</v>
          </cell>
          <cell r="AF515">
            <v>208</v>
          </cell>
          <cell r="AG515">
            <v>208</v>
          </cell>
          <cell r="AH515">
            <v>208</v>
          </cell>
          <cell r="AI515">
            <v>208</v>
          </cell>
          <cell r="AJ515">
            <v>208</v>
          </cell>
          <cell r="AK515">
            <v>208</v>
          </cell>
          <cell r="AL515">
            <v>208</v>
          </cell>
          <cell r="AM515">
            <v>208</v>
          </cell>
          <cell r="AN515">
            <v>208</v>
          </cell>
          <cell r="AO515">
            <v>208</v>
          </cell>
          <cell r="AP515">
            <v>208</v>
          </cell>
          <cell r="AQ515">
            <v>208</v>
          </cell>
          <cell r="AR515">
            <v>303</v>
          </cell>
          <cell r="AS515">
            <v>303</v>
          </cell>
          <cell r="AT515">
            <v>303</v>
          </cell>
          <cell r="AU515">
            <v>303</v>
          </cell>
          <cell r="AV515">
            <v>303</v>
          </cell>
          <cell r="AW515">
            <v>0</v>
          </cell>
          <cell r="AX515">
            <v>0</v>
          </cell>
          <cell r="AY515">
            <v>0</v>
          </cell>
          <cell r="AZ515">
            <v>0</v>
          </cell>
          <cell r="BA515">
            <v>0</v>
          </cell>
          <cell r="BK515">
            <v>208</v>
          </cell>
          <cell r="BL515">
            <v>95</v>
          </cell>
        </row>
        <row r="516">
          <cell r="A516" t="str">
            <v>Kam Pek Casino (SJM)</v>
          </cell>
          <cell r="B516">
            <v>71</v>
          </cell>
          <cell r="C516">
            <v>71</v>
          </cell>
          <cell r="D516">
            <v>71</v>
          </cell>
          <cell r="E516">
            <v>71</v>
          </cell>
          <cell r="F516">
            <v>71</v>
          </cell>
          <cell r="G516">
            <v>71</v>
          </cell>
          <cell r="H516">
            <v>71</v>
          </cell>
          <cell r="I516">
            <v>71</v>
          </cell>
          <cell r="J516">
            <v>71</v>
          </cell>
          <cell r="K516">
            <v>71</v>
          </cell>
          <cell r="L516">
            <v>71</v>
          </cell>
          <cell r="M516">
            <v>71</v>
          </cell>
          <cell r="N516">
            <v>71</v>
          </cell>
          <cell r="O516">
            <v>71</v>
          </cell>
          <cell r="P516">
            <v>71</v>
          </cell>
          <cell r="Q516">
            <v>71</v>
          </cell>
          <cell r="R516">
            <v>71</v>
          </cell>
          <cell r="S516">
            <v>71</v>
          </cell>
          <cell r="T516">
            <v>71</v>
          </cell>
          <cell r="U516">
            <v>71</v>
          </cell>
          <cell r="V516">
            <v>71</v>
          </cell>
          <cell r="W516">
            <v>71</v>
          </cell>
          <cell r="X516">
            <v>71</v>
          </cell>
          <cell r="Y516">
            <v>71</v>
          </cell>
          <cell r="Z516">
            <v>71</v>
          </cell>
          <cell r="AA516">
            <v>71</v>
          </cell>
          <cell r="AB516">
            <v>71</v>
          </cell>
          <cell r="AC516">
            <v>71</v>
          </cell>
          <cell r="AD516">
            <v>71</v>
          </cell>
          <cell r="AE516">
            <v>71</v>
          </cell>
          <cell r="AF516">
            <v>71</v>
          </cell>
          <cell r="AG516">
            <v>71</v>
          </cell>
          <cell r="AH516">
            <v>71</v>
          </cell>
          <cell r="AI516">
            <v>71</v>
          </cell>
          <cell r="AJ516">
            <v>71</v>
          </cell>
          <cell r="AK516">
            <v>71</v>
          </cell>
          <cell r="AL516">
            <v>71</v>
          </cell>
          <cell r="AM516">
            <v>71</v>
          </cell>
          <cell r="AN516">
            <v>71</v>
          </cell>
          <cell r="AO516">
            <v>71</v>
          </cell>
          <cell r="AP516">
            <v>71</v>
          </cell>
          <cell r="AQ516">
            <v>71</v>
          </cell>
          <cell r="AR516">
            <v>0</v>
          </cell>
          <cell r="AS516">
            <v>0</v>
          </cell>
          <cell r="AT516">
            <v>0</v>
          </cell>
          <cell r="AU516">
            <v>0</v>
          </cell>
          <cell r="AV516">
            <v>0</v>
          </cell>
          <cell r="AW516">
            <v>0</v>
          </cell>
          <cell r="AX516">
            <v>0</v>
          </cell>
          <cell r="AY516">
            <v>0</v>
          </cell>
          <cell r="AZ516">
            <v>0</v>
          </cell>
          <cell r="BA516">
            <v>0</v>
          </cell>
          <cell r="BK516">
            <v>71</v>
          </cell>
          <cell r="BL516">
            <v>-71</v>
          </cell>
        </row>
        <row r="517">
          <cell r="A517" t="str">
            <v>Kingsway Hotel &amp; Casino (SJM)</v>
          </cell>
          <cell r="B517">
            <v>20</v>
          </cell>
          <cell r="C517">
            <v>20</v>
          </cell>
          <cell r="D517">
            <v>20</v>
          </cell>
          <cell r="E517">
            <v>20</v>
          </cell>
          <cell r="F517">
            <v>20</v>
          </cell>
          <cell r="G517">
            <v>20</v>
          </cell>
          <cell r="H517">
            <v>20</v>
          </cell>
          <cell r="I517">
            <v>20</v>
          </cell>
          <cell r="J517">
            <v>20</v>
          </cell>
          <cell r="K517">
            <v>20</v>
          </cell>
          <cell r="L517">
            <v>20</v>
          </cell>
          <cell r="M517">
            <v>20</v>
          </cell>
          <cell r="N517">
            <v>20</v>
          </cell>
          <cell r="O517">
            <v>20</v>
          </cell>
          <cell r="P517">
            <v>20</v>
          </cell>
          <cell r="Q517">
            <v>20</v>
          </cell>
          <cell r="R517">
            <v>20</v>
          </cell>
          <cell r="S517">
            <v>20</v>
          </cell>
          <cell r="T517">
            <v>20</v>
          </cell>
          <cell r="U517">
            <v>20</v>
          </cell>
          <cell r="V517">
            <v>20</v>
          </cell>
          <cell r="W517">
            <v>20</v>
          </cell>
          <cell r="X517">
            <v>20</v>
          </cell>
          <cell r="Y517">
            <v>20</v>
          </cell>
          <cell r="Z517">
            <v>20</v>
          </cell>
          <cell r="AA517">
            <v>20</v>
          </cell>
          <cell r="AB517">
            <v>20</v>
          </cell>
          <cell r="AC517">
            <v>20</v>
          </cell>
          <cell r="AD517">
            <v>20</v>
          </cell>
          <cell r="AE517">
            <v>20</v>
          </cell>
          <cell r="AF517">
            <v>20</v>
          </cell>
          <cell r="AG517">
            <v>20</v>
          </cell>
          <cell r="AH517">
            <v>20</v>
          </cell>
          <cell r="AI517">
            <v>20</v>
          </cell>
          <cell r="AJ517">
            <v>20</v>
          </cell>
          <cell r="AK517">
            <v>20</v>
          </cell>
          <cell r="AL517">
            <v>20</v>
          </cell>
          <cell r="AM517">
            <v>20</v>
          </cell>
          <cell r="AN517">
            <v>20</v>
          </cell>
          <cell r="AO517">
            <v>20</v>
          </cell>
          <cell r="AP517">
            <v>20</v>
          </cell>
          <cell r="AQ517">
            <v>20</v>
          </cell>
          <cell r="AR517">
            <v>0</v>
          </cell>
          <cell r="AS517">
            <v>0</v>
          </cell>
          <cell r="AT517">
            <v>0</v>
          </cell>
          <cell r="AU517">
            <v>0</v>
          </cell>
          <cell r="AV517">
            <v>0</v>
          </cell>
          <cell r="AW517">
            <v>0</v>
          </cell>
          <cell r="AX517">
            <v>0</v>
          </cell>
          <cell r="AY517">
            <v>0</v>
          </cell>
          <cell r="AZ517">
            <v>0</v>
          </cell>
          <cell r="BA517">
            <v>0</v>
          </cell>
          <cell r="BK517">
            <v>20</v>
          </cell>
          <cell r="BL517">
            <v>-20</v>
          </cell>
        </row>
        <row r="518">
          <cell r="A518" t="str">
            <v>Macau Jockey Club (MJC) Casino (SJM)</v>
          </cell>
          <cell r="B518">
            <v>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294</v>
          </cell>
          <cell r="AS518">
            <v>294</v>
          </cell>
          <cell r="AT518">
            <v>294</v>
          </cell>
          <cell r="AU518">
            <v>294</v>
          </cell>
          <cell r="AV518">
            <v>294</v>
          </cell>
          <cell r="AW518">
            <v>294</v>
          </cell>
          <cell r="AX518">
            <v>294</v>
          </cell>
          <cell r="AY518">
            <v>294</v>
          </cell>
          <cell r="AZ518">
            <v>294</v>
          </cell>
          <cell r="BA518">
            <v>294</v>
          </cell>
          <cell r="BK518">
            <v>0</v>
          </cell>
          <cell r="BL518">
            <v>294</v>
          </cell>
        </row>
        <row r="519">
          <cell r="A519" t="str">
            <v>Mandarin Oriental Casino (SJM)</v>
          </cell>
          <cell r="B519">
            <v>59</v>
          </cell>
          <cell r="C519">
            <v>59</v>
          </cell>
          <cell r="D519">
            <v>59</v>
          </cell>
          <cell r="E519">
            <v>59</v>
          </cell>
          <cell r="F519">
            <v>59</v>
          </cell>
          <cell r="G519">
            <v>59</v>
          </cell>
          <cell r="H519">
            <v>59</v>
          </cell>
          <cell r="I519">
            <v>59</v>
          </cell>
          <cell r="J519">
            <v>59</v>
          </cell>
          <cell r="K519">
            <v>59</v>
          </cell>
          <cell r="L519">
            <v>59</v>
          </cell>
          <cell r="M519">
            <v>59</v>
          </cell>
          <cell r="N519">
            <v>59</v>
          </cell>
          <cell r="O519">
            <v>59</v>
          </cell>
          <cell r="P519">
            <v>59</v>
          </cell>
          <cell r="Q519">
            <v>59</v>
          </cell>
          <cell r="R519">
            <v>59</v>
          </cell>
          <cell r="S519">
            <v>59</v>
          </cell>
          <cell r="T519">
            <v>59</v>
          </cell>
          <cell r="U519">
            <v>59</v>
          </cell>
          <cell r="V519">
            <v>59</v>
          </cell>
          <cell r="W519">
            <v>59</v>
          </cell>
          <cell r="X519">
            <v>59</v>
          </cell>
          <cell r="Y519">
            <v>59</v>
          </cell>
          <cell r="Z519">
            <v>59</v>
          </cell>
          <cell r="AA519">
            <v>59</v>
          </cell>
          <cell r="AB519">
            <v>59</v>
          </cell>
          <cell r="AC519">
            <v>59</v>
          </cell>
          <cell r="AD519">
            <v>59</v>
          </cell>
          <cell r="AE519">
            <v>59</v>
          </cell>
          <cell r="AF519">
            <v>59</v>
          </cell>
          <cell r="AG519">
            <v>59</v>
          </cell>
          <cell r="AH519">
            <v>59</v>
          </cell>
          <cell r="AI519">
            <v>59</v>
          </cell>
          <cell r="AJ519">
            <v>59</v>
          </cell>
          <cell r="AK519">
            <v>59</v>
          </cell>
          <cell r="AL519">
            <v>59</v>
          </cell>
          <cell r="AM519">
            <v>59</v>
          </cell>
          <cell r="AN519">
            <v>59</v>
          </cell>
          <cell r="AO519">
            <v>59</v>
          </cell>
          <cell r="AP519">
            <v>59</v>
          </cell>
          <cell r="AQ519">
            <v>59</v>
          </cell>
          <cell r="AR519">
            <v>141</v>
          </cell>
          <cell r="AS519">
            <v>141</v>
          </cell>
          <cell r="AT519">
            <v>141</v>
          </cell>
          <cell r="AU519">
            <v>141</v>
          </cell>
          <cell r="AV519">
            <v>141</v>
          </cell>
          <cell r="AW519">
            <v>141</v>
          </cell>
          <cell r="AX519">
            <v>141</v>
          </cell>
          <cell r="AY519">
            <v>141</v>
          </cell>
          <cell r="AZ519">
            <v>141</v>
          </cell>
          <cell r="BA519">
            <v>141</v>
          </cell>
          <cell r="BK519">
            <v>59</v>
          </cell>
          <cell r="BL519">
            <v>82</v>
          </cell>
        </row>
        <row r="520">
          <cell r="A520" t="str">
            <v>New Century Casino (SJM)</v>
          </cell>
          <cell r="B520">
            <v>105</v>
          </cell>
          <cell r="C520">
            <v>105</v>
          </cell>
          <cell r="D520">
            <v>105</v>
          </cell>
          <cell r="E520">
            <v>105</v>
          </cell>
          <cell r="F520">
            <v>105</v>
          </cell>
          <cell r="G520">
            <v>105</v>
          </cell>
          <cell r="H520">
            <v>105</v>
          </cell>
          <cell r="I520">
            <v>105</v>
          </cell>
          <cell r="J520">
            <v>105</v>
          </cell>
          <cell r="K520">
            <v>105</v>
          </cell>
          <cell r="L520">
            <v>105</v>
          </cell>
          <cell r="M520">
            <v>105</v>
          </cell>
          <cell r="N520">
            <v>105</v>
          </cell>
          <cell r="O520">
            <v>105</v>
          </cell>
          <cell r="P520">
            <v>105</v>
          </cell>
          <cell r="Q520">
            <v>105</v>
          </cell>
          <cell r="R520">
            <v>105</v>
          </cell>
          <cell r="S520">
            <v>105</v>
          </cell>
          <cell r="T520">
            <v>105</v>
          </cell>
          <cell r="U520">
            <v>105</v>
          </cell>
          <cell r="V520">
            <v>105</v>
          </cell>
          <cell r="W520">
            <v>105</v>
          </cell>
          <cell r="X520">
            <v>105</v>
          </cell>
          <cell r="Y520">
            <v>105</v>
          </cell>
          <cell r="Z520">
            <v>105</v>
          </cell>
          <cell r="AA520">
            <v>105</v>
          </cell>
          <cell r="AB520">
            <v>105</v>
          </cell>
          <cell r="AC520">
            <v>105</v>
          </cell>
          <cell r="AD520">
            <v>105</v>
          </cell>
          <cell r="AE520">
            <v>105</v>
          </cell>
          <cell r="AF520">
            <v>0</v>
          </cell>
          <cell r="AG520">
            <v>78.75</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K520">
            <v>0</v>
          </cell>
          <cell r="BL520">
            <v>0</v>
          </cell>
        </row>
        <row r="521">
          <cell r="A521" t="str">
            <v>Pharoh's Palace &amp; Legend Club (SJM)</v>
          </cell>
          <cell r="B521">
            <v>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108</v>
          </cell>
          <cell r="Y521">
            <v>108</v>
          </cell>
          <cell r="Z521">
            <v>108</v>
          </cell>
          <cell r="AA521">
            <v>108</v>
          </cell>
          <cell r="AB521">
            <v>108</v>
          </cell>
          <cell r="AC521">
            <v>108</v>
          </cell>
          <cell r="AD521">
            <v>108</v>
          </cell>
          <cell r="AE521">
            <v>108</v>
          </cell>
          <cell r="AF521">
            <v>108</v>
          </cell>
          <cell r="AG521">
            <v>108</v>
          </cell>
          <cell r="AH521">
            <v>108</v>
          </cell>
          <cell r="AI521">
            <v>108</v>
          </cell>
          <cell r="AJ521">
            <v>108</v>
          </cell>
          <cell r="AK521">
            <v>383</v>
          </cell>
          <cell r="AL521">
            <v>176.75</v>
          </cell>
          <cell r="AM521">
            <v>383</v>
          </cell>
          <cell r="AN521">
            <v>383</v>
          </cell>
          <cell r="AO521">
            <v>383</v>
          </cell>
          <cell r="AP521">
            <v>383</v>
          </cell>
          <cell r="AQ521">
            <v>383</v>
          </cell>
          <cell r="AR521">
            <v>269</v>
          </cell>
          <cell r="AS521">
            <v>269</v>
          </cell>
          <cell r="AT521">
            <v>269</v>
          </cell>
          <cell r="AU521">
            <v>269</v>
          </cell>
          <cell r="AV521">
            <v>269</v>
          </cell>
          <cell r="AW521">
            <v>269</v>
          </cell>
          <cell r="AX521">
            <v>269</v>
          </cell>
          <cell r="AY521">
            <v>269</v>
          </cell>
          <cell r="AZ521">
            <v>269</v>
          </cell>
          <cell r="BA521">
            <v>269</v>
          </cell>
          <cell r="BK521">
            <v>383</v>
          </cell>
          <cell r="BL521">
            <v>-114</v>
          </cell>
        </row>
        <row r="522">
          <cell r="A522" t="str">
            <v>Hotel Emperor Casino (SJM)</v>
          </cell>
          <cell r="B522">
            <v>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333</v>
          </cell>
          <cell r="AN522">
            <v>333</v>
          </cell>
          <cell r="AO522">
            <v>333</v>
          </cell>
          <cell r="AP522">
            <v>333</v>
          </cell>
          <cell r="AQ522">
            <v>333</v>
          </cell>
          <cell r="AR522">
            <v>347</v>
          </cell>
          <cell r="AS522">
            <v>347</v>
          </cell>
          <cell r="AT522">
            <v>347</v>
          </cell>
          <cell r="AU522">
            <v>347</v>
          </cell>
          <cell r="AV522">
            <v>347</v>
          </cell>
          <cell r="AW522">
            <v>347</v>
          </cell>
          <cell r="AX522">
            <v>347</v>
          </cell>
          <cell r="AY522">
            <v>347</v>
          </cell>
          <cell r="AZ522">
            <v>347</v>
          </cell>
          <cell r="BA522">
            <v>347</v>
          </cell>
          <cell r="BK522">
            <v>333</v>
          </cell>
          <cell r="BL522">
            <v>14</v>
          </cell>
        </row>
        <row r="523">
          <cell r="A523" t="str">
            <v>Ponte 16 (SJM)</v>
          </cell>
          <cell r="B523">
            <v>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300</v>
          </cell>
          <cell r="AU523">
            <v>300</v>
          </cell>
          <cell r="AV523">
            <v>150</v>
          </cell>
          <cell r="AW523">
            <v>300</v>
          </cell>
          <cell r="AX523">
            <v>300</v>
          </cell>
          <cell r="AY523">
            <v>300</v>
          </cell>
          <cell r="AZ523">
            <v>300</v>
          </cell>
          <cell r="BA523">
            <v>300</v>
          </cell>
          <cell r="BK523">
            <v>150</v>
          </cell>
          <cell r="BL523">
            <v>0</v>
          </cell>
        </row>
        <row r="524">
          <cell r="A524" t="str">
            <v>Grand Lisboa (SJM)</v>
          </cell>
          <cell r="B524">
            <v>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242</v>
          </cell>
          <cell r="AS524">
            <v>484</v>
          </cell>
          <cell r="AT524">
            <v>484</v>
          </cell>
          <cell r="AU524">
            <v>484</v>
          </cell>
          <cell r="AV524">
            <v>423.5</v>
          </cell>
          <cell r="AW524">
            <v>484</v>
          </cell>
          <cell r="AX524">
            <v>484</v>
          </cell>
          <cell r="AY524">
            <v>484</v>
          </cell>
          <cell r="AZ524">
            <v>484</v>
          </cell>
          <cell r="BA524">
            <v>484</v>
          </cell>
          <cell r="BK524">
            <v>100</v>
          </cell>
          <cell r="BL524">
            <v>323.5</v>
          </cell>
        </row>
        <row r="525">
          <cell r="A525" t="str">
            <v>Babylon at Fisherman's Wharf (SJM)</v>
          </cell>
          <cell r="B525">
            <v>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339</v>
          </cell>
          <cell r="AS525">
            <v>339</v>
          </cell>
          <cell r="AT525">
            <v>339</v>
          </cell>
          <cell r="AU525">
            <v>339</v>
          </cell>
          <cell r="AV525">
            <v>339</v>
          </cell>
          <cell r="AW525">
            <v>339</v>
          </cell>
          <cell r="AX525">
            <v>339</v>
          </cell>
          <cell r="AY525">
            <v>339</v>
          </cell>
          <cell r="AZ525">
            <v>339</v>
          </cell>
          <cell r="BA525">
            <v>339</v>
          </cell>
          <cell r="BK525">
            <v>100</v>
          </cell>
          <cell r="BL525">
            <v>239</v>
          </cell>
        </row>
        <row r="526">
          <cell r="A526" t="str">
            <v>TigerSlot at Macau Tower (SJM)</v>
          </cell>
          <cell r="AH526">
            <v>0</v>
          </cell>
          <cell r="AI526">
            <v>0</v>
          </cell>
          <cell r="AJ526">
            <v>0</v>
          </cell>
          <cell r="AK526">
            <v>0</v>
          </cell>
          <cell r="AL526">
            <v>0</v>
          </cell>
          <cell r="AM526">
            <v>0</v>
          </cell>
          <cell r="AN526">
            <v>0</v>
          </cell>
          <cell r="AO526">
            <v>0</v>
          </cell>
          <cell r="AP526">
            <v>0</v>
          </cell>
          <cell r="AQ526">
            <v>0</v>
          </cell>
          <cell r="AR526">
            <v>202</v>
          </cell>
          <cell r="AS526">
            <v>202</v>
          </cell>
          <cell r="AT526">
            <v>202</v>
          </cell>
          <cell r="AU526">
            <v>202</v>
          </cell>
          <cell r="AV526">
            <v>202</v>
          </cell>
          <cell r="AW526">
            <v>202</v>
          </cell>
          <cell r="AX526">
            <v>202</v>
          </cell>
          <cell r="AY526">
            <v>202</v>
          </cell>
          <cell r="AZ526">
            <v>202</v>
          </cell>
          <cell r="BA526">
            <v>202</v>
          </cell>
        </row>
        <row r="527">
          <cell r="A527" t="str">
            <v>Yat Yuen (Dog racing area) (SJM)</v>
          </cell>
          <cell r="AH527">
            <v>0</v>
          </cell>
          <cell r="AI527">
            <v>0</v>
          </cell>
          <cell r="AJ527">
            <v>0</v>
          </cell>
          <cell r="AK527">
            <v>0</v>
          </cell>
          <cell r="AL527">
            <v>0</v>
          </cell>
          <cell r="AM527">
            <v>0</v>
          </cell>
          <cell r="AN527">
            <v>0</v>
          </cell>
          <cell r="AO527">
            <v>0</v>
          </cell>
          <cell r="AP527">
            <v>0</v>
          </cell>
          <cell r="AQ527">
            <v>0</v>
          </cell>
          <cell r="AR527">
            <v>97</v>
          </cell>
          <cell r="AS527">
            <v>97</v>
          </cell>
          <cell r="AT527">
            <v>97</v>
          </cell>
          <cell r="AU527">
            <v>97</v>
          </cell>
          <cell r="AV527">
            <v>97</v>
          </cell>
          <cell r="AW527">
            <v>97</v>
          </cell>
          <cell r="AX527">
            <v>97</v>
          </cell>
          <cell r="AY527">
            <v>97</v>
          </cell>
          <cell r="AZ527">
            <v>97</v>
          </cell>
          <cell r="BA527">
            <v>97</v>
          </cell>
        </row>
        <row r="528">
          <cell r="A528" t="str">
            <v>Treasure Hunt at ZAPE (SJM)</v>
          </cell>
          <cell r="AH528">
            <v>0</v>
          </cell>
          <cell r="AI528">
            <v>0</v>
          </cell>
          <cell r="AJ528">
            <v>0</v>
          </cell>
          <cell r="AK528">
            <v>0</v>
          </cell>
          <cell r="AL528">
            <v>0</v>
          </cell>
          <cell r="AM528">
            <v>0</v>
          </cell>
          <cell r="AN528">
            <v>0</v>
          </cell>
          <cell r="AO528">
            <v>0</v>
          </cell>
          <cell r="AP528">
            <v>0</v>
          </cell>
          <cell r="AQ528">
            <v>0</v>
          </cell>
          <cell r="AR528">
            <v>114</v>
          </cell>
          <cell r="AS528">
            <v>114</v>
          </cell>
          <cell r="AT528">
            <v>114</v>
          </cell>
          <cell r="AU528">
            <v>114</v>
          </cell>
          <cell r="AV528">
            <v>114</v>
          </cell>
          <cell r="AW528">
            <v>114</v>
          </cell>
          <cell r="AX528">
            <v>114</v>
          </cell>
          <cell r="AY528">
            <v>114</v>
          </cell>
          <cell r="AZ528">
            <v>114</v>
          </cell>
          <cell r="BA528">
            <v>114</v>
          </cell>
        </row>
        <row r="529">
          <cell r="A529" t="str">
            <v>Arc de Triomphe (SJM)</v>
          </cell>
          <cell r="B529">
            <v>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200</v>
          </cell>
          <cell r="AX529">
            <v>200</v>
          </cell>
          <cell r="AY529">
            <v>200</v>
          </cell>
          <cell r="AZ529">
            <v>200</v>
          </cell>
          <cell r="BA529">
            <v>200</v>
          </cell>
          <cell r="BK529">
            <v>0</v>
          </cell>
          <cell r="BL529">
            <v>0</v>
          </cell>
        </row>
        <row r="530">
          <cell r="A530" t="str">
            <v>Oceanus (SJM)</v>
          </cell>
          <cell r="B530">
            <v>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1000</v>
          </cell>
          <cell r="AY530">
            <v>1000</v>
          </cell>
          <cell r="AZ530">
            <v>1000</v>
          </cell>
          <cell r="BA530">
            <v>1000</v>
          </cell>
          <cell r="BK530">
            <v>0</v>
          </cell>
          <cell r="BL530">
            <v>0</v>
          </cell>
        </row>
        <row r="531">
          <cell r="A531" t="str">
            <v>Shun Tak Nam Van (SJM)</v>
          </cell>
          <cell r="B531">
            <v>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300</v>
          </cell>
          <cell r="AZ531">
            <v>300</v>
          </cell>
          <cell r="BA531">
            <v>300</v>
          </cell>
          <cell r="BK531">
            <v>0</v>
          </cell>
          <cell r="BL531">
            <v>0</v>
          </cell>
        </row>
        <row r="532">
          <cell r="A532" t="str">
            <v>Shun Tak Cotai (SJM)</v>
          </cell>
          <cell r="B532">
            <v>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1000</v>
          </cell>
          <cell r="BA532">
            <v>1000</v>
          </cell>
          <cell r="BK532">
            <v>0</v>
          </cell>
          <cell r="BL532">
            <v>0</v>
          </cell>
        </row>
        <row r="533">
          <cell r="A533" t="str">
            <v>Crown Macau (Melco/PBL)</v>
          </cell>
          <cell r="B533">
            <v>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333.33333333333331</v>
          </cell>
          <cell r="AT533">
            <v>500</v>
          </cell>
          <cell r="AU533">
            <v>500</v>
          </cell>
          <cell r="AV533">
            <v>333.33333333333331</v>
          </cell>
          <cell r="AW533">
            <v>500</v>
          </cell>
          <cell r="AX533">
            <v>500</v>
          </cell>
          <cell r="AY533">
            <v>500</v>
          </cell>
          <cell r="AZ533">
            <v>500</v>
          </cell>
          <cell r="BA533">
            <v>500</v>
          </cell>
          <cell r="BK533">
            <v>250</v>
          </cell>
          <cell r="BL533">
            <v>83.333333333333314</v>
          </cell>
        </row>
        <row r="534">
          <cell r="A534" t="str">
            <v>Penninsula Project (Melco/PBL)</v>
          </cell>
          <cell r="B534">
            <v>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250</v>
          </cell>
          <cell r="AY534">
            <v>500</v>
          </cell>
          <cell r="AZ534">
            <v>500</v>
          </cell>
          <cell r="BA534">
            <v>500</v>
          </cell>
          <cell r="BK534">
            <v>0</v>
          </cell>
          <cell r="BL534">
            <v>0</v>
          </cell>
        </row>
        <row r="535">
          <cell r="A535" t="str">
            <v>City of Dreams (Melco/PBL)</v>
          </cell>
          <cell r="B535">
            <v>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2500</v>
          </cell>
          <cell r="AY535">
            <v>2500</v>
          </cell>
          <cell r="AZ535">
            <v>2500</v>
          </cell>
          <cell r="BA535">
            <v>2500</v>
          </cell>
          <cell r="BK535">
            <v>0</v>
          </cell>
          <cell r="BL535">
            <v>0</v>
          </cell>
        </row>
        <row r="536">
          <cell r="A536" t="str">
            <v>Galaxy Waldo Hotel and Casino (Galaxy)</v>
          </cell>
          <cell r="B536">
            <v>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74</v>
          </cell>
          <cell r="AF536">
            <v>74</v>
          </cell>
          <cell r="AG536">
            <v>37</v>
          </cell>
          <cell r="AH536">
            <v>74</v>
          </cell>
          <cell r="AI536">
            <v>74</v>
          </cell>
          <cell r="AJ536">
            <v>74</v>
          </cell>
          <cell r="AK536">
            <v>75</v>
          </cell>
          <cell r="AL536">
            <v>74.25</v>
          </cell>
          <cell r="AM536">
            <v>75</v>
          </cell>
          <cell r="AN536">
            <v>75</v>
          </cell>
          <cell r="AO536">
            <v>75</v>
          </cell>
          <cell r="AP536">
            <v>75</v>
          </cell>
          <cell r="AQ536">
            <v>75</v>
          </cell>
          <cell r="AR536">
            <v>75</v>
          </cell>
          <cell r="AS536">
            <v>75</v>
          </cell>
          <cell r="AT536">
            <v>75</v>
          </cell>
          <cell r="AU536">
            <v>75</v>
          </cell>
          <cell r="AV536">
            <v>75</v>
          </cell>
          <cell r="AW536">
            <v>75</v>
          </cell>
          <cell r="AX536">
            <v>75</v>
          </cell>
          <cell r="AY536">
            <v>75</v>
          </cell>
          <cell r="AZ536">
            <v>75</v>
          </cell>
          <cell r="BA536">
            <v>75</v>
          </cell>
          <cell r="BK536">
            <v>75</v>
          </cell>
          <cell r="BL536">
            <v>0</v>
          </cell>
        </row>
        <row r="537">
          <cell r="A537" t="str">
            <v>Galaxy Rio Hotel City Club (Galaxy)</v>
          </cell>
          <cell r="B537">
            <v>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75</v>
          </cell>
          <cell r="AN537">
            <v>150</v>
          </cell>
          <cell r="AO537">
            <v>150</v>
          </cell>
          <cell r="AP537">
            <v>150</v>
          </cell>
          <cell r="AQ537">
            <v>131.25</v>
          </cell>
          <cell r="AR537">
            <v>150</v>
          </cell>
          <cell r="AS537">
            <v>150</v>
          </cell>
          <cell r="AT537">
            <v>150</v>
          </cell>
          <cell r="AU537">
            <v>150</v>
          </cell>
          <cell r="AV537">
            <v>150</v>
          </cell>
          <cell r="AW537">
            <v>150</v>
          </cell>
          <cell r="AX537">
            <v>150</v>
          </cell>
          <cell r="AY537">
            <v>150</v>
          </cell>
          <cell r="AZ537">
            <v>150</v>
          </cell>
          <cell r="BA537">
            <v>150</v>
          </cell>
          <cell r="BK537">
            <v>150</v>
          </cell>
          <cell r="BL537">
            <v>0</v>
          </cell>
        </row>
        <row r="538">
          <cell r="A538" t="str">
            <v>Hotel Presidente Casino (Galaxy)</v>
          </cell>
          <cell r="B538">
            <v>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K538">
            <v>0</v>
          </cell>
          <cell r="BL538">
            <v>0</v>
          </cell>
        </row>
        <row r="539">
          <cell r="A539" t="str">
            <v>Galaxy Grand Waldo (Galaxy)</v>
          </cell>
          <cell r="B539">
            <v>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167</v>
          </cell>
          <cell r="AO539">
            <v>334</v>
          </cell>
          <cell r="AP539">
            <v>334</v>
          </cell>
          <cell r="AQ539">
            <v>208.75</v>
          </cell>
          <cell r="AR539">
            <v>334</v>
          </cell>
          <cell r="AS539">
            <v>334</v>
          </cell>
          <cell r="AT539">
            <v>334</v>
          </cell>
          <cell r="AU539">
            <v>334</v>
          </cell>
          <cell r="AV539">
            <v>334</v>
          </cell>
          <cell r="AW539">
            <v>334</v>
          </cell>
          <cell r="AX539">
            <v>334</v>
          </cell>
          <cell r="AY539">
            <v>334</v>
          </cell>
          <cell r="AZ539">
            <v>334</v>
          </cell>
          <cell r="BA539">
            <v>334</v>
          </cell>
          <cell r="BK539">
            <v>334</v>
          </cell>
          <cell r="BL539">
            <v>0</v>
          </cell>
        </row>
        <row r="540">
          <cell r="A540" t="str">
            <v>Galaxy StarWorld (Galaxy)</v>
          </cell>
          <cell r="B540">
            <v>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277.71739130434781</v>
          </cell>
          <cell r="AQ540">
            <v>69.429347826086953</v>
          </cell>
          <cell r="AR540">
            <v>350</v>
          </cell>
          <cell r="AS540">
            <v>350</v>
          </cell>
          <cell r="AT540">
            <v>350</v>
          </cell>
          <cell r="AU540">
            <v>350</v>
          </cell>
          <cell r="AV540">
            <v>350</v>
          </cell>
          <cell r="AW540">
            <v>350</v>
          </cell>
          <cell r="AX540">
            <v>350</v>
          </cell>
          <cell r="AY540">
            <v>350</v>
          </cell>
          <cell r="AZ540">
            <v>350</v>
          </cell>
          <cell r="BA540">
            <v>350</v>
          </cell>
          <cell r="BK540">
            <v>371</v>
          </cell>
          <cell r="BL540">
            <v>-21</v>
          </cell>
        </row>
        <row r="541">
          <cell r="A541" t="str">
            <v>Galaxy Cotai Mega Resort (Galaxy)</v>
          </cell>
          <cell r="B541">
            <v>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500</v>
          </cell>
          <cell r="AX541">
            <v>1000</v>
          </cell>
          <cell r="AY541">
            <v>1000</v>
          </cell>
          <cell r="AZ541">
            <v>1000</v>
          </cell>
          <cell r="BA541">
            <v>1000</v>
          </cell>
          <cell r="BK541">
            <v>0</v>
          </cell>
          <cell r="BL541">
            <v>0</v>
          </cell>
        </row>
        <row r="542">
          <cell r="A542" t="str">
            <v>Sands Macao (LVS)</v>
          </cell>
          <cell r="B542">
            <v>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113.87912087912088</v>
          </cell>
          <cell r="AE542">
            <v>519</v>
          </cell>
          <cell r="AF542">
            <v>666</v>
          </cell>
          <cell r="AG542">
            <v>324.7197802197802</v>
          </cell>
          <cell r="AH542">
            <v>764</v>
          </cell>
          <cell r="AI542">
            <v>822</v>
          </cell>
          <cell r="AJ542">
            <v>802</v>
          </cell>
          <cell r="AK542">
            <v>778</v>
          </cell>
          <cell r="AL542">
            <v>791.5</v>
          </cell>
          <cell r="AM542">
            <v>907</v>
          </cell>
          <cell r="AN542">
            <v>895</v>
          </cell>
          <cell r="AO542">
            <v>934</v>
          </cell>
          <cell r="AP542">
            <v>1233</v>
          </cell>
          <cell r="AQ542">
            <v>992.25</v>
          </cell>
          <cell r="AR542">
            <v>1233</v>
          </cell>
          <cell r="AS542">
            <v>1233</v>
          </cell>
          <cell r="AT542">
            <v>1233</v>
          </cell>
          <cell r="AU542">
            <v>1233</v>
          </cell>
          <cell r="AV542">
            <v>1233</v>
          </cell>
          <cell r="AW542">
            <v>1233</v>
          </cell>
          <cell r="AX542">
            <v>1233</v>
          </cell>
          <cell r="AY542">
            <v>1233</v>
          </cell>
          <cell r="AZ542">
            <v>1233</v>
          </cell>
          <cell r="BA542">
            <v>1233</v>
          </cell>
          <cell r="BK542">
            <v>1254</v>
          </cell>
          <cell r="BL542">
            <v>-21</v>
          </cell>
        </row>
        <row r="543">
          <cell r="A543" t="str">
            <v>Venetian Macao (LVS)</v>
          </cell>
          <cell r="B543">
            <v>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4100</v>
          </cell>
          <cell r="AU543">
            <v>4100</v>
          </cell>
          <cell r="AV543">
            <v>2050</v>
          </cell>
          <cell r="AW543">
            <v>4100</v>
          </cell>
          <cell r="AX543">
            <v>4100</v>
          </cell>
          <cell r="AY543">
            <v>4100</v>
          </cell>
          <cell r="AZ543">
            <v>7000</v>
          </cell>
          <cell r="BA543">
            <v>7000</v>
          </cell>
          <cell r="BK543">
            <v>2000</v>
          </cell>
          <cell r="BL543">
            <v>50</v>
          </cell>
        </row>
        <row r="544">
          <cell r="A544" t="str">
            <v>Cotai Site 2 - Four Seasons (LVS)</v>
          </cell>
          <cell r="B544">
            <v>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400</v>
          </cell>
          <cell r="AX544">
            <v>400</v>
          </cell>
          <cell r="AY544">
            <v>400</v>
          </cell>
          <cell r="AZ544">
            <v>400</v>
          </cell>
          <cell r="BA544">
            <v>400</v>
          </cell>
          <cell r="BK544">
            <v>0</v>
          </cell>
          <cell r="BL544">
            <v>0</v>
          </cell>
        </row>
        <row r="545">
          <cell r="A545" t="str">
            <v>Cotai Site 3 - Far East (LVS)</v>
          </cell>
          <cell r="B545">
            <v>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875</v>
          </cell>
          <cell r="AY545">
            <v>1750</v>
          </cell>
          <cell r="AZ545">
            <v>1750</v>
          </cell>
          <cell r="BA545">
            <v>1750</v>
          </cell>
          <cell r="BK545">
            <v>0</v>
          </cell>
          <cell r="BL545">
            <v>0</v>
          </cell>
        </row>
        <row r="546">
          <cell r="A546" t="str">
            <v>Cotai Site 5 - Shangri-La/St.Regis/Traders (LVS)</v>
          </cell>
          <cell r="B546">
            <v>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875</v>
          </cell>
          <cell r="AX546">
            <v>1750</v>
          </cell>
          <cell r="AY546">
            <v>1750</v>
          </cell>
          <cell r="AZ546">
            <v>1750</v>
          </cell>
          <cell r="BA546">
            <v>1750</v>
          </cell>
          <cell r="BK546">
            <v>0</v>
          </cell>
          <cell r="BL546">
            <v>0</v>
          </cell>
        </row>
        <row r="547">
          <cell r="A547" t="str">
            <v>Cotai Site 6 - Starwood (LVS)</v>
          </cell>
          <cell r="B547">
            <v>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875</v>
          </cell>
          <cell r="AX547">
            <v>1750</v>
          </cell>
          <cell r="AY547">
            <v>1750</v>
          </cell>
          <cell r="AZ547">
            <v>1750</v>
          </cell>
          <cell r="BA547">
            <v>1750</v>
          </cell>
          <cell r="BK547">
            <v>0</v>
          </cell>
          <cell r="BL547">
            <v>0</v>
          </cell>
        </row>
        <row r="548">
          <cell r="A548" t="str">
            <v>Cotai Site 7 - Hilton (LVS)</v>
          </cell>
          <cell r="B548">
            <v>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875</v>
          </cell>
          <cell r="AY548">
            <v>1750</v>
          </cell>
          <cell r="AZ548">
            <v>1750</v>
          </cell>
          <cell r="BA548">
            <v>1750</v>
          </cell>
          <cell r="BK548">
            <v>0</v>
          </cell>
          <cell r="BL548">
            <v>0</v>
          </cell>
        </row>
        <row r="549">
          <cell r="A549" t="str">
            <v>Cotai Site 8 - FHR/Raffles (LVS)</v>
          </cell>
          <cell r="B549">
            <v>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875</v>
          </cell>
          <cell r="AY549">
            <v>1750</v>
          </cell>
          <cell r="AZ549">
            <v>1750</v>
          </cell>
          <cell r="BA549">
            <v>1750</v>
          </cell>
          <cell r="BK549">
            <v>0</v>
          </cell>
          <cell r="BL549">
            <v>0</v>
          </cell>
        </row>
        <row r="550">
          <cell r="A550" t="str">
            <v>Wynn Macau (WYNN)</v>
          </cell>
          <cell r="B550">
            <v>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101.90217391304348</v>
          </cell>
          <cell r="AP550">
            <v>366</v>
          </cell>
          <cell r="AQ550">
            <v>116.97554347826087</v>
          </cell>
          <cell r="AR550">
            <v>499</v>
          </cell>
          <cell r="AS550">
            <v>632</v>
          </cell>
          <cell r="AT550">
            <v>1280</v>
          </cell>
          <cell r="AU550">
            <v>1280</v>
          </cell>
          <cell r="AV550">
            <v>922.75</v>
          </cell>
          <cell r="AW550">
            <v>1280</v>
          </cell>
          <cell r="AX550">
            <v>1280</v>
          </cell>
          <cell r="AY550">
            <v>1280</v>
          </cell>
          <cell r="AZ550">
            <v>1280</v>
          </cell>
          <cell r="BA550">
            <v>1280</v>
          </cell>
          <cell r="BK550">
            <v>630</v>
          </cell>
          <cell r="BL550">
            <v>292.75</v>
          </cell>
        </row>
        <row r="551">
          <cell r="A551" t="str">
            <v>Wynn Cotai (WYNN)</v>
          </cell>
          <cell r="B551">
            <v>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3500</v>
          </cell>
          <cell r="AZ551">
            <v>3500</v>
          </cell>
          <cell r="BA551">
            <v>3500</v>
          </cell>
          <cell r="BK551">
            <v>0</v>
          </cell>
          <cell r="BL551">
            <v>0</v>
          </cell>
        </row>
        <row r="552">
          <cell r="A552" t="str">
            <v>Wynn Cotai #2 (WYNN)</v>
          </cell>
          <cell r="B552">
            <v>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3500</v>
          </cell>
          <cell r="AZ552">
            <v>3500</v>
          </cell>
          <cell r="BA552">
            <v>3500</v>
          </cell>
          <cell r="BK552">
            <v>0</v>
          </cell>
          <cell r="BL552">
            <v>0</v>
          </cell>
        </row>
        <row r="553">
          <cell r="A553" t="str">
            <v>MGM Grand (MGM)</v>
          </cell>
          <cell r="B553">
            <v>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1037</v>
          </cell>
          <cell r="AV553">
            <v>259.25</v>
          </cell>
          <cell r="AW553">
            <v>1037</v>
          </cell>
          <cell r="AX553">
            <v>1037</v>
          </cell>
          <cell r="AY553">
            <v>1037</v>
          </cell>
          <cell r="AZ553">
            <v>1037</v>
          </cell>
          <cell r="BA553">
            <v>1037</v>
          </cell>
          <cell r="BK553">
            <v>262.5</v>
          </cell>
          <cell r="BL553">
            <v>-3.25</v>
          </cell>
        </row>
        <row r="554">
          <cell r="A554" t="str">
            <v>MGM Cotai #1 (MGM)</v>
          </cell>
          <cell r="B554">
            <v>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3000</v>
          </cell>
          <cell r="BA554">
            <v>3000</v>
          </cell>
          <cell r="BK554">
            <v>262.5</v>
          </cell>
          <cell r="BL554">
            <v>-262.5</v>
          </cell>
        </row>
        <row r="555">
          <cell r="A555" t="str">
            <v>Mocha Slot Lounges (Melco)</v>
          </cell>
          <cell r="B555">
            <v>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65</v>
          </cell>
          <cell r="AB555">
            <v>16.25</v>
          </cell>
          <cell r="AC555">
            <v>65</v>
          </cell>
          <cell r="AD555">
            <v>209</v>
          </cell>
          <cell r="AE555">
            <v>503</v>
          </cell>
          <cell r="AF555">
            <v>503</v>
          </cell>
          <cell r="AG555">
            <v>320</v>
          </cell>
          <cell r="AH555">
            <v>503</v>
          </cell>
          <cell r="AI555">
            <v>647</v>
          </cell>
          <cell r="AJ555">
            <v>679</v>
          </cell>
          <cell r="AK555">
            <v>809</v>
          </cell>
          <cell r="AL555">
            <v>659.5</v>
          </cell>
          <cell r="AM555">
            <v>937</v>
          </cell>
          <cell r="AN555">
            <v>937</v>
          </cell>
          <cell r="AO555">
            <v>937</v>
          </cell>
          <cell r="AP555">
            <v>937</v>
          </cell>
          <cell r="AQ555">
            <v>937</v>
          </cell>
          <cell r="AR555">
            <v>1137</v>
          </cell>
          <cell r="AS555">
            <v>1137</v>
          </cell>
          <cell r="AT555">
            <v>1337</v>
          </cell>
          <cell r="AU555">
            <v>1537</v>
          </cell>
          <cell r="AV555">
            <v>1287</v>
          </cell>
          <cell r="AW555">
            <v>1987</v>
          </cell>
          <cell r="AX555">
            <v>2137</v>
          </cell>
          <cell r="AY555">
            <v>2737</v>
          </cell>
          <cell r="AZ555">
            <v>3337</v>
          </cell>
          <cell r="BA555">
            <v>3937</v>
          </cell>
          <cell r="BK555">
            <v>1775</v>
          </cell>
          <cell r="BL555">
            <v>-488</v>
          </cell>
        </row>
        <row r="556">
          <cell r="A556" t="str">
            <v>Macau Studio City (eSun)</v>
          </cell>
          <cell r="B556">
            <v>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1000</v>
          </cell>
          <cell r="AY556">
            <v>1000</v>
          </cell>
          <cell r="AZ556">
            <v>1600</v>
          </cell>
          <cell r="BA556">
            <v>1600</v>
          </cell>
          <cell r="BK556">
            <v>0</v>
          </cell>
          <cell r="BL556">
            <v>0</v>
          </cell>
        </row>
        <row r="557">
          <cell r="A557" t="str">
            <v>Adjustment</v>
          </cell>
          <cell r="B557">
            <v>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85.000000000000156</v>
          </cell>
          <cell r="AG557">
            <v>21.250000000000039</v>
          </cell>
          <cell r="AH557">
            <v>331</v>
          </cell>
          <cell r="AI557">
            <v>182.5</v>
          </cell>
          <cell r="AJ557">
            <v>323</v>
          </cell>
          <cell r="AK557">
            <v>265.5</v>
          </cell>
          <cell r="AL557">
            <v>275.5</v>
          </cell>
          <cell r="AM557">
            <v>322.5</v>
          </cell>
          <cell r="AN557">
            <v>372</v>
          </cell>
          <cell r="AO557">
            <v>535.09782608695605</v>
          </cell>
          <cell r="AP557">
            <v>700.78260869565202</v>
          </cell>
          <cell r="AQ557">
            <v>482.59510869565202</v>
          </cell>
          <cell r="AR557">
            <v>700.78260869565202</v>
          </cell>
          <cell r="AS557">
            <v>700.78260869565202</v>
          </cell>
          <cell r="AT557">
            <v>700.78260869565202</v>
          </cell>
          <cell r="AU557">
            <v>700.78260869565202</v>
          </cell>
          <cell r="AV557">
            <v>700.78260869565202</v>
          </cell>
          <cell r="AW557">
            <v>700.78260869565202</v>
          </cell>
          <cell r="AX557">
            <v>700.78260869565202</v>
          </cell>
          <cell r="AY557">
            <v>700.78260869565202</v>
          </cell>
          <cell r="AZ557">
            <v>700.78260869565202</v>
          </cell>
          <cell r="BA557">
            <v>700.78260869565202</v>
          </cell>
          <cell r="BK557">
            <v>155.23913043478206</v>
          </cell>
          <cell r="BL557">
            <v>545.54347826086996</v>
          </cell>
        </row>
        <row r="558">
          <cell r="B558" t="str">
            <v>______</v>
          </cell>
          <cell r="C558" t="str">
            <v>______</v>
          </cell>
          <cell r="D558" t="str">
            <v>______</v>
          </cell>
          <cell r="E558" t="str">
            <v>______</v>
          </cell>
          <cell r="F558" t="str">
            <v>______</v>
          </cell>
          <cell r="G558" t="str">
            <v>______</v>
          </cell>
          <cell r="H558" t="str">
            <v>______</v>
          </cell>
          <cell r="I558" t="str">
            <v>______</v>
          </cell>
          <cell r="J558" t="str">
            <v>______</v>
          </cell>
          <cell r="K558" t="str">
            <v>______</v>
          </cell>
          <cell r="L558" t="str">
            <v>______</v>
          </cell>
          <cell r="M558" t="str">
            <v>______</v>
          </cell>
          <cell r="N558" t="str">
            <v>______</v>
          </cell>
          <cell r="O558" t="str">
            <v>______</v>
          </cell>
          <cell r="P558" t="str">
            <v>______</v>
          </cell>
          <cell r="Q558" t="str">
            <v>______</v>
          </cell>
          <cell r="R558" t="str">
            <v>______</v>
          </cell>
          <cell r="S558" t="str">
            <v>______</v>
          </cell>
          <cell r="T558" t="str">
            <v>______</v>
          </cell>
          <cell r="U558" t="str">
            <v>______</v>
          </cell>
          <cell r="V558" t="str">
            <v>______</v>
          </cell>
          <cell r="W558" t="str">
            <v>______</v>
          </cell>
          <cell r="X558" t="str">
            <v>______</v>
          </cell>
          <cell r="Y558" t="str">
            <v>______</v>
          </cell>
          <cell r="Z558" t="str">
            <v>______</v>
          </cell>
          <cell r="AA558" t="str">
            <v>______</v>
          </cell>
          <cell r="AB558" t="str">
            <v>______</v>
          </cell>
          <cell r="AC558" t="str">
            <v>______</v>
          </cell>
          <cell r="AD558" t="str">
            <v>______</v>
          </cell>
          <cell r="AE558" t="str">
            <v>______</v>
          </cell>
          <cell r="AF558" t="str">
            <v>______</v>
          </cell>
          <cell r="AG558" t="str">
            <v>______</v>
          </cell>
          <cell r="AH558" t="str">
            <v>______</v>
          </cell>
          <cell r="AI558" t="str">
            <v>______</v>
          </cell>
          <cell r="AJ558" t="str">
            <v>______</v>
          </cell>
          <cell r="AK558" t="str">
            <v>______</v>
          </cell>
          <cell r="AL558" t="str">
            <v>______</v>
          </cell>
          <cell r="AM558" t="str">
            <v>______</v>
          </cell>
          <cell r="AN558" t="str">
            <v>______</v>
          </cell>
          <cell r="AO558" t="str">
            <v>______</v>
          </cell>
          <cell r="AP558" t="str">
            <v>______</v>
          </cell>
          <cell r="AQ558" t="str">
            <v>______</v>
          </cell>
          <cell r="AR558" t="str">
            <v>______</v>
          </cell>
          <cell r="AS558" t="str">
            <v>______</v>
          </cell>
          <cell r="AT558" t="str">
            <v>______</v>
          </cell>
          <cell r="AU558" t="str">
            <v>______</v>
          </cell>
          <cell r="AV558" t="str">
            <v>______</v>
          </cell>
          <cell r="AW558" t="str">
            <v>______</v>
          </cell>
          <cell r="AX558" t="str">
            <v>______</v>
          </cell>
          <cell r="AY558" t="str">
            <v>______</v>
          </cell>
          <cell r="AZ558" t="str">
            <v>______</v>
          </cell>
          <cell r="BA558" t="str">
            <v>______</v>
          </cell>
          <cell r="BK558" t="str">
            <v>______</v>
          </cell>
        </row>
        <row r="559">
          <cell r="A559" t="str">
            <v>Total Average Slots</v>
          </cell>
          <cell r="B559">
            <v>700</v>
          </cell>
          <cell r="C559">
            <v>700</v>
          </cell>
          <cell r="D559">
            <v>700</v>
          </cell>
          <cell r="E559">
            <v>700</v>
          </cell>
          <cell r="F559">
            <v>700</v>
          </cell>
          <cell r="G559">
            <v>700</v>
          </cell>
          <cell r="H559">
            <v>700</v>
          </cell>
          <cell r="I559">
            <v>700</v>
          </cell>
          <cell r="J559">
            <v>700</v>
          </cell>
          <cell r="K559">
            <v>700</v>
          </cell>
          <cell r="L559">
            <v>700</v>
          </cell>
          <cell r="M559">
            <v>700</v>
          </cell>
          <cell r="N559">
            <v>700</v>
          </cell>
          <cell r="O559">
            <v>700</v>
          </cell>
          <cell r="P559">
            <v>700</v>
          </cell>
          <cell r="Q559">
            <v>700</v>
          </cell>
          <cell r="R559">
            <v>700</v>
          </cell>
          <cell r="S559">
            <v>700</v>
          </cell>
          <cell r="T559">
            <v>700</v>
          </cell>
          <cell r="U559">
            <v>700</v>
          </cell>
          <cell r="V559">
            <v>700</v>
          </cell>
          <cell r="W559">
            <v>700</v>
          </cell>
          <cell r="X559">
            <v>808</v>
          </cell>
          <cell r="Y559">
            <v>808</v>
          </cell>
          <cell r="Z559">
            <v>808</v>
          </cell>
          <cell r="AA559">
            <v>873</v>
          </cell>
          <cell r="AB559">
            <v>824.25</v>
          </cell>
          <cell r="AC559">
            <v>873</v>
          </cell>
          <cell r="AD559">
            <v>1130.8791208791208</v>
          </cell>
          <cell r="AE559">
            <v>2027</v>
          </cell>
          <cell r="AF559">
            <v>2163.782608695652</v>
          </cell>
          <cell r="AG559">
            <v>1548.6654323936932</v>
          </cell>
          <cell r="AH559">
            <v>2721</v>
          </cell>
          <cell r="AI559">
            <v>2774.5</v>
          </cell>
          <cell r="AJ559">
            <v>2927</v>
          </cell>
          <cell r="AK559">
            <v>3251.5</v>
          </cell>
          <cell r="AL559">
            <v>2918.5</v>
          </cell>
          <cell r="AM559">
            <v>3988.5</v>
          </cell>
          <cell r="AN559">
            <v>4378</v>
          </cell>
          <cell r="AO559">
            <v>4849</v>
          </cell>
          <cell r="AP559">
            <v>5855.5</v>
          </cell>
          <cell r="AQ559">
            <v>4767.75</v>
          </cell>
          <cell r="AR559">
            <v>7518.782608695652</v>
          </cell>
          <cell r="AS559">
            <v>8227.115942028986</v>
          </cell>
          <cell r="AT559">
            <v>13641.782608695652</v>
          </cell>
          <cell r="AU559">
            <v>14878.782608695652</v>
          </cell>
          <cell r="AV559">
            <v>11066.615942028986</v>
          </cell>
          <cell r="AW559">
            <v>17875.782608695652</v>
          </cell>
          <cell r="AX559">
            <v>27650.782608695652</v>
          </cell>
          <cell r="AY559">
            <v>38425.782608695648</v>
          </cell>
          <cell r="AZ559">
            <v>46525.782608695648</v>
          </cell>
          <cell r="BA559">
            <v>47125.782608695648</v>
          </cell>
          <cell r="BK559">
            <v>9388.7391304347821</v>
          </cell>
          <cell r="BL559">
            <v>1677.8768115942039</v>
          </cell>
        </row>
        <row r="560">
          <cell r="A560" t="str">
            <v xml:space="preserve">  Growth</v>
          </cell>
          <cell r="AC560">
            <v>8.0445544554455406E-2</v>
          </cell>
          <cell r="AD560">
            <v>0.39960287237514946</v>
          </cell>
          <cell r="AE560">
            <v>1.5086633663366338</v>
          </cell>
          <cell r="AF560">
            <v>1.4785596892275512</v>
          </cell>
          <cell r="AG560">
            <v>0.87887829225804448</v>
          </cell>
          <cell r="AH560">
            <v>2.1168384879725086</v>
          </cell>
          <cell r="AI560">
            <v>1.4534010300262366</v>
          </cell>
          <cell r="AJ560">
            <v>0.44400592007893436</v>
          </cell>
          <cell r="AK560">
            <v>0.50269254727027968</v>
          </cell>
          <cell r="AL560">
            <v>0.88452582394702461</v>
          </cell>
          <cell r="AM560">
            <v>0.46582138919514882</v>
          </cell>
          <cell r="AN560">
            <v>0.57794197152640114</v>
          </cell>
          <cell r="AO560">
            <v>0.65664502903997257</v>
          </cell>
          <cell r="AP560">
            <v>0.80086114101184069</v>
          </cell>
          <cell r="AQ560">
            <v>0.63363028953229406</v>
          </cell>
          <cell r="AR560">
            <v>0.88511535883055092</v>
          </cell>
          <cell r="AS560">
            <v>0.87919505299885481</v>
          </cell>
          <cell r="AT560">
            <v>1.8133187479265112</v>
          </cell>
          <cell r="AU560">
            <v>1.5409926750398175</v>
          </cell>
          <cell r="AV560">
            <v>1.3211401482940559</v>
          </cell>
          <cell r="AW560">
            <v>0.61528896478703077</v>
          </cell>
          <cell r="AX560">
            <v>0.54682920541028301</v>
          </cell>
          <cell r="AY560">
            <v>0.38968155630471957</v>
          </cell>
          <cell r="AZ560">
            <v>0.21079596692890767</v>
          </cell>
          <cell r="BA560">
            <v>1.2896075387840211E-2</v>
          </cell>
          <cell r="BK560">
            <v>0.98914957126029623</v>
          </cell>
          <cell r="BL560">
            <v>0.33199057703375967</v>
          </cell>
        </row>
        <row r="561">
          <cell r="BL561">
            <v>0</v>
          </cell>
        </row>
        <row r="562">
          <cell r="A562" t="str">
            <v>Period-end total slots</v>
          </cell>
          <cell r="AA562">
            <v>814</v>
          </cell>
          <cell r="AB562">
            <v>814</v>
          </cell>
          <cell r="AC562">
            <v>873</v>
          </cell>
          <cell r="AD562">
            <v>1130.8791208791208</v>
          </cell>
          <cell r="AE562">
            <v>2027</v>
          </cell>
          <cell r="AF562">
            <v>2254</v>
          </cell>
          <cell r="AG562">
            <v>2254</v>
          </cell>
          <cell r="AH562">
            <v>2777</v>
          </cell>
          <cell r="AI562">
            <v>2772</v>
          </cell>
          <cell r="AJ562">
            <v>3082</v>
          </cell>
          <cell r="AK562">
            <v>3421</v>
          </cell>
          <cell r="AL562">
            <v>3421</v>
          </cell>
          <cell r="AM562">
            <v>4223</v>
          </cell>
          <cell r="AN562">
            <v>4533</v>
          </cell>
          <cell r="AO562">
            <v>5165</v>
          </cell>
          <cell r="AP562">
            <v>6546</v>
          </cell>
          <cell r="AQ562">
            <v>6546</v>
          </cell>
          <cell r="BL562">
            <v>0</v>
          </cell>
        </row>
        <row r="563">
          <cell r="BL563">
            <v>0</v>
          </cell>
        </row>
        <row r="564">
          <cell r="A564" t="str">
            <v>Total Average Positions</v>
          </cell>
          <cell r="BL564">
            <v>0</v>
          </cell>
        </row>
        <row r="565">
          <cell r="A565" t="str">
            <v>Casa Real Casino (SJM)</v>
          </cell>
          <cell r="B565">
            <v>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741</v>
          </cell>
          <cell r="AF565">
            <v>741</v>
          </cell>
          <cell r="AG565">
            <v>370.5</v>
          </cell>
          <cell r="AH565">
            <v>741</v>
          </cell>
          <cell r="AI565">
            <v>741</v>
          </cell>
          <cell r="AJ565">
            <v>741</v>
          </cell>
          <cell r="AK565">
            <v>741</v>
          </cell>
          <cell r="AL565">
            <v>741</v>
          </cell>
          <cell r="AM565">
            <v>741</v>
          </cell>
          <cell r="AN565">
            <v>531</v>
          </cell>
          <cell r="AO565">
            <v>531</v>
          </cell>
          <cell r="AP565">
            <v>531</v>
          </cell>
          <cell r="AQ565">
            <v>583.5</v>
          </cell>
          <cell r="AR565">
            <v>710</v>
          </cell>
          <cell r="AS565">
            <v>710</v>
          </cell>
          <cell r="AT565">
            <v>710</v>
          </cell>
          <cell r="AU565">
            <v>710</v>
          </cell>
          <cell r="AV565">
            <v>710</v>
          </cell>
          <cell r="AW565">
            <v>710</v>
          </cell>
          <cell r="AX565">
            <v>710</v>
          </cell>
          <cell r="AY565">
            <v>710</v>
          </cell>
          <cell r="AZ565">
            <v>710</v>
          </cell>
          <cell r="BA565">
            <v>710</v>
          </cell>
          <cell r="BK565">
            <v>539.20000000000005</v>
          </cell>
          <cell r="BL565">
            <v>170.79999999999995</v>
          </cell>
        </row>
        <row r="566">
          <cell r="A566" t="str">
            <v>Casino Lisboa (SJM)</v>
          </cell>
          <cell r="B566">
            <v>1495.6666666666667</v>
          </cell>
          <cell r="C566">
            <v>1495.6666666666667</v>
          </cell>
          <cell r="D566">
            <v>1495.6666666666667</v>
          </cell>
          <cell r="E566">
            <v>1495.6666666666667</v>
          </cell>
          <cell r="F566">
            <v>1495.6666666666667</v>
          </cell>
          <cell r="G566">
            <v>1495.6666666666667</v>
          </cell>
          <cell r="H566">
            <v>1495.6666666666667</v>
          </cell>
          <cell r="I566">
            <v>1495.6666666666667</v>
          </cell>
          <cell r="J566">
            <v>1495.6666666666667</v>
          </cell>
          <cell r="K566">
            <v>1495.6666666666667</v>
          </cell>
          <cell r="L566">
            <v>1495.6666666666667</v>
          </cell>
          <cell r="M566">
            <v>1495.6666666666667</v>
          </cell>
          <cell r="N566">
            <v>1495.6666666666667</v>
          </cell>
          <cell r="O566">
            <v>1495.6666666666667</v>
          </cell>
          <cell r="P566">
            <v>1495.6666666666667</v>
          </cell>
          <cell r="Q566">
            <v>1495.6666666666667</v>
          </cell>
          <cell r="R566">
            <v>1495.6666666666667</v>
          </cell>
          <cell r="S566">
            <v>1495.6666666666667</v>
          </cell>
          <cell r="T566">
            <v>1495.6666666666667</v>
          </cell>
          <cell r="U566">
            <v>1495.6666666666667</v>
          </cell>
          <cell r="V566">
            <v>1495.6666666666667</v>
          </cell>
          <cell r="W566">
            <v>1495.6666666666667</v>
          </cell>
          <cell r="X566">
            <v>1495.6666666666667</v>
          </cell>
          <cell r="Y566">
            <v>1495.6666666666667</v>
          </cell>
          <cell r="Z566">
            <v>1495.6666666666667</v>
          </cell>
          <cell r="AA566">
            <v>1495.6666666666667</v>
          </cell>
          <cell r="AB566">
            <v>1495.6666666666667</v>
          </cell>
          <cell r="AC566">
            <v>1495.6666666666667</v>
          </cell>
          <cell r="AD566">
            <v>1495.6666666666667</v>
          </cell>
          <cell r="AE566">
            <v>1495.6666666666667</v>
          </cell>
          <cell r="AF566">
            <v>1495.6666666666667</v>
          </cell>
          <cell r="AG566">
            <v>1495.6666666666667</v>
          </cell>
          <cell r="AH566">
            <v>1495.6666666666667</v>
          </cell>
          <cell r="AI566">
            <v>1495.6666666666667</v>
          </cell>
          <cell r="AJ566">
            <v>1495.6666666666667</v>
          </cell>
          <cell r="AK566">
            <v>1495.6666666666667</v>
          </cell>
          <cell r="AL566">
            <v>1495.6666666666667</v>
          </cell>
          <cell r="AM566">
            <v>1495.6666666666667</v>
          </cell>
          <cell r="AN566">
            <v>2672.3333333333335</v>
          </cell>
          <cell r="AO566">
            <v>2672.3333333333335</v>
          </cell>
          <cell r="AP566">
            <v>2672.3333333333335</v>
          </cell>
          <cell r="AQ566">
            <v>2378.1666666666665</v>
          </cell>
          <cell r="AR566">
            <v>2800.8</v>
          </cell>
          <cell r="AS566">
            <v>2800.8</v>
          </cell>
          <cell r="AT566">
            <v>2800.8</v>
          </cell>
          <cell r="AU566">
            <v>2800.8</v>
          </cell>
          <cell r="AV566">
            <v>2800.8</v>
          </cell>
          <cell r="AW566">
            <v>2823.5</v>
          </cell>
          <cell r="AX566">
            <v>2823.5</v>
          </cell>
          <cell r="AY566">
            <v>2823.5</v>
          </cell>
          <cell r="AZ566">
            <v>2823.5</v>
          </cell>
          <cell r="BA566">
            <v>2823.5</v>
          </cell>
          <cell r="BK566">
            <v>2686.8</v>
          </cell>
          <cell r="BL566">
            <v>114</v>
          </cell>
        </row>
        <row r="567">
          <cell r="A567" t="str">
            <v>Casino Macau Palace (SJM)</v>
          </cell>
          <cell r="B567">
            <v>137</v>
          </cell>
          <cell r="C567">
            <v>137</v>
          </cell>
          <cell r="D567">
            <v>137</v>
          </cell>
          <cell r="E567">
            <v>137</v>
          </cell>
          <cell r="F567">
            <v>137</v>
          </cell>
          <cell r="G567">
            <v>137</v>
          </cell>
          <cell r="H567">
            <v>137</v>
          </cell>
          <cell r="I567">
            <v>137</v>
          </cell>
          <cell r="J567">
            <v>137</v>
          </cell>
          <cell r="K567">
            <v>137</v>
          </cell>
          <cell r="L567">
            <v>137</v>
          </cell>
          <cell r="M567">
            <v>137</v>
          </cell>
          <cell r="N567">
            <v>137</v>
          </cell>
          <cell r="O567">
            <v>137</v>
          </cell>
          <cell r="P567">
            <v>137</v>
          </cell>
          <cell r="Q567">
            <v>137</v>
          </cell>
          <cell r="R567">
            <v>137</v>
          </cell>
          <cell r="S567">
            <v>137</v>
          </cell>
          <cell r="T567">
            <v>137</v>
          </cell>
          <cell r="U567">
            <v>137</v>
          </cell>
          <cell r="V567">
            <v>137</v>
          </cell>
          <cell r="W567">
            <v>137</v>
          </cell>
          <cell r="X567">
            <v>137</v>
          </cell>
          <cell r="Y567">
            <v>137</v>
          </cell>
          <cell r="Z567">
            <v>137</v>
          </cell>
          <cell r="AA567">
            <v>137</v>
          </cell>
          <cell r="AB567">
            <v>137</v>
          </cell>
          <cell r="AC567">
            <v>137</v>
          </cell>
          <cell r="AD567">
            <v>137</v>
          </cell>
          <cell r="AE567">
            <v>137</v>
          </cell>
          <cell r="AF567">
            <v>137</v>
          </cell>
          <cell r="AG567">
            <v>137</v>
          </cell>
          <cell r="AH567">
            <v>137</v>
          </cell>
          <cell r="AI567">
            <v>137</v>
          </cell>
          <cell r="AJ567">
            <v>137</v>
          </cell>
          <cell r="AK567">
            <v>137</v>
          </cell>
          <cell r="AL567">
            <v>137</v>
          </cell>
          <cell r="AM567">
            <v>137</v>
          </cell>
          <cell r="AN567">
            <v>267</v>
          </cell>
          <cell r="AO567">
            <v>267</v>
          </cell>
          <cell r="AP567">
            <v>267</v>
          </cell>
          <cell r="AQ567">
            <v>234.5</v>
          </cell>
          <cell r="AR567">
            <v>129.6</v>
          </cell>
          <cell r="AS567">
            <v>129.6</v>
          </cell>
          <cell r="AT567">
            <v>129.6</v>
          </cell>
          <cell r="AU567">
            <v>129.6</v>
          </cell>
          <cell r="AV567">
            <v>129.6</v>
          </cell>
          <cell r="AW567">
            <v>134.5</v>
          </cell>
          <cell r="AX567">
            <v>134.5</v>
          </cell>
          <cell r="AY567">
            <v>134.5</v>
          </cell>
          <cell r="AZ567">
            <v>134.5</v>
          </cell>
          <cell r="BA567">
            <v>134.5</v>
          </cell>
          <cell r="BK567">
            <v>270.39999999999998</v>
          </cell>
          <cell r="BL567">
            <v>-140.79999999999998</v>
          </cell>
        </row>
        <row r="568">
          <cell r="A568" t="str">
            <v>Casino Marina (SJM)</v>
          </cell>
          <cell r="B568">
            <v>212.33333333333334</v>
          </cell>
          <cell r="C568">
            <v>212.33333333333334</v>
          </cell>
          <cell r="D568">
            <v>212.33333333333334</v>
          </cell>
          <cell r="E568">
            <v>212.33333333333334</v>
          </cell>
          <cell r="F568">
            <v>212.33333333333334</v>
          </cell>
          <cell r="G568">
            <v>212.33333333333334</v>
          </cell>
          <cell r="H568">
            <v>212.33333333333334</v>
          </cell>
          <cell r="I568">
            <v>212.33333333333334</v>
          </cell>
          <cell r="J568">
            <v>212.33333333333334</v>
          </cell>
          <cell r="K568">
            <v>212.33333333333334</v>
          </cell>
          <cell r="L568">
            <v>212.33333333333334</v>
          </cell>
          <cell r="M568">
            <v>212.33333333333334</v>
          </cell>
          <cell r="N568">
            <v>212.33333333333334</v>
          </cell>
          <cell r="O568">
            <v>212.33333333333334</v>
          </cell>
          <cell r="P568">
            <v>212.33333333333334</v>
          </cell>
          <cell r="Q568">
            <v>212.33333333333334</v>
          </cell>
          <cell r="R568">
            <v>212.33333333333334</v>
          </cell>
          <cell r="S568">
            <v>212.33333333333334</v>
          </cell>
          <cell r="T568">
            <v>212.33333333333334</v>
          </cell>
          <cell r="U568">
            <v>212.33333333333334</v>
          </cell>
          <cell r="V568">
            <v>212.33333333333334</v>
          </cell>
          <cell r="W568">
            <v>212.33333333333334</v>
          </cell>
          <cell r="X568">
            <v>212.33333333333334</v>
          </cell>
          <cell r="Y568">
            <v>212.33333333333334</v>
          </cell>
          <cell r="Z568">
            <v>212.33333333333334</v>
          </cell>
          <cell r="AA568">
            <v>212.33333333333334</v>
          </cell>
          <cell r="AB568">
            <v>212.33333333333334</v>
          </cell>
          <cell r="AC568">
            <v>212.33333333333334</v>
          </cell>
          <cell r="AD568">
            <v>212.33333333333334</v>
          </cell>
          <cell r="AE568">
            <v>212.33333333333334</v>
          </cell>
          <cell r="AF568">
            <v>212.33333333333334</v>
          </cell>
          <cell r="AG568">
            <v>212.33333333333334</v>
          </cell>
          <cell r="AH568">
            <v>212.33333333333334</v>
          </cell>
          <cell r="AI568">
            <v>212.33333333333334</v>
          </cell>
          <cell r="AJ568">
            <v>212.33333333333334</v>
          </cell>
          <cell r="AK568">
            <v>212.33333333333334</v>
          </cell>
          <cell r="AL568">
            <v>212.33333333333334</v>
          </cell>
          <cell r="AM568">
            <v>212.33333333333334</v>
          </cell>
          <cell r="AN568">
            <v>212.33333333333334</v>
          </cell>
          <cell r="AO568">
            <v>212.33333333333334</v>
          </cell>
          <cell r="AP568">
            <v>212.33333333333334</v>
          </cell>
          <cell r="AQ568">
            <v>212.33333333333334</v>
          </cell>
          <cell r="AR568">
            <v>200</v>
          </cell>
          <cell r="AS568">
            <v>200</v>
          </cell>
          <cell r="AT568">
            <v>200</v>
          </cell>
          <cell r="AU568">
            <v>200</v>
          </cell>
          <cell r="AV568">
            <v>200</v>
          </cell>
          <cell r="AW568">
            <v>200</v>
          </cell>
          <cell r="AX568">
            <v>200</v>
          </cell>
          <cell r="AY568">
            <v>200</v>
          </cell>
          <cell r="AZ568">
            <v>200</v>
          </cell>
          <cell r="BA568">
            <v>200</v>
          </cell>
          <cell r="BK568">
            <v>214.8</v>
          </cell>
          <cell r="BL568">
            <v>-14.800000000000011</v>
          </cell>
        </row>
        <row r="569">
          <cell r="A569" t="str">
            <v>Casino Taipa (SJM)</v>
          </cell>
          <cell r="B569">
            <v>83.333333333333329</v>
          </cell>
          <cell r="C569">
            <v>83.333333333333329</v>
          </cell>
          <cell r="D569">
            <v>83.333333333333329</v>
          </cell>
          <cell r="E569">
            <v>83.333333333333329</v>
          </cell>
          <cell r="F569">
            <v>83.333333333333329</v>
          </cell>
          <cell r="G569">
            <v>83.333333333333329</v>
          </cell>
          <cell r="H569">
            <v>83.333333333333329</v>
          </cell>
          <cell r="I569">
            <v>83.333333333333329</v>
          </cell>
          <cell r="J569">
            <v>83.333333333333329</v>
          </cell>
          <cell r="K569">
            <v>83.333333333333329</v>
          </cell>
          <cell r="L569">
            <v>83.333333333333329</v>
          </cell>
          <cell r="M569">
            <v>83.333333333333329</v>
          </cell>
          <cell r="N569">
            <v>83.333333333333329</v>
          </cell>
          <cell r="O569">
            <v>83.333333333333329</v>
          </cell>
          <cell r="P569">
            <v>83.333333333333329</v>
          </cell>
          <cell r="Q569">
            <v>83.333333333333329</v>
          </cell>
          <cell r="R569">
            <v>83.333333333333329</v>
          </cell>
          <cell r="S569">
            <v>83.333333333333329</v>
          </cell>
          <cell r="T569">
            <v>83.333333333333329</v>
          </cell>
          <cell r="U569">
            <v>83.333333333333329</v>
          </cell>
          <cell r="V569">
            <v>83.333333333333329</v>
          </cell>
          <cell r="W569">
            <v>83.333333333333329</v>
          </cell>
          <cell r="X569">
            <v>83.333333333333329</v>
          </cell>
          <cell r="Y569">
            <v>83.333333333333329</v>
          </cell>
          <cell r="Z569">
            <v>83.333333333333329</v>
          </cell>
          <cell r="AA569">
            <v>83.333333333333329</v>
          </cell>
          <cell r="AB569">
            <v>83.333333333333329</v>
          </cell>
          <cell r="AC569">
            <v>83.333333333333329</v>
          </cell>
          <cell r="AD569">
            <v>83.333333333333329</v>
          </cell>
          <cell r="AE569">
            <v>83.333333333333329</v>
          </cell>
          <cell r="AF569">
            <v>83.333333333333329</v>
          </cell>
          <cell r="AG569">
            <v>83.333333333333329</v>
          </cell>
          <cell r="AH569">
            <v>83.333333333333329</v>
          </cell>
          <cell r="AI569">
            <v>83.333333333333329</v>
          </cell>
          <cell r="AJ569">
            <v>83.333333333333329</v>
          </cell>
          <cell r="AK569">
            <v>83.333333333333329</v>
          </cell>
          <cell r="AL569">
            <v>83.333333333333329</v>
          </cell>
          <cell r="AM569">
            <v>83.333333333333329</v>
          </cell>
          <cell r="AN569">
            <v>83.333333333333329</v>
          </cell>
          <cell r="AO569">
            <v>83.333333333333329</v>
          </cell>
          <cell r="AP569">
            <v>83.333333333333329</v>
          </cell>
          <cell r="AQ569">
            <v>83.333333333333329</v>
          </cell>
          <cell r="AR569">
            <v>80</v>
          </cell>
          <cell r="AS569">
            <v>80</v>
          </cell>
          <cell r="AT569">
            <v>80</v>
          </cell>
          <cell r="AU569">
            <v>80</v>
          </cell>
          <cell r="AV569">
            <v>80</v>
          </cell>
          <cell r="AW569">
            <v>80</v>
          </cell>
          <cell r="AX569">
            <v>80</v>
          </cell>
          <cell r="AY569">
            <v>80</v>
          </cell>
          <cell r="AZ569">
            <v>80</v>
          </cell>
          <cell r="BA569">
            <v>80</v>
          </cell>
          <cell r="BK569">
            <v>84</v>
          </cell>
          <cell r="BL569">
            <v>-4</v>
          </cell>
        </row>
        <row r="570">
          <cell r="A570" t="str">
            <v>Diamond Casino (SJM)</v>
          </cell>
          <cell r="B570">
            <v>70.666666666666671</v>
          </cell>
          <cell r="C570">
            <v>70.666666666666671</v>
          </cell>
          <cell r="D570">
            <v>70.666666666666671</v>
          </cell>
          <cell r="E570">
            <v>70.666666666666671</v>
          </cell>
          <cell r="F570">
            <v>70.666666666666671</v>
          </cell>
          <cell r="G570">
            <v>70.666666666666671</v>
          </cell>
          <cell r="H570">
            <v>70.666666666666671</v>
          </cell>
          <cell r="I570">
            <v>70.666666666666671</v>
          </cell>
          <cell r="J570">
            <v>70.666666666666671</v>
          </cell>
          <cell r="K570">
            <v>70.666666666666671</v>
          </cell>
          <cell r="L570">
            <v>70.666666666666671</v>
          </cell>
          <cell r="M570">
            <v>70.666666666666671</v>
          </cell>
          <cell r="N570">
            <v>70.666666666666671</v>
          </cell>
          <cell r="O570">
            <v>70.666666666666671</v>
          </cell>
          <cell r="P570">
            <v>70.666666666666671</v>
          </cell>
          <cell r="Q570">
            <v>70.666666666666671</v>
          </cell>
          <cell r="R570">
            <v>70.666666666666671</v>
          </cell>
          <cell r="S570">
            <v>70.666666666666671</v>
          </cell>
          <cell r="T570">
            <v>70.666666666666671</v>
          </cell>
          <cell r="U570">
            <v>70.666666666666671</v>
          </cell>
          <cell r="V570">
            <v>70.666666666666671</v>
          </cell>
          <cell r="W570">
            <v>70.666666666666671</v>
          </cell>
          <cell r="X570">
            <v>70.666666666666671</v>
          </cell>
          <cell r="Y570">
            <v>70.666666666666671</v>
          </cell>
          <cell r="Z570">
            <v>70.666666666666671</v>
          </cell>
          <cell r="AA570">
            <v>70.666666666666671</v>
          </cell>
          <cell r="AB570">
            <v>70.666666666666671</v>
          </cell>
          <cell r="AC570">
            <v>70.666666666666671</v>
          </cell>
          <cell r="AD570">
            <v>70.666666666666671</v>
          </cell>
          <cell r="AE570">
            <v>70.666666666666671</v>
          </cell>
          <cell r="AF570">
            <v>70.666666666666671</v>
          </cell>
          <cell r="AG570">
            <v>70.666666666666671</v>
          </cell>
          <cell r="AH570">
            <v>70.666666666666671</v>
          </cell>
          <cell r="AI570">
            <v>70.666666666666671</v>
          </cell>
          <cell r="AJ570">
            <v>70.666666666666671</v>
          </cell>
          <cell r="AK570">
            <v>70.666666666666671</v>
          </cell>
          <cell r="AL570">
            <v>70.666666666666671</v>
          </cell>
          <cell r="AM570">
            <v>535.66666666666663</v>
          </cell>
          <cell r="AN570">
            <v>555.66666666666663</v>
          </cell>
          <cell r="AO570">
            <v>555.66666666666663</v>
          </cell>
          <cell r="AP570">
            <v>555.66666666666663</v>
          </cell>
          <cell r="AQ570">
            <v>550.66666666666663</v>
          </cell>
          <cell r="AR570">
            <v>574</v>
          </cell>
          <cell r="AS570">
            <v>574</v>
          </cell>
          <cell r="AT570">
            <v>574</v>
          </cell>
          <cell r="AU570">
            <v>574</v>
          </cell>
          <cell r="AV570">
            <v>574</v>
          </cell>
          <cell r="AW570">
            <v>582.5</v>
          </cell>
          <cell r="AX570">
            <v>582.5</v>
          </cell>
          <cell r="AY570">
            <v>582.5</v>
          </cell>
          <cell r="AZ570">
            <v>582.5</v>
          </cell>
          <cell r="BA570">
            <v>582.5</v>
          </cell>
          <cell r="BK570">
            <v>558.79999999999995</v>
          </cell>
          <cell r="BL570">
            <v>15.200000000000045</v>
          </cell>
        </row>
        <row r="571">
          <cell r="A571" t="str">
            <v>Golden Dragon (SJM)</v>
          </cell>
          <cell r="B571">
            <v>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741</v>
          </cell>
          <cell r="AI571">
            <v>741</v>
          </cell>
          <cell r="AJ571">
            <v>741</v>
          </cell>
          <cell r="AK571">
            <v>741</v>
          </cell>
          <cell r="AL571">
            <v>741</v>
          </cell>
          <cell r="AM571">
            <v>741</v>
          </cell>
          <cell r="AN571">
            <v>941</v>
          </cell>
          <cell r="AO571">
            <v>941</v>
          </cell>
          <cell r="AP571">
            <v>941</v>
          </cell>
          <cell r="AQ571">
            <v>891</v>
          </cell>
          <cell r="AR571">
            <v>841.6</v>
          </cell>
          <cell r="AS571">
            <v>841.6</v>
          </cell>
          <cell r="AT571">
            <v>841.6</v>
          </cell>
          <cell r="AU571">
            <v>841.6</v>
          </cell>
          <cell r="AV571">
            <v>841.6</v>
          </cell>
          <cell r="AW571">
            <v>854.5</v>
          </cell>
          <cell r="AX571">
            <v>854.5</v>
          </cell>
          <cell r="AY571">
            <v>854.5</v>
          </cell>
          <cell r="AZ571">
            <v>854.5</v>
          </cell>
          <cell r="BA571">
            <v>854.5</v>
          </cell>
          <cell r="BK571">
            <v>949.2</v>
          </cell>
          <cell r="BL571">
            <v>-107.60000000000002</v>
          </cell>
        </row>
        <row r="572">
          <cell r="A572" t="str">
            <v>Greek Mythology Casino (SJM)</v>
          </cell>
          <cell r="B572">
            <v>0</v>
          </cell>
          <cell r="C572">
            <v>0</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226.30434782608697</v>
          </cell>
          <cell r="AG572">
            <v>56.576086956521742</v>
          </cell>
          <cell r="AH572">
            <v>2313.3333333333335</v>
          </cell>
          <cell r="AI572">
            <v>2313.3333333333335</v>
          </cell>
          <cell r="AJ572">
            <v>2313.3333333333335</v>
          </cell>
          <cell r="AK572">
            <v>2313.3333333333335</v>
          </cell>
          <cell r="AL572">
            <v>2313.3333333333335</v>
          </cell>
          <cell r="AM572">
            <v>2313.3333333333335</v>
          </cell>
          <cell r="AN572">
            <v>2313.3333333333335</v>
          </cell>
          <cell r="AO572">
            <v>2313.3333333333335</v>
          </cell>
          <cell r="AP572">
            <v>2313.3333333333335</v>
          </cell>
          <cell r="AQ572">
            <v>2313.3333333333335</v>
          </cell>
          <cell r="AR572">
            <v>1280.8</v>
          </cell>
          <cell r="AS572">
            <v>1280.8</v>
          </cell>
          <cell r="AT572">
            <v>1280.8</v>
          </cell>
          <cell r="AU572">
            <v>1280.8</v>
          </cell>
          <cell r="AV572">
            <v>1280.8</v>
          </cell>
          <cell r="AW572">
            <v>1301</v>
          </cell>
          <cell r="AX572">
            <v>1301</v>
          </cell>
          <cell r="AY572">
            <v>1301</v>
          </cell>
          <cell r="AZ572">
            <v>1301</v>
          </cell>
          <cell r="BA572">
            <v>1301</v>
          </cell>
          <cell r="BK572">
            <v>2320</v>
          </cell>
          <cell r="BL572">
            <v>-1039.2</v>
          </cell>
        </row>
        <row r="573">
          <cell r="A573" t="str">
            <v>Hotel Fortuna Casino (SJM)</v>
          </cell>
          <cell r="B573">
            <v>0</v>
          </cell>
          <cell r="C573">
            <v>0</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206.11111111111111</v>
          </cell>
          <cell r="AI573">
            <v>350</v>
          </cell>
          <cell r="AJ573">
            <v>350</v>
          </cell>
          <cell r="AK573">
            <v>350</v>
          </cell>
          <cell r="AL573">
            <v>314.02777777777777</v>
          </cell>
          <cell r="AM573">
            <v>350</v>
          </cell>
          <cell r="AN573">
            <v>400</v>
          </cell>
          <cell r="AO573">
            <v>400</v>
          </cell>
          <cell r="AP573">
            <v>400</v>
          </cell>
          <cell r="AQ573">
            <v>387.5</v>
          </cell>
          <cell r="AR573">
            <v>450</v>
          </cell>
          <cell r="AS573">
            <v>450</v>
          </cell>
          <cell r="AT573">
            <v>450</v>
          </cell>
          <cell r="AU573">
            <v>450</v>
          </cell>
          <cell r="AV573">
            <v>450</v>
          </cell>
          <cell r="AW573">
            <v>450</v>
          </cell>
          <cell r="AX573">
            <v>450</v>
          </cell>
          <cell r="AY573">
            <v>450</v>
          </cell>
          <cell r="AZ573">
            <v>450</v>
          </cell>
          <cell r="BA573">
            <v>450</v>
          </cell>
          <cell r="BK573">
            <v>400</v>
          </cell>
          <cell r="BL573">
            <v>50</v>
          </cell>
        </row>
        <row r="574">
          <cell r="A574" t="str">
            <v>Jai Alai Casino (SJM)</v>
          </cell>
          <cell r="B574">
            <v>659.33333333333337</v>
          </cell>
          <cell r="C574">
            <v>659.33333333333337</v>
          </cell>
          <cell r="D574">
            <v>659.33333333333337</v>
          </cell>
          <cell r="E574">
            <v>659.33333333333337</v>
          </cell>
          <cell r="F574">
            <v>659.33333333333337</v>
          </cell>
          <cell r="G574">
            <v>659.33333333333337</v>
          </cell>
          <cell r="H574">
            <v>659.33333333333337</v>
          </cell>
          <cell r="I574">
            <v>659.33333333333337</v>
          </cell>
          <cell r="J574">
            <v>659.33333333333337</v>
          </cell>
          <cell r="K574">
            <v>659.33333333333337</v>
          </cell>
          <cell r="L574">
            <v>659.33333333333337</v>
          </cell>
          <cell r="M574">
            <v>659.33333333333337</v>
          </cell>
          <cell r="N574">
            <v>659.33333333333337</v>
          </cell>
          <cell r="O574">
            <v>659.33333333333337</v>
          </cell>
          <cell r="P574">
            <v>659.33333333333337</v>
          </cell>
          <cell r="Q574">
            <v>659.33333333333337</v>
          </cell>
          <cell r="R574">
            <v>659.33333333333337</v>
          </cell>
          <cell r="S574">
            <v>659.33333333333337</v>
          </cell>
          <cell r="T574">
            <v>659.33333333333337</v>
          </cell>
          <cell r="U574">
            <v>659.33333333333337</v>
          </cell>
          <cell r="V574">
            <v>659.33333333333337</v>
          </cell>
          <cell r="W574">
            <v>659.33333333333337</v>
          </cell>
          <cell r="X574">
            <v>659.33333333333337</v>
          </cell>
          <cell r="Y574">
            <v>659.33333333333337</v>
          </cell>
          <cell r="Z574">
            <v>659.33333333333337</v>
          </cell>
          <cell r="AA574">
            <v>659.33333333333337</v>
          </cell>
          <cell r="AB574">
            <v>659.33333333333337</v>
          </cell>
          <cell r="AC574">
            <v>659.33333333333337</v>
          </cell>
          <cell r="AD574">
            <v>659.33333333333337</v>
          </cell>
          <cell r="AE574">
            <v>659.33333333333337</v>
          </cell>
          <cell r="AF574">
            <v>659.33333333333337</v>
          </cell>
          <cell r="AG574">
            <v>659.33333333333337</v>
          </cell>
          <cell r="AH574">
            <v>659.33333333333337</v>
          </cell>
          <cell r="AI574">
            <v>659.33333333333337</v>
          </cell>
          <cell r="AJ574">
            <v>659.33333333333337</v>
          </cell>
          <cell r="AK574">
            <v>659.33333333333337</v>
          </cell>
          <cell r="AL574">
            <v>659.33333333333337</v>
          </cell>
          <cell r="AM574">
            <v>659.33333333333337</v>
          </cell>
          <cell r="AN574">
            <v>1229.3333333333333</v>
          </cell>
          <cell r="AO574">
            <v>1229.3333333333333</v>
          </cell>
          <cell r="AP574">
            <v>1229.3333333333333</v>
          </cell>
          <cell r="AQ574">
            <v>1086.8333333333333</v>
          </cell>
          <cell r="AR574">
            <v>1021.2</v>
          </cell>
          <cell r="AS574">
            <v>1021.2</v>
          </cell>
          <cell r="AT574">
            <v>1021.2</v>
          </cell>
          <cell r="AU574">
            <v>1021.2</v>
          </cell>
          <cell r="AV574">
            <v>1021.2</v>
          </cell>
          <cell r="AW574">
            <v>0</v>
          </cell>
          <cell r="AX574">
            <v>0</v>
          </cell>
          <cell r="AY574">
            <v>0</v>
          </cell>
          <cell r="AZ574">
            <v>0</v>
          </cell>
          <cell r="BA574">
            <v>0</v>
          </cell>
          <cell r="BK574">
            <v>1243.2</v>
          </cell>
          <cell r="BL574">
            <v>-222</v>
          </cell>
        </row>
        <row r="575">
          <cell r="A575" t="str">
            <v>Kam Pek Casino (SJM)</v>
          </cell>
          <cell r="B575">
            <v>263.66666666666669</v>
          </cell>
          <cell r="C575">
            <v>263.66666666666669</v>
          </cell>
          <cell r="D575">
            <v>263.66666666666669</v>
          </cell>
          <cell r="E575">
            <v>263.66666666666669</v>
          </cell>
          <cell r="F575">
            <v>263.66666666666669</v>
          </cell>
          <cell r="G575">
            <v>263.66666666666669</v>
          </cell>
          <cell r="H575">
            <v>263.66666666666669</v>
          </cell>
          <cell r="I575">
            <v>263.66666666666669</v>
          </cell>
          <cell r="J575">
            <v>263.66666666666669</v>
          </cell>
          <cell r="K575">
            <v>263.66666666666669</v>
          </cell>
          <cell r="L575">
            <v>263.66666666666669</v>
          </cell>
          <cell r="M575">
            <v>263.66666666666669</v>
          </cell>
          <cell r="N575">
            <v>263.66666666666669</v>
          </cell>
          <cell r="O575">
            <v>263.66666666666669</v>
          </cell>
          <cell r="P575">
            <v>263.66666666666669</v>
          </cell>
          <cell r="Q575">
            <v>263.66666666666669</v>
          </cell>
          <cell r="R575">
            <v>263.66666666666669</v>
          </cell>
          <cell r="S575">
            <v>263.66666666666669</v>
          </cell>
          <cell r="T575">
            <v>263.66666666666669</v>
          </cell>
          <cell r="U575">
            <v>263.66666666666669</v>
          </cell>
          <cell r="V575">
            <v>263.66666666666669</v>
          </cell>
          <cell r="W575">
            <v>263.66666666666669</v>
          </cell>
          <cell r="X575">
            <v>263.66666666666669</v>
          </cell>
          <cell r="Y575">
            <v>263.66666666666669</v>
          </cell>
          <cell r="Z575">
            <v>263.66666666666669</v>
          </cell>
          <cell r="AA575">
            <v>263.66666666666669</v>
          </cell>
          <cell r="AB575">
            <v>263.66666666666669</v>
          </cell>
          <cell r="AC575">
            <v>263.66666666666669</v>
          </cell>
          <cell r="AD575">
            <v>263.66666666666669</v>
          </cell>
          <cell r="AE575">
            <v>263.66666666666669</v>
          </cell>
          <cell r="AF575">
            <v>263.66666666666669</v>
          </cell>
          <cell r="AG575">
            <v>263.66666666666669</v>
          </cell>
          <cell r="AH575">
            <v>263.66666666666669</v>
          </cell>
          <cell r="AI575">
            <v>390.33333333333343</v>
          </cell>
          <cell r="AJ575">
            <v>643.66666666666663</v>
          </cell>
          <cell r="AK575">
            <v>643.66666666666663</v>
          </cell>
          <cell r="AL575">
            <v>485.33333333333343</v>
          </cell>
          <cell r="AM575">
            <v>643.66666666666663</v>
          </cell>
          <cell r="AN575">
            <v>693.66666666666663</v>
          </cell>
          <cell r="AO575">
            <v>693.66666666666663</v>
          </cell>
          <cell r="AP575">
            <v>693.66666666666663</v>
          </cell>
          <cell r="AQ575">
            <v>681.16666666666663</v>
          </cell>
          <cell r="AR575">
            <v>840</v>
          </cell>
          <cell r="AS575">
            <v>840</v>
          </cell>
          <cell r="AT575">
            <v>840</v>
          </cell>
          <cell r="AU575">
            <v>840</v>
          </cell>
          <cell r="AV575">
            <v>840</v>
          </cell>
          <cell r="AW575">
            <v>840</v>
          </cell>
          <cell r="AX575">
            <v>840</v>
          </cell>
          <cell r="AY575">
            <v>840</v>
          </cell>
          <cell r="AZ575">
            <v>840</v>
          </cell>
          <cell r="BA575">
            <v>840</v>
          </cell>
          <cell r="BK575">
            <v>698.4</v>
          </cell>
          <cell r="BL575">
            <v>141.60000000000002</v>
          </cell>
        </row>
        <row r="576">
          <cell r="A576" t="str">
            <v>Kingsway Hotel &amp; Casino (SJM)</v>
          </cell>
          <cell r="B576">
            <v>86.666666666666671</v>
          </cell>
          <cell r="C576">
            <v>86.666666666666671</v>
          </cell>
          <cell r="D576">
            <v>86.666666666666671</v>
          </cell>
          <cell r="E576">
            <v>86.666666666666671</v>
          </cell>
          <cell r="F576">
            <v>86.666666666666671</v>
          </cell>
          <cell r="G576">
            <v>86.666666666666671</v>
          </cell>
          <cell r="H576">
            <v>86.666666666666671</v>
          </cell>
          <cell r="I576">
            <v>86.666666666666671</v>
          </cell>
          <cell r="J576">
            <v>86.666666666666671</v>
          </cell>
          <cell r="K576">
            <v>86.666666666666671</v>
          </cell>
          <cell r="L576">
            <v>86.666666666666671</v>
          </cell>
          <cell r="M576">
            <v>86.666666666666671</v>
          </cell>
          <cell r="N576">
            <v>86.666666666666671</v>
          </cell>
          <cell r="O576">
            <v>86.666666666666671</v>
          </cell>
          <cell r="P576">
            <v>86.666666666666671</v>
          </cell>
          <cell r="Q576">
            <v>86.666666666666671</v>
          </cell>
          <cell r="R576">
            <v>86.666666666666671</v>
          </cell>
          <cell r="S576">
            <v>86.666666666666671</v>
          </cell>
          <cell r="T576">
            <v>86.666666666666671</v>
          </cell>
          <cell r="U576">
            <v>86.666666666666671</v>
          </cell>
          <cell r="V576">
            <v>86.666666666666671</v>
          </cell>
          <cell r="W576">
            <v>86.666666666666671</v>
          </cell>
          <cell r="X576">
            <v>86.666666666666671</v>
          </cell>
          <cell r="Y576">
            <v>86.666666666666671</v>
          </cell>
          <cell r="Z576">
            <v>86.666666666666671</v>
          </cell>
          <cell r="AA576">
            <v>86.666666666666671</v>
          </cell>
          <cell r="AB576">
            <v>86.666666666666671</v>
          </cell>
          <cell r="AC576">
            <v>86.666666666666671</v>
          </cell>
          <cell r="AD576">
            <v>86.666666666666671</v>
          </cell>
          <cell r="AE576">
            <v>86.666666666666671</v>
          </cell>
          <cell r="AF576">
            <v>86.666666666666671</v>
          </cell>
          <cell r="AG576">
            <v>86.666666666666671</v>
          </cell>
          <cell r="AH576">
            <v>86.666666666666671</v>
          </cell>
          <cell r="AI576">
            <v>86.666666666666671</v>
          </cell>
          <cell r="AJ576">
            <v>86.666666666666671</v>
          </cell>
          <cell r="AK576">
            <v>86.666666666666671</v>
          </cell>
          <cell r="AL576">
            <v>86.666666666666671</v>
          </cell>
          <cell r="AM576">
            <v>86.666666666666671</v>
          </cell>
          <cell r="AN576">
            <v>96.666666666666671</v>
          </cell>
          <cell r="AO576">
            <v>96.666666666666671</v>
          </cell>
          <cell r="AP576">
            <v>96.666666666666671</v>
          </cell>
          <cell r="AQ576">
            <v>94.166666666666671</v>
          </cell>
          <cell r="AR576">
            <v>80</v>
          </cell>
          <cell r="AS576">
            <v>80</v>
          </cell>
          <cell r="AT576">
            <v>80</v>
          </cell>
          <cell r="AU576">
            <v>80</v>
          </cell>
          <cell r="AV576">
            <v>80</v>
          </cell>
          <cell r="AW576">
            <v>80</v>
          </cell>
          <cell r="AX576">
            <v>80</v>
          </cell>
          <cell r="AY576">
            <v>80</v>
          </cell>
          <cell r="AZ576">
            <v>80</v>
          </cell>
          <cell r="BA576">
            <v>80</v>
          </cell>
          <cell r="BK576">
            <v>98</v>
          </cell>
          <cell r="BL576">
            <v>-18</v>
          </cell>
        </row>
        <row r="577">
          <cell r="A577" t="str">
            <v>Macau Jockey Club (MJC) Casino (SJM)</v>
          </cell>
          <cell r="B577">
            <v>130</v>
          </cell>
          <cell r="C577">
            <v>130</v>
          </cell>
          <cell r="D577">
            <v>130</v>
          </cell>
          <cell r="E577">
            <v>130</v>
          </cell>
          <cell r="F577">
            <v>130</v>
          </cell>
          <cell r="G577">
            <v>130</v>
          </cell>
          <cell r="H577">
            <v>130</v>
          </cell>
          <cell r="I577">
            <v>130</v>
          </cell>
          <cell r="J577">
            <v>130</v>
          </cell>
          <cell r="K577">
            <v>130</v>
          </cell>
          <cell r="L577">
            <v>130</v>
          </cell>
          <cell r="M577">
            <v>130</v>
          </cell>
          <cell r="N577">
            <v>130</v>
          </cell>
          <cell r="O577">
            <v>130</v>
          </cell>
          <cell r="P577">
            <v>130</v>
          </cell>
          <cell r="Q577">
            <v>130</v>
          </cell>
          <cell r="R577">
            <v>130</v>
          </cell>
          <cell r="S577">
            <v>130</v>
          </cell>
          <cell r="T577">
            <v>130</v>
          </cell>
          <cell r="U577">
            <v>130</v>
          </cell>
          <cell r="V577">
            <v>130</v>
          </cell>
          <cell r="W577">
            <v>130</v>
          </cell>
          <cell r="X577">
            <v>130</v>
          </cell>
          <cell r="Y577">
            <v>130</v>
          </cell>
          <cell r="Z577">
            <v>130</v>
          </cell>
          <cell r="AA577">
            <v>130</v>
          </cell>
          <cell r="AB577">
            <v>130</v>
          </cell>
          <cell r="AC577">
            <v>130</v>
          </cell>
          <cell r="AD577">
            <v>130</v>
          </cell>
          <cell r="AE577">
            <v>130</v>
          </cell>
          <cell r="AF577">
            <v>130</v>
          </cell>
          <cell r="AG577">
            <v>130</v>
          </cell>
          <cell r="AH577">
            <v>130</v>
          </cell>
          <cell r="AI577">
            <v>130</v>
          </cell>
          <cell r="AJ577">
            <v>510</v>
          </cell>
          <cell r="AK577">
            <v>510</v>
          </cell>
          <cell r="AL577">
            <v>320</v>
          </cell>
          <cell r="AM577">
            <v>510</v>
          </cell>
          <cell r="AN577">
            <v>210</v>
          </cell>
          <cell r="AO577">
            <v>210</v>
          </cell>
          <cell r="AP577">
            <v>210</v>
          </cell>
          <cell r="AQ577">
            <v>285</v>
          </cell>
          <cell r="AR577">
            <v>607.6</v>
          </cell>
          <cell r="AS577">
            <v>607.6</v>
          </cell>
          <cell r="AT577">
            <v>607.6</v>
          </cell>
          <cell r="AU577">
            <v>607.6</v>
          </cell>
          <cell r="AV577">
            <v>607.6</v>
          </cell>
          <cell r="AW577">
            <v>637</v>
          </cell>
          <cell r="AX577">
            <v>637</v>
          </cell>
          <cell r="AY577">
            <v>637</v>
          </cell>
          <cell r="AZ577">
            <v>637</v>
          </cell>
          <cell r="BA577">
            <v>637</v>
          </cell>
          <cell r="BK577">
            <v>210</v>
          </cell>
          <cell r="BL577">
            <v>397.6</v>
          </cell>
        </row>
        <row r="578">
          <cell r="A578" t="str">
            <v>Mandarin Oriental Casino (SJM)</v>
          </cell>
          <cell r="B578">
            <v>129.66666666666666</v>
          </cell>
          <cell r="C578">
            <v>129.66666666666666</v>
          </cell>
          <cell r="D578">
            <v>129.66666666666666</v>
          </cell>
          <cell r="E578">
            <v>129.66666666666666</v>
          </cell>
          <cell r="F578">
            <v>129.66666666666666</v>
          </cell>
          <cell r="G578">
            <v>129.66666666666666</v>
          </cell>
          <cell r="H578">
            <v>129.66666666666666</v>
          </cell>
          <cell r="I578">
            <v>129.66666666666666</v>
          </cell>
          <cell r="J578">
            <v>129.66666666666666</v>
          </cell>
          <cell r="K578">
            <v>129.66666666666666</v>
          </cell>
          <cell r="L578">
            <v>129.66666666666666</v>
          </cell>
          <cell r="M578">
            <v>129.66666666666666</v>
          </cell>
          <cell r="N578">
            <v>129.66666666666666</v>
          </cell>
          <cell r="O578">
            <v>129.66666666666666</v>
          </cell>
          <cell r="P578">
            <v>129.66666666666666</v>
          </cell>
          <cell r="Q578">
            <v>129.66666666666666</v>
          </cell>
          <cell r="R578">
            <v>129.66666666666666</v>
          </cell>
          <cell r="S578">
            <v>129.66666666666666</v>
          </cell>
          <cell r="T578">
            <v>129.66666666666666</v>
          </cell>
          <cell r="U578">
            <v>129.66666666666666</v>
          </cell>
          <cell r="V578">
            <v>129.66666666666666</v>
          </cell>
          <cell r="W578">
            <v>129.66666666666666</v>
          </cell>
          <cell r="X578">
            <v>129.66666666666666</v>
          </cell>
          <cell r="Y578">
            <v>129.66666666666666</v>
          </cell>
          <cell r="Z578">
            <v>129.66666666666666</v>
          </cell>
          <cell r="AA578">
            <v>129.66666666666666</v>
          </cell>
          <cell r="AB578">
            <v>129.66666666666666</v>
          </cell>
          <cell r="AC578">
            <v>129.66666666666666</v>
          </cell>
          <cell r="AD578">
            <v>129.66666666666666</v>
          </cell>
          <cell r="AE578">
            <v>129.66666666666666</v>
          </cell>
          <cell r="AF578">
            <v>129.66666666666666</v>
          </cell>
          <cell r="AG578">
            <v>129.66666666666666</v>
          </cell>
          <cell r="AH578">
            <v>129.66666666666666</v>
          </cell>
          <cell r="AI578">
            <v>129.66666666666666</v>
          </cell>
          <cell r="AJ578">
            <v>129.66666666666666</v>
          </cell>
          <cell r="AK578">
            <v>129.66666666666666</v>
          </cell>
          <cell r="AL578">
            <v>129.66666666666666</v>
          </cell>
          <cell r="AM578">
            <v>129.66666666666666</v>
          </cell>
          <cell r="AN578">
            <v>149.66666666666666</v>
          </cell>
          <cell r="AO578">
            <v>149.66666666666666</v>
          </cell>
          <cell r="AP578">
            <v>149.66666666666666</v>
          </cell>
          <cell r="AQ578">
            <v>144.66666666666666</v>
          </cell>
          <cell r="AR578">
            <v>306.39999999999998</v>
          </cell>
          <cell r="AS578">
            <v>306.39999999999998</v>
          </cell>
          <cell r="AT578">
            <v>306.39999999999998</v>
          </cell>
          <cell r="AU578">
            <v>306.39999999999998</v>
          </cell>
          <cell r="AV578">
            <v>306.39999999999998</v>
          </cell>
          <cell r="AW578">
            <v>320.5</v>
          </cell>
          <cell r="AX578">
            <v>320.5</v>
          </cell>
          <cell r="AY578">
            <v>320.5</v>
          </cell>
          <cell r="AZ578">
            <v>320.5</v>
          </cell>
          <cell r="BA578">
            <v>320.5</v>
          </cell>
          <cell r="BK578">
            <v>153.6</v>
          </cell>
          <cell r="BL578">
            <v>152.79999999999998</v>
          </cell>
        </row>
        <row r="579">
          <cell r="A579" t="str">
            <v>New Century Casino (SJM)</v>
          </cell>
          <cell r="B579">
            <v>375</v>
          </cell>
          <cell r="C579">
            <v>375</v>
          </cell>
          <cell r="D579">
            <v>375</v>
          </cell>
          <cell r="E579">
            <v>375</v>
          </cell>
          <cell r="F579">
            <v>375</v>
          </cell>
          <cell r="G579">
            <v>375</v>
          </cell>
          <cell r="H579">
            <v>375</v>
          </cell>
          <cell r="I579">
            <v>375</v>
          </cell>
          <cell r="J579">
            <v>375</v>
          </cell>
          <cell r="K579">
            <v>375</v>
          </cell>
          <cell r="L579">
            <v>375</v>
          </cell>
          <cell r="M579">
            <v>375</v>
          </cell>
          <cell r="N579">
            <v>375</v>
          </cell>
          <cell r="O579">
            <v>375</v>
          </cell>
          <cell r="P579">
            <v>375</v>
          </cell>
          <cell r="Q579">
            <v>375</v>
          </cell>
          <cell r="R579">
            <v>375</v>
          </cell>
          <cell r="S579">
            <v>375</v>
          </cell>
          <cell r="T579">
            <v>375</v>
          </cell>
          <cell r="U579">
            <v>375</v>
          </cell>
          <cell r="V579">
            <v>375</v>
          </cell>
          <cell r="W579">
            <v>375</v>
          </cell>
          <cell r="X579">
            <v>375</v>
          </cell>
          <cell r="Y579">
            <v>375</v>
          </cell>
          <cell r="Z579">
            <v>375</v>
          </cell>
          <cell r="AA579">
            <v>375</v>
          </cell>
          <cell r="AB579">
            <v>375</v>
          </cell>
          <cell r="AC579">
            <v>375</v>
          </cell>
          <cell r="AD579">
            <v>375</v>
          </cell>
          <cell r="AE579">
            <v>375</v>
          </cell>
          <cell r="AF579">
            <v>0</v>
          </cell>
          <cell r="AG579">
            <v>281.25</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K579">
            <v>0</v>
          </cell>
          <cell r="BL579">
            <v>0</v>
          </cell>
        </row>
        <row r="580">
          <cell r="A580" t="str">
            <v>Pharoh's Palace &amp; Legend Club (SJM)</v>
          </cell>
          <cell r="B580">
            <v>0</v>
          </cell>
          <cell r="C580">
            <v>0</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1036</v>
          </cell>
          <cell r="Y580">
            <v>1036</v>
          </cell>
          <cell r="Z580">
            <v>1036</v>
          </cell>
          <cell r="AA580">
            <v>1036</v>
          </cell>
          <cell r="AB580">
            <v>1036</v>
          </cell>
          <cell r="AC580">
            <v>1036</v>
          </cell>
          <cell r="AD580">
            <v>1036</v>
          </cell>
          <cell r="AE580">
            <v>1036</v>
          </cell>
          <cell r="AF580">
            <v>1036</v>
          </cell>
          <cell r="AG580">
            <v>1036</v>
          </cell>
          <cell r="AH580">
            <v>1036</v>
          </cell>
          <cell r="AI580">
            <v>1036</v>
          </cell>
          <cell r="AJ580">
            <v>1036</v>
          </cell>
          <cell r="AK580">
            <v>1127.6666666666667</v>
          </cell>
          <cell r="AL580">
            <v>1058.9166666666667</v>
          </cell>
          <cell r="AM580">
            <v>1127.6666666666667</v>
          </cell>
          <cell r="AN580">
            <v>1157.6666666666667</v>
          </cell>
          <cell r="AO580">
            <v>1157.6666666666667</v>
          </cell>
          <cell r="AP580">
            <v>1157.6666666666667</v>
          </cell>
          <cell r="AQ580">
            <v>1150.1666666666667</v>
          </cell>
          <cell r="AR580">
            <v>1287.5999999999999</v>
          </cell>
          <cell r="AS580">
            <v>1287.5999999999999</v>
          </cell>
          <cell r="AT580">
            <v>1287.5999999999999</v>
          </cell>
          <cell r="AU580">
            <v>1287.5999999999999</v>
          </cell>
          <cell r="AV580">
            <v>1287.5999999999999</v>
          </cell>
          <cell r="AW580">
            <v>1314.5</v>
          </cell>
          <cell r="AX580">
            <v>1314.5</v>
          </cell>
          <cell r="AY580">
            <v>1314.5</v>
          </cell>
          <cell r="AZ580">
            <v>1314.5</v>
          </cell>
          <cell r="BA580">
            <v>1314.5</v>
          </cell>
          <cell r="BK580">
            <v>1183.2</v>
          </cell>
          <cell r="BL580">
            <v>104.39999999999986</v>
          </cell>
        </row>
        <row r="581">
          <cell r="A581" t="str">
            <v>Hotel Emperor Casino (SJM)</v>
          </cell>
          <cell r="B581">
            <v>0</v>
          </cell>
          <cell r="C581">
            <v>0</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971</v>
          </cell>
          <cell r="AN581">
            <v>971</v>
          </cell>
          <cell r="AO581">
            <v>971</v>
          </cell>
          <cell r="AP581">
            <v>971</v>
          </cell>
          <cell r="AQ581">
            <v>971</v>
          </cell>
          <cell r="AR581">
            <v>898.8</v>
          </cell>
          <cell r="AS581">
            <v>1138.8</v>
          </cell>
          <cell r="AT581">
            <v>1138.8</v>
          </cell>
          <cell r="AU581">
            <v>1138.8</v>
          </cell>
          <cell r="AV581">
            <v>1078.8</v>
          </cell>
          <cell r="AW581">
            <v>1173.5</v>
          </cell>
          <cell r="AX581">
            <v>1173.5</v>
          </cell>
          <cell r="AY581">
            <v>1173.5</v>
          </cell>
          <cell r="AZ581">
            <v>1173.5</v>
          </cell>
          <cell r="BA581">
            <v>1173.5</v>
          </cell>
          <cell r="BK581">
            <v>1133.2</v>
          </cell>
          <cell r="BL581">
            <v>-54.400000000000091</v>
          </cell>
        </row>
        <row r="582">
          <cell r="A582" t="str">
            <v>Ponte 16 (SJM)</v>
          </cell>
          <cell r="B582">
            <v>0</v>
          </cell>
          <cell r="C582">
            <v>0</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1860</v>
          </cell>
          <cell r="AU582">
            <v>1860</v>
          </cell>
          <cell r="AV582">
            <v>930</v>
          </cell>
          <cell r="AW582">
            <v>1890</v>
          </cell>
          <cell r="AX582">
            <v>1890</v>
          </cell>
          <cell r="AY582">
            <v>1890</v>
          </cell>
          <cell r="AZ582">
            <v>1890</v>
          </cell>
          <cell r="BA582">
            <v>1890</v>
          </cell>
          <cell r="BK582">
            <v>930</v>
          </cell>
          <cell r="BL582">
            <v>0</v>
          </cell>
        </row>
        <row r="583">
          <cell r="A583" t="str">
            <v>Grand Lisboa (SJM)</v>
          </cell>
          <cell r="B583">
            <v>0</v>
          </cell>
          <cell r="C583">
            <v>0</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1296.8</v>
          </cell>
          <cell r="AS583">
            <v>2593.6</v>
          </cell>
          <cell r="AT583">
            <v>2893.6</v>
          </cell>
          <cell r="AU583">
            <v>2893.6</v>
          </cell>
          <cell r="AV583">
            <v>2419.4</v>
          </cell>
          <cell r="AW583">
            <v>2942</v>
          </cell>
          <cell r="AX583">
            <v>2942</v>
          </cell>
          <cell r="AY583">
            <v>2942</v>
          </cell>
          <cell r="AZ583">
            <v>2942</v>
          </cell>
          <cell r="BA583">
            <v>2942</v>
          </cell>
          <cell r="BK583">
            <v>5040</v>
          </cell>
          <cell r="BL583">
            <v>-2620.6</v>
          </cell>
        </row>
        <row r="584">
          <cell r="A584" t="str">
            <v>Babylon at Fisherman's Wharf (SJM)</v>
          </cell>
          <cell r="B584">
            <v>0</v>
          </cell>
          <cell r="C584">
            <v>0</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78.260869565217391</v>
          </cell>
          <cell r="AQ584">
            <v>19.565217391304348</v>
          </cell>
          <cell r="AR584">
            <v>915.6</v>
          </cell>
          <cell r="AS584">
            <v>915.6</v>
          </cell>
          <cell r="AT584">
            <v>915.6</v>
          </cell>
          <cell r="AU584">
            <v>1135.5999999999999</v>
          </cell>
          <cell r="AV584">
            <v>970.6</v>
          </cell>
          <cell r="AW584">
            <v>1169.5</v>
          </cell>
          <cell r="AX584">
            <v>1169.5</v>
          </cell>
          <cell r="AY584">
            <v>1169.5</v>
          </cell>
          <cell r="AZ584">
            <v>1169.5</v>
          </cell>
          <cell r="BA584">
            <v>1169.5</v>
          </cell>
          <cell r="BK584">
            <v>540</v>
          </cell>
          <cell r="BL584">
            <v>430.6</v>
          </cell>
        </row>
        <row r="585">
          <cell r="A585" t="str">
            <v>TigerSlot at Macau Tower (SJM)</v>
          </cell>
          <cell r="AH585">
            <v>0</v>
          </cell>
          <cell r="AI585">
            <v>0</v>
          </cell>
          <cell r="AJ585">
            <v>0</v>
          </cell>
          <cell r="AK585">
            <v>0</v>
          </cell>
          <cell r="AL585">
            <v>0</v>
          </cell>
          <cell r="AM585">
            <v>0</v>
          </cell>
          <cell r="AN585">
            <v>0</v>
          </cell>
          <cell r="AO585">
            <v>0</v>
          </cell>
          <cell r="AP585">
            <v>0</v>
          </cell>
          <cell r="AQ585">
            <v>0</v>
          </cell>
          <cell r="AR585">
            <v>202</v>
          </cell>
          <cell r="AS585">
            <v>202</v>
          </cell>
          <cell r="AT585">
            <v>202</v>
          </cell>
          <cell r="AU585">
            <v>202</v>
          </cell>
          <cell r="AV585">
            <v>202</v>
          </cell>
          <cell r="AW585">
            <v>202</v>
          </cell>
          <cell r="AX585">
            <v>202</v>
          </cell>
          <cell r="AY585">
            <v>202</v>
          </cell>
          <cell r="AZ585">
            <v>202</v>
          </cell>
          <cell r="BA585">
            <v>202</v>
          </cell>
        </row>
        <row r="586">
          <cell r="A586" t="str">
            <v>Yat Yuen (Dog racing area) (SJM)</v>
          </cell>
          <cell r="AH586">
            <v>0</v>
          </cell>
          <cell r="AI586">
            <v>0</v>
          </cell>
          <cell r="AJ586">
            <v>0</v>
          </cell>
          <cell r="AK586">
            <v>0</v>
          </cell>
          <cell r="AL586">
            <v>0</v>
          </cell>
          <cell r="AM586">
            <v>0</v>
          </cell>
          <cell r="AN586">
            <v>0</v>
          </cell>
          <cell r="AO586">
            <v>0</v>
          </cell>
          <cell r="AP586">
            <v>0</v>
          </cell>
          <cell r="AQ586">
            <v>0</v>
          </cell>
          <cell r="AR586">
            <v>97</v>
          </cell>
          <cell r="AS586">
            <v>97</v>
          </cell>
          <cell r="AT586">
            <v>97</v>
          </cell>
          <cell r="AU586">
            <v>97</v>
          </cell>
          <cell r="AV586">
            <v>97</v>
          </cell>
          <cell r="AW586">
            <v>97</v>
          </cell>
          <cell r="AX586">
            <v>97</v>
          </cell>
          <cell r="AY586">
            <v>97</v>
          </cell>
          <cell r="AZ586">
            <v>97</v>
          </cell>
          <cell r="BA586">
            <v>97</v>
          </cell>
        </row>
        <row r="587">
          <cell r="A587" t="str">
            <v>Treasure Hunt at ZAPE (SJM)</v>
          </cell>
          <cell r="AH587">
            <v>0</v>
          </cell>
          <cell r="AI587">
            <v>0</v>
          </cell>
          <cell r="AJ587">
            <v>0</v>
          </cell>
          <cell r="AK587">
            <v>0</v>
          </cell>
          <cell r="AL587">
            <v>0</v>
          </cell>
          <cell r="AM587">
            <v>0</v>
          </cell>
          <cell r="AN587">
            <v>0</v>
          </cell>
          <cell r="AO587">
            <v>0</v>
          </cell>
          <cell r="AP587">
            <v>0</v>
          </cell>
          <cell r="AQ587">
            <v>0</v>
          </cell>
          <cell r="AR587">
            <v>114</v>
          </cell>
          <cell r="AS587">
            <v>114</v>
          </cell>
          <cell r="AT587">
            <v>114</v>
          </cell>
          <cell r="AU587">
            <v>114</v>
          </cell>
          <cell r="AV587">
            <v>114</v>
          </cell>
          <cell r="AW587">
            <v>114</v>
          </cell>
          <cell r="AX587">
            <v>114</v>
          </cell>
          <cell r="AY587">
            <v>114</v>
          </cell>
          <cell r="AZ587">
            <v>114</v>
          </cell>
          <cell r="BA587">
            <v>114</v>
          </cell>
        </row>
        <row r="588">
          <cell r="A588" t="str">
            <v>Arc de Triomphe (SJM)</v>
          </cell>
          <cell r="B588">
            <v>0</v>
          </cell>
          <cell r="C588">
            <v>0</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1100</v>
          </cell>
          <cell r="AX588">
            <v>1100</v>
          </cell>
          <cell r="AY588">
            <v>1100</v>
          </cell>
          <cell r="AZ588">
            <v>1100</v>
          </cell>
          <cell r="BA588">
            <v>1100</v>
          </cell>
          <cell r="BK588">
            <v>0</v>
          </cell>
          <cell r="BL588">
            <v>0</v>
          </cell>
        </row>
        <row r="589">
          <cell r="A589" t="str">
            <v>Oceanus (SJM)</v>
          </cell>
          <cell r="B589">
            <v>0</v>
          </cell>
          <cell r="C589">
            <v>0</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6500</v>
          </cell>
          <cell r="AY589">
            <v>6500</v>
          </cell>
          <cell r="AZ589">
            <v>6500</v>
          </cell>
          <cell r="BA589">
            <v>6500</v>
          </cell>
          <cell r="BK589">
            <v>0</v>
          </cell>
          <cell r="BL589">
            <v>0</v>
          </cell>
        </row>
        <row r="590">
          <cell r="A590" t="str">
            <v>Shun Tak Nam Van (SJM)</v>
          </cell>
          <cell r="B590">
            <v>0</v>
          </cell>
          <cell r="C590">
            <v>0</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1950</v>
          </cell>
          <cell r="AZ590">
            <v>1950</v>
          </cell>
          <cell r="BA590">
            <v>1950</v>
          </cell>
          <cell r="BK590">
            <v>0</v>
          </cell>
          <cell r="BL590">
            <v>0</v>
          </cell>
        </row>
        <row r="591">
          <cell r="A591" t="str">
            <v>Shun Tak Cotai (SJM)</v>
          </cell>
          <cell r="B591">
            <v>0</v>
          </cell>
          <cell r="C591">
            <v>0</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6500</v>
          </cell>
          <cell r="BA591">
            <v>6500</v>
          </cell>
          <cell r="BK591">
            <v>0</v>
          </cell>
          <cell r="BL591">
            <v>0</v>
          </cell>
        </row>
        <row r="592">
          <cell r="A592" t="str">
            <v>Crown Macau (Melco/PBL)</v>
          </cell>
          <cell r="B592">
            <v>0</v>
          </cell>
          <cell r="C592">
            <v>0</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1599.9999999999998</v>
          </cell>
          <cell r="AT592">
            <v>2400</v>
          </cell>
          <cell r="AU592">
            <v>2400</v>
          </cell>
          <cell r="AV592">
            <v>1599.9999999999998</v>
          </cell>
          <cell r="AW592">
            <v>2450</v>
          </cell>
          <cell r="AX592">
            <v>2450</v>
          </cell>
          <cell r="AY592">
            <v>2450</v>
          </cell>
          <cell r="AZ592">
            <v>2450</v>
          </cell>
          <cell r="BA592">
            <v>2450</v>
          </cell>
          <cell r="BK592">
            <v>1200</v>
          </cell>
          <cell r="BL592">
            <v>399.99999999999977</v>
          </cell>
        </row>
        <row r="593">
          <cell r="A593" t="str">
            <v>Penninsula Project (Melco/PBL)</v>
          </cell>
          <cell r="B593">
            <v>0</v>
          </cell>
          <cell r="C593">
            <v>0</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1125</v>
          </cell>
          <cell r="AY593">
            <v>2250</v>
          </cell>
          <cell r="AZ593">
            <v>2250</v>
          </cell>
          <cell r="BA593">
            <v>2250</v>
          </cell>
          <cell r="BK593">
            <v>0</v>
          </cell>
          <cell r="BL593">
            <v>0</v>
          </cell>
        </row>
        <row r="594">
          <cell r="A594" t="str">
            <v>City of Dreams (Melco/PBL)</v>
          </cell>
          <cell r="B594">
            <v>0</v>
          </cell>
          <cell r="C594">
            <v>0</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5750</v>
          </cell>
          <cell r="AY594">
            <v>5750</v>
          </cell>
          <cell r="AZ594">
            <v>5750</v>
          </cell>
          <cell r="BA594">
            <v>5750</v>
          </cell>
          <cell r="BK594">
            <v>0</v>
          </cell>
          <cell r="BL594">
            <v>0</v>
          </cell>
        </row>
        <row r="595">
          <cell r="A595" t="str">
            <v>Galaxy Waldo Hotel and Casino (Galaxy)</v>
          </cell>
          <cell r="B595">
            <v>0</v>
          </cell>
          <cell r="C595">
            <v>0</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404.66666666666669</v>
          </cell>
          <cell r="AF595">
            <v>404.66666666666669</v>
          </cell>
          <cell r="AG595">
            <v>202.33333333333334</v>
          </cell>
          <cell r="AH595">
            <v>654.66666666666663</v>
          </cell>
          <cell r="AI595">
            <v>654.66666666666663</v>
          </cell>
          <cell r="AJ595">
            <v>654.66666666666663</v>
          </cell>
          <cell r="AK595">
            <v>655</v>
          </cell>
          <cell r="AL595">
            <v>654.75</v>
          </cell>
          <cell r="AM595">
            <v>655</v>
          </cell>
          <cell r="AN595">
            <v>655</v>
          </cell>
          <cell r="AO595">
            <v>655</v>
          </cell>
          <cell r="AP595">
            <v>655</v>
          </cell>
          <cell r="AQ595">
            <v>655</v>
          </cell>
          <cell r="AR595">
            <v>660</v>
          </cell>
          <cell r="AS595">
            <v>660</v>
          </cell>
          <cell r="AT595">
            <v>660</v>
          </cell>
          <cell r="AU595">
            <v>660</v>
          </cell>
          <cell r="AV595">
            <v>660</v>
          </cell>
          <cell r="AW595">
            <v>667.5</v>
          </cell>
          <cell r="AX595">
            <v>667.5</v>
          </cell>
          <cell r="AY595">
            <v>667.5</v>
          </cell>
          <cell r="AZ595">
            <v>667.5</v>
          </cell>
          <cell r="BA595">
            <v>667.5</v>
          </cell>
          <cell r="BK595">
            <v>660</v>
          </cell>
          <cell r="BL595">
            <v>0</v>
          </cell>
        </row>
        <row r="596">
          <cell r="A596" t="str">
            <v>Galaxy Rio Hotel City Club (Galaxy)</v>
          </cell>
          <cell r="B596">
            <v>0</v>
          </cell>
          <cell r="C596">
            <v>0</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475</v>
          </cell>
          <cell r="AN596">
            <v>950</v>
          </cell>
          <cell r="AO596">
            <v>950</v>
          </cell>
          <cell r="AP596">
            <v>950</v>
          </cell>
          <cell r="AQ596">
            <v>831.25</v>
          </cell>
          <cell r="AR596">
            <v>960</v>
          </cell>
          <cell r="AS596">
            <v>960</v>
          </cell>
          <cell r="AT596">
            <v>960</v>
          </cell>
          <cell r="AU596">
            <v>960</v>
          </cell>
          <cell r="AV596">
            <v>960</v>
          </cell>
          <cell r="AW596">
            <v>975</v>
          </cell>
          <cell r="AX596">
            <v>975</v>
          </cell>
          <cell r="AY596">
            <v>975</v>
          </cell>
          <cell r="AZ596">
            <v>975</v>
          </cell>
          <cell r="BA596">
            <v>975</v>
          </cell>
          <cell r="BK596">
            <v>960</v>
          </cell>
          <cell r="BL596">
            <v>0</v>
          </cell>
        </row>
        <row r="597">
          <cell r="A597" t="str">
            <v>Hotel Presidente Casino (Galaxy)</v>
          </cell>
          <cell r="B597">
            <v>0</v>
          </cell>
          <cell r="C597">
            <v>0</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500</v>
          </cell>
          <cell r="AO597">
            <v>750</v>
          </cell>
          <cell r="AP597">
            <v>750</v>
          </cell>
          <cell r="AQ597">
            <v>500</v>
          </cell>
          <cell r="AR597">
            <v>750</v>
          </cell>
          <cell r="AS597">
            <v>750</v>
          </cell>
          <cell r="AT597">
            <v>750</v>
          </cell>
          <cell r="AU597">
            <v>750</v>
          </cell>
          <cell r="AV597">
            <v>750</v>
          </cell>
          <cell r="AW597">
            <v>750</v>
          </cell>
          <cell r="AX597">
            <v>750</v>
          </cell>
          <cell r="AY597">
            <v>750</v>
          </cell>
          <cell r="AZ597">
            <v>750</v>
          </cell>
          <cell r="BA597">
            <v>750</v>
          </cell>
          <cell r="BK597">
            <v>750</v>
          </cell>
          <cell r="BL597">
            <v>0</v>
          </cell>
        </row>
        <row r="598">
          <cell r="A598" t="str">
            <v>Galaxy Grand Waldo (Galaxy)</v>
          </cell>
          <cell r="B598">
            <v>0</v>
          </cell>
          <cell r="C598">
            <v>0</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895.66666666666663</v>
          </cell>
          <cell r="AO598">
            <v>1791.3333333333333</v>
          </cell>
          <cell r="AP598">
            <v>1791.3333333333333</v>
          </cell>
          <cell r="AQ598">
            <v>1119.5833333333333</v>
          </cell>
          <cell r="AR598">
            <v>1813.6</v>
          </cell>
          <cell r="AS598">
            <v>1813.6</v>
          </cell>
          <cell r="AT598">
            <v>1813.6</v>
          </cell>
          <cell r="AU598">
            <v>1813.6</v>
          </cell>
          <cell r="AV598">
            <v>1813.6</v>
          </cell>
          <cell r="AW598">
            <v>1847</v>
          </cell>
          <cell r="AX598">
            <v>1847</v>
          </cell>
          <cell r="AY598">
            <v>1847</v>
          </cell>
          <cell r="AZ598">
            <v>1847</v>
          </cell>
          <cell r="BA598">
            <v>1847</v>
          </cell>
          <cell r="BK598">
            <v>1813.6</v>
          </cell>
          <cell r="BL598">
            <v>0</v>
          </cell>
        </row>
        <row r="599">
          <cell r="A599" t="str">
            <v>Galaxy StarWorld (Galaxy)</v>
          </cell>
          <cell r="B599">
            <v>0</v>
          </cell>
          <cell r="C599">
            <v>0</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1447.0169082125606</v>
          </cell>
          <cell r="AQ599">
            <v>361.75422705314014</v>
          </cell>
          <cell r="AR599">
            <v>2250</v>
          </cell>
          <cell r="AS599">
            <v>3030</v>
          </cell>
          <cell r="AT599">
            <v>3030</v>
          </cell>
          <cell r="AU599">
            <v>3030</v>
          </cell>
          <cell r="AV599">
            <v>2835</v>
          </cell>
          <cell r="AW599">
            <v>3065</v>
          </cell>
          <cell r="AX599">
            <v>3065</v>
          </cell>
          <cell r="AY599">
            <v>3065</v>
          </cell>
          <cell r="AZ599">
            <v>3065</v>
          </cell>
          <cell r="BA599">
            <v>3065</v>
          </cell>
          <cell r="BK599">
            <v>3048.4</v>
          </cell>
          <cell r="BL599">
            <v>-213.40000000000009</v>
          </cell>
        </row>
        <row r="600">
          <cell r="A600" t="str">
            <v>Galaxy Cotai Mega Resort (Galaxy)</v>
          </cell>
          <cell r="B600">
            <v>0</v>
          </cell>
          <cell r="C600">
            <v>0</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2500</v>
          </cell>
          <cell r="AX600">
            <v>5000</v>
          </cell>
          <cell r="AY600">
            <v>5000</v>
          </cell>
          <cell r="AZ600">
            <v>5000</v>
          </cell>
          <cell r="BA600">
            <v>5000</v>
          </cell>
          <cell r="BK600">
            <v>0</v>
          </cell>
          <cell r="BL600">
            <v>0</v>
          </cell>
        </row>
        <row r="601">
          <cell r="A601" t="str">
            <v>Sands Macao (LVS)</v>
          </cell>
          <cell r="B601">
            <v>0</v>
          </cell>
          <cell r="C601">
            <v>0</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1176.7509157509155</v>
          </cell>
          <cell r="AE601">
            <v>2983</v>
          </cell>
          <cell r="AF601">
            <v>3222</v>
          </cell>
          <cell r="AG601">
            <v>1845.4377289377287</v>
          </cell>
          <cell r="AH601">
            <v>3614.6666666666665</v>
          </cell>
          <cell r="AI601">
            <v>3834</v>
          </cell>
          <cell r="AJ601">
            <v>3887.3333333333335</v>
          </cell>
          <cell r="AK601">
            <v>4159.333333333333</v>
          </cell>
          <cell r="AL601">
            <v>3873.8333333333335</v>
          </cell>
          <cell r="AM601">
            <v>4642.333333333333</v>
          </cell>
          <cell r="AN601">
            <v>4838.333333333333</v>
          </cell>
          <cell r="AO601">
            <v>6121.333333333333</v>
          </cell>
          <cell r="AP601">
            <v>8131</v>
          </cell>
          <cell r="AQ601">
            <v>5933.25</v>
          </cell>
          <cell r="AR601">
            <v>8213.2000000000007</v>
          </cell>
          <cell r="AS601">
            <v>8213.2000000000007</v>
          </cell>
          <cell r="AT601">
            <v>8213.2000000000007</v>
          </cell>
          <cell r="AU601">
            <v>8213.2000000000007</v>
          </cell>
          <cell r="AV601">
            <v>8213.2000000000007</v>
          </cell>
          <cell r="AW601">
            <v>8336.5</v>
          </cell>
          <cell r="AX601">
            <v>8336.5</v>
          </cell>
          <cell r="AY601">
            <v>8336.5</v>
          </cell>
          <cell r="AZ601">
            <v>8336.5</v>
          </cell>
          <cell r="BA601">
            <v>8336.5</v>
          </cell>
          <cell r="BK601">
            <v>7901.6</v>
          </cell>
          <cell r="BL601">
            <v>311.60000000000036</v>
          </cell>
        </row>
        <row r="602">
          <cell r="A602" t="str">
            <v>Venetian Macao (LVS)</v>
          </cell>
          <cell r="B602">
            <v>0</v>
          </cell>
          <cell r="C602">
            <v>0</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9140</v>
          </cell>
          <cell r="AU602">
            <v>9140</v>
          </cell>
          <cell r="AV602">
            <v>4570</v>
          </cell>
          <cell r="AW602">
            <v>10550</v>
          </cell>
          <cell r="AX602">
            <v>10550</v>
          </cell>
          <cell r="AY602">
            <v>10550</v>
          </cell>
          <cell r="AZ602">
            <v>15000</v>
          </cell>
          <cell r="BA602">
            <v>15000</v>
          </cell>
          <cell r="BK602">
            <v>4550</v>
          </cell>
          <cell r="BL602">
            <v>20</v>
          </cell>
        </row>
        <row r="603">
          <cell r="A603" t="str">
            <v>Cotai Site 2 - Four Seasons (LVS)</v>
          </cell>
          <cell r="B603">
            <v>0</v>
          </cell>
          <cell r="C603">
            <v>0</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1500</v>
          </cell>
          <cell r="AX603">
            <v>1500</v>
          </cell>
          <cell r="AY603">
            <v>1500</v>
          </cell>
          <cell r="AZ603">
            <v>1500</v>
          </cell>
          <cell r="BA603">
            <v>1500</v>
          </cell>
          <cell r="BK603">
            <v>0</v>
          </cell>
          <cell r="BL603">
            <v>0</v>
          </cell>
        </row>
        <row r="604">
          <cell r="A604" t="str">
            <v>Cotai Site 3 - Far East (LVS)</v>
          </cell>
          <cell r="B604">
            <v>0</v>
          </cell>
          <cell r="C604">
            <v>0</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2062.5</v>
          </cell>
          <cell r="AY604">
            <v>4125</v>
          </cell>
          <cell r="AZ604">
            <v>4125</v>
          </cell>
          <cell r="BA604">
            <v>4125</v>
          </cell>
          <cell r="BK604">
            <v>0</v>
          </cell>
          <cell r="BL604">
            <v>0</v>
          </cell>
        </row>
        <row r="605">
          <cell r="A605" t="str">
            <v>Cotai Site 5 - Shangri-La/St.Regis/Traders (LVS)</v>
          </cell>
          <cell r="B605">
            <v>0</v>
          </cell>
          <cell r="C605">
            <v>0</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2062.5</v>
          </cell>
          <cell r="AX605">
            <v>4125</v>
          </cell>
          <cell r="AY605">
            <v>4125</v>
          </cell>
          <cell r="AZ605">
            <v>4125</v>
          </cell>
          <cell r="BA605">
            <v>4125</v>
          </cell>
          <cell r="BK605">
            <v>0</v>
          </cell>
          <cell r="BL605">
            <v>0</v>
          </cell>
        </row>
        <row r="606">
          <cell r="A606" t="str">
            <v>Cotai Site 6 - Starwood (LVS)</v>
          </cell>
          <cell r="B606">
            <v>0</v>
          </cell>
          <cell r="C606">
            <v>0</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2062.5</v>
          </cell>
          <cell r="AX606">
            <v>4125</v>
          </cell>
          <cell r="AY606">
            <v>4125</v>
          </cell>
          <cell r="AZ606">
            <v>4125</v>
          </cell>
          <cell r="BA606">
            <v>4125</v>
          </cell>
          <cell r="BK606">
            <v>0</v>
          </cell>
          <cell r="BL606">
            <v>0</v>
          </cell>
        </row>
        <row r="607">
          <cell r="A607" t="str">
            <v>Cotai Site 7 - Hilton (LVS)</v>
          </cell>
          <cell r="B607">
            <v>0</v>
          </cell>
          <cell r="C607">
            <v>0</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2062.5</v>
          </cell>
          <cell r="AY607">
            <v>4125</v>
          </cell>
          <cell r="AZ607">
            <v>4125</v>
          </cell>
          <cell r="BA607">
            <v>4125</v>
          </cell>
          <cell r="BK607">
            <v>0</v>
          </cell>
          <cell r="BL607">
            <v>0</v>
          </cell>
        </row>
        <row r="608">
          <cell r="A608" t="str">
            <v>Cotai Site 8 - FHR/Raffles (LVS)</v>
          </cell>
          <cell r="B608">
            <v>0</v>
          </cell>
          <cell r="C608">
            <v>0</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2062.5</v>
          </cell>
          <cell r="AY608">
            <v>4125</v>
          </cell>
          <cell r="AZ608">
            <v>4125</v>
          </cell>
          <cell r="BA608">
            <v>4125</v>
          </cell>
          <cell r="BK608">
            <v>0</v>
          </cell>
          <cell r="BL608">
            <v>0</v>
          </cell>
        </row>
        <row r="609">
          <cell r="A609" t="str">
            <v>Wynn Macau (WYNN)</v>
          </cell>
          <cell r="B609">
            <v>0</v>
          </cell>
          <cell r="C609">
            <v>0</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604.61956521739137</v>
          </cell>
          <cell r="AP609">
            <v>2362</v>
          </cell>
          <cell r="AQ609">
            <v>741.65489130434798</v>
          </cell>
          <cell r="AR609">
            <v>2689.6</v>
          </cell>
          <cell r="AS609">
            <v>3392.8</v>
          </cell>
          <cell r="AT609">
            <v>4712</v>
          </cell>
          <cell r="AU609">
            <v>4712</v>
          </cell>
          <cell r="AV609">
            <v>3876.6</v>
          </cell>
          <cell r="AW609">
            <v>4840</v>
          </cell>
          <cell r="AX609">
            <v>5140</v>
          </cell>
          <cell r="AY609">
            <v>5140</v>
          </cell>
          <cell r="AZ609">
            <v>5140</v>
          </cell>
          <cell r="BA609">
            <v>5140</v>
          </cell>
          <cell r="BK609">
            <v>3427</v>
          </cell>
          <cell r="BL609">
            <v>449.59999999999991</v>
          </cell>
        </row>
        <row r="610">
          <cell r="A610" t="str">
            <v>Wynn Cotai (WYNN)</v>
          </cell>
          <cell r="B610">
            <v>0</v>
          </cell>
          <cell r="C610">
            <v>0</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6750</v>
          </cell>
          <cell r="AZ610">
            <v>6750</v>
          </cell>
          <cell r="BA610">
            <v>6750</v>
          </cell>
          <cell r="BK610">
            <v>0</v>
          </cell>
          <cell r="BL610">
            <v>0</v>
          </cell>
        </row>
        <row r="611">
          <cell r="A611" t="str">
            <v>Wynn Cotai #2 (WYNN)</v>
          </cell>
          <cell r="B611">
            <v>0</v>
          </cell>
          <cell r="C611">
            <v>0</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6750</v>
          </cell>
          <cell r="AZ611">
            <v>6750</v>
          </cell>
          <cell r="BA611">
            <v>6750</v>
          </cell>
          <cell r="BK611">
            <v>0</v>
          </cell>
          <cell r="BL611">
            <v>0</v>
          </cell>
        </row>
        <row r="612">
          <cell r="A612" t="str">
            <v>MGM Grand (MGM)</v>
          </cell>
          <cell r="B612">
            <v>0</v>
          </cell>
          <cell r="C612">
            <v>0</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3884.8</v>
          </cell>
          <cell r="AV612">
            <v>971.2</v>
          </cell>
          <cell r="AW612">
            <v>3988.5</v>
          </cell>
          <cell r="AX612">
            <v>3988.5</v>
          </cell>
          <cell r="AY612">
            <v>3988.5</v>
          </cell>
          <cell r="AZ612">
            <v>3988.5</v>
          </cell>
          <cell r="BA612">
            <v>3988.5</v>
          </cell>
          <cell r="BK612">
            <v>0</v>
          </cell>
          <cell r="BL612">
            <v>971.2</v>
          </cell>
        </row>
        <row r="613">
          <cell r="A613" t="str">
            <v>MGM Cotai #1 (MGM)</v>
          </cell>
          <cell r="B613">
            <v>0</v>
          </cell>
          <cell r="C613">
            <v>0</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6500</v>
          </cell>
          <cell r="BA613">
            <v>6500</v>
          </cell>
          <cell r="BK613">
            <v>0</v>
          </cell>
          <cell r="BL613">
            <v>0</v>
          </cell>
        </row>
        <row r="614">
          <cell r="A614" t="str">
            <v>Mocha Slot Lounges (Melco)</v>
          </cell>
          <cell r="B614">
            <v>0</v>
          </cell>
          <cell r="C614">
            <v>0</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21.666666666666664</v>
          </cell>
          <cell r="AB614">
            <v>5.4166666666666661</v>
          </cell>
          <cell r="AC614">
            <v>21.666666666666664</v>
          </cell>
          <cell r="AD614">
            <v>69.666666666666657</v>
          </cell>
          <cell r="AE614">
            <v>167.66666666666666</v>
          </cell>
          <cell r="AF614">
            <v>167.66666666666666</v>
          </cell>
          <cell r="AG614">
            <v>106.66666666666666</v>
          </cell>
          <cell r="AH614">
            <v>167.66666666666666</v>
          </cell>
          <cell r="AI614">
            <v>215.66666666666666</v>
          </cell>
          <cell r="AJ614">
            <v>226.33333333333331</v>
          </cell>
          <cell r="AK614">
            <v>269.66666666666663</v>
          </cell>
          <cell r="AL614">
            <v>219.83333333333331</v>
          </cell>
          <cell r="AM614">
            <v>312.33333333333331</v>
          </cell>
          <cell r="AN614">
            <v>312.33333333333331</v>
          </cell>
          <cell r="AO614">
            <v>312.33333333333331</v>
          </cell>
          <cell r="AP614">
            <v>312.33333333333331</v>
          </cell>
          <cell r="AQ614">
            <v>312.33333333333331</v>
          </cell>
          <cell r="AR614">
            <v>454.8</v>
          </cell>
          <cell r="AS614">
            <v>454.8</v>
          </cell>
          <cell r="AT614">
            <v>534.80000000000007</v>
          </cell>
          <cell r="AU614">
            <v>614.80000000000007</v>
          </cell>
          <cell r="AV614">
            <v>514.80000000000007</v>
          </cell>
          <cell r="AW614">
            <v>993.5</v>
          </cell>
          <cell r="AX614">
            <v>1068.5</v>
          </cell>
          <cell r="AY614">
            <v>1368.5</v>
          </cell>
          <cell r="AZ614">
            <v>1668.5</v>
          </cell>
          <cell r="BA614">
            <v>1968.5</v>
          </cell>
          <cell r="BK614">
            <v>0</v>
          </cell>
          <cell r="BL614">
            <v>514.80000000000007</v>
          </cell>
        </row>
        <row r="615">
          <cell r="A615" t="str">
            <v>Macau Studio City (eSun)</v>
          </cell>
          <cell r="B615">
            <v>0</v>
          </cell>
          <cell r="C615">
            <v>0</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4500</v>
          </cell>
          <cell r="AY615">
            <v>4500</v>
          </cell>
          <cell r="AZ615">
            <v>7300</v>
          </cell>
          <cell r="BA615">
            <v>7300</v>
          </cell>
          <cell r="BK615">
            <v>0</v>
          </cell>
          <cell r="BL615">
            <v>0</v>
          </cell>
        </row>
        <row r="616">
          <cell r="A616" t="str">
            <v>Adjustment</v>
          </cell>
          <cell r="B616">
            <v>0</v>
          </cell>
          <cell r="C616">
            <v>0</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300</v>
          </cell>
          <cell r="AE616">
            <v>-1500</v>
          </cell>
          <cell r="AF616">
            <v>1018.3333333333331</v>
          </cell>
          <cell r="AG616">
            <v>-45.416666666666728</v>
          </cell>
          <cell r="AH616">
            <v>-245.77777777777754</v>
          </cell>
          <cell r="AI616">
            <v>-0.83333333333182225</v>
          </cell>
          <cell r="AJ616">
            <v>-297.33333333333337</v>
          </cell>
          <cell r="AK616">
            <v>118.5</v>
          </cell>
          <cell r="AL616">
            <v>-106.36111111111067</v>
          </cell>
          <cell r="AM616">
            <v>117.5</v>
          </cell>
          <cell r="AN616">
            <v>-276</v>
          </cell>
          <cell r="AO616">
            <v>-227.28623188405953</v>
          </cell>
          <cell r="AP616">
            <v>-766.40579710144937</v>
          </cell>
          <cell r="AQ616">
            <v>-288.04800724637721</v>
          </cell>
          <cell r="AR616">
            <v>-719.68695652173915</v>
          </cell>
          <cell r="AS616">
            <v>-719.68695652173915</v>
          </cell>
          <cell r="AT616">
            <v>-719.68695652173915</v>
          </cell>
          <cell r="AU616">
            <v>-719.68695652173915</v>
          </cell>
          <cell r="AV616">
            <v>-719.68695652173915</v>
          </cell>
          <cell r="AW616">
            <v>-649.60869565217399</v>
          </cell>
          <cell r="AX616">
            <v>-649.60869565217399</v>
          </cell>
          <cell r="AY616">
            <v>-649.60869565217399</v>
          </cell>
          <cell r="AZ616">
            <v>-649.60869565217399</v>
          </cell>
          <cell r="BA616">
            <v>-649.60869565217399</v>
          </cell>
          <cell r="BK616">
            <v>-503.55652173913205</v>
          </cell>
          <cell r="BL616">
            <v>-216.1304347826071</v>
          </cell>
        </row>
        <row r="617">
          <cell r="B617" t="str">
            <v>______</v>
          </cell>
          <cell r="C617" t="str">
            <v>______</v>
          </cell>
          <cell r="D617" t="str">
            <v>______</v>
          </cell>
          <cell r="E617" t="str">
            <v>______</v>
          </cell>
          <cell r="F617" t="str">
            <v>______</v>
          </cell>
          <cell r="G617" t="str">
            <v>______</v>
          </cell>
          <cell r="H617" t="str">
            <v>______</v>
          </cell>
          <cell r="I617" t="str">
            <v>______</v>
          </cell>
          <cell r="J617" t="str">
            <v>______</v>
          </cell>
          <cell r="K617" t="str">
            <v>______</v>
          </cell>
          <cell r="L617" t="str">
            <v>______</v>
          </cell>
          <cell r="M617" t="str">
            <v>______</v>
          </cell>
          <cell r="N617" t="str">
            <v>______</v>
          </cell>
          <cell r="O617" t="str">
            <v>______</v>
          </cell>
          <cell r="P617" t="str">
            <v>______</v>
          </cell>
          <cell r="Q617" t="str">
            <v>______</v>
          </cell>
          <cell r="R617" t="str">
            <v>______</v>
          </cell>
          <cell r="S617" t="str">
            <v>______</v>
          </cell>
          <cell r="T617" t="str">
            <v>______</v>
          </cell>
          <cell r="U617" t="str">
            <v>______</v>
          </cell>
          <cell r="V617" t="str">
            <v>______</v>
          </cell>
          <cell r="W617" t="str">
            <v>______</v>
          </cell>
          <cell r="X617" t="str">
            <v>______</v>
          </cell>
          <cell r="Y617" t="str">
            <v>______</v>
          </cell>
          <cell r="Z617" t="str">
            <v>______</v>
          </cell>
          <cell r="AA617" t="str">
            <v>______</v>
          </cell>
          <cell r="AB617" t="str">
            <v>______</v>
          </cell>
          <cell r="AC617" t="str">
            <v>______</v>
          </cell>
          <cell r="AD617" t="str">
            <v>______</v>
          </cell>
          <cell r="AE617" t="str">
            <v>______</v>
          </cell>
          <cell r="AF617" t="str">
            <v>______</v>
          </cell>
          <cell r="AG617" t="str">
            <v>______</v>
          </cell>
          <cell r="AH617" t="str">
            <v>______</v>
          </cell>
          <cell r="AI617" t="str">
            <v>______</v>
          </cell>
          <cell r="AJ617" t="str">
            <v>______</v>
          </cell>
          <cell r="AK617" t="str">
            <v>______</v>
          </cell>
          <cell r="AL617" t="str">
            <v>______</v>
          </cell>
          <cell r="AM617" t="str">
            <v>______</v>
          </cell>
          <cell r="AN617" t="str">
            <v>______</v>
          </cell>
          <cell r="AO617" t="str">
            <v>______</v>
          </cell>
          <cell r="AP617" t="str">
            <v>______</v>
          </cell>
          <cell r="AQ617" t="str">
            <v>______</v>
          </cell>
          <cell r="AR617" t="str">
            <v>______</v>
          </cell>
          <cell r="AS617" t="str">
            <v>______</v>
          </cell>
          <cell r="AT617" t="str">
            <v>______</v>
          </cell>
          <cell r="AU617" t="str">
            <v>______</v>
          </cell>
          <cell r="AV617" t="str">
            <v>______</v>
          </cell>
          <cell r="AW617" t="str">
            <v>______</v>
          </cell>
          <cell r="AX617" t="str">
            <v>______</v>
          </cell>
          <cell r="AY617" t="str">
            <v>______</v>
          </cell>
          <cell r="AZ617" t="str">
            <v>______</v>
          </cell>
          <cell r="BA617" t="str">
            <v>______</v>
          </cell>
          <cell r="BK617" t="str">
            <v>______</v>
          </cell>
          <cell r="BL617" t="e">
            <v>#VALUE!</v>
          </cell>
        </row>
        <row r="618">
          <cell r="A618" t="str">
            <v>Total Average Positions</v>
          </cell>
          <cell r="B618">
            <v>3643.333333333333</v>
          </cell>
          <cell r="C618">
            <v>3643.333333333333</v>
          </cell>
          <cell r="D618">
            <v>3643.333333333333</v>
          </cell>
          <cell r="E618">
            <v>3643.333333333333</v>
          </cell>
          <cell r="F618">
            <v>3643.333333333333</v>
          </cell>
          <cell r="G618">
            <v>3643.333333333333</v>
          </cell>
          <cell r="H618">
            <v>3643.333333333333</v>
          </cell>
          <cell r="I618">
            <v>3643.333333333333</v>
          </cell>
          <cell r="J618">
            <v>3643.333333333333</v>
          </cell>
          <cell r="K618">
            <v>3643.333333333333</v>
          </cell>
          <cell r="L618">
            <v>3643.333333333333</v>
          </cell>
          <cell r="M618">
            <v>3643.333333333333</v>
          </cell>
          <cell r="N618">
            <v>3643.333333333333</v>
          </cell>
          <cell r="O618">
            <v>3643.333333333333</v>
          </cell>
          <cell r="P618">
            <v>3643.333333333333</v>
          </cell>
          <cell r="Q618">
            <v>3643.333333333333</v>
          </cell>
          <cell r="R618">
            <v>3643.333333333333</v>
          </cell>
          <cell r="S618">
            <v>3643.333333333333</v>
          </cell>
          <cell r="T618">
            <v>3643.333333333333</v>
          </cell>
          <cell r="U618">
            <v>3643.333333333333</v>
          </cell>
          <cell r="V618">
            <v>3643.333333333333</v>
          </cell>
          <cell r="W618">
            <v>3643.333333333333</v>
          </cell>
          <cell r="X618">
            <v>4679.333333333333</v>
          </cell>
          <cell r="Y618">
            <v>4679.333333333333</v>
          </cell>
          <cell r="Z618">
            <v>4679.333333333333</v>
          </cell>
          <cell r="AA618">
            <v>4701</v>
          </cell>
          <cell r="AB618">
            <v>4684.75</v>
          </cell>
          <cell r="AC618">
            <v>4701</v>
          </cell>
          <cell r="AD618">
            <v>6225.7509157509157</v>
          </cell>
          <cell r="AE618">
            <v>7475.6666666666661</v>
          </cell>
          <cell r="AF618">
            <v>10084.304347826088</v>
          </cell>
          <cell r="AG618">
            <v>7121.6804825609161</v>
          </cell>
          <cell r="AH618">
            <v>12497</v>
          </cell>
          <cell r="AI618">
            <v>13279.833333333334</v>
          </cell>
          <cell r="AJ618">
            <v>13680.666666666668</v>
          </cell>
          <cell r="AK618">
            <v>14503.833333333334</v>
          </cell>
          <cell r="AL618">
            <v>13490.333333333334</v>
          </cell>
          <cell r="AM618">
            <v>16939.499999999996</v>
          </cell>
          <cell r="AN618">
            <v>20359.333333333328</v>
          </cell>
          <cell r="AO618">
            <v>23441.333333333328</v>
          </cell>
          <cell r="AP618">
            <v>28194.538647342993</v>
          </cell>
          <cell r="AQ618">
            <v>22233.676328502414</v>
          </cell>
          <cell r="AR618">
            <v>31805.313043478258</v>
          </cell>
          <cell r="AS618">
            <v>36425.313043478258</v>
          </cell>
          <cell r="AT618">
            <v>49924.513043478255</v>
          </cell>
          <cell r="AU618">
            <v>54109.313043478258</v>
          </cell>
          <cell r="AV618">
            <v>43066.113043478254</v>
          </cell>
          <cell r="AW618">
            <v>64954.391304347824</v>
          </cell>
          <cell r="AX618">
            <v>96016.891304347824</v>
          </cell>
          <cell r="AY618">
            <v>119079.39130434782</v>
          </cell>
          <cell r="AZ618">
            <v>139629.39130434784</v>
          </cell>
          <cell r="BA618">
            <v>139929.39130434784</v>
          </cell>
          <cell r="BK618">
            <v>44799.843478260867</v>
          </cell>
          <cell r="BL618">
            <v>-1733.7304347826139</v>
          </cell>
        </row>
        <row r="619">
          <cell r="A619" t="str">
            <v xml:space="preserve">  Growth</v>
          </cell>
          <cell r="AC619">
            <v>4.6302892149878705E-3</v>
          </cell>
          <cell r="AD619">
            <v>0.33047818401857443</v>
          </cell>
          <cell r="AE619">
            <v>0.59759224960820623</v>
          </cell>
          <cell r="AF619">
            <v>1.1451402569296083</v>
          </cell>
          <cell r="AG619">
            <v>0.52018367737038607</v>
          </cell>
          <cell r="AH619">
            <v>1.658370559455435</v>
          </cell>
          <cell r="AI619">
            <v>1.1330492518960011</v>
          </cell>
          <cell r="AJ619">
            <v>0.8300263075756904</v>
          </cell>
          <cell r="AK619">
            <v>0.43825819144976319</v>
          </cell>
          <cell r="AL619">
            <v>0.89426264859362048</v>
          </cell>
          <cell r="AM619">
            <v>0.35548531647595394</v>
          </cell>
          <cell r="AN619">
            <v>0.5331015700498245</v>
          </cell>
          <cell r="AO619">
            <v>0.71346425612786857</v>
          </cell>
          <cell r="AP619">
            <v>0.94393702680967051</v>
          </cell>
          <cell r="AQ619">
            <v>0.64811912197640864</v>
          </cell>
          <cell r="AR619">
            <v>0.87758275294301868</v>
          </cell>
          <cell r="AS619">
            <v>0.78912110957193748</v>
          </cell>
          <cell r="AT619">
            <v>1.1297642217512482</v>
          </cell>
          <cell r="AU619">
            <v>0.91914163662250337</v>
          </cell>
          <cell r="AV619">
            <v>0.93697670179131576</v>
          </cell>
          <cell r="AW619">
            <v>0.50824828882912709</v>
          </cell>
          <cell r="AX619">
            <v>0.47822016920233668</v>
          </cell>
          <cell r="AY619">
            <v>0.24019211293665044</v>
          </cell>
          <cell r="AZ619">
            <v>0.17257394226577394</v>
          </cell>
          <cell r="BA619">
            <v>2.1485447812781278E-3</v>
          </cell>
          <cell r="BK619">
            <v>0.94087187960905649</v>
          </cell>
          <cell r="BL619">
            <v>-3.8951778177407359E-3</v>
          </cell>
        </row>
        <row r="620">
          <cell r="BL620">
            <v>0</v>
          </cell>
        </row>
        <row r="621">
          <cell r="A621" t="str">
            <v>Mass Market Positions</v>
          </cell>
          <cell r="BL621">
            <v>0</v>
          </cell>
        </row>
        <row r="622">
          <cell r="A622" t="str">
            <v>Average Tables</v>
          </cell>
          <cell r="BL622">
            <v>0</v>
          </cell>
        </row>
        <row r="623">
          <cell r="A623" t="str">
            <v>Sands Macao</v>
          </cell>
          <cell r="X623">
            <v>0</v>
          </cell>
          <cell r="Y623">
            <v>0</v>
          </cell>
          <cell r="Z623">
            <v>0</v>
          </cell>
          <cell r="AA623">
            <v>0</v>
          </cell>
          <cell r="AB623">
            <v>0</v>
          </cell>
          <cell r="AC623">
            <v>0</v>
          </cell>
          <cell r="AD623">
            <v>113.87912087912088</v>
          </cell>
          <cell r="AE623">
            <v>258</v>
          </cell>
          <cell r="AF623">
            <v>258</v>
          </cell>
          <cell r="AG623">
            <v>157.4697802197802</v>
          </cell>
          <cell r="AH623">
            <v>288.5</v>
          </cell>
          <cell r="AI623">
            <v>303</v>
          </cell>
          <cell r="AJ623">
            <v>309</v>
          </cell>
          <cell r="AK623">
            <v>335</v>
          </cell>
          <cell r="AL623">
            <v>308.875</v>
          </cell>
          <cell r="AM623">
            <v>379</v>
          </cell>
          <cell r="AN623">
            <v>391</v>
          </cell>
          <cell r="AO623">
            <v>508</v>
          </cell>
          <cell r="AP623">
            <v>697</v>
          </cell>
          <cell r="AQ623">
            <v>493.75</v>
          </cell>
          <cell r="AR623">
            <v>697</v>
          </cell>
          <cell r="AS623">
            <v>697</v>
          </cell>
          <cell r="AT623">
            <v>697</v>
          </cell>
          <cell r="AU623">
            <v>697</v>
          </cell>
          <cell r="AV623">
            <v>697</v>
          </cell>
          <cell r="AW623">
            <v>697</v>
          </cell>
          <cell r="AX623">
            <v>697</v>
          </cell>
          <cell r="AY623">
            <v>697</v>
          </cell>
          <cell r="AZ623">
            <v>697</v>
          </cell>
          <cell r="BA623">
            <v>697</v>
          </cell>
          <cell r="BK623">
            <v>665</v>
          </cell>
          <cell r="BL623">
            <v>32</v>
          </cell>
        </row>
        <row r="624">
          <cell r="A624" t="str">
            <v>Venetian Macao</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625</v>
          </cell>
          <cell r="AU624">
            <v>625</v>
          </cell>
          <cell r="AV624">
            <v>312.5</v>
          </cell>
          <cell r="AW624">
            <v>725</v>
          </cell>
          <cell r="AX624">
            <v>725</v>
          </cell>
          <cell r="AY624">
            <v>725</v>
          </cell>
          <cell r="AZ624">
            <v>1000</v>
          </cell>
          <cell r="BA624">
            <v>1000</v>
          </cell>
          <cell r="BK624">
            <v>312.5</v>
          </cell>
          <cell r="BL624">
            <v>0</v>
          </cell>
        </row>
        <row r="625">
          <cell r="A625" t="str">
            <v>Cotai Site 2 - Four Seasons (LVS)</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115</v>
          </cell>
          <cell r="AX625">
            <v>115</v>
          </cell>
          <cell r="AY625">
            <v>115</v>
          </cell>
          <cell r="AZ625">
            <v>115</v>
          </cell>
          <cell r="BA625">
            <v>115</v>
          </cell>
          <cell r="BK625">
            <v>0</v>
          </cell>
          <cell r="BL625">
            <v>0</v>
          </cell>
        </row>
        <row r="626">
          <cell r="A626" t="str">
            <v>Cotai Site 3 - Far East (LVS)</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142.5</v>
          </cell>
          <cell r="AY626">
            <v>285</v>
          </cell>
          <cell r="AZ626">
            <v>285</v>
          </cell>
          <cell r="BA626">
            <v>285</v>
          </cell>
          <cell r="BK626">
            <v>0</v>
          </cell>
          <cell r="BL626">
            <v>0</v>
          </cell>
        </row>
        <row r="627">
          <cell r="A627" t="str">
            <v>Cotai Site 5 - Shangri-La/St.Regis/Traders (LVS)</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143.75</v>
          </cell>
          <cell r="AX627">
            <v>287.5</v>
          </cell>
          <cell r="AY627">
            <v>250</v>
          </cell>
          <cell r="AZ627">
            <v>250</v>
          </cell>
          <cell r="BA627">
            <v>250</v>
          </cell>
          <cell r="BK627">
            <v>0</v>
          </cell>
          <cell r="BL627">
            <v>0</v>
          </cell>
        </row>
        <row r="628">
          <cell r="A628" t="str">
            <v>Cotai Site 6 - Starwood (LVS)</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143.75</v>
          </cell>
          <cell r="AX628">
            <v>287.5</v>
          </cell>
          <cell r="AY628">
            <v>250</v>
          </cell>
          <cell r="AZ628">
            <v>250</v>
          </cell>
          <cell r="BA628">
            <v>250</v>
          </cell>
          <cell r="BK628">
            <v>0</v>
          </cell>
          <cell r="BL628">
            <v>0</v>
          </cell>
        </row>
        <row r="629">
          <cell r="A629" t="str">
            <v>Cotai Site 7 - Hilton (LVS)</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143.75</v>
          </cell>
          <cell r="AY629">
            <v>287.5</v>
          </cell>
          <cell r="AZ629">
            <v>250</v>
          </cell>
          <cell r="BA629">
            <v>250</v>
          </cell>
          <cell r="BK629">
            <v>0</v>
          </cell>
          <cell r="BL629">
            <v>0</v>
          </cell>
        </row>
        <row r="630">
          <cell r="A630" t="str">
            <v>Cotai Site 8 - FHR/Raffles (LVS)</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143.75</v>
          </cell>
          <cell r="AY630">
            <v>287.5</v>
          </cell>
          <cell r="AZ630">
            <v>250</v>
          </cell>
          <cell r="BA630">
            <v>250</v>
          </cell>
          <cell r="BK630">
            <v>0</v>
          </cell>
          <cell r="BL630">
            <v>0</v>
          </cell>
        </row>
        <row r="631">
          <cell r="A631" t="str">
            <v>Wynn Macau (WYNN)</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46.195652173913047</v>
          </cell>
          <cell r="AP631">
            <v>184</v>
          </cell>
          <cell r="AQ631">
            <v>57.548913043478265</v>
          </cell>
          <cell r="AR631">
            <v>184</v>
          </cell>
          <cell r="AS631">
            <v>249</v>
          </cell>
          <cell r="AT631">
            <v>355</v>
          </cell>
          <cell r="AU631">
            <v>355</v>
          </cell>
          <cell r="AV631">
            <v>285.75</v>
          </cell>
          <cell r="AW631">
            <v>355</v>
          </cell>
          <cell r="AX631">
            <v>355</v>
          </cell>
          <cell r="AY631">
            <v>355</v>
          </cell>
          <cell r="AZ631">
            <v>355</v>
          </cell>
          <cell r="BA631">
            <v>355</v>
          </cell>
          <cell r="BK631">
            <v>277.5</v>
          </cell>
          <cell r="BL631">
            <v>8.25</v>
          </cell>
        </row>
        <row r="632">
          <cell r="A632" t="str">
            <v>Wynn Cotai (WYNN)</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425</v>
          </cell>
          <cell r="AZ632">
            <v>425</v>
          </cell>
          <cell r="BA632">
            <v>425</v>
          </cell>
          <cell r="BK632">
            <v>0</v>
          </cell>
          <cell r="BL632">
            <v>0</v>
          </cell>
        </row>
        <row r="633">
          <cell r="A633" t="str">
            <v>Wynn Cotai #2 (WYNN)</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425</v>
          </cell>
          <cell r="AZ633">
            <v>425</v>
          </cell>
          <cell r="BA633">
            <v>425</v>
          </cell>
          <cell r="BK633">
            <v>0</v>
          </cell>
          <cell r="BL633">
            <v>0</v>
          </cell>
        </row>
        <row r="634">
          <cell r="A634" t="str">
            <v>MGM Grand (MGM)</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302</v>
          </cell>
          <cell r="AV634">
            <v>75.5</v>
          </cell>
          <cell r="AW634">
            <v>302</v>
          </cell>
          <cell r="AX634">
            <v>302</v>
          </cell>
          <cell r="AY634">
            <v>302</v>
          </cell>
          <cell r="AZ634">
            <v>302</v>
          </cell>
          <cell r="BA634">
            <v>302</v>
          </cell>
          <cell r="BK634">
            <v>69.75</v>
          </cell>
          <cell r="BL634">
            <v>5.75</v>
          </cell>
        </row>
        <row r="635">
          <cell r="A635" t="str">
            <v>MGM Cotai #1 (MGM)</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400</v>
          </cell>
          <cell r="BA635">
            <v>400</v>
          </cell>
          <cell r="BK635">
            <v>69.75</v>
          </cell>
          <cell r="BL635">
            <v>-69.75</v>
          </cell>
        </row>
        <row r="636">
          <cell r="A636" t="str">
            <v>Crown Macau (PBL/Melco)</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116.66666666666666</v>
          </cell>
          <cell r="AT636">
            <v>175</v>
          </cell>
          <cell r="AU636">
            <v>175</v>
          </cell>
          <cell r="AV636">
            <v>116.66666666666666</v>
          </cell>
          <cell r="AW636">
            <v>160</v>
          </cell>
          <cell r="AX636">
            <v>160</v>
          </cell>
          <cell r="AY636">
            <v>160</v>
          </cell>
          <cell r="AZ636">
            <v>160</v>
          </cell>
          <cell r="BA636">
            <v>160</v>
          </cell>
          <cell r="BK636">
            <v>50</v>
          </cell>
          <cell r="BL636">
            <v>66.666666666666657</v>
          </cell>
        </row>
        <row r="637">
          <cell r="A637" t="str">
            <v>Penninsula Project (PBL/Melco)</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60</v>
          </cell>
          <cell r="AY637">
            <v>160</v>
          </cell>
          <cell r="AZ637">
            <v>160</v>
          </cell>
          <cell r="BA637">
            <v>160</v>
          </cell>
          <cell r="BK637">
            <v>0</v>
          </cell>
          <cell r="BL637">
            <v>0</v>
          </cell>
        </row>
        <row r="638">
          <cell r="A638" t="str">
            <v>City of Dreams (PBL/Melco)</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400</v>
          </cell>
          <cell r="AY638">
            <v>400</v>
          </cell>
          <cell r="AZ638">
            <v>400</v>
          </cell>
          <cell r="BA638">
            <v>400</v>
          </cell>
          <cell r="BK638">
            <v>0</v>
          </cell>
          <cell r="BL638">
            <v>0</v>
          </cell>
        </row>
        <row r="639">
          <cell r="A639" t="str">
            <v>Galaxy Waldo (Galaxy)</v>
          </cell>
          <cell r="X639">
            <v>0</v>
          </cell>
          <cell r="Y639">
            <v>0</v>
          </cell>
          <cell r="Z639">
            <v>0</v>
          </cell>
          <cell r="AA639">
            <v>0</v>
          </cell>
          <cell r="AB639">
            <v>0</v>
          </cell>
          <cell r="AC639">
            <v>0</v>
          </cell>
          <cell r="AD639">
            <v>0</v>
          </cell>
          <cell r="AE639">
            <v>20</v>
          </cell>
          <cell r="AF639">
            <v>20</v>
          </cell>
          <cell r="AG639">
            <v>10</v>
          </cell>
          <cell r="AH639">
            <v>20</v>
          </cell>
          <cell r="AI639">
            <v>20</v>
          </cell>
          <cell r="AJ639">
            <v>20</v>
          </cell>
          <cell r="AK639">
            <v>20</v>
          </cell>
          <cell r="AL639">
            <v>20</v>
          </cell>
          <cell r="AM639">
            <v>20</v>
          </cell>
          <cell r="AN639">
            <v>20</v>
          </cell>
          <cell r="AO639">
            <v>20</v>
          </cell>
          <cell r="AP639">
            <v>20</v>
          </cell>
          <cell r="AQ639">
            <v>20</v>
          </cell>
          <cell r="AR639">
            <v>20</v>
          </cell>
          <cell r="AS639">
            <v>20</v>
          </cell>
          <cell r="AT639">
            <v>20</v>
          </cell>
          <cell r="AU639">
            <v>20</v>
          </cell>
          <cell r="AV639">
            <v>20</v>
          </cell>
          <cell r="AW639">
            <v>20</v>
          </cell>
          <cell r="AX639">
            <v>20</v>
          </cell>
          <cell r="AY639">
            <v>20</v>
          </cell>
          <cell r="AZ639">
            <v>20</v>
          </cell>
          <cell r="BA639">
            <v>20</v>
          </cell>
          <cell r="BK639">
            <v>20</v>
          </cell>
          <cell r="BL639">
            <v>0</v>
          </cell>
        </row>
        <row r="640">
          <cell r="A640" t="str">
            <v>Galaxy Rio (Galaxy)</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37.5</v>
          </cell>
          <cell r="AN640">
            <v>75</v>
          </cell>
          <cell r="AO640">
            <v>75</v>
          </cell>
          <cell r="AP640">
            <v>75</v>
          </cell>
          <cell r="AQ640">
            <v>65.625</v>
          </cell>
          <cell r="AR640">
            <v>75</v>
          </cell>
          <cell r="AS640">
            <v>75</v>
          </cell>
          <cell r="AT640">
            <v>75</v>
          </cell>
          <cell r="AU640">
            <v>75</v>
          </cell>
          <cell r="AV640">
            <v>75</v>
          </cell>
          <cell r="AW640">
            <v>75</v>
          </cell>
          <cell r="AX640">
            <v>75</v>
          </cell>
          <cell r="AY640">
            <v>75</v>
          </cell>
          <cell r="AZ640">
            <v>75</v>
          </cell>
          <cell r="BA640">
            <v>75</v>
          </cell>
          <cell r="BK640">
            <v>75</v>
          </cell>
          <cell r="BL640">
            <v>0</v>
          </cell>
        </row>
        <row r="641">
          <cell r="A641" t="str">
            <v>Galaxy President (Galaxy)</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36.666666666666664</v>
          </cell>
          <cell r="AO641">
            <v>55</v>
          </cell>
          <cell r="AP641">
            <v>55</v>
          </cell>
          <cell r="AQ641">
            <v>36.666666666666664</v>
          </cell>
          <cell r="AR641">
            <v>55</v>
          </cell>
          <cell r="AS641">
            <v>55</v>
          </cell>
          <cell r="AT641">
            <v>55</v>
          </cell>
          <cell r="AU641">
            <v>55</v>
          </cell>
          <cell r="AV641">
            <v>55</v>
          </cell>
          <cell r="AW641">
            <v>55</v>
          </cell>
          <cell r="AX641">
            <v>55</v>
          </cell>
          <cell r="AY641">
            <v>55</v>
          </cell>
          <cell r="AZ641">
            <v>55</v>
          </cell>
          <cell r="BA641">
            <v>55</v>
          </cell>
          <cell r="BK641">
            <v>55</v>
          </cell>
          <cell r="BL641">
            <v>0</v>
          </cell>
        </row>
        <row r="642">
          <cell r="A642" t="str">
            <v>Galaxy Grand Waldo (Galaxy)</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50</v>
          </cell>
          <cell r="AO642">
            <v>100</v>
          </cell>
          <cell r="AP642">
            <v>100</v>
          </cell>
          <cell r="AQ642">
            <v>62.5</v>
          </cell>
          <cell r="AR642">
            <v>100</v>
          </cell>
          <cell r="AS642">
            <v>100</v>
          </cell>
          <cell r="AT642">
            <v>100</v>
          </cell>
          <cell r="AU642">
            <v>100</v>
          </cell>
          <cell r="AV642">
            <v>100</v>
          </cell>
          <cell r="AW642">
            <v>100</v>
          </cell>
          <cell r="AX642">
            <v>100</v>
          </cell>
          <cell r="AY642">
            <v>100</v>
          </cell>
          <cell r="AZ642">
            <v>100</v>
          </cell>
          <cell r="BA642">
            <v>100</v>
          </cell>
          <cell r="BK642">
            <v>100</v>
          </cell>
          <cell r="BL642">
            <v>0</v>
          </cell>
        </row>
        <row r="643">
          <cell r="A643" t="str">
            <v>Galaxy Starworld (Galaxy)</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131.44444444444446</v>
          </cell>
          <cell r="AQ643">
            <v>32.861111111111114</v>
          </cell>
          <cell r="AR643">
            <v>199</v>
          </cell>
          <cell r="AS643">
            <v>199</v>
          </cell>
          <cell r="AT643">
            <v>199</v>
          </cell>
          <cell r="AU643">
            <v>199</v>
          </cell>
          <cell r="AV643">
            <v>199</v>
          </cell>
          <cell r="AW643">
            <v>199</v>
          </cell>
          <cell r="AX643">
            <v>199</v>
          </cell>
          <cell r="AY643">
            <v>199</v>
          </cell>
          <cell r="AZ643">
            <v>199</v>
          </cell>
          <cell r="BA643">
            <v>199</v>
          </cell>
          <cell r="BK643">
            <v>200</v>
          </cell>
          <cell r="BL643">
            <v>-1</v>
          </cell>
        </row>
        <row r="644">
          <cell r="A644" t="str">
            <v>Galaxy Cotai (Galaxy)</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205</v>
          </cell>
          <cell r="AX644">
            <v>410</v>
          </cell>
          <cell r="AY644">
            <v>400</v>
          </cell>
          <cell r="AZ644">
            <v>400</v>
          </cell>
          <cell r="BA644">
            <v>400</v>
          </cell>
          <cell r="BK644">
            <v>0</v>
          </cell>
          <cell r="BL644">
            <v>0</v>
          </cell>
        </row>
        <row r="645">
          <cell r="A645" t="str">
            <v>Ponte 16</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150</v>
          </cell>
          <cell r="AU645">
            <v>150</v>
          </cell>
          <cell r="AV645">
            <v>75</v>
          </cell>
          <cell r="AW645">
            <v>150</v>
          </cell>
          <cell r="AX645">
            <v>150</v>
          </cell>
          <cell r="AY645">
            <v>150</v>
          </cell>
          <cell r="AZ645">
            <v>150</v>
          </cell>
          <cell r="BA645">
            <v>150</v>
          </cell>
          <cell r="BK645">
            <v>75</v>
          </cell>
          <cell r="BL645">
            <v>0</v>
          </cell>
        </row>
        <row r="646">
          <cell r="A646" t="str">
            <v>Grand Lisboa</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120</v>
          </cell>
          <cell r="AS646">
            <v>240</v>
          </cell>
          <cell r="AT646">
            <v>240</v>
          </cell>
          <cell r="AU646">
            <v>240</v>
          </cell>
          <cell r="AV646">
            <v>210</v>
          </cell>
          <cell r="AW646">
            <v>240</v>
          </cell>
          <cell r="AX646">
            <v>240</v>
          </cell>
          <cell r="AY646">
            <v>240</v>
          </cell>
          <cell r="AZ646">
            <v>240</v>
          </cell>
          <cell r="BA646">
            <v>240</v>
          </cell>
          <cell r="BK646">
            <v>350</v>
          </cell>
          <cell r="BL646">
            <v>-140</v>
          </cell>
        </row>
        <row r="647">
          <cell r="A647" t="str">
            <v>Babylon</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7.8260869565217392</v>
          </cell>
          <cell r="AQ647">
            <v>1.9565217391304348</v>
          </cell>
          <cell r="AR647">
            <v>78</v>
          </cell>
          <cell r="AS647">
            <v>78</v>
          </cell>
          <cell r="AT647">
            <v>78</v>
          </cell>
          <cell r="AU647">
            <v>90</v>
          </cell>
          <cell r="AV647">
            <v>81</v>
          </cell>
          <cell r="AW647">
            <v>90</v>
          </cell>
          <cell r="AX647">
            <v>90</v>
          </cell>
          <cell r="AY647">
            <v>90</v>
          </cell>
          <cell r="AZ647">
            <v>90</v>
          </cell>
          <cell r="BA647">
            <v>90</v>
          </cell>
          <cell r="BK647">
            <v>45</v>
          </cell>
          <cell r="BL647">
            <v>36</v>
          </cell>
        </row>
        <row r="648">
          <cell r="A648" t="str">
            <v>Arc de Triomphe</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60</v>
          </cell>
          <cell r="AX648">
            <v>60</v>
          </cell>
          <cell r="AY648">
            <v>60</v>
          </cell>
          <cell r="AZ648">
            <v>60</v>
          </cell>
          <cell r="BA648">
            <v>60</v>
          </cell>
          <cell r="BK648">
            <v>0</v>
          </cell>
          <cell r="BL648">
            <v>0</v>
          </cell>
        </row>
        <row r="649">
          <cell r="A649" t="str">
            <v>Oceanus</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500</v>
          </cell>
          <cell r="AY649">
            <v>500</v>
          </cell>
          <cell r="AZ649">
            <v>500</v>
          </cell>
          <cell r="BA649">
            <v>500</v>
          </cell>
          <cell r="BK649">
            <v>0</v>
          </cell>
          <cell r="BL649">
            <v>0</v>
          </cell>
        </row>
        <row r="650">
          <cell r="A650" t="str">
            <v>Shun Tak Nam Van</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150</v>
          </cell>
          <cell r="AZ650">
            <v>150</v>
          </cell>
          <cell r="BA650">
            <v>150</v>
          </cell>
          <cell r="BK650">
            <v>0</v>
          </cell>
          <cell r="BL650">
            <v>0</v>
          </cell>
        </row>
        <row r="651">
          <cell r="A651" t="str">
            <v>Shun Tak Cotai</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500</v>
          </cell>
          <cell r="BA651">
            <v>500</v>
          </cell>
          <cell r="BK651">
            <v>0</v>
          </cell>
          <cell r="BL651">
            <v>0</v>
          </cell>
        </row>
        <row r="652">
          <cell r="A652" t="str">
            <v>Macau Studio City (eSun)</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360</v>
          </cell>
          <cell r="AY652">
            <v>360</v>
          </cell>
          <cell r="AZ652">
            <v>585</v>
          </cell>
          <cell r="BA652">
            <v>585</v>
          </cell>
          <cell r="BK652">
            <v>0</v>
          </cell>
          <cell r="BL652">
            <v>0</v>
          </cell>
        </row>
        <row r="653">
          <cell r="A653" t="str">
            <v>Other</v>
          </cell>
          <cell r="X653">
            <v>258</v>
          </cell>
          <cell r="Y653">
            <v>258</v>
          </cell>
          <cell r="Z653">
            <v>258</v>
          </cell>
          <cell r="AA653">
            <v>258</v>
          </cell>
          <cell r="AB653">
            <v>258</v>
          </cell>
          <cell r="AC653">
            <v>258</v>
          </cell>
          <cell r="AD653">
            <v>286.12087912087912</v>
          </cell>
          <cell r="AE653">
            <v>218</v>
          </cell>
          <cell r="AF653">
            <v>431</v>
          </cell>
          <cell r="AG653">
            <v>298.2802197802198</v>
          </cell>
          <cell r="AH653">
            <v>574.5</v>
          </cell>
          <cell r="AI653">
            <v>626.5</v>
          </cell>
          <cell r="AJ653">
            <v>653.5</v>
          </cell>
          <cell r="AK653">
            <v>692.5</v>
          </cell>
          <cell r="AL653">
            <v>636.75</v>
          </cell>
          <cell r="AM653">
            <v>750.5</v>
          </cell>
          <cell r="AN653">
            <v>818.33333333333337</v>
          </cell>
          <cell r="AO653">
            <v>818.33333333333337</v>
          </cell>
          <cell r="AP653">
            <v>818.33333333333337</v>
          </cell>
          <cell r="AQ653">
            <v>801.37500000000011</v>
          </cell>
          <cell r="AR653">
            <v>818.33333333333337</v>
          </cell>
          <cell r="AS653">
            <v>818.33333333333337</v>
          </cell>
          <cell r="AT653">
            <v>818.33333333333337</v>
          </cell>
          <cell r="AU653">
            <v>818.33333333333337</v>
          </cell>
          <cell r="AV653">
            <v>818.33333333333337</v>
          </cell>
          <cell r="AW653">
            <v>818.33333333333337</v>
          </cell>
          <cell r="AX653">
            <v>818.33333333333337</v>
          </cell>
          <cell r="AY653">
            <v>818.33333333333337</v>
          </cell>
          <cell r="AZ653">
            <v>818.33333333333337</v>
          </cell>
          <cell r="BA653">
            <v>818.33333333333337</v>
          </cell>
          <cell r="BK653">
            <v>801.875</v>
          </cell>
          <cell r="BL653">
            <v>16.458333333333371</v>
          </cell>
        </row>
        <row r="654">
          <cell r="X654" t="str">
            <v>______</v>
          </cell>
          <cell r="Y654" t="str">
            <v>______</v>
          </cell>
          <cell r="Z654" t="str">
            <v>______</v>
          </cell>
          <cell r="AA654" t="str">
            <v>______</v>
          </cell>
          <cell r="AB654" t="str">
            <v>______</v>
          </cell>
          <cell r="AC654" t="str">
            <v>______</v>
          </cell>
          <cell r="AD654" t="str">
            <v>______</v>
          </cell>
          <cell r="AE654" t="str">
            <v>______</v>
          </cell>
          <cell r="AF654" t="str">
            <v>______</v>
          </cell>
          <cell r="AG654" t="str">
            <v>______</v>
          </cell>
          <cell r="AH654" t="str">
            <v>______</v>
          </cell>
          <cell r="AI654" t="str">
            <v>______</v>
          </cell>
          <cell r="AJ654" t="str">
            <v>______</v>
          </cell>
          <cell r="AK654" t="str">
            <v>______</v>
          </cell>
          <cell r="AL654" t="str">
            <v>______</v>
          </cell>
          <cell r="AM654" t="str">
            <v>______</v>
          </cell>
          <cell r="AN654" t="str">
            <v>______</v>
          </cell>
          <cell r="AO654" t="str">
            <v>______</v>
          </cell>
          <cell r="AP654" t="str">
            <v>______</v>
          </cell>
          <cell r="AQ654" t="str">
            <v>______</v>
          </cell>
          <cell r="AR654" t="str">
            <v>______</v>
          </cell>
          <cell r="AS654" t="str">
            <v>______</v>
          </cell>
          <cell r="AT654" t="str">
            <v>______</v>
          </cell>
          <cell r="AU654" t="str">
            <v>______</v>
          </cell>
          <cell r="AV654" t="str">
            <v>______</v>
          </cell>
          <cell r="AW654" t="str">
            <v>______</v>
          </cell>
          <cell r="AX654" t="str">
            <v>______</v>
          </cell>
          <cell r="AY654" t="str">
            <v>______</v>
          </cell>
          <cell r="AZ654" t="str">
            <v>______</v>
          </cell>
          <cell r="BA654" t="str">
            <v>______</v>
          </cell>
          <cell r="BK654" t="str">
            <v>______</v>
          </cell>
          <cell r="BL654" t="e">
            <v>#VALUE!</v>
          </cell>
        </row>
        <row r="655">
          <cell r="A655" t="str">
            <v>Total Average Mass Market Tables</v>
          </cell>
          <cell r="X655">
            <v>258</v>
          </cell>
          <cell r="Y655">
            <v>258</v>
          </cell>
          <cell r="Z655">
            <v>258</v>
          </cell>
          <cell r="AA655">
            <v>258</v>
          </cell>
          <cell r="AB655">
            <v>258</v>
          </cell>
          <cell r="AC655">
            <v>258</v>
          </cell>
          <cell r="AD655">
            <v>400</v>
          </cell>
          <cell r="AE655">
            <v>496</v>
          </cell>
          <cell r="AF655">
            <v>709</v>
          </cell>
          <cell r="AG655">
            <v>465.75</v>
          </cell>
          <cell r="AH655">
            <v>883</v>
          </cell>
          <cell r="AI655">
            <v>949.5</v>
          </cell>
          <cell r="AJ655">
            <v>982.5</v>
          </cell>
          <cell r="AK655">
            <v>1047.5</v>
          </cell>
          <cell r="AL655">
            <v>965.625</v>
          </cell>
          <cell r="AM655">
            <v>1187</v>
          </cell>
          <cell r="AN655">
            <v>1391</v>
          </cell>
          <cell r="AO655">
            <v>1622.5289855072465</v>
          </cell>
          <cell r="AP655">
            <v>2088.6038647342993</v>
          </cell>
          <cell r="AQ655">
            <v>1572.2832125603863</v>
          </cell>
          <cell r="AR655">
            <v>2346.3333333333335</v>
          </cell>
          <cell r="AS655">
            <v>2648</v>
          </cell>
          <cell r="AT655">
            <v>3587.3333333333335</v>
          </cell>
          <cell r="AU655">
            <v>3901.3333333333335</v>
          </cell>
          <cell r="AV655">
            <v>3120.7500000000005</v>
          </cell>
          <cell r="AW655">
            <v>4653.833333333333</v>
          </cell>
          <cell r="AX655">
            <v>6896.333333333333</v>
          </cell>
          <cell r="AY655">
            <v>8341.3333333333339</v>
          </cell>
          <cell r="AZ655">
            <v>9666.3333333333339</v>
          </cell>
          <cell r="BA655">
            <v>9666.3333333333339</v>
          </cell>
          <cell r="BK655">
            <v>3096.625</v>
          </cell>
          <cell r="BL655">
            <v>24.125000000000455</v>
          </cell>
        </row>
        <row r="656">
          <cell r="A656" t="str">
            <v xml:space="preserve">  Growth</v>
          </cell>
          <cell r="AC656">
            <v>0</v>
          </cell>
          <cell r="AD656">
            <v>0.5503875968992249</v>
          </cell>
          <cell r="AE656">
            <v>0.92248062015503884</v>
          </cell>
          <cell r="AF656">
            <v>1.748062015503876</v>
          </cell>
          <cell r="AG656">
            <v>0.80523255813953498</v>
          </cell>
          <cell r="AH656">
            <v>2.4224806201550386</v>
          </cell>
          <cell r="AI656">
            <v>1.3737499999999998</v>
          </cell>
          <cell r="AJ656">
            <v>0.98084677419354849</v>
          </cell>
          <cell r="AK656">
            <v>0.47743300423131174</v>
          </cell>
          <cell r="AL656">
            <v>1.0732689210950079</v>
          </cell>
          <cell r="AM656">
            <v>0.34428086070215169</v>
          </cell>
          <cell r="AN656">
            <v>0.46498156924697209</v>
          </cell>
          <cell r="AO656">
            <v>0.65142899288269374</v>
          </cell>
          <cell r="AP656">
            <v>0.99389390428095403</v>
          </cell>
          <cell r="AQ656">
            <v>0.62825445960946169</v>
          </cell>
          <cell r="AR656">
            <v>0.97669194046616137</v>
          </cell>
          <cell r="AS656">
            <v>0.90366642703091293</v>
          </cell>
          <cell r="AT656">
            <v>1.2109517705853716</v>
          </cell>
          <cell r="AU656">
            <v>0.86791444716092192</v>
          </cell>
          <cell r="AV656">
            <v>0.98485233135448391</v>
          </cell>
          <cell r="AW656">
            <v>0.49125477315816135</v>
          </cell>
          <cell r="AX656">
            <v>0.48186083157253878</v>
          </cell>
          <cell r="AY656">
            <v>0.20953163516844708</v>
          </cell>
          <cell r="AZ656">
            <v>0.15884750639386191</v>
          </cell>
          <cell r="BA656">
            <v>0</v>
          </cell>
          <cell r="BK656">
            <v>0.91696114461175471</v>
          </cell>
          <cell r="BL656">
            <v>6.7891186742729204E-2</v>
          </cell>
        </row>
        <row r="657">
          <cell r="BL657">
            <v>0</v>
          </cell>
        </row>
        <row r="658">
          <cell r="A658" t="str">
            <v>Period-end total mass market tables</v>
          </cell>
          <cell r="AD658">
            <v>400</v>
          </cell>
          <cell r="AE658">
            <v>592</v>
          </cell>
          <cell r="AF658">
            <v>826</v>
          </cell>
          <cell r="AG658">
            <v>826</v>
          </cell>
          <cell r="AH658">
            <v>940</v>
          </cell>
          <cell r="AI658">
            <v>959</v>
          </cell>
          <cell r="AJ658">
            <v>1006</v>
          </cell>
          <cell r="AK658">
            <v>1089</v>
          </cell>
          <cell r="AL658">
            <v>1089</v>
          </cell>
          <cell r="AM658">
            <v>1285</v>
          </cell>
          <cell r="AN658">
            <v>1497</v>
          </cell>
          <cell r="BL658">
            <v>0</v>
          </cell>
        </row>
        <row r="659">
          <cell r="BL659">
            <v>0</v>
          </cell>
        </row>
        <row r="660">
          <cell r="A660" t="str">
            <v>Typical Ratio for Non-Mass-Focused casinos</v>
          </cell>
          <cell r="AD660">
            <v>0.6074753272205502</v>
          </cell>
          <cell r="AE660">
            <v>0.59649122807017541</v>
          </cell>
          <cell r="AF660">
            <v>0.70878032114793299</v>
          </cell>
          <cell r="AG660">
            <v>0.63324507054970569</v>
          </cell>
          <cell r="AH660">
            <v>0.72235722964763061</v>
          </cell>
          <cell r="AI660">
            <v>0.73507674815235935</v>
          </cell>
          <cell r="AJ660">
            <v>0.74133186571271326</v>
          </cell>
          <cell r="AK660">
            <v>0.74842436974789917</v>
          </cell>
          <cell r="AL660">
            <v>0.73730002806623629</v>
          </cell>
          <cell r="AM660">
            <v>0.71694764862466731</v>
          </cell>
          <cell r="AN660">
            <v>0.69637883008356549</v>
          </cell>
          <cell r="AO660">
            <v>0.69173094608036345</v>
          </cell>
          <cell r="AP660">
            <v>0.72088733556623452</v>
          </cell>
          <cell r="AQ660">
            <v>0.70576939997619148</v>
          </cell>
          <cell r="AR660">
            <v>0.78024234955843097</v>
          </cell>
          <cell r="AS660">
            <v>0.78540323985368388</v>
          </cell>
          <cell r="AT660">
            <v>0.77408692778053223</v>
          </cell>
          <cell r="AU660">
            <v>0.77162007520026166</v>
          </cell>
          <cell r="AV660">
            <v>0.77759241373254906</v>
          </cell>
          <cell r="AW660">
            <v>0.78981617048966957</v>
          </cell>
          <cell r="AX660">
            <v>0.79240936097975012</v>
          </cell>
          <cell r="AY660">
            <v>0.80169472873335557</v>
          </cell>
          <cell r="AZ660">
            <v>0.80608702672156307</v>
          </cell>
          <cell r="BA660">
            <v>0.80608702672156307</v>
          </cell>
          <cell r="BK660">
            <v>0.67964555037902707</v>
          </cell>
          <cell r="BL660">
            <v>9.7946863353521985E-2</v>
          </cell>
        </row>
        <row r="661">
          <cell r="A661" t="str">
            <v>Overall Ratio</v>
          </cell>
          <cell r="AD661">
            <v>0.6839019990981513</v>
          </cell>
          <cell r="AE661">
            <v>0.72941176470588232</v>
          </cell>
          <cell r="AF661">
            <v>0.75723241235198513</v>
          </cell>
          <cell r="AG661">
            <v>0.70509865119735848</v>
          </cell>
          <cell r="AH661">
            <v>0.76186367558239865</v>
          </cell>
          <cell r="AI661">
            <v>0.76851477134763257</v>
          </cell>
          <cell r="AJ661">
            <v>0.77331759149940971</v>
          </cell>
          <cell r="AK661">
            <v>0.78055141579731746</v>
          </cell>
          <cell r="AL661">
            <v>0.77142001198322352</v>
          </cell>
          <cell r="AM661">
            <v>0.76040999359385009</v>
          </cell>
          <cell r="AN661">
            <v>0.73597883597883595</v>
          </cell>
          <cell r="AO661">
            <v>0.74342679748327445</v>
          </cell>
          <cell r="AP661">
            <v>0.79587978439833285</v>
          </cell>
          <cell r="AQ661">
            <v>0.7616017938893449</v>
          </cell>
          <cell r="AR661">
            <v>0.82183304144775249</v>
          </cell>
          <cell r="AS661">
            <v>0.80518953983377251</v>
          </cell>
          <cell r="AT661">
            <v>0.81124679632142327</v>
          </cell>
          <cell r="AU661">
            <v>0.8143045989007166</v>
          </cell>
          <cell r="AV661">
            <v>0.81287171695246374</v>
          </cell>
          <cell r="AW661">
            <v>0.833870871408947</v>
          </cell>
          <cell r="AX661">
            <v>0.84117013274786034</v>
          </cell>
          <cell r="AY661">
            <v>0.83697906214462514</v>
          </cell>
          <cell r="AZ661">
            <v>0.8321567952249771</v>
          </cell>
          <cell r="BA661">
            <v>0.8321567952249771</v>
          </cell>
          <cell r="BK661">
            <v>0.75445832715408567</v>
          </cell>
          <cell r="BL661">
            <v>5.8413389798378068E-2</v>
          </cell>
        </row>
        <row r="662">
          <cell r="BL662">
            <v>0</v>
          </cell>
        </row>
        <row r="663">
          <cell r="A663" t="str">
            <v>Average Slots</v>
          </cell>
          <cell r="BL663">
            <v>0</v>
          </cell>
        </row>
        <row r="664">
          <cell r="A664" t="str">
            <v>Sands Macao</v>
          </cell>
          <cell r="X664">
            <v>0</v>
          </cell>
          <cell r="Y664">
            <v>0</v>
          </cell>
          <cell r="Z664">
            <v>0</v>
          </cell>
          <cell r="AA664">
            <v>0</v>
          </cell>
          <cell r="AB664">
            <v>0</v>
          </cell>
          <cell r="AC664">
            <v>0</v>
          </cell>
          <cell r="AD664">
            <v>113.87912087912088</v>
          </cell>
          <cell r="AE664">
            <v>519</v>
          </cell>
          <cell r="AF664">
            <v>666</v>
          </cell>
          <cell r="AG664">
            <v>324.7197802197802</v>
          </cell>
          <cell r="AH664">
            <v>764</v>
          </cell>
          <cell r="AI664">
            <v>822</v>
          </cell>
          <cell r="AJ664">
            <v>802</v>
          </cell>
          <cell r="AK664">
            <v>778</v>
          </cell>
          <cell r="AL664">
            <v>791.5</v>
          </cell>
          <cell r="AM664">
            <v>907</v>
          </cell>
          <cell r="AN664">
            <v>895</v>
          </cell>
          <cell r="AO664">
            <v>934</v>
          </cell>
          <cell r="AP664">
            <v>1233</v>
          </cell>
          <cell r="AQ664">
            <v>992.25</v>
          </cell>
          <cell r="AR664">
            <v>1233</v>
          </cell>
          <cell r="AS664">
            <v>1233</v>
          </cell>
          <cell r="AT664">
            <v>1233</v>
          </cell>
          <cell r="AU664">
            <v>1233</v>
          </cell>
          <cell r="AV664">
            <v>1233</v>
          </cell>
          <cell r="AW664">
            <v>1233</v>
          </cell>
          <cell r="AX664">
            <v>1233</v>
          </cell>
          <cell r="AY664">
            <v>1233</v>
          </cell>
          <cell r="AZ664">
            <v>1233</v>
          </cell>
          <cell r="BA664">
            <v>1233</v>
          </cell>
          <cell r="BK664">
            <v>1254</v>
          </cell>
          <cell r="BL664">
            <v>-21</v>
          </cell>
        </row>
        <row r="665">
          <cell r="A665" t="str">
            <v>Venetian Macao</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4100</v>
          </cell>
          <cell r="AU665">
            <v>4100</v>
          </cell>
          <cell r="AV665">
            <v>2050</v>
          </cell>
          <cell r="AW665">
            <v>4100</v>
          </cell>
          <cell r="AX665">
            <v>4100</v>
          </cell>
          <cell r="AY665">
            <v>4100</v>
          </cell>
          <cell r="AZ665">
            <v>7000</v>
          </cell>
          <cell r="BA665">
            <v>7000</v>
          </cell>
          <cell r="BK665">
            <v>2000</v>
          </cell>
          <cell r="BL665">
            <v>50</v>
          </cell>
        </row>
        <row r="666">
          <cell r="A666" t="str">
            <v>Cotai Site 2 - Four Seasons (LVS)</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400</v>
          </cell>
          <cell r="AX666">
            <v>400</v>
          </cell>
          <cell r="AY666">
            <v>400</v>
          </cell>
          <cell r="AZ666">
            <v>400</v>
          </cell>
          <cell r="BA666">
            <v>400</v>
          </cell>
          <cell r="BK666">
            <v>0</v>
          </cell>
          <cell r="BL666">
            <v>0</v>
          </cell>
        </row>
        <row r="667">
          <cell r="A667" t="str">
            <v>Cotai Site 3 - Far East (LVS)</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875</v>
          </cell>
          <cell r="AY667">
            <v>1750</v>
          </cell>
          <cell r="AZ667">
            <v>1750</v>
          </cell>
          <cell r="BA667">
            <v>1750</v>
          </cell>
          <cell r="BK667">
            <v>0</v>
          </cell>
          <cell r="BL667">
            <v>0</v>
          </cell>
        </row>
        <row r="668">
          <cell r="A668" t="str">
            <v>Cotai Site 5 - Shangri-La/St.Regis/Traders (LVS)</v>
          </cell>
          <cell r="X668">
            <v>0</v>
          </cell>
          <cell r="Y668">
            <v>0</v>
          </cell>
          <cell r="Z668">
            <v>0</v>
          </cell>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cell r="AS668">
            <v>0</v>
          </cell>
          <cell r="AT668">
            <v>0</v>
          </cell>
          <cell r="AU668">
            <v>0</v>
          </cell>
          <cell r="AV668">
            <v>0</v>
          </cell>
          <cell r="AW668">
            <v>875</v>
          </cell>
          <cell r="AX668">
            <v>1750</v>
          </cell>
          <cell r="AY668">
            <v>1750</v>
          </cell>
          <cell r="AZ668">
            <v>1750</v>
          </cell>
          <cell r="BA668">
            <v>1750</v>
          </cell>
          <cell r="BK668">
            <v>0</v>
          </cell>
          <cell r="BL668">
            <v>0</v>
          </cell>
        </row>
        <row r="669">
          <cell r="A669" t="str">
            <v>Cotai Site 6 - Starwood (LVS)</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cell r="AS669">
            <v>0</v>
          </cell>
          <cell r="AT669">
            <v>0</v>
          </cell>
          <cell r="AU669">
            <v>0</v>
          </cell>
          <cell r="AV669">
            <v>0</v>
          </cell>
          <cell r="AW669">
            <v>875</v>
          </cell>
          <cell r="AX669">
            <v>1750</v>
          </cell>
          <cell r="AY669">
            <v>1750</v>
          </cell>
          <cell r="AZ669">
            <v>1750</v>
          </cell>
          <cell r="BA669">
            <v>1750</v>
          </cell>
          <cell r="BK669">
            <v>0</v>
          </cell>
          <cell r="BL669">
            <v>0</v>
          </cell>
        </row>
        <row r="670">
          <cell r="A670" t="str">
            <v>Cotai Site 7 - Hilton (LVS)</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cell r="AS670">
            <v>0</v>
          </cell>
          <cell r="AT670">
            <v>0</v>
          </cell>
          <cell r="AU670">
            <v>0</v>
          </cell>
          <cell r="AV670">
            <v>0</v>
          </cell>
          <cell r="AW670">
            <v>0</v>
          </cell>
          <cell r="AX670">
            <v>875</v>
          </cell>
          <cell r="AY670">
            <v>1750</v>
          </cell>
          <cell r="AZ670">
            <v>1750</v>
          </cell>
          <cell r="BA670">
            <v>1750</v>
          </cell>
          <cell r="BK670">
            <v>0</v>
          </cell>
          <cell r="BL670">
            <v>0</v>
          </cell>
        </row>
        <row r="671">
          <cell r="A671" t="str">
            <v>Cotai Site 8 - FHR/Raffles (LVS)</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cell r="AS671">
            <v>0</v>
          </cell>
          <cell r="AT671">
            <v>0</v>
          </cell>
          <cell r="AU671">
            <v>0</v>
          </cell>
          <cell r="AV671">
            <v>0</v>
          </cell>
          <cell r="AW671">
            <v>0</v>
          </cell>
          <cell r="AX671">
            <v>875</v>
          </cell>
          <cell r="AY671">
            <v>1750</v>
          </cell>
          <cell r="AZ671">
            <v>1750</v>
          </cell>
          <cell r="BA671">
            <v>1750</v>
          </cell>
          <cell r="BK671">
            <v>0</v>
          </cell>
          <cell r="BL671">
            <v>0</v>
          </cell>
        </row>
        <row r="672">
          <cell r="A672" t="str">
            <v>Wynn Macau (WYNN)</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101.90217391304348</v>
          </cell>
          <cell r="AP672">
            <v>366</v>
          </cell>
          <cell r="AQ672">
            <v>116.97554347826087</v>
          </cell>
          <cell r="AR672">
            <v>499</v>
          </cell>
          <cell r="AS672">
            <v>632</v>
          </cell>
          <cell r="AT672">
            <v>1280</v>
          </cell>
          <cell r="AU672">
            <v>1280</v>
          </cell>
          <cell r="AV672">
            <v>922.75</v>
          </cell>
          <cell r="AW672">
            <v>1280</v>
          </cell>
          <cell r="AX672">
            <v>1280</v>
          </cell>
          <cell r="AY672">
            <v>1280</v>
          </cell>
          <cell r="AZ672">
            <v>1280</v>
          </cell>
          <cell r="BA672">
            <v>1280</v>
          </cell>
          <cell r="BK672">
            <v>630</v>
          </cell>
          <cell r="BL672">
            <v>292.75</v>
          </cell>
        </row>
        <row r="673">
          <cell r="A673" t="str">
            <v>Wynn Cotai (WYNN)</v>
          </cell>
          <cell r="X673">
            <v>0</v>
          </cell>
          <cell r="Y673">
            <v>0</v>
          </cell>
          <cell r="Z673">
            <v>0</v>
          </cell>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cell r="AS673">
            <v>0</v>
          </cell>
          <cell r="AT673">
            <v>0</v>
          </cell>
          <cell r="AU673">
            <v>0</v>
          </cell>
          <cell r="AV673">
            <v>0</v>
          </cell>
          <cell r="AW673">
            <v>0</v>
          </cell>
          <cell r="AX673">
            <v>0</v>
          </cell>
          <cell r="AY673">
            <v>3500</v>
          </cell>
          <cell r="AZ673">
            <v>3500</v>
          </cell>
          <cell r="BA673">
            <v>3500</v>
          </cell>
          <cell r="BK673">
            <v>0</v>
          </cell>
          <cell r="BL673">
            <v>0</v>
          </cell>
        </row>
        <row r="674">
          <cell r="A674" t="str">
            <v>Wynn Cotai #2 (WYNN)</v>
          </cell>
          <cell r="X674">
            <v>0</v>
          </cell>
          <cell r="Y674">
            <v>0</v>
          </cell>
          <cell r="Z674">
            <v>0</v>
          </cell>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cell r="AS674">
            <v>0</v>
          </cell>
          <cell r="AT674">
            <v>0</v>
          </cell>
          <cell r="AU674">
            <v>0</v>
          </cell>
          <cell r="AV674">
            <v>0</v>
          </cell>
          <cell r="AW674">
            <v>0</v>
          </cell>
          <cell r="AX674">
            <v>0</v>
          </cell>
          <cell r="AY674">
            <v>3500</v>
          </cell>
          <cell r="AZ674">
            <v>3500</v>
          </cell>
          <cell r="BA674">
            <v>3500</v>
          </cell>
          <cell r="BK674">
            <v>0</v>
          </cell>
          <cell r="BL674">
            <v>0</v>
          </cell>
        </row>
        <row r="675">
          <cell r="A675" t="str">
            <v>MGM Grand (MGM)</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cell r="AS675">
            <v>0</v>
          </cell>
          <cell r="AT675">
            <v>0</v>
          </cell>
          <cell r="AU675">
            <v>1037</v>
          </cell>
          <cell r="AV675">
            <v>259.25</v>
          </cell>
          <cell r="AW675">
            <v>1037</v>
          </cell>
          <cell r="AX675">
            <v>1037</v>
          </cell>
          <cell r="AY675">
            <v>1037</v>
          </cell>
          <cell r="AZ675">
            <v>1037</v>
          </cell>
          <cell r="BA675">
            <v>1037</v>
          </cell>
          <cell r="BK675">
            <v>262.5</v>
          </cell>
          <cell r="BL675">
            <v>-3.25</v>
          </cell>
        </row>
        <row r="676">
          <cell r="A676" t="str">
            <v>MGM Cotai #1 (MGM)</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cell r="AS676">
            <v>0</v>
          </cell>
          <cell r="AT676">
            <v>0</v>
          </cell>
          <cell r="AU676">
            <v>0</v>
          </cell>
          <cell r="AV676">
            <v>0</v>
          </cell>
          <cell r="AW676">
            <v>0</v>
          </cell>
          <cell r="AX676">
            <v>0</v>
          </cell>
          <cell r="AY676">
            <v>0</v>
          </cell>
          <cell r="AZ676">
            <v>3000</v>
          </cell>
          <cell r="BA676">
            <v>3000</v>
          </cell>
          <cell r="BK676">
            <v>262.5</v>
          </cell>
          <cell r="BL676">
            <v>-262.5</v>
          </cell>
        </row>
        <row r="677">
          <cell r="A677" t="str">
            <v>Crown Macau (PBL/Melco)</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cell r="AS677">
            <v>333.33333333333331</v>
          </cell>
          <cell r="AT677">
            <v>500</v>
          </cell>
          <cell r="AU677">
            <v>500</v>
          </cell>
          <cell r="AV677">
            <v>333.33333333333331</v>
          </cell>
          <cell r="AW677">
            <v>500</v>
          </cell>
          <cell r="AX677">
            <v>500</v>
          </cell>
          <cell r="AY677">
            <v>500</v>
          </cell>
          <cell r="AZ677">
            <v>500</v>
          </cell>
          <cell r="BA677">
            <v>500</v>
          </cell>
          <cell r="BK677">
            <v>250</v>
          </cell>
          <cell r="BL677">
            <v>83.333333333333314</v>
          </cell>
        </row>
        <row r="678">
          <cell r="A678" t="str">
            <v>Penninsula Project (PBL/Melco)</v>
          </cell>
          <cell r="X678">
            <v>0</v>
          </cell>
          <cell r="Y678">
            <v>0</v>
          </cell>
          <cell r="Z678">
            <v>0</v>
          </cell>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cell r="AS678">
            <v>0</v>
          </cell>
          <cell r="AT678">
            <v>0</v>
          </cell>
          <cell r="AU678">
            <v>0</v>
          </cell>
          <cell r="AV678">
            <v>0</v>
          </cell>
          <cell r="AW678">
            <v>0</v>
          </cell>
          <cell r="AX678">
            <v>250</v>
          </cell>
          <cell r="AY678">
            <v>500</v>
          </cell>
          <cell r="AZ678">
            <v>500</v>
          </cell>
          <cell r="BA678">
            <v>500</v>
          </cell>
          <cell r="BK678">
            <v>0</v>
          </cell>
          <cell r="BL678">
            <v>0</v>
          </cell>
        </row>
        <row r="679">
          <cell r="A679" t="str">
            <v>City of Dreams (PBL/Melco)</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cell r="AS679">
            <v>0</v>
          </cell>
          <cell r="AT679">
            <v>0</v>
          </cell>
          <cell r="AU679">
            <v>0</v>
          </cell>
          <cell r="AV679">
            <v>0</v>
          </cell>
          <cell r="AW679">
            <v>0</v>
          </cell>
          <cell r="AX679">
            <v>2500</v>
          </cell>
          <cell r="AY679">
            <v>2500</v>
          </cell>
          <cell r="AZ679">
            <v>2500</v>
          </cell>
          <cell r="BA679">
            <v>2500</v>
          </cell>
          <cell r="BK679">
            <v>0</v>
          </cell>
          <cell r="BL679">
            <v>0</v>
          </cell>
        </row>
        <row r="680">
          <cell r="A680" t="str">
            <v>Galaxy Waldo (Galaxy)</v>
          </cell>
          <cell r="X680">
            <v>0</v>
          </cell>
          <cell r="Y680">
            <v>0</v>
          </cell>
          <cell r="Z680">
            <v>0</v>
          </cell>
          <cell r="AA680">
            <v>0</v>
          </cell>
          <cell r="AB680">
            <v>0</v>
          </cell>
          <cell r="AC680">
            <v>0</v>
          </cell>
          <cell r="AD680">
            <v>0</v>
          </cell>
          <cell r="AE680">
            <v>74</v>
          </cell>
          <cell r="AF680">
            <v>74</v>
          </cell>
          <cell r="AG680">
            <v>37</v>
          </cell>
          <cell r="AH680">
            <v>74</v>
          </cell>
          <cell r="AI680">
            <v>74</v>
          </cell>
          <cell r="AJ680">
            <v>74</v>
          </cell>
          <cell r="AK680">
            <v>75</v>
          </cell>
          <cell r="AL680">
            <v>74.25</v>
          </cell>
          <cell r="AM680">
            <v>75</v>
          </cell>
          <cell r="AN680">
            <v>75</v>
          </cell>
          <cell r="AO680">
            <v>75</v>
          </cell>
          <cell r="AP680">
            <v>75</v>
          </cell>
          <cell r="AQ680">
            <v>75</v>
          </cell>
          <cell r="AR680">
            <v>75</v>
          </cell>
          <cell r="AS680">
            <v>75</v>
          </cell>
          <cell r="AT680">
            <v>75</v>
          </cell>
          <cell r="AU680">
            <v>75</v>
          </cell>
          <cell r="AV680">
            <v>75</v>
          </cell>
          <cell r="AW680">
            <v>75</v>
          </cell>
          <cell r="AX680">
            <v>75</v>
          </cell>
          <cell r="AY680">
            <v>75</v>
          </cell>
          <cell r="AZ680">
            <v>75</v>
          </cell>
          <cell r="BA680">
            <v>75</v>
          </cell>
          <cell r="BK680">
            <v>75</v>
          </cell>
          <cell r="BL680">
            <v>0</v>
          </cell>
        </row>
        <row r="681">
          <cell r="A681" t="str">
            <v>Galaxy Rio (Galaxy)</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75</v>
          </cell>
          <cell r="AN681">
            <v>150</v>
          </cell>
          <cell r="AO681">
            <v>150</v>
          </cell>
          <cell r="AP681">
            <v>150</v>
          </cell>
          <cell r="AQ681">
            <v>131.25</v>
          </cell>
          <cell r="AR681">
            <v>150</v>
          </cell>
          <cell r="AS681">
            <v>150</v>
          </cell>
          <cell r="AT681">
            <v>150</v>
          </cell>
          <cell r="AU681">
            <v>150</v>
          </cell>
          <cell r="AV681">
            <v>150</v>
          </cell>
          <cell r="AW681">
            <v>150</v>
          </cell>
          <cell r="AX681">
            <v>150</v>
          </cell>
          <cell r="AY681">
            <v>150</v>
          </cell>
          <cell r="AZ681">
            <v>150</v>
          </cell>
          <cell r="BA681">
            <v>150</v>
          </cell>
          <cell r="BK681">
            <v>150</v>
          </cell>
          <cell r="BL681">
            <v>0</v>
          </cell>
        </row>
        <row r="682">
          <cell r="A682" t="str">
            <v>Galaxy President (Galaxy)</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K682">
            <v>0</v>
          </cell>
          <cell r="BL682">
            <v>0</v>
          </cell>
        </row>
        <row r="683">
          <cell r="A683" t="str">
            <v>Galaxy Grand Waldo (Galaxy)</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167</v>
          </cell>
          <cell r="AO683">
            <v>334</v>
          </cell>
          <cell r="AP683">
            <v>334</v>
          </cell>
          <cell r="AQ683">
            <v>208.75</v>
          </cell>
          <cell r="AR683">
            <v>334</v>
          </cell>
          <cell r="AS683">
            <v>334</v>
          </cell>
          <cell r="AT683">
            <v>334</v>
          </cell>
          <cell r="AU683">
            <v>334</v>
          </cell>
          <cell r="AV683">
            <v>334</v>
          </cell>
          <cell r="AW683">
            <v>334</v>
          </cell>
          <cell r="AX683">
            <v>334</v>
          </cell>
          <cell r="AY683">
            <v>334</v>
          </cell>
          <cell r="AZ683">
            <v>334</v>
          </cell>
          <cell r="BA683">
            <v>334</v>
          </cell>
          <cell r="BK683">
            <v>334</v>
          </cell>
          <cell r="BL683">
            <v>0</v>
          </cell>
        </row>
        <row r="684">
          <cell r="A684" t="str">
            <v>Galaxy Starworld (Galaxy)</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277.71739130434781</v>
          </cell>
          <cell r="AQ684">
            <v>69.429347826086953</v>
          </cell>
          <cell r="AR684">
            <v>350</v>
          </cell>
          <cell r="AS684">
            <v>350</v>
          </cell>
          <cell r="AT684">
            <v>350</v>
          </cell>
          <cell r="AU684">
            <v>350</v>
          </cell>
          <cell r="AV684">
            <v>350</v>
          </cell>
          <cell r="AW684">
            <v>350</v>
          </cell>
          <cell r="AX684">
            <v>350</v>
          </cell>
          <cell r="AY684">
            <v>350</v>
          </cell>
          <cell r="AZ684">
            <v>350</v>
          </cell>
          <cell r="BA684">
            <v>350</v>
          </cell>
          <cell r="BK684">
            <v>371</v>
          </cell>
          <cell r="BL684">
            <v>-21</v>
          </cell>
        </row>
        <row r="685">
          <cell r="A685" t="str">
            <v>Galaxy Cotai (Galaxy)</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cell r="AS685">
            <v>0</v>
          </cell>
          <cell r="AT685">
            <v>0</v>
          </cell>
          <cell r="AU685">
            <v>0</v>
          </cell>
          <cell r="AV685">
            <v>0</v>
          </cell>
          <cell r="AW685">
            <v>500</v>
          </cell>
          <cell r="AX685">
            <v>1000</v>
          </cell>
          <cell r="AY685">
            <v>1000</v>
          </cell>
          <cell r="AZ685">
            <v>1000</v>
          </cell>
          <cell r="BA685">
            <v>1000</v>
          </cell>
          <cell r="BK685">
            <v>0</v>
          </cell>
          <cell r="BL685">
            <v>0</v>
          </cell>
        </row>
        <row r="686">
          <cell r="A686" t="str">
            <v>Ponte 16</v>
          </cell>
          <cell r="X686">
            <v>0</v>
          </cell>
          <cell r="Y686">
            <v>0</v>
          </cell>
          <cell r="Z686">
            <v>0</v>
          </cell>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cell r="AS686">
            <v>0</v>
          </cell>
          <cell r="AT686">
            <v>300</v>
          </cell>
          <cell r="AU686">
            <v>300</v>
          </cell>
          <cell r="AV686">
            <v>150</v>
          </cell>
          <cell r="AW686">
            <v>300</v>
          </cell>
          <cell r="AX686">
            <v>300</v>
          </cell>
          <cell r="AY686">
            <v>300</v>
          </cell>
          <cell r="AZ686">
            <v>300</v>
          </cell>
          <cell r="BA686">
            <v>300</v>
          </cell>
          <cell r="BK686">
            <v>150</v>
          </cell>
          <cell r="BL686">
            <v>0</v>
          </cell>
        </row>
        <row r="687">
          <cell r="A687" t="str">
            <v>Grand Lisboa</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242</v>
          </cell>
          <cell r="AS687">
            <v>484</v>
          </cell>
          <cell r="AT687">
            <v>484</v>
          </cell>
          <cell r="AU687">
            <v>484</v>
          </cell>
          <cell r="AV687">
            <v>423.5</v>
          </cell>
          <cell r="AW687">
            <v>484</v>
          </cell>
          <cell r="AX687">
            <v>484</v>
          </cell>
          <cell r="AY687">
            <v>484</v>
          </cell>
          <cell r="AZ687">
            <v>484</v>
          </cell>
          <cell r="BA687">
            <v>484</v>
          </cell>
          <cell r="BK687">
            <v>100</v>
          </cell>
          <cell r="BL687">
            <v>323.5</v>
          </cell>
        </row>
        <row r="688">
          <cell r="A688" t="str">
            <v>Babylon</v>
          </cell>
          <cell r="X688">
            <v>0</v>
          </cell>
          <cell r="Y688">
            <v>0</v>
          </cell>
          <cell r="Z688">
            <v>0</v>
          </cell>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339</v>
          </cell>
          <cell r="AS688">
            <v>339</v>
          </cell>
          <cell r="AT688">
            <v>339</v>
          </cell>
          <cell r="AU688">
            <v>339</v>
          </cell>
          <cell r="AV688">
            <v>339</v>
          </cell>
          <cell r="AW688">
            <v>339</v>
          </cell>
          <cell r="AX688">
            <v>339</v>
          </cell>
          <cell r="AY688">
            <v>339</v>
          </cell>
          <cell r="AZ688">
            <v>339</v>
          </cell>
          <cell r="BA688">
            <v>339</v>
          </cell>
          <cell r="BK688">
            <v>100</v>
          </cell>
          <cell r="BL688">
            <v>239</v>
          </cell>
        </row>
        <row r="689">
          <cell r="A689" t="str">
            <v>Arc de Triomphe</v>
          </cell>
          <cell r="X689">
            <v>0</v>
          </cell>
          <cell r="Y689">
            <v>0</v>
          </cell>
          <cell r="Z689">
            <v>0</v>
          </cell>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cell r="AS689">
            <v>0</v>
          </cell>
          <cell r="AT689">
            <v>0</v>
          </cell>
          <cell r="AU689">
            <v>0</v>
          </cell>
          <cell r="AV689">
            <v>0</v>
          </cell>
          <cell r="AW689">
            <v>200</v>
          </cell>
          <cell r="AX689">
            <v>200</v>
          </cell>
          <cell r="AY689">
            <v>200</v>
          </cell>
          <cell r="AZ689">
            <v>200</v>
          </cell>
          <cell r="BA689">
            <v>200</v>
          </cell>
          <cell r="BK689">
            <v>0</v>
          </cell>
          <cell r="BL689">
            <v>0</v>
          </cell>
        </row>
        <row r="690">
          <cell r="A690" t="str">
            <v>Oceanus</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1000</v>
          </cell>
          <cell r="AY690">
            <v>1000</v>
          </cell>
          <cell r="AZ690">
            <v>1000</v>
          </cell>
          <cell r="BA690">
            <v>1000</v>
          </cell>
          <cell r="BK690">
            <v>0</v>
          </cell>
          <cell r="BL690">
            <v>0</v>
          </cell>
        </row>
        <row r="691">
          <cell r="A691" t="str">
            <v>Shun Tak Nam Van</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300</v>
          </cell>
          <cell r="AZ691">
            <v>300</v>
          </cell>
          <cell r="BA691">
            <v>300</v>
          </cell>
          <cell r="BK691">
            <v>0</v>
          </cell>
          <cell r="BL691">
            <v>0</v>
          </cell>
        </row>
        <row r="692">
          <cell r="A692" t="str">
            <v>Shun Tak Cotai</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1000</v>
          </cell>
          <cell r="BA692">
            <v>1000</v>
          </cell>
          <cell r="BK692">
            <v>0</v>
          </cell>
          <cell r="BL692">
            <v>0</v>
          </cell>
        </row>
        <row r="693">
          <cell r="A693" t="str">
            <v>Macau Studio City (eSun)</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1000</v>
          </cell>
          <cell r="AY693">
            <v>1000</v>
          </cell>
          <cell r="AZ693">
            <v>1600</v>
          </cell>
          <cell r="BA693">
            <v>1600</v>
          </cell>
          <cell r="BK693">
            <v>0</v>
          </cell>
          <cell r="BL693">
            <v>0</v>
          </cell>
        </row>
        <row r="694">
          <cell r="A694" t="str">
            <v>Other</v>
          </cell>
          <cell r="X694">
            <v>808</v>
          </cell>
          <cell r="Y694">
            <v>808</v>
          </cell>
          <cell r="Z694">
            <v>808</v>
          </cell>
          <cell r="AA694">
            <v>873</v>
          </cell>
          <cell r="AB694">
            <v>824.25</v>
          </cell>
          <cell r="AC694">
            <v>873</v>
          </cell>
          <cell r="AD694">
            <v>1017</v>
          </cell>
          <cell r="AE694">
            <v>1434</v>
          </cell>
          <cell r="AF694">
            <v>1423.782608695652</v>
          </cell>
          <cell r="AG694">
            <v>1186.945652173913</v>
          </cell>
          <cell r="AH694">
            <v>1883</v>
          </cell>
          <cell r="AI694">
            <v>1878.5</v>
          </cell>
          <cell r="AJ694">
            <v>2051</v>
          </cell>
          <cell r="AK694">
            <v>2398.5</v>
          </cell>
          <cell r="AL694">
            <v>2052.75</v>
          </cell>
          <cell r="AM694">
            <v>2931.5</v>
          </cell>
          <cell r="AN694">
            <v>3091</v>
          </cell>
          <cell r="AO694">
            <v>3254.0978260869565</v>
          </cell>
          <cell r="AP694">
            <v>3419.782608695652</v>
          </cell>
          <cell r="AQ694">
            <v>3174.095108695652</v>
          </cell>
          <cell r="AR694">
            <v>4296.782608695652</v>
          </cell>
          <cell r="AS694">
            <v>4296.782608695652</v>
          </cell>
          <cell r="AT694">
            <v>4496.782608695652</v>
          </cell>
          <cell r="AU694">
            <v>4696.782608695652</v>
          </cell>
          <cell r="AV694">
            <v>4446.782608695652</v>
          </cell>
          <cell r="AW694">
            <v>4843.782608695652</v>
          </cell>
          <cell r="AX694">
            <v>4993.782608695652</v>
          </cell>
          <cell r="AY694">
            <v>5593.7826086956484</v>
          </cell>
          <cell r="AZ694">
            <v>6193.7826086956484</v>
          </cell>
          <cell r="BA694">
            <v>6793.7826086956484</v>
          </cell>
          <cell r="BK694">
            <v>3712.2391304347821</v>
          </cell>
          <cell r="BL694">
            <v>734.54347826086996</v>
          </cell>
        </row>
        <row r="695">
          <cell r="X695" t="str">
            <v>______</v>
          </cell>
          <cell r="Y695" t="str">
            <v>______</v>
          </cell>
          <cell r="Z695" t="str">
            <v>______</v>
          </cell>
          <cell r="AA695" t="str">
            <v>______</v>
          </cell>
          <cell r="AB695" t="str">
            <v>______</v>
          </cell>
          <cell r="AC695" t="str">
            <v>______</v>
          </cell>
          <cell r="AD695" t="str">
            <v>______</v>
          </cell>
          <cell r="AE695" t="str">
            <v>______</v>
          </cell>
          <cell r="AF695" t="str">
            <v>______</v>
          </cell>
          <cell r="AG695" t="str">
            <v>______</v>
          </cell>
          <cell r="AH695" t="str">
            <v>______</v>
          </cell>
          <cell r="AI695" t="str">
            <v>______</v>
          </cell>
          <cell r="AJ695" t="str">
            <v>______</v>
          </cell>
          <cell r="AK695" t="str">
            <v>______</v>
          </cell>
          <cell r="AL695" t="str">
            <v>______</v>
          </cell>
          <cell r="AM695" t="str">
            <v>______</v>
          </cell>
          <cell r="AN695" t="str">
            <v>______</v>
          </cell>
          <cell r="AO695" t="str">
            <v>______</v>
          </cell>
          <cell r="AP695" t="str">
            <v>______</v>
          </cell>
          <cell r="AQ695" t="str">
            <v>______</v>
          </cell>
          <cell r="AR695" t="str">
            <v>______</v>
          </cell>
          <cell r="AS695" t="str">
            <v>______</v>
          </cell>
          <cell r="AT695" t="str">
            <v>______</v>
          </cell>
          <cell r="AU695" t="str">
            <v>______</v>
          </cell>
          <cell r="AV695" t="str">
            <v>______</v>
          </cell>
          <cell r="AW695" t="str">
            <v>______</v>
          </cell>
          <cell r="AX695" t="str">
            <v>______</v>
          </cell>
          <cell r="AY695" t="str">
            <v>______</v>
          </cell>
          <cell r="AZ695" t="str">
            <v>______</v>
          </cell>
          <cell r="BA695" t="str">
            <v>______</v>
          </cell>
          <cell r="BK695" t="str">
            <v>______</v>
          </cell>
          <cell r="BL695" t="e">
            <v>#VALUE!</v>
          </cell>
        </row>
        <row r="696">
          <cell r="A696" t="str">
            <v>Total Average Mass Market Slots</v>
          </cell>
          <cell r="X696">
            <v>808</v>
          </cell>
          <cell r="Y696">
            <v>808</v>
          </cell>
          <cell r="Z696">
            <v>808</v>
          </cell>
          <cell r="AA696">
            <v>873</v>
          </cell>
          <cell r="AB696">
            <v>824.25</v>
          </cell>
          <cell r="AC696">
            <v>873</v>
          </cell>
          <cell r="AD696">
            <v>1130.8791208791208</v>
          </cell>
          <cell r="AE696">
            <v>2027</v>
          </cell>
          <cell r="AF696">
            <v>2163.782608695652</v>
          </cell>
          <cell r="AG696">
            <v>1548.6654323936932</v>
          </cell>
          <cell r="AH696">
            <v>2721</v>
          </cell>
          <cell r="AI696">
            <v>2774.5</v>
          </cell>
          <cell r="AJ696">
            <v>2927</v>
          </cell>
          <cell r="AK696">
            <v>3251.5</v>
          </cell>
          <cell r="AL696">
            <v>2918.5</v>
          </cell>
          <cell r="AM696">
            <v>3988.5</v>
          </cell>
          <cell r="AN696">
            <v>4378</v>
          </cell>
          <cell r="AO696">
            <v>4849</v>
          </cell>
          <cell r="AP696">
            <v>5855.5</v>
          </cell>
          <cell r="AQ696">
            <v>4767.75</v>
          </cell>
          <cell r="AR696">
            <v>7518.782608695652</v>
          </cell>
          <cell r="AS696">
            <v>8227.115942028986</v>
          </cell>
          <cell r="AT696">
            <v>13641.782608695652</v>
          </cell>
          <cell r="AU696">
            <v>14878.782608695652</v>
          </cell>
          <cell r="AV696">
            <v>11066.615942028984</v>
          </cell>
          <cell r="AW696">
            <v>17875.782608695652</v>
          </cell>
          <cell r="AX696">
            <v>27650.782608695652</v>
          </cell>
          <cell r="AY696">
            <v>38425.782608695648</v>
          </cell>
          <cell r="AZ696">
            <v>46525.782608695648</v>
          </cell>
          <cell r="BA696">
            <v>47125.782608695648</v>
          </cell>
          <cell r="BK696">
            <v>9388.7391304347821</v>
          </cell>
          <cell r="BL696">
            <v>1677.8768115942021</v>
          </cell>
        </row>
        <row r="697">
          <cell r="BL697">
            <v>0</v>
          </cell>
        </row>
        <row r="698">
          <cell r="A698" t="str">
            <v>Total Average Mass Market Positions</v>
          </cell>
          <cell r="BL698">
            <v>0</v>
          </cell>
        </row>
        <row r="699">
          <cell r="A699" t="str">
            <v>Sands Macao</v>
          </cell>
          <cell r="X699">
            <v>0</v>
          </cell>
          <cell r="Y699">
            <v>0</v>
          </cell>
          <cell r="Z699">
            <v>0</v>
          </cell>
          <cell r="AA699">
            <v>0</v>
          </cell>
          <cell r="AB699">
            <v>0</v>
          </cell>
          <cell r="AC699">
            <v>0</v>
          </cell>
          <cell r="AD699">
            <v>1176.7509157509155</v>
          </cell>
          <cell r="AE699">
            <v>2753</v>
          </cell>
          <cell r="AF699">
            <v>2802</v>
          </cell>
          <cell r="AG699">
            <v>1682.9377289377287</v>
          </cell>
          <cell r="AH699">
            <v>3139.6666666666665</v>
          </cell>
          <cell r="AI699">
            <v>3304</v>
          </cell>
          <cell r="AJ699">
            <v>3357.3333333333335</v>
          </cell>
          <cell r="AK699">
            <v>3609.3333333333335</v>
          </cell>
          <cell r="AL699">
            <v>3352.5833333333335</v>
          </cell>
          <cell r="AM699">
            <v>4092.3333333333335</v>
          </cell>
          <cell r="AN699">
            <v>4208.333333333333</v>
          </cell>
          <cell r="AO699">
            <v>5391.333333333333</v>
          </cell>
          <cell r="AP699">
            <v>7381</v>
          </cell>
          <cell r="AQ699">
            <v>5268.25</v>
          </cell>
          <cell r="AR699">
            <v>7463.2</v>
          </cell>
          <cell r="AS699">
            <v>7463.2</v>
          </cell>
          <cell r="AT699">
            <v>7463.2</v>
          </cell>
          <cell r="AU699">
            <v>7463.2</v>
          </cell>
          <cell r="AV699">
            <v>7463.2</v>
          </cell>
          <cell r="AW699">
            <v>7586.5</v>
          </cell>
          <cell r="AX699">
            <v>7586.5</v>
          </cell>
          <cell r="AY699">
            <v>7586.5</v>
          </cell>
          <cell r="AZ699">
            <v>7586.5</v>
          </cell>
          <cell r="BA699">
            <v>7586.5</v>
          </cell>
          <cell r="BK699">
            <v>7151.6</v>
          </cell>
          <cell r="BL699">
            <v>311.59999999999945</v>
          </cell>
          <cell r="BN699" t="str">
            <v>gt:lvs:sandsMacao:positions</v>
          </cell>
        </row>
        <row r="700">
          <cell r="A700" t="str">
            <v>Venetian Macao</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7890</v>
          </cell>
          <cell r="AU700">
            <v>7890</v>
          </cell>
          <cell r="AV700">
            <v>3945</v>
          </cell>
          <cell r="AW700">
            <v>9300</v>
          </cell>
          <cell r="AX700">
            <v>9300</v>
          </cell>
          <cell r="AY700">
            <v>9300</v>
          </cell>
          <cell r="AZ700">
            <v>13500</v>
          </cell>
          <cell r="BA700">
            <v>13500</v>
          </cell>
          <cell r="BK700">
            <v>3925</v>
          </cell>
          <cell r="BL700">
            <v>20</v>
          </cell>
          <cell r="BN700" t="str">
            <v>gt:lvs:venetianMacao:positions</v>
          </cell>
        </row>
        <row r="701">
          <cell r="A701" t="str">
            <v>Cotai Site 2 - Four Seasons (LVS)</v>
          </cell>
          <cell r="X701">
            <v>0</v>
          </cell>
          <cell r="Y701">
            <v>0</v>
          </cell>
          <cell r="Z701">
            <v>0</v>
          </cell>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1350</v>
          </cell>
          <cell r="AX701">
            <v>1350</v>
          </cell>
          <cell r="AY701">
            <v>1350</v>
          </cell>
          <cell r="AZ701">
            <v>1350</v>
          </cell>
          <cell r="BA701">
            <v>1350</v>
          </cell>
          <cell r="BK701">
            <v>0</v>
          </cell>
          <cell r="BL701">
            <v>0</v>
          </cell>
        </row>
        <row r="702">
          <cell r="A702" t="str">
            <v>Cotai Site 3 - Far East (LVS)</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1862.5</v>
          </cell>
          <cell r="AY702">
            <v>3725</v>
          </cell>
          <cell r="AZ702">
            <v>3725</v>
          </cell>
          <cell r="BA702">
            <v>3725</v>
          </cell>
          <cell r="BK702">
            <v>0</v>
          </cell>
          <cell r="BL702">
            <v>0</v>
          </cell>
        </row>
        <row r="703">
          <cell r="A703" t="str">
            <v>Cotai Site 5 - Shangri-La/St.Regis/Traders (LVS)</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1875</v>
          </cell>
          <cell r="AX703">
            <v>3750</v>
          </cell>
          <cell r="AY703">
            <v>3375</v>
          </cell>
          <cell r="AZ703">
            <v>3375</v>
          </cell>
          <cell r="BA703">
            <v>3375</v>
          </cell>
          <cell r="BK703">
            <v>0</v>
          </cell>
          <cell r="BL703">
            <v>0</v>
          </cell>
        </row>
        <row r="704">
          <cell r="A704" t="str">
            <v>Cotai Site 6 - Starwood (LVS)</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1875</v>
          </cell>
          <cell r="AX704">
            <v>3750</v>
          </cell>
          <cell r="AY704">
            <v>3375</v>
          </cell>
          <cell r="AZ704">
            <v>3375</v>
          </cell>
          <cell r="BA704">
            <v>3375</v>
          </cell>
          <cell r="BK704">
            <v>0</v>
          </cell>
          <cell r="BL704">
            <v>0</v>
          </cell>
        </row>
        <row r="705">
          <cell r="A705" t="str">
            <v>Cotai Site 7 - Hilton (LVS)</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cell r="AS705">
            <v>0</v>
          </cell>
          <cell r="AT705">
            <v>0</v>
          </cell>
          <cell r="AU705">
            <v>0</v>
          </cell>
          <cell r="AV705">
            <v>0</v>
          </cell>
          <cell r="AW705">
            <v>0</v>
          </cell>
          <cell r="AX705">
            <v>1875</v>
          </cell>
          <cell r="AY705">
            <v>3750</v>
          </cell>
          <cell r="AZ705">
            <v>3375</v>
          </cell>
          <cell r="BA705">
            <v>3375</v>
          </cell>
          <cell r="BK705">
            <v>0</v>
          </cell>
          <cell r="BL705">
            <v>0</v>
          </cell>
        </row>
        <row r="706">
          <cell r="A706" t="str">
            <v>Cotai Site 8 - FHR/Raffles (LVS)</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1875</v>
          </cell>
          <cell r="AY706">
            <v>3750</v>
          </cell>
          <cell r="AZ706">
            <v>3375</v>
          </cell>
          <cell r="BA706">
            <v>3375</v>
          </cell>
          <cell r="BK706">
            <v>0</v>
          </cell>
          <cell r="BL706">
            <v>0</v>
          </cell>
        </row>
        <row r="707">
          <cell r="A707" t="str">
            <v>Wynn Macau (WYNN)</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495.92391304347831</v>
          </cell>
          <cell r="AP707">
            <v>1962</v>
          </cell>
          <cell r="AQ707">
            <v>614.48097826086962</v>
          </cell>
          <cell r="AR707">
            <v>2039.6</v>
          </cell>
          <cell r="AS707">
            <v>2742.8</v>
          </cell>
          <cell r="AT707">
            <v>4062</v>
          </cell>
          <cell r="AU707">
            <v>4062</v>
          </cell>
          <cell r="AV707">
            <v>3226.6</v>
          </cell>
          <cell r="AW707">
            <v>4190</v>
          </cell>
          <cell r="AX707">
            <v>4190</v>
          </cell>
          <cell r="AY707">
            <v>4190</v>
          </cell>
          <cell r="AZ707">
            <v>4190</v>
          </cell>
          <cell r="BA707">
            <v>4190</v>
          </cell>
          <cell r="BK707">
            <v>3027</v>
          </cell>
          <cell r="BL707">
            <v>199.59999999999991</v>
          </cell>
        </row>
        <row r="708">
          <cell r="A708" t="str">
            <v>Wynn Cotai (WYNN)</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6000</v>
          </cell>
          <cell r="AZ708">
            <v>6000</v>
          </cell>
          <cell r="BA708">
            <v>6000</v>
          </cell>
          <cell r="BK708">
            <v>0</v>
          </cell>
          <cell r="BL708">
            <v>0</v>
          </cell>
        </row>
        <row r="709">
          <cell r="A709" t="str">
            <v>Wynn Cotai #2 (WYNN)</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6000</v>
          </cell>
          <cell r="AZ709">
            <v>6000</v>
          </cell>
          <cell r="BA709">
            <v>6000</v>
          </cell>
          <cell r="BK709">
            <v>0</v>
          </cell>
          <cell r="BL709">
            <v>0</v>
          </cell>
        </row>
        <row r="710">
          <cell r="A710" t="str">
            <v>MGM Grand (MGM)</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3434.8</v>
          </cell>
          <cell r="AV710">
            <v>858.7</v>
          </cell>
          <cell r="AW710">
            <v>3538.5</v>
          </cell>
          <cell r="AX710">
            <v>3538.5</v>
          </cell>
          <cell r="AY710">
            <v>3538.5</v>
          </cell>
          <cell r="AZ710">
            <v>3538.5</v>
          </cell>
          <cell r="BA710">
            <v>3538.5</v>
          </cell>
          <cell r="BK710">
            <v>802.5</v>
          </cell>
          <cell r="BL710">
            <v>56.200000000000045</v>
          </cell>
        </row>
        <row r="711">
          <cell r="A711" t="str">
            <v>MGM Cotai #1 (MGM)</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5500</v>
          </cell>
          <cell r="BA711">
            <v>5500</v>
          </cell>
          <cell r="BK711">
            <v>802.5</v>
          </cell>
          <cell r="BL711">
            <v>-802.5</v>
          </cell>
        </row>
        <row r="712">
          <cell r="A712" t="str">
            <v>Crown Macau (PBL/Melco)</v>
          </cell>
          <cell r="X712">
            <v>0</v>
          </cell>
          <cell r="Y712">
            <v>0</v>
          </cell>
          <cell r="Z712">
            <v>0</v>
          </cell>
          <cell r="AA712">
            <v>0</v>
          </cell>
          <cell r="AB712">
            <v>0</v>
          </cell>
          <cell r="AC712">
            <v>0</v>
          </cell>
          <cell r="AD712">
            <v>0</v>
          </cell>
          <cell r="AE712">
            <v>0</v>
          </cell>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1299.9999999999998</v>
          </cell>
          <cell r="AT712">
            <v>1950</v>
          </cell>
          <cell r="AU712">
            <v>1950</v>
          </cell>
          <cell r="AV712">
            <v>1299.9999999999998</v>
          </cell>
          <cell r="AW712">
            <v>1850</v>
          </cell>
          <cell r="AX712">
            <v>1850</v>
          </cell>
          <cell r="AY712">
            <v>1850</v>
          </cell>
          <cell r="AZ712">
            <v>1850</v>
          </cell>
          <cell r="BA712">
            <v>1850</v>
          </cell>
          <cell r="BK712">
            <v>600</v>
          </cell>
          <cell r="BL712">
            <v>699.99999999999977</v>
          </cell>
        </row>
        <row r="713">
          <cell r="A713" t="str">
            <v>Penninsula Project (PBL/Melco)</v>
          </cell>
          <cell r="X713">
            <v>0</v>
          </cell>
          <cell r="Y713">
            <v>0</v>
          </cell>
          <cell r="Z713">
            <v>0</v>
          </cell>
          <cell r="AA713">
            <v>0</v>
          </cell>
          <cell r="AB713">
            <v>0</v>
          </cell>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725</v>
          </cell>
          <cell r="AY713">
            <v>1850</v>
          </cell>
          <cell r="AZ713">
            <v>1850</v>
          </cell>
          <cell r="BA713">
            <v>1850</v>
          </cell>
          <cell r="BK713">
            <v>0</v>
          </cell>
          <cell r="BL713">
            <v>0</v>
          </cell>
        </row>
        <row r="714">
          <cell r="A714" t="str">
            <v>City of Dreams (PBL/Melco)</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5250</v>
          </cell>
          <cell r="AY714">
            <v>5250</v>
          </cell>
          <cell r="AZ714">
            <v>5250</v>
          </cell>
          <cell r="BA714">
            <v>5250</v>
          </cell>
          <cell r="BK714">
            <v>0</v>
          </cell>
          <cell r="BL714">
            <v>0</v>
          </cell>
        </row>
        <row r="715">
          <cell r="A715" t="str">
            <v>Galaxy Waldo (Galaxy)</v>
          </cell>
          <cell r="X715">
            <v>0</v>
          </cell>
          <cell r="Y715">
            <v>0</v>
          </cell>
          <cell r="Z715">
            <v>0</v>
          </cell>
          <cell r="AA715">
            <v>0</v>
          </cell>
          <cell r="AB715">
            <v>0</v>
          </cell>
          <cell r="AC715">
            <v>0</v>
          </cell>
          <cell r="AD715">
            <v>0</v>
          </cell>
          <cell r="AE715">
            <v>224.66666666666666</v>
          </cell>
          <cell r="AF715">
            <v>224.66666666666666</v>
          </cell>
          <cell r="AG715">
            <v>112.33333333333333</v>
          </cell>
          <cell r="AH715">
            <v>224.66666666666666</v>
          </cell>
          <cell r="AI715">
            <v>224.66666666666666</v>
          </cell>
          <cell r="AJ715">
            <v>224.66666666666666</v>
          </cell>
          <cell r="AK715">
            <v>225</v>
          </cell>
          <cell r="AL715">
            <v>224.75</v>
          </cell>
          <cell r="AM715">
            <v>225</v>
          </cell>
          <cell r="AN715">
            <v>225</v>
          </cell>
          <cell r="AO715">
            <v>225</v>
          </cell>
          <cell r="AP715">
            <v>225</v>
          </cell>
          <cell r="AQ715">
            <v>225</v>
          </cell>
          <cell r="AR715">
            <v>230</v>
          </cell>
          <cell r="AS715">
            <v>230</v>
          </cell>
          <cell r="AT715">
            <v>230</v>
          </cell>
          <cell r="AU715">
            <v>230</v>
          </cell>
          <cell r="AV715">
            <v>230</v>
          </cell>
          <cell r="AW715">
            <v>237.5</v>
          </cell>
          <cell r="AX715">
            <v>237.5</v>
          </cell>
          <cell r="AY715">
            <v>237.5</v>
          </cell>
          <cell r="AZ715">
            <v>237.5</v>
          </cell>
          <cell r="BA715">
            <v>237.5</v>
          </cell>
          <cell r="BK715">
            <v>230</v>
          </cell>
          <cell r="BL715">
            <v>0</v>
          </cell>
        </row>
        <row r="716">
          <cell r="A716" t="str">
            <v>Galaxy Rio (Galaxy)</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400</v>
          </cell>
          <cell r="AN716">
            <v>800</v>
          </cell>
          <cell r="AO716">
            <v>800</v>
          </cell>
          <cell r="AP716">
            <v>800</v>
          </cell>
          <cell r="AQ716">
            <v>700</v>
          </cell>
          <cell r="AR716">
            <v>810</v>
          </cell>
          <cell r="AS716">
            <v>810</v>
          </cell>
          <cell r="AT716">
            <v>810</v>
          </cell>
          <cell r="AU716">
            <v>810</v>
          </cell>
          <cell r="AV716">
            <v>810</v>
          </cell>
          <cell r="AW716">
            <v>825</v>
          </cell>
          <cell r="AX716">
            <v>825</v>
          </cell>
          <cell r="AY716">
            <v>825</v>
          </cell>
          <cell r="AZ716">
            <v>825</v>
          </cell>
          <cell r="BA716">
            <v>825</v>
          </cell>
          <cell r="BK716">
            <v>810</v>
          </cell>
          <cell r="BL716">
            <v>0</v>
          </cell>
        </row>
        <row r="717">
          <cell r="A717" t="str">
            <v>Galaxy President (Galaxy)</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366.66666666666663</v>
          </cell>
          <cell r="AO717">
            <v>550</v>
          </cell>
          <cell r="AP717">
            <v>550</v>
          </cell>
          <cell r="AQ717">
            <v>366.66666666666663</v>
          </cell>
          <cell r="AR717">
            <v>550</v>
          </cell>
          <cell r="AS717">
            <v>550</v>
          </cell>
          <cell r="AT717">
            <v>550</v>
          </cell>
          <cell r="AU717">
            <v>550</v>
          </cell>
          <cell r="AV717">
            <v>550</v>
          </cell>
          <cell r="AW717">
            <v>550</v>
          </cell>
          <cell r="AX717">
            <v>550</v>
          </cell>
          <cell r="AY717">
            <v>550</v>
          </cell>
          <cell r="AZ717">
            <v>550</v>
          </cell>
          <cell r="BA717">
            <v>550</v>
          </cell>
          <cell r="BK717">
            <v>550</v>
          </cell>
          <cell r="BL717">
            <v>0</v>
          </cell>
        </row>
        <row r="718">
          <cell r="A718" t="str">
            <v>Galaxy Grand Waldo (Galaxy)</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555.66666666666663</v>
          </cell>
          <cell r="AO718">
            <v>1111.3333333333333</v>
          </cell>
          <cell r="AP718">
            <v>1111.3333333333333</v>
          </cell>
          <cell r="AQ718">
            <v>694.58333333333337</v>
          </cell>
          <cell r="AR718">
            <v>1133.5999999999999</v>
          </cell>
          <cell r="AS718">
            <v>1133.5999999999999</v>
          </cell>
          <cell r="AT718">
            <v>1133.5999999999999</v>
          </cell>
          <cell r="AU718">
            <v>1133.5999999999999</v>
          </cell>
          <cell r="AV718">
            <v>1133.5999999999999</v>
          </cell>
          <cell r="AW718">
            <v>1167</v>
          </cell>
          <cell r="AX718">
            <v>1167</v>
          </cell>
          <cell r="AY718">
            <v>1167</v>
          </cell>
          <cell r="AZ718">
            <v>1167</v>
          </cell>
          <cell r="BA718">
            <v>1167</v>
          </cell>
          <cell r="BK718">
            <v>1133.5999999999999</v>
          </cell>
          <cell r="BL718">
            <v>0</v>
          </cell>
        </row>
        <row r="719">
          <cell r="A719" t="str">
            <v>Galaxy Starworld (Galaxy)</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1407.0169082125606</v>
          </cell>
          <cell r="AQ719">
            <v>351.75422705314014</v>
          </cell>
          <cell r="AR719">
            <v>2130</v>
          </cell>
          <cell r="AS719">
            <v>2130</v>
          </cell>
          <cell r="AT719">
            <v>2130</v>
          </cell>
          <cell r="AU719">
            <v>2130</v>
          </cell>
          <cell r="AV719">
            <v>2130</v>
          </cell>
          <cell r="AW719">
            <v>2165</v>
          </cell>
          <cell r="AX719">
            <v>2165</v>
          </cell>
          <cell r="AY719">
            <v>2165</v>
          </cell>
          <cell r="AZ719">
            <v>2165</v>
          </cell>
          <cell r="BA719">
            <v>2165</v>
          </cell>
          <cell r="BK719">
            <v>2148.4</v>
          </cell>
          <cell r="BL719">
            <v>-18.400000000000091</v>
          </cell>
        </row>
        <row r="720">
          <cell r="A720" t="str">
            <v>Galaxy Cotai (Galaxy)</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2300</v>
          </cell>
          <cell r="AX720">
            <v>4600</v>
          </cell>
          <cell r="AY720">
            <v>4500</v>
          </cell>
          <cell r="AZ720">
            <v>4500</v>
          </cell>
          <cell r="BA720">
            <v>4500</v>
          </cell>
          <cell r="BK720">
            <v>0</v>
          </cell>
          <cell r="BL720">
            <v>0</v>
          </cell>
        </row>
        <row r="721">
          <cell r="A721" t="str">
            <v>Ponte 16</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1620</v>
          </cell>
          <cell r="AU721">
            <v>1620</v>
          </cell>
          <cell r="AV721">
            <v>810</v>
          </cell>
          <cell r="AW721">
            <v>1650</v>
          </cell>
          <cell r="AX721">
            <v>1650</v>
          </cell>
          <cell r="AY721">
            <v>1650</v>
          </cell>
          <cell r="AZ721">
            <v>1650</v>
          </cell>
          <cell r="BA721">
            <v>1650</v>
          </cell>
          <cell r="BK721">
            <v>810</v>
          </cell>
          <cell r="BL721">
            <v>0</v>
          </cell>
        </row>
        <row r="722">
          <cell r="A722" t="str">
            <v>Grand Lisboa</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1296.8</v>
          </cell>
          <cell r="AS722">
            <v>2593.6</v>
          </cell>
          <cell r="AT722">
            <v>2593.6</v>
          </cell>
          <cell r="AU722">
            <v>2593.6</v>
          </cell>
          <cell r="AV722">
            <v>2269.4</v>
          </cell>
          <cell r="AW722">
            <v>2642</v>
          </cell>
          <cell r="AX722">
            <v>2642</v>
          </cell>
          <cell r="AY722">
            <v>2642</v>
          </cell>
          <cell r="AZ722">
            <v>2642</v>
          </cell>
          <cell r="BA722">
            <v>2642</v>
          </cell>
          <cell r="BK722">
            <v>3540</v>
          </cell>
          <cell r="BL722">
            <v>-1270.5999999999999</v>
          </cell>
        </row>
        <row r="723">
          <cell r="A723" t="str">
            <v>Babylon</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78.260869565217391</v>
          </cell>
          <cell r="AQ723">
            <v>19.565217391304348</v>
          </cell>
          <cell r="AR723">
            <v>915.6</v>
          </cell>
          <cell r="AS723">
            <v>915.6</v>
          </cell>
          <cell r="AT723">
            <v>915.6</v>
          </cell>
          <cell r="AU723">
            <v>1035.5999999999999</v>
          </cell>
          <cell r="AV723">
            <v>945.6</v>
          </cell>
          <cell r="AW723">
            <v>1069.5</v>
          </cell>
          <cell r="AX723">
            <v>1069.5</v>
          </cell>
          <cell r="AY723">
            <v>1069.5</v>
          </cell>
          <cell r="AZ723">
            <v>1069.5</v>
          </cell>
          <cell r="BA723">
            <v>1069.5</v>
          </cell>
          <cell r="BK723">
            <v>490</v>
          </cell>
          <cell r="BL723">
            <v>455.6</v>
          </cell>
        </row>
        <row r="724">
          <cell r="A724" t="str">
            <v>Arc de Triomphe</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700</v>
          </cell>
          <cell r="AX724">
            <v>700</v>
          </cell>
          <cell r="AY724">
            <v>700</v>
          </cell>
          <cell r="AZ724">
            <v>700</v>
          </cell>
          <cell r="BA724">
            <v>700</v>
          </cell>
          <cell r="BK724">
            <v>0</v>
          </cell>
          <cell r="BL724">
            <v>0</v>
          </cell>
        </row>
        <row r="725">
          <cell r="A725" t="str">
            <v>Oceanus</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5500</v>
          </cell>
          <cell r="AY725">
            <v>5500</v>
          </cell>
          <cell r="AZ725">
            <v>5500</v>
          </cell>
          <cell r="BA725">
            <v>5500</v>
          </cell>
          <cell r="BK725">
            <v>0</v>
          </cell>
          <cell r="BL725">
            <v>0</v>
          </cell>
        </row>
        <row r="726">
          <cell r="A726" t="str">
            <v>Shun Tak Nam Van</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1650</v>
          </cell>
          <cell r="AZ726">
            <v>1650</v>
          </cell>
          <cell r="BA726">
            <v>1650</v>
          </cell>
          <cell r="BK726">
            <v>0</v>
          </cell>
          <cell r="BL726">
            <v>0</v>
          </cell>
        </row>
        <row r="727">
          <cell r="A727" t="str">
            <v>Shun Tak Cotai</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5500</v>
          </cell>
          <cell r="BA727">
            <v>5500</v>
          </cell>
          <cell r="BK727">
            <v>0</v>
          </cell>
          <cell r="BL727">
            <v>0</v>
          </cell>
        </row>
        <row r="728">
          <cell r="A728" t="str">
            <v>Macau Studio City (eSun)</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4100</v>
          </cell>
          <cell r="AY728">
            <v>4100</v>
          </cell>
          <cell r="AZ728">
            <v>6650</v>
          </cell>
          <cell r="BA728">
            <v>6650</v>
          </cell>
          <cell r="BK728">
            <v>0</v>
          </cell>
          <cell r="BL728">
            <v>0</v>
          </cell>
        </row>
        <row r="729">
          <cell r="A729" t="str">
            <v>Other</v>
          </cell>
          <cell r="X729">
            <v>2849.3333333333335</v>
          </cell>
          <cell r="Y729">
            <v>2849.3333333333335</v>
          </cell>
          <cell r="Z729">
            <v>2849.3333333333335</v>
          </cell>
          <cell r="AA729">
            <v>2871</v>
          </cell>
          <cell r="AB729">
            <v>2854.75</v>
          </cell>
          <cell r="AC729">
            <v>2871</v>
          </cell>
          <cell r="AD729">
            <v>3200.2087912087914</v>
          </cell>
          <cell r="AE729">
            <v>2658</v>
          </cell>
          <cell r="AF729">
            <v>4784.594202898551</v>
          </cell>
          <cell r="AG729">
            <v>3378.4507485268355</v>
          </cell>
          <cell r="AH729">
            <v>6372.666666666667</v>
          </cell>
          <cell r="AI729">
            <v>6891.166666666667</v>
          </cell>
          <cell r="AJ729">
            <v>7218.666666666667</v>
          </cell>
          <cell r="AK729">
            <v>7724.5</v>
          </cell>
          <cell r="AL729">
            <v>7051.75</v>
          </cell>
          <cell r="AM729">
            <v>8482.1666666666661</v>
          </cell>
          <cell r="AN729">
            <v>9213.6666666666679</v>
          </cell>
          <cell r="AO729">
            <v>9268.032608695652</v>
          </cell>
          <cell r="AP729">
            <v>9323.2608695652179</v>
          </cell>
          <cell r="AQ729">
            <v>9071.7817028985519</v>
          </cell>
          <cell r="AR729">
            <v>9902.0463768115951</v>
          </cell>
          <cell r="AS729">
            <v>9902.0463768115951</v>
          </cell>
          <cell r="AT729">
            <v>9982.0463768115951</v>
          </cell>
          <cell r="AU729">
            <v>10062.046376811595</v>
          </cell>
          <cell r="AV729">
            <v>9962.0463768115951</v>
          </cell>
          <cell r="AW729">
            <v>10605.22463768116</v>
          </cell>
          <cell r="AX729">
            <v>10680.22463768116</v>
          </cell>
          <cell r="AY729">
            <v>10980.224637681158</v>
          </cell>
          <cell r="AZ729">
            <v>11280.224637681158</v>
          </cell>
          <cell r="BA729">
            <v>11580.224637681158</v>
          </cell>
          <cell r="BK729">
            <v>9503.6456521739128</v>
          </cell>
          <cell r="BL729">
            <v>458.40072463768229</v>
          </cell>
        </row>
        <row r="730">
          <cell r="X730" t="str">
            <v>______</v>
          </cell>
          <cell r="Y730" t="str">
            <v>______</v>
          </cell>
          <cell r="Z730" t="str">
            <v>______</v>
          </cell>
          <cell r="AA730" t="str">
            <v>______</v>
          </cell>
          <cell r="AB730" t="str">
            <v>______</v>
          </cell>
          <cell r="AC730" t="str">
            <v>______</v>
          </cell>
          <cell r="AD730" t="str">
            <v>______</v>
          </cell>
          <cell r="AE730" t="str">
            <v>______</v>
          </cell>
          <cell r="AF730" t="str">
            <v>______</v>
          </cell>
          <cell r="AG730" t="str">
            <v>______</v>
          </cell>
          <cell r="AH730" t="str">
            <v>______</v>
          </cell>
          <cell r="AI730" t="str">
            <v>______</v>
          </cell>
          <cell r="AJ730" t="str">
            <v>______</v>
          </cell>
          <cell r="AK730" t="str">
            <v>______</v>
          </cell>
          <cell r="AL730" t="str">
            <v>______</v>
          </cell>
          <cell r="AM730" t="str">
            <v>______</v>
          </cell>
          <cell r="AN730" t="str">
            <v>______</v>
          </cell>
          <cell r="AO730" t="str">
            <v>______</v>
          </cell>
          <cell r="AP730" t="str">
            <v>______</v>
          </cell>
          <cell r="AQ730" t="str">
            <v>______</v>
          </cell>
          <cell r="AR730" t="str">
            <v>______</v>
          </cell>
          <cell r="AS730" t="str">
            <v>______</v>
          </cell>
          <cell r="AT730" t="str">
            <v>______</v>
          </cell>
          <cell r="AU730" t="str">
            <v>______</v>
          </cell>
          <cell r="AV730" t="str">
            <v>______</v>
          </cell>
          <cell r="AW730" t="str">
            <v>______</v>
          </cell>
          <cell r="AX730" t="str">
            <v>______</v>
          </cell>
          <cell r="AY730" t="str">
            <v>______</v>
          </cell>
          <cell r="AZ730" t="str">
            <v>______</v>
          </cell>
          <cell r="BA730" t="str">
            <v>______</v>
          </cell>
          <cell r="BK730" t="str">
            <v>______</v>
          </cell>
          <cell r="BL730" t="e">
            <v>#VALUE!</v>
          </cell>
        </row>
        <row r="731">
          <cell r="A731" t="str">
            <v>Total Average Mass Market Positions</v>
          </cell>
          <cell r="X731">
            <v>2849.3333333333335</v>
          </cell>
          <cell r="Y731">
            <v>2849.3333333333335</v>
          </cell>
          <cell r="Z731">
            <v>2849.3333333333335</v>
          </cell>
          <cell r="AA731">
            <v>2871</v>
          </cell>
          <cell r="AB731">
            <v>2854.75</v>
          </cell>
          <cell r="AC731">
            <v>2871</v>
          </cell>
          <cell r="AD731">
            <v>4376.9597069597066</v>
          </cell>
          <cell r="AE731">
            <v>5635.6666666666661</v>
          </cell>
          <cell r="AF731">
            <v>7811.2608695652179</v>
          </cell>
          <cell r="AG731">
            <v>5173.721810797897</v>
          </cell>
          <cell r="AH731">
            <v>9737</v>
          </cell>
          <cell r="AI731">
            <v>10419.833333333334</v>
          </cell>
          <cell r="AJ731">
            <v>10800.666666666668</v>
          </cell>
          <cell r="AK731">
            <v>11558.833333333334</v>
          </cell>
          <cell r="AL731">
            <v>10629.083333333334</v>
          </cell>
          <cell r="AM731">
            <v>13199.5</v>
          </cell>
          <cell r="AN731">
            <v>15369.333333333336</v>
          </cell>
          <cell r="AO731">
            <v>17841.623188405796</v>
          </cell>
          <cell r="AP731">
            <v>22837.871980676333</v>
          </cell>
          <cell r="AQ731">
            <v>17312.082125603865</v>
          </cell>
          <cell r="AR731">
            <v>26470.846376811594</v>
          </cell>
          <cell r="AS731">
            <v>29770.846376811594</v>
          </cell>
          <cell r="AT731">
            <v>41330.046376811588</v>
          </cell>
          <cell r="AU731">
            <v>44964.846376811591</v>
          </cell>
          <cell r="AV731">
            <v>35634.146376811594</v>
          </cell>
          <cell r="AW731">
            <v>55476.22463768116</v>
          </cell>
          <cell r="AX731">
            <v>82788.724637681153</v>
          </cell>
          <cell r="AY731">
            <v>102626.22463768115</v>
          </cell>
          <cell r="AZ731">
            <v>119926.22463768115</v>
          </cell>
          <cell r="BA731">
            <v>120226.22463768115</v>
          </cell>
          <cell r="BK731">
            <v>34721.745652173908</v>
          </cell>
          <cell r="BL731">
            <v>912.40072463768593</v>
          </cell>
        </row>
        <row r="732">
          <cell r="BL732">
            <v>0</v>
          </cell>
        </row>
        <row r="733">
          <cell r="A733" t="str">
            <v>Las Vegas Sands</v>
          </cell>
          <cell r="X733">
            <v>0</v>
          </cell>
          <cell r="Y733">
            <v>0</v>
          </cell>
          <cell r="Z733">
            <v>0</v>
          </cell>
          <cell r="AA733">
            <v>0</v>
          </cell>
          <cell r="AB733">
            <v>0</v>
          </cell>
          <cell r="AC733">
            <v>0</v>
          </cell>
          <cell r="AD733">
            <v>1176.7509157509155</v>
          </cell>
          <cell r="AE733">
            <v>2753</v>
          </cell>
          <cell r="AF733">
            <v>2802</v>
          </cell>
          <cell r="AG733">
            <v>1682.9377289377287</v>
          </cell>
          <cell r="AH733">
            <v>3139.6666666666665</v>
          </cell>
          <cell r="AI733">
            <v>3304</v>
          </cell>
          <cell r="AJ733">
            <v>3357.3333333333335</v>
          </cell>
          <cell r="AK733">
            <v>3609.3333333333335</v>
          </cell>
          <cell r="AL733">
            <v>3352.5833333333335</v>
          </cell>
          <cell r="AM733">
            <v>4092.3333333333335</v>
          </cell>
          <cell r="AN733">
            <v>4208.333333333333</v>
          </cell>
          <cell r="AO733">
            <v>5391.333333333333</v>
          </cell>
          <cell r="AP733">
            <v>7381</v>
          </cell>
          <cell r="AQ733">
            <v>5268.25</v>
          </cell>
          <cell r="AR733">
            <v>7463.2</v>
          </cell>
          <cell r="AS733">
            <v>7463.2</v>
          </cell>
          <cell r="AT733">
            <v>15353.2</v>
          </cell>
          <cell r="AU733">
            <v>15353.2</v>
          </cell>
          <cell r="AV733">
            <v>11408.2</v>
          </cell>
          <cell r="AW733">
            <v>21986.5</v>
          </cell>
          <cell r="AX733">
            <v>31349</v>
          </cell>
          <cell r="AY733">
            <v>36211.5</v>
          </cell>
          <cell r="AZ733">
            <v>39661.5</v>
          </cell>
          <cell r="BA733">
            <v>39661.5</v>
          </cell>
          <cell r="BK733">
            <v>11076.6</v>
          </cell>
          <cell r="BL733">
            <v>331.60000000000036</v>
          </cell>
        </row>
        <row r="734">
          <cell r="A734" t="str">
            <v>Wynn</v>
          </cell>
          <cell r="X734">
            <v>0</v>
          </cell>
          <cell r="Y734">
            <v>0</v>
          </cell>
          <cell r="Z734">
            <v>0</v>
          </cell>
          <cell r="AA734">
            <v>0</v>
          </cell>
          <cell r="AB734">
            <v>0</v>
          </cell>
          <cell r="AC734">
            <v>0</v>
          </cell>
          <cell r="AD734">
            <v>0</v>
          </cell>
          <cell r="AE734">
            <v>0</v>
          </cell>
          <cell r="AF734">
            <v>0</v>
          </cell>
          <cell r="AG734">
            <v>0</v>
          </cell>
          <cell r="AH734">
            <v>0</v>
          </cell>
          <cell r="AI734">
            <v>0</v>
          </cell>
          <cell r="AJ734">
            <v>0</v>
          </cell>
          <cell r="AK734">
            <v>0</v>
          </cell>
          <cell r="AL734">
            <v>0</v>
          </cell>
          <cell r="AM734">
            <v>0</v>
          </cell>
          <cell r="AN734">
            <v>0</v>
          </cell>
          <cell r="AO734">
            <v>495.92391304347831</v>
          </cell>
          <cell r="AP734">
            <v>1962</v>
          </cell>
          <cell r="AQ734">
            <v>614.48097826086962</v>
          </cell>
          <cell r="AR734">
            <v>2039.6</v>
          </cell>
          <cell r="AS734">
            <v>2742.8</v>
          </cell>
          <cell r="AT734">
            <v>4062</v>
          </cell>
          <cell r="AU734">
            <v>4062</v>
          </cell>
          <cell r="AV734">
            <v>3226.6</v>
          </cell>
          <cell r="AW734">
            <v>4190</v>
          </cell>
          <cell r="AX734">
            <v>4190</v>
          </cell>
          <cell r="AY734">
            <v>16190</v>
          </cell>
          <cell r="AZ734">
            <v>16190</v>
          </cell>
          <cell r="BA734">
            <v>16190</v>
          </cell>
          <cell r="BK734">
            <v>3027</v>
          </cell>
          <cell r="BL734">
            <v>199.59999999999991</v>
          </cell>
        </row>
        <row r="735">
          <cell r="A735" t="str">
            <v>MGM</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0</v>
          </cell>
          <cell r="AN735">
            <v>0</v>
          </cell>
          <cell r="AO735">
            <v>0</v>
          </cell>
          <cell r="AP735">
            <v>0</v>
          </cell>
          <cell r="AQ735">
            <v>0</v>
          </cell>
          <cell r="AR735">
            <v>0</v>
          </cell>
          <cell r="AS735">
            <v>0</v>
          </cell>
          <cell r="AT735">
            <v>0</v>
          </cell>
          <cell r="AU735">
            <v>3434.8</v>
          </cell>
          <cell r="AV735">
            <v>858.7</v>
          </cell>
          <cell r="AW735">
            <v>3538.5</v>
          </cell>
          <cell r="AX735">
            <v>3538.5</v>
          </cell>
          <cell r="AY735">
            <v>3538.5</v>
          </cell>
          <cell r="AZ735">
            <v>9038.5</v>
          </cell>
          <cell r="BA735">
            <v>9038.5</v>
          </cell>
          <cell r="BK735">
            <v>802.5</v>
          </cell>
          <cell r="BL735">
            <v>56.200000000000045</v>
          </cell>
        </row>
        <row r="736">
          <cell r="A736" t="str">
            <v>PBL/Melco</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1299.9999999999998</v>
          </cell>
          <cell r="AT736">
            <v>1950</v>
          </cell>
          <cell r="AU736">
            <v>1950</v>
          </cell>
          <cell r="AV736">
            <v>1299.9999999999998</v>
          </cell>
          <cell r="AW736">
            <v>1850</v>
          </cell>
          <cell r="AX736">
            <v>7825</v>
          </cell>
          <cell r="AY736">
            <v>8950</v>
          </cell>
          <cell r="AZ736">
            <v>8950</v>
          </cell>
          <cell r="BA736">
            <v>8950</v>
          </cell>
          <cell r="BK736">
            <v>600</v>
          </cell>
          <cell r="BL736">
            <v>699.99999999999977</v>
          </cell>
        </row>
        <row r="737">
          <cell r="A737" t="str">
            <v>Galaxy Resorts</v>
          </cell>
          <cell r="X737">
            <v>0</v>
          </cell>
          <cell r="Y737">
            <v>0</v>
          </cell>
          <cell r="Z737">
            <v>0</v>
          </cell>
          <cell r="AA737">
            <v>0</v>
          </cell>
          <cell r="AB737">
            <v>0</v>
          </cell>
          <cell r="AC737">
            <v>0</v>
          </cell>
          <cell r="AD737">
            <v>0</v>
          </cell>
          <cell r="AE737">
            <v>0</v>
          </cell>
          <cell r="AF737">
            <v>0</v>
          </cell>
          <cell r="AG737">
            <v>0</v>
          </cell>
          <cell r="AH737">
            <v>0</v>
          </cell>
          <cell r="AI737">
            <v>0</v>
          </cell>
          <cell r="AJ737">
            <v>0</v>
          </cell>
          <cell r="AK737">
            <v>0</v>
          </cell>
          <cell r="AL737">
            <v>0</v>
          </cell>
          <cell r="AM737">
            <v>0</v>
          </cell>
          <cell r="AN737">
            <v>0</v>
          </cell>
          <cell r="AO737">
            <v>0</v>
          </cell>
          <cell r="AP737">
            <v>1407.0169082125606</v>
          </cell>
          <cell r="AQ737">
            <v>351.75422705314014</v>
          </cell>
          <cell r="AR737">
            <v>2130</v>
          </cell>
          <cell r="AS737">
            <v>2130</v>
          </cell>
          <cell r="AT737">
            <v>2130</v>
          </cell>
          <cell r="AU737">
            <v>2130</v>
          </cell>
          <cell r="AV737">
            <v>2130</v>
          </cell>
          <cell r="AW737">
            <v>4465</v>
          </cell>
          <cell r="AX737">
            <v>6765</v>
          </cell>
          <cell r="AY737">
            <v>6665</v>
          </cell>
          <cell r="AZ737">
            <v>6665</v>
          </cell>
          <cell r="BA737">
            <v>6665</v>
          </cell>
          <cell r="BK737">
            <v>2148.4</v>
          </cell>
          <cell r="BL737">
            <v>-18.400000000000091</v>
          </cell>
        </row>
        <row r="738">
          <cell r="A738" t="str">
            <v>Galaxy City Clubs</v>
          </cell>
          <cell r="X738">
            <v>0</v>
          </cell>
          <cell r="Y738">
            <v>0</v>
          </cell>
          <cell r="Z738">
            <v>0</v>
          </cell>
          <cell r="AA738">
            <v>0</v>
          </cell>
          <cell r="AB738">
            <v>0</v>
          </cell>
          <cell r="AC738">
            <v>0</v>
          </cell>
          <cell r="AD738">
            <v>0</v>
          </cell>
          <cell r="AE738">
            <v>224.66666666666666</v>
          </cell>
          <cell r="AF738">
            <v>224.66666666666666</v>
          </cell>
          <cell r="AG738">
            <v>112.33333333333333</v>
          </cell>
          <cell r="AH738">
            <v>224.66666666666666</v>
          </cell>
          <cell r="AI738">
            <v>224.66666666666666</v>
          </cell>
          <cell r="AJ738">
            <v>224.66666666666666</v>
          </cell>
          <cell r="AK738">
            <v>225</v>
          </cell>
          <cell r="AL738">
            <v>224.75</v>
          </cell>
          <cell r="AM738">
            <v>625</v>
          </cell>
          <cell r="AN738">
            <v>1947.333333333333</v>
          </cell>
          <cell r="AO738">
            <v>2686.333333333333</v>
          </cell>
          <cell r="AP738">
            <v>2686.333333333333</v>
          </cell>
          <cell r="AQ738">
            <v>1986.25</v>
          </cell>
          <cell r="AR738">
            <v>2723.6</v>
          </cell>
          <cell r="AS738">
            <v>2723.6</v>
          </cell>
          <cell r="AT738">
            <v>2723.6</v>
          </cell>
          <cell r="AU738">
            <v>2723.6</v>
          </cell>
          <cell r="AV738">
            <v>2723.6</v>
          </cell>
          <cell r="AW738">
            <v>2779.5</v>
          </cell>
          <cell r="AX738">
            <v>2779.5</v>
          </cell>
          <cell r="AY738">
            <v>2779.5</v>
          </cell>
          <cell r="AZ738">
            <v>2779.5</v>
          </cell>
          <cell r="BA738">
            <v>2779.5</v>
          </cell>
          <cell r="BK738">
            <v>2723.6</v>
          </cell>
          <cell r="BL738">
            <v>0</v>
          </cell>
        </row>
        <row r="739">
          <cell r="A739" t="str">
            <v>Macau Studio City (eSun)</v>
          </cell>
          <cell r="AL739">
            <v>0</v>
          </cell>
          <cell r="AM739">
            <v>0</v>
          </cell>
          <cell r="AN739">
            <v>0</v>
          </cell>
          <cell r="AO739">
            <v>0</v>
          </cell>
          <cell r="AP739">
            <v>0</v>
          </cell>
          <cell r="AQ739">
            <v>0</v>
          </cell>
          <cell r="AR739">
            <v>0</v>
          </cell>
          <cell r="AS739">
            <v>0</v>
          </cell>
          <cell r="AT739">
            <v>0</v>
          </cell>
          <cell r="AU739">
            <v>0</v>
          </cell>
          <cell r="AV739">
            <v>0</v>
          </cell>
          <cell r="AW739">
            <v>0</v>
          </cell>
          <cell r="AX739">
            <v>4100</v>
          </cell>
          <cell r="AY739">
            <v>4100</v>
          </cell>
          <cell r="AZ739">
            <v>6650</v>
          </cell>
          <cell r="BA739">
            <v>6650</v>
          </cell>
        </row>
        <row r="740">
          <cell r="A740" t="str">
            <v>New SJM</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78.260869565217391</v>
          </cell>
          <cell r="AQ740">
            <v>19.565217391304348</v>
          </cell>
          <cell r="AR740">
            <v>2212.4</v>
          </cell>
          <cell r="AS740">
            <v>3509.2</v>
          </cell>
          <cell r="AT740">
            <v>5129.2000000000007</v>
          </cell>
          <cell r="AU740">
            <v>5249.2000000000007</v>
          </cell>
          <cell r="AV740">
            <v>4025</v>
          </cell>
          <cell r="AW740">
            <v>6061.5</v>
          </cell>
          <cell r="AX740">
            <v>11561.5</v>
          </cell>
          <cell r="AY740">
            <v>13211.5</v>
          </cell>
          <cell r="AZ740">
            <v>18711.5</v>
          </cell>
          <cell r="BA740">
            <v>18711.5</v>
          </cell>
          <cell r="BK740">
            <v>4840</v>
          </cell>
          <cell r="BL740">
            <v>-815</v>
          </cell>
        </row>
        <row r="741">
          <cell r="A741" t="str">
            <v>Old SJM</v>
          </cell>
          <cell r="X741">
            <v>2849.3333333333335</v>
          </cell>
          <cell r="Y741">
            <v>2849.3333333333335</v>
          </cell>
          <cell r="Z741">
            <v>2849.3333333333335</v>
          </cell>
          <cell r="AA741">
            <v>2871</v>
          </cell>
          <cell r="AB741">
            <v>2854.75</v>
          </cell>
          <cell r="AC741">
            <v>2871</v>
          </cell>
          <cell r="AD741">
            <v>3200.2087912087914</v>
          </cell>
          <cell r="AE741">
            <v>2658</v>
          </cell>
          <cell r="AF741">
            <v>4784.594202898551</v>
          </cell>
          <cell r="AG741">
            <v>3378.4507485268355</v>
          </cell>
          <cell r="AH741">
            <v>6372.666666666667</v>
          </cell>
          <cell r="AI741">
            <v>6891.166666666667</v>
          </cell>
          <cell r="AJ741">
            <v>7218.666666666667</v>
          </cell>
          <cell r="AK741">
            <v>7724.5</v>
          </cell>
          <cell r="AL741">
            <v>7051.75</v>
          </cell>
          <cell r="AM741">
            <v>8482.1666666666661</v>
          </cell>
          <cell r="AN741">
            <v>9213.6666666666679</v>
          </cell>
          <cell r="AO741">
            <v>9268.032608695652</v>
          </cell>
          <cell r="AP741">
            <v>9323.2608695652179</v>
          </cell>
          <cell r="AQ741">
            <v>9071.7817028985519</v>
          </cell>
          <cell r="AR741">
            <v>9902.0463768115951</v>
          </cell>
          <cell r="AS741">
            <v>9902.0463768115951</v>
          </cell>
          <cell r="AT741">
            <v>9982.0463768115951</v>
          </cell>
          <cell r="AU741">
            <v>10062.046376811595</v>
          </cell>
          <cell r="AV741">
            <v>9962.0463768115951</v>
          </cell>
          <cell r="AW741">
            <v>10605.22463768116</v>
          </cell>
          <cell r="AX741">
            <v>10680.22463768116</v>
          </cell>
          <cell r="AY741">
            <v>10980.224637681158</v>
          </cell>
          <cell r="AZ741">
            <v>11280.224637681158</v>
          </cell>
          <cell r="BA741">
            <v>11580.224637681158</v>
          </cell>
          <cell r="BK741">
            <v>9503.6456521739128</v>
          </cell>
          <cell r="BL741">
            <v>458.40072463768229</v>
          </cell>
        </row>
        <row r="742">
          <cell r="A742" t="str">
            <v xml:space="preserve">  Check</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K742">
            <v>0</v>
          </cell>
          <cell r="BL742">
            <v>0</v>
          </cell>
        </row>
        <row r="743">
          <cell r="BL743">
            <v>0</v>
          </cell>
        </row>
        <row r="744">
          <cell r="A744" t="str">
            <v>Slots scaling factor</v>
          </cell>
          <cell r="B744">
            <v>0.33333333333333331</v>
          </cell>
          <cell r="C744">
            <v>0.33333333333333331</v>
          </cell>
          <cell r="D744">
            <v>0.33333333333333331</v>
          </cell>
          <cell r="E744">
            <v>0.33333333333333331</v>
          </cell>
          <cell r="F744">
            <v>0.33333333333333331</v>
          </cell>
          <cell r="G744">
            <v>0.33333333333333331</v>
          </cell>
          <cell r="H744">
            <v>0.33333333333333331</v>
          </cell>
          <cell r="I744">
            <v>0.33333333333333331</v>
          </cell>
          <cell r="J744">
            <v>0.33333333333333331</v>
          </cell>
          <cell r="K744">
            <v>0.33333333333333331</v>
          </cell>
          <cell r="L744">
            <v>0.33333333333333331</v>
          </cell>
          <cell r="M744">
            <v>0.33333333333333331</v>
          </cell>
          <cell r="N744">
            <v>0.33333333333333331</v>
          </cell>
          <cell r="O744">
            <v>0.33333333333333331</v>
          </cell>
          <cell r="P744">
            <v>0.33333333333333331</v>
          </cell>
          <cell r="Q744">
            <v>0.33333333333333331</v>
          </cell>
          <cell r="R744">
            <v>0.33333333333333331</v>
          </cell>
          <cell r="S744">
            <v>0.33333333333333331</v>
          </cell>
          <cell r="T744">
            <v>0.33333333333333331</v>
          </cell>
          <cell r="U744">
            <v>0.33333333333333331</v>
          </cell>
          <cell r="V744">
            <v>0.33333333333333331</v>
          </cell>
          <cell r="W744">
            <v>0.33333333333333331</v>
          </cell>
          <cell r="X744">
            <v>0.33333333333333331</v>
          </cell>
          <cell r="Y744">
            <v>0.33333333333333331</v>
          </cell>
          <cell r="Z744">
            <v>0.33333333333333331</v>
          </cell>
          <cell r="AA744">
            <v>0.33333333333333331</v>
          </cell>
          <cell r="AB744">
            <v>0.33333333333333331</v>
          </cell>
          <cell r="AC744">
            <v>0.33333333333333331</v>
          </cell>
          <cell r="AD744">
            <v>0.33333333333333331</v>
          </cell>
          <cell r="AE744">
            <v>0.33333333333333331</v>
          </cell>
          <cell r="AF744">
            <v>0.33333333333333331</v>
          </cell>
          <cell r="AG744">
            <v>0.33333333333333331</v>
          </cell>
          <cell r="AH744">
            <v>0.33333333333333331</v>
          </cell>
          <cell r="AI744">
            <v>0.33333333333333331</v>
          </cell>
          <cell r="AJ744">
            <v>0.33333333333333331</v>
          </cell>
          <cell r="AK744">
            <v>0.33333333333333331</v>
          </cell>
          <cell r="AL744">
            <v>0.33333333333333331</v>
          </cell>
          <cell r="AM744">
            <v>0.33333333333333331</v>
          </cell>
          <cell r="AN744">
            <v>0.33333333333333331</v>
          </cell>
          <cell r="AO744">
            <v>0.33333333333333331</v>
          </cell>
          <cell r="AP744">
            <v>0.33333333333333331</v>
          </cell>
          <cell r="AQ744">
            <v>0.33333333333333331</v>
          </cell>
          <cell r="AR744">
            <v>0.4</v>
          </cell>
          <cell r="AS744">
            <v>0.4</v>
          </cell>
          <cell r="AT744">
            <v>0.4</v>
          </cell>
          <cell r="AU744">
            <v>0.4</v>
          </cell>
          <cell r="AV744">
            <v>0.4</v>
          </cell>
          <cell r="AW744">
            <v>0.5</v>
          </cell>
          <cell r="AX744">
            <v>0.5</v>
          </cell>
          <cell r="AY744">
            <v>0.5</v>
          </cell>
          <cell r="AZ744">
            <v>0.5</v>
          </cell>
          <cell r="BA744">
            <v>0.5</v>
          </cell>
          <cell r="BK744">
            <v>0.4</v>
          </cell>
          <cell r="BL744">
            <v>0</v>
          </cell>
        </row>
        <row r="745">
          <cell r="A745" t="str">
            <v>Positions per table</v>
          </cell>
          <cell r="B745">
            <v>10</v>
          </cell>
          <cell r="C745">
            <v>10</v>
          </cell>
          <cell r="D745">
            <v>10</v>
          </cell>
          <cell r="E745">
            <v>10</v>
          </cell>
          <cell r="F745">
            <v>10</v>
          </cell>
          <cell r="G745">
            <v>10</v>
          </cell>
          <cell r="H745">
            <v>10</v>
          </cell>
          <cell r="I745">
            <v>10</v>
          </cell>
          <cell r="J745">
            <v>10</v>
          </cell>
          <cell r="K745">
            <v>10</v>
          </cell>
          <cell r="L745">
            <v>10</v>
          </cell>
          <cell r="M745">
            <v>10</v>
          </cell>
          <cell r="N745">
            <v>10</v>
          </cell>
          <cell r="O745">
            <v>10</v>
          </cell>
          <cell r="P745">
            <v>10</v>
          </cell>
          <cell r="Q745">
            <v>10</v>
          </cell>
          <cell r="R745">
            <v>10</v>
          </cell>
          <cell r="S745">
            <v>10</v>
          </cell>
          <cell r="T745">
            <v>10</v>
          </cell>
          <cell r="U745">
            <v>10</v>
          </cell>
          <cell r="V745">
            <v>10</v>
          </cell>
          <cell r="W745">
            <v>10</v>
          </cell>
          <cell r="X745">
            <v>10</v>
          </cell>
          <cell r="Y745">
            <v>10</v>
          </cell>
          <cell r="Z745">
            <v>10</v>
          </cell>
          <cell r="AA745">
            <v>10</v>
          </cell>
          <cell r="AB745">
            <v>10</v>
          </cell>
          <cell r="AC745">
            <v>10</v>
          </cell>
          <cell r="AD745">
            <v>10</v>
          </cell>
          <cell r="AE745">
            <v>10</v>
          </cell>
          <cell r="AF745">
            <v>10</v>
          </cell>
          <cell r="AG745">
            <v>10</v>
          </cell>
          <cell r="AH745">
            <v>10</v>
          </cell>
          <cell r="AI745">
            <v>10</v>
          </cell>
          <cell r="AJ745">
            <v>10</v>
          </cell>
          <cell r="AK745">
            <v>10</v>
          </cell>
          <cell r="AL745">
            <v>10</v>
          </cell>
          <cell r="AM745">
            <v>10</v>
          </cell>
          <cell r="AN745">
            <v>10</v>
          </cell>
          <cell r="AO745">
            <v>10</v>
          </cell>
          <cell r="AP745">
            <v>10</v>
          </cell>
          <cell r="AQ745">
            <v>10</v>
          </cell>
          <cell r="AR745">
            <v>10</v>
          </cell>
          <cell r="AS745">
            <v>10</v>
          </cell>
          <cell r="AT745">
            <v>10</v>
          </cell>
          <cell r="AU745">
            <v>10</v>
          </cell>
          <cell r="AV745">
            <v>10</v>
          </cell>
          <cell r="AW745">
            <v>10</v>
          </cell>
          <cell r="AX745">
            <v>10</v>
          </cell>
          <cell r="AY745">
            <v>10</v>
          </cell>
          <cell r="AZ745">
            <v>10</v>
          </cell>
          <cell r="BA745">
            <v>10</v>
          </cell>
          <cell r="BK745">
            <v>10</v>
          </cell>
          <cell r="BL745">
            <v>0</v>
          </cell>
        </row>
        <row r="746">
          <cell r="BL746">
            <v>0</v>
          </cell>
        </row>
        <row r="747">
          <cell r="A747" t="str">
            <v>Average Hotel Rooms</v>
          </cell>
          <cell r="BL747">
            <v>0</v>
          </cell>
        </row>
        <row r="748">
          <cell r="A748" t="str">
            <v>Ponte 16 (SJM)</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210</v>
          </cell>
          <cell r="AX748">
            <v>420</v>
          </cell>
          <cell r="AY748">
            <v>420</v>
          </cell>
          <cell r="AZ748">
            <v>420</v>
          </cell>
          <cell r="BA748">
            <v>420</v>
          </cell>
          <cell r="BK748">
            <v>0</v>
          </cell>
          <cell r="BL748">
            <v>0</v>
          </cell>
        </row>
        <row r="749">
          <cell r="A749" t="str">
            <v>Grand Lisboa (SJM)</v>
          </cell>
          <cell r="X749">
            <v>0</v>
          </cell>
          <cell r="Y749">
            <v>0</v>
          </cell>
          <cell r="Z749">
            <v>0</v>
          </cell>
          <cell r="AA749">
            <v>0</v>
          </cell>
          <cell r="AB749">
            <v>0</v>
          </cell>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650</v>
          </cell>
          <cell r="AU749">
            <v>650</v>
          </cell>
          <cell r="AV749">
            <v>325</v>
          </cell>
          <cell r="AW749">
            <v>650</v>
          </cell>
          <cell r="AX749">
            <v>650</v>
          </cell>
          <cell r="AY749">
            <v>650</v>
          </cell>
          <cell r="AZ749">
            <v>650</v>
          </cell>
          <cell r="BA749">
            <v>650</v>
          </cell>
          <cell r="BK749">
            <v>650</v>
          </cell>
          <cell r="BL749">
            <v>-325</v>
          </cell>
        </row>
        <row r="750">
          <cell r="A750" t="str">
            <v>Arc de Triomphe (SJM)</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400</v>
          </cell>
          <cell r="AX750">
            <v>400</v>
          </cell>
          <cell r="AY750">
            <v>400</v>
          </cell>
          <cell r="AZ750">
            <v>400</v>
          </cell>
          <cell r="BA750">
            <v>400</v>
          </cell>
          <cell r="BK750">
            <v>0</v>
          </cell>
          <cell r="BL750">
            <v>0</v>
          </cell>
        </row>
        <row r="751">
          <cell r="A751" t="str">
            <v>Oceanus (SJM)</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600</v>
          </cell>
          <cell r="AY751">
            <v>600</v>
          </cell>
          <cell r="AZ751">
            <v>600</v>
          </cell>
          <cell r="BA751">
            <v>600</v>
          </cell>
          <cell r="BK751">
            <v>0</v>
          </cell>
          <cell r="BL751">
            <v>0</v>
          </cell>
        </row>
        <row r="752">
          <cell r="A752" t="str">
            <v>Shun Tak Nam Van (SJM)</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500</v>
          </cell>
          <cell r="AZ752">
            <v>500</v>
          </cell>
          <cell r="BA752">
            <v>500</v>
          </cell>
          <cell r="BK752">
            <v>0</v>
          </cell>
          <cell r="BL752">
            <v>0</v>
          </cell>
        </row>
        <row r="753">
          <cell r="A753" t="str">
            <v>Shun Tak Cotai (SJM)</v>
          </cell>
          <cell r="X753">
            <v>0</v>
          </cell>
          <cell r="Y753">
            <v>0</v>
          </cell>
          <cell r="Z753">
            <v>0</v>
          </cell>
          <cell r="AA753">
            <v>0</v>
          </cell>
          <cell r="AB753">
            <v>0</v>
          </cell>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2000</v>
          </cell>
          <cell r="BA753">
            <v>2000</v>
          </cell>
          <cell r="BK753">
            <v>0</v>
          </cell>
          <cell r="BL753">
            <v>0</v>
          </cell>
        </row>
        <row r="754">
          <cell r="A754" t="str">
            <v>Crown Macau (Melco/PBL)</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171.69230769230768</v>
          </cell>
          <cell r="AT754">
            <v>248</v>
          </cell>
          <cell r="AU754">
            <v>248</v>
          </cell>
          <cell r="AV754">
            <v>166.92307692307691</v>
          </cell>
          <cell r="AW754">
            <v>248</v>
          </cell>
          <cell r="AX754">
            <v>248</v>
          </cell>
          <cell r="AY754">
            <v>248</v>
          </cell>
          <cell r="AZ754">
            <v>248</v>
          </cell>
          <cell r="BA754">
            <v>248</v>
          </cell>
          <cell r="BK754">
            <v>180</v>
          </cell>
          <cell r="BL754">
            <v>-13.076923076923094</v>
          </cell>
        </row>
        <row r="755">
          <cell r="A755" t="str">
            <v>Penninsula Project (Melco/PBL)</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75</v>
          </cell>
          <cell r="AY755">
            <v>150</v>
          </cell>
          <cell r="AZ755">
            <v>150</v>
          </cell>
          <cell r="BA755">
            <v>150</v>
          </cell>
          <cell r="BK755">
            <v>0</v>
          </cell>
          <cell r="BL755">
            <v>0</v>
          </cell>
        </row>
        <row r="756">
          <cell r="A756" t="str">
            <v>City of Dreams (Melco/PBL)</v>
          </cell>
          <cell r="X756">
            <v>0</v>
          </cell>
          <cell r="Y756">
            <v>0</v>
          </cell>
          <cell r="Z756">
            <v>0</v>
          </cell>
          <cell r="AA756">
            <v>0</v>
          </cell>
          <cell r="AB756">
            <v>0</v>
          </cell>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1140</v>
          </cell>
          <cell r="AY756">
            <v>1640</v>
          </cell>
          <cell r="AZ756">
            <v>1640</v>
          </cell>
          <cell r="BA756">
            <v>1640</v>
          </cell>
          <cell r="BK756">
            <v>0</v>
          </cell>
          <cell r="BL756">
            <v>0</v>
          </cell>
        </row>
        <row r="757">
          <cell r="A757" t="str">
            <v>Galaxy Grand Waldo (Galaxy)</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160</v>
          </cell>
          <cell r="AO757">
            <v>320</v>
          </cell>
          <cell r="AP757">
            <v>320</v>
          </cell>
          <cell r="AQ757">
            <v>200</v>
          </cell>
          <cell r="AR757">
            <v>320</v>
          </cell>
          <cell r="AS757">
            <v>320</v>
          </cell>
          <cell r="AT757">
            <v>320</v>
          </cell>
          <cell r="AU757">
            <v>320</v>
          </cell>
          <cell r="AV757">
            <v>320</v>
          </cell>
          <cell r="AW757">
            <v>320</v>
          </cell>
          <cell r="AX757">
            <v>320</v>
          </cell>
          <cell r="AY757">
            <v>320</v>
          </cell>
          <cell r="AZ757">
            <v>320</v>
          </cell>
          <cell r="BA757">
            <v>320</v>
          </cell>
          <cell r="BK757">
            <v>320</v>
          </cell>
          <cell r="BL757">
            <v>0</v>
          </cell>
        </row>
        <row r="758">
          <cell r="A758" t="str">
            <v>Galaxy StarWorld (Galaxy)</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203.84782608695653</v>
          </cell>
          <cell r="AQ758">
            <v>50.961956521739133</v>
          </cell>
          <cell r="AR758">
            <v>461.33333333333331</v>
          </cell>
          <cell r="AS758">
            <v>507</v>
          </cell>
          <cell r="AT758">
            <v>507</v>
          </cell>
          <cell r="AU758">
            <v>507</v>
          </cell>
          <cell r="AV758">
            <v>495.58333333333331</v>
          </cell>
          <cell r="AW758">
            <v>507</v>
          </cell>
          <cell r="AX758">
            <v>507</v>
          </cell>
          <cell r="AY758">
            <v>507</v>
          </cell>
          <cell r="AZ758">
            <v>507</v>
          </cell>
          <cell r="BA758">
            <v>507</v>
          </cell>
          <cell r="BK758">
            <v>500</v>
          </cell>
          <cell r="BL758">
            <v>-4.4166666666666856</v>
          </cell>
        </row>
        <row r="759">
          <cell r="A759" t="str">
            <v>Galaxy Cotai Mega Resort (Galaxy)</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750</v>
          </cell>
          <cell r="AX759">
            <v>1500</v>
          </cell>
          <cell r="AY759">
            <v>1500</v>
          </cell>
          <cell r="AZ759">
            <v>1500</v>
          </cell>
          <cell r="BA759">
            <v>1500</v>
          </cell>
          <cell r="BK759">
            <v>0</v>
          </cell>
          <cell r="BL759">
            <v>0</v>
          </cell>
        </row>
        <row r="760">
          <cell r="A760" t="str">
            <v>Sands Macao (LVS)</v>
          </cell>
          <cell r="X760">
            <v>0</v>
          </cell>
          <cell r="Y760">
            <v>0</v>
          </cell>
          <cell r="Z760">
            <v>0</v>
          </cell>
          <cell r="AA760">
            <v>0</v>
          </cell>
          <cell r="AB760">
            <v>0</v>
          </cell>
          <cell r="AC760">
            <v>0</v>
          </cell>
          <cell r="AD760">
            <v>0</v>
          </cell>
          <cell r="AE760">
            <v>25.5</v>
          </cell>
          <cell r="AF760">
            <v>51</v>
          </cell>
          <cell r="AG760">
            <v>19.125</v>
          </cell>
          <cell r="AH760">
            <v>51</v>
          </cell>
          <cell r="AI760">
            <v>51</v>
          </cell>
          <cell r="AJ760">
            <v>51</v>
          </cell>
          <cell r="AK760">
            <v>51</v>
          </cell>
          <cell r="AL760">
            <v>51</v>
          </cell>
          <cell r="AM760">
            <v>51</v>
          </cell>
          <cell r="AN760">
            <v>51</v>
          </cell>
          <cell r="AO760">
            <v>51</v>
          </cell>
          <cell r="AP760">
            <v>51</v>
          </cell>
          <cell r="AQ760">
            <v>51</v>
          </cell>
          <cell r="AR760">
            <v>51</v>
          </cell>
          <cell r="AS760">
            <v>51</v>
          </cell>
          <cell r="AT760">
            <v>231</v>
          </cell>
          <cell r="AU760">
            <v>231</v>
          </cell>
          <cell r="AV760">
            <v>141</v>
          </cell>
          <cell r="AW760">
            <v>231</v>
          </cell>
          <cell r="AX760">
            <v>231</v>
          </cell>
          <cell r="AY760">
            <v>231</v>
          </cell>
          <cell r="AZ760">
            <v>231</v>
          </cell>
          <cell r="BA760">
            <v>231</v>
          </cell>
          <cell r="BK760">
            <v>141</v>
          </cell>
          <cell r="BL760">
            <v>0</v>
          </cell>
        </row>
        <row r="761">
          <cell r="A761" t="str">
            <v>Venetian Macao (LVS)</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3000</v>
          </cell>
          <cell r="AU761">
            <v>3000</v>
          </cell>
          <cell r="AV761">
            <v>1500</v>
          </cell>
          <cell r="AW761">
            <v>3000</v>
          </cell>
          <cell r="AX761">
            <v>3000</v>
          </cell>
          <cell r="AY761">
            <v>3000</v>
          </cell>
          <cell r="AZ761">
            <v>3000</v>
          </cell>
          <cell r="BA761">
            <v>3000</v>
          </cell>
          <cell r="BK761">
            <v>1500</v>
          </cell>
          <cell r="BL761">
            <v>0</v>
          </cell>
        </row>
        <row r="762">
          <cell r="A762" t="str">
            <v>Cotai Site 2 - Four Seasons (LVS)</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400</v>
          </cell>
          <cell r="AX762">
            <v>400</v>
          </cell>
          <cell r="AY762">
            <v>400</v>
          </cell>
          <cell r="AZ762">
            <v>400</v>
          </cell>
          <cell r="BA762">
            <v>400</v>
          </cell>
          <cell r="BK762">
            <v>0</v>
          </cell>
          <cell r="BL762">
            <v>0</v>
          </cell>
        </row>
        <row r="763">
          <cell r="A763" t="str">
            <v>Cotai Site 3 - Far East (LVS)</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1800</v>
          </cell>
          <cell r="AY763">
            <v>3600</v>
          </cell>
          <cell r="AZ763">
            <v>3600</v>
          </cell>
          <cell r="BA763">
            <v>3600</v>
          </cell>
          <cell r="BK763">
            <v>0</v>
          </cell>
          <cell r="BL763">
            <v>0</v>
          </cell>
        </row>
        <row r="764">
          <cell r="A764" t="str">
            <v>Cotai Site 5 - Shangri-La/St.Regis/Traders (LVS)</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900</v>
          </cell>
          <cell r="AX764">
            <v>2200</v>
          </cell>
          <cell r="AY764">
            <v>2200</v>
          </cell>
          <cell r="AZ764">
            <v>2200</v>
          </cell>
          <cell r="BA764">
            <v>2200</v>
          </cell>
          <cell r="BK764">
            <v>0</v>
          </cell>
          <cell r="BL764">
            <v>0</v>
          </cell>
        </row>
        <row r="765">
          <cell r="A765" t="str">
            <v>Cotai Site 6 - Sheraton (LVS)</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1000</v>
          </cell>
          <cell r="AX765">
            <v>4000</v>
          </cell>
          <cell r="AY765">
            <v>4000</v>
          </cell>
          <cell r="AZ765">
            <v>4000</v>
          </cell>
          <cell r="BA765">
            <v>4000</v>
          </cell>
          <cell r="BK765">
            <v>0</v>
          </cell>
          <cell r="BL765">
            <v>0</v>
          </cell>
        </row>
        <row r="766">
          <cell r="A766" t="str">
            <v>Cotai Site 7 - Hilton (LVS)</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750</v>
          </cell>
          <cell r="AY766">
            <v>3000</v>
          </cell>
          <cell r="AZ766">
            <v>3000</v>
          </cell>
          <cell r="BA766">
            <v>3000</v>
          </cell>
          <cell r="BK766">
            <v>0</v>
          </cell>
          <cell r="BL766">
            <v>0</v>
          </cell>
        </row>
        <row r="767">
          <cell r="A767" t="str">
            <v>Cotai Site 8 - FHR/Raffles (LVS)</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750</v>
          </cell>
          <cell r="AY767">
            <v>3000</v>
          </cell>
          <cell r="AZ767">
            <v>3000</v>
          </cell>
          <cell r="BA767">
            <v>3000</v>
          </cell>
          <cell r="BK767">
            <v>0</v>
          </cell>
          <cell r="BL767">
            <v>0</v>
          </cell>
        </row>
        <row r="768">
          <cell r="A768" t="str">
            <v>Wynn Macau (WYNN)</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163.04347826086956</v>
          </cell>
          <cell r="AP768">
            <v>600</v>
          </cell>
          <cell r="AQ768">
            <v>190.76086956521738</v>
          </cell>
          <cell r="AR768">
            <v>600</v>
          </cell>
          <cell r="AS768">
            <v>600</v>
          </cell>
          <cell r="AT768">
            <v>600</v>
          </cell>
          <cell r="AU768">
            <v>600</v>
          </cell>
          <cell r="AV768">
            <v>600</v>
          </cell>
          <cell r="AW768">
            <v>600</v>
          </cell>
          <cell r="AX768">
            <v>1100</v>
          </cell>
          <cell r="AY768">
            <v>1100</v>
          </cell>
          <cell r="AZ768">
            <v>1100</v>
          </cell>
          <cell r="BA768">
            <v>1100</v>
          </cell>
          <cell r="BK768">
            <v>600</v>
          </cell>
          <cell r="BL768">
            <v>0</v>
          </cell>
        </row>
        <row r="769">
          <cell r="A769" t="str">
            <v>Wynn Cotai (WYNN)</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3000</v>
          </cell>
          <cell r="AZ769">
            <v>3000</v>
          </cell>
          <cell r="BA769">
            <v>3000</v>
          </cell>
          <cell r="BK769">
            <v>0</v>
          </cell>
          <cell r="BL769">
            <v>0</v>
          </cell>
        </row>
        <row r="770">
          <cell r="A770" t="str">
            <v>Wynn Cotai #2 (WYNN)</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3000</v>
          </cell>
          <cell r="AZ770">
            <v>3000</v>
          </cell>
          <cell r="BA770">
            <v>3000</v>
          </cell>
          <cell r="BK770">
            <v>0</v>
          </cell>
          <cell r="BL770">
            <v>0</v>
          </cell>
        </row>
        <row r="771">
          <cell r="A771" t="str">
            <v>MGM Grand (MGM)</v>
          </cell>
          <cell r="X771">
            <v>0</v>
          </cell>
          <cell r="Y771">
            <v>0</v>
          </cell>
          <cell r="Z771">
            <v>0</v>
          </cell>
          <cell r="AA771">
            <v>0</v>
          </cell>
          <cell r="AB771">
            <v>0</v>
          </cell>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600</v>
          </cell>
          <cell r="AV771">
            <v>150</v>
          </cell>
          <cell r="AW771">
            <v>600</v>
          </cell>
          <cell r="AX771">
            <v>600</v>
          </cell>
          <cell r="AY771">
            <v>600</v>
          </cell>
          <cell r="AZ771">
            <v>600</v>
          </cell>
          <cell r="BA771">
            <v>600</v>
          </cell>
          <cell r="BK771">
            <v>150</v>
          </cell>
          <cell r="BL771">
            <v>0</v>
          </cell>
        </row>
        <row r="772">
          <cell r="A772" t="str">
            <v>MGM Cotai #1 (MGM)</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600</v>
          </cell>
          <cell r="AZ772">
            <v>600</v>
          </cell>
          <cell r="BA772">
            <v>600</v>
          </cell>
        </row>
        <row r="773">
          <cell r="A773" t="str">
            <v>Macau Studio City (eSun)</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1500</v>
          </cell>
          <cell r="AY773">
            <v>1500</v>
          </cell>
          <cell r="AZ773">
            <v>1500</v>
          </cell>
          <cell r="BA773">
            <v>1500</v>
          </cell>
          <cell r="BK773">
            <v>0</v>
          </cell>
          <cell r="BL773">
            <v>0</v>
          </cell>
        </row>
        <row r="774">
          <cell r="A774" t="str">
            <v>Mandarin Oriental (Shun Tak)</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210</v>
          </cell>
          <cell r="AY774">
            <v>210</v>
          </cell>
          <cell r="AZ774">
            <v>210</v>
          </cell>
          <cell r="BA774">
            <v>210</v>
          </cell>
          <cell r="BK774">
            <v>0</v>
          </cell>
          <cell r="BL774">
            <v>0</v>
          </cell>
        </row>
        <row r="775">
          <cell r="A775" t="str">
            <v>Nova de Taipa Phase 5 (Shun Tak)</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600</v>
          </cell>
          <cell r="AZ775">
            <v>600</v>
          </cell>
          <cell r="BA775">
            <v>600</v>
          </cell>
          <cell r="BK775">
            <v>0</v>
          </cell>
          <cell r="BL775">
            <v>0</v>
          </cell>
        </row>
        <row r="776">
          <cell r="A776" t="str">
            <v>Other</v>
          </cell>
          <cell r="X776">
            <v>8944.3333333333339</v>
          </cell>
          <cell r="Y776">
            <v>8922.6666666666661</v>
          </cell>
          <cell r="Z776">
            <v>8858.3333333333339</v>
          </cell>
          <cell r="AA776">
            <v>9087.3333333333339</v>
          </cell>
          <cell r="AB776">
            <v>8953.1666666666679</v>
          </cell>
          <cell r="AC776">
            <v>9232.3333333333339</v>
          </cell>
          <cell r="AD776">
            <v>9310.3333333333339</v>
          </cell>
          <cell r="AE776">
            <v>9228.1666666666661</v>
          </cell>
          <cell r="AF776">
            <v>9082.6666666666661</v>
          </cell>
          <cell r="AG776">
            <v>9213.375</v>
          </cell>
          <cell r="AH776">
            <v>10171.333333333334</v>
          </cell>
          <cell r="AI776">
            <v>10502.666666666666</v>
          </cell>
          <cell r="AJ776">
            <v>10545.666666666666</v>
          </cell>
          <cell r="AK776">
            <v>10715.666666666666</v>
          </cell>
          <cell r="AL776">
            <v>10483.833333333332</v>
          </cell>
          <cell r="AM776">
            <v>11066.666666666666</v>
          </cell>
          <cell r="AN776">
            <v>11254.333333333334</v>
          </cell>
          <cell r="AO776">
            <v>11463.95652173913</v>
          </cell>
          <cell r="AP776">
            <v>11521.81884057971</v>
          </cell>
          <cell r="AQ776">
            <v>11326.69384057971</v>
          </cell>
          <cell r="AR776">
            <v>11521.81884057971</v>
          </cell>
          <cell r="AS776">
            <v>11521.81884057971</v>
          </cell>
          <cell r="AT776">
            <v>11521.81884057971</v>
          </cell>
          <cell r="AU776">
            <v>11521.81884057971</v>
          </cell>
          <cell r="AV776">
            <v>11521.81884057971</v>
          </cell>
          <cell r="AW776">
            <v>11521.81884057971</v>
          </cell>
          <cell r="AX776">
            <v>11521.81884057971</v>
          </cell>
          <cell r="AY776">
            <v>11521.81884057971</v>
          </cell>
          <cell r="AZ776">
            <v>11521.81884057971</v>
          </cell>
          <cell r="BA776">
            <v>11521.81884057971</v>
          </cell>
          <cell r="BK776">
            <v>11254.333333333334</v>
          </cell>
          <cell r="BL776">
            <v>267.48550724637607</v>
          </cell>
        </row>
        <row r="777">
          <cell r="X777" t="str">
            <v>______</v>
          </cell>
          <cell r="Y777" t="str">
            <v>______</v>
          </cell>
          <cell r="Z777" t="str">
            <v>______</v>
          </cell>
          <cell r="AA777" t="str">
            <v>______</v>
          </cell>
          <cell r="AB777" t="str">
            <v>______</v>
          </cell>
          <cell r="AC777" t="str">
            <v>______</v>
          </cell>
          <cell r="AD777" t="str">
            <v>______</v>
          </cell>
          <cell r="AE777" t="str">
            <v>______</v>
          </cell>
          <cell r="AF777" t="str">
            <v>______</v>
          </cell>
          <cell r="AG777" t="str">
            <v>______</v>
          </cell>
          <cell r="AH777" t="str">
            <v>______</v>
          </cell>
          <cell r="AI777" t="str">
            <v>______</v>
          </cell>
          <cell r="AJ777" t="str">
            <v>______</v>
          </cell>
          <cell r="AK777" t="str">
            <v>______</v>
          </cell>
          <cell r="AL777" t="str">
            <v>______</v>
          </cell>
          <cell r="AM777" t="str">
            <v>______</v>
          </cell>
          <cell r="AN777" t="str">
            <v>______</v>
          </cell>
          <cell r="AO777" t="str">
            <v>______</v>
          </cell>
          <cell r="AP777" t="str">
            <v>______</v>
          </cell>
          <cell r="AQ777" t="str">
            <v>______</v>
          </cell>
          <cell r="AR777" t="str">
            <v>______</v>
          </cell>
          <cell r="AS777" t="str">
            <v>______</v>
          </cell>
          <cell r="AT777" t="str">
            <v>______</v>
          </cell>
          <cell r="AU777" t="str">
            <v>______</v>
          </cell>
          <cell r="AV777" t="str">
            <v>______</v>
          </cell>
          <cell r="AW777" t="str">
            <v>______</v>
          </cell>
          <cell r="AX777" t="str">
            <v>______</v>
          </cell>
          <cell r="AY777" t="str">
            <v>______</v>
          </cell>
          <cell r="AZ777" t="str">
            <v>______</v>
          </cell>
          <cell r="BA777" t="str">
            <v>______</v>
          </cell>
          <cell r="BK777" t="str">
            <v>______</v>
          </cell>
          <cell r="BL777" t="e">
            <v>#VALUE!</v>
          </cell>
        </row>
        <row r="778">
          <cell r="A778" t="str">
            <v>Total Average Hotel Rooms</v>
          </cell>
          <cell r="X778">
            <v>8944.3333333333339</v>
          </cell>
          <cell r="Y778">
            <v>8922.6666666666661</v>
          </cell>
          <cell r="Z778">
            <v>8858.3333333333339</v>
          </cell>
          <cell r="AA778">
            <v>9087.3333333333339</v>
          </cell>
          <cell r="AB778">
            <v>8953.1666666666679</v>
          </cell>
          <cell r="AC778">
            <v>9232.3333333333339</v>
          </cell>
          <cell r="AD778">
            <v>9310.3333333333339</v>
          </cell>
          <cell r="AE778">
            <v>9253.6666666666661</v>
          </cell>
          <cell r="AF778">
            <v>9133.6666666666661</v>
          </cell>
          <cell r="AG778">
            <v>9232.5</v>
          </cell>
          <cell r="AH778">
            <v>10222.333333333334</v>
          </cell>
          <cell r="AI778">
            <v>10553.666666666666</v>
          </cell>
          <cell r="AJ778">
            <v>10596.666666666666</v>
          </cell>
          <cell r="AK778">
            <v>10766.666666666666</v>
          </cell>
          <cell r="AL778">
            <v>10534.833333333332</v>
          </cell>
          <cell r="AM778">
            <v>11117.666666666666</v>
          </cell>
          <cell r="AN778">
            <v>11465.333333333334</v>
          </cell>
          <cell r="AO778">
            <v>11998</v>
          </cell>
          <cell r="AP778">
            <v>12696.666666666666</v>
          </cell>
          <cell r="AQ778">
            <v>11819.416666666666</v>
          </cell>
          <cell r="AR778">
            <v>12954.152173913044</v>
          </cell>
          <cell r="AS778">
            <v>13171.511148272017</v>
          </cell>
          <cell r="AT778">
            <v>17077.818840579712</v>
          </cell>
          <cell r="AU778">
            <v>17677.818840579712</v>
          </cell>
          <cell r="AV778">
            <v>15220.32525083612</v>
          </cell>
          <cell r="AW778">
            <v>21337.818840579712</v>
          </cell>
          <cell r="AX778">
            <v>33922.818840579712</v>
          </cell>
          <cell r="AY778">
            <v>48497.818840579712</v>
          </cell>
          <cell r="AZ778">
            <v>50497.818840579712</v>
          </cell>
          <cell r="BA778">
            <v>50497.818840579712</v>
          </cell>
          <cell r="BK778">
            <v>15295.333333333334</v>
          </cell>
          <cell r="BL778">
            <v>-75.008082497213763</v>
          </cell>
        </row>
        <row r="779">
          <cell r="A779" t="str">
            <v xml:space="preserve">  Growth</v>
          </cell>
          <cell r="AC779">
            <v>3.2199157753512564E-2</v>
          </cell>
          <cell r="AD779">
            <v>4.3447399880454318E-2</v>
          </cell>
          <cell r="AE779">
            <v>4.4628410159924581E-2</v>
          </cell>
          <cell r="AF779">
            <v>5.0986721443766481E-3</v>
          </cell>
          <cell r="AG779">
            <v>3.1199389415290435E-2</v>
          </cell>
          <cell r="AH779">
            <v>0.10723183016211135</v>
          </cell>
          <cell r="AI779">
            <v>0.13354337474490685</v>
          </cell>
          <cell r="AJ779">
            <v>0.14513165952235152</v>
          </cell>
          <cell r="AK779">
            <v>0.17878909528849318</v>
          </cell>
          <cell r="AL779">
            <v>0.14105966242440648</v>
          </cell>
          <cell r="AM779">
            <v>8.758600449995102E-2</v>
          </cell>
          <cell r="AN779">
            <v>8.6383879220492288E-2</v>
          </cell>
          <cell r="AO779">
            <v>0.13224284366152883</v>
          </cell>
          <cell r="AP779">
            <v>0.17925696594427243</v>
          </cell>
          <cell r="AQ779">
            <v>0.12193674951351863</v>
          </cell>
          <cell r="AR779">
            <v>0.16518623577306801</v>
          </cell>
          <cell r="AS779">
            <v>0.14881188059123285</v>
          </cell>
          <cell r="AT779">
            <v>0.42338880151522851</v>
          </cell>
          <cell r="AU779">
            <v>0.39231967765132936</v>
          </cell>
          <cell r="AV779">
            <v>0.28773912284188774</v>
          </cell>
          <cell r="AW779">
            <v>0.40192922877305337</v>
          </cell>
          <cell r="AX779">
            <v>0.58979786519070876</v>
          </cell>
          <cell r="AY779">
            <v>0.42965179481384541</v>
          </cell>
          <cell r="AZ779">
            <v>4.1238968015743671E-2</v>
          </cell>
          <cell r="BA779">
            <v>0</v>
          </cell>
          <cell r="BK779">
            <v>0.29242566927957458</v>
          </cell>
          <cell r="BL779">
            <v>-4.6865464376868449E-3</v>
          </cell>
        </row>
        <row r="782">
          <cell r="A782" t="str">
            <v>Sources:</v>
          </cell>
        </row>
        <row r="783">
          <cell r="A783" t="str">
            <v>Gross Receipts, gratuity exluded</v>
          </cell>
          <cell r="B783" t="str">
            <v>e_bet_pub_</v>
          </cell>
          <cell r="C783" t="str">
            <v>Economic Bulletin</v>
          </cell>
        </row>
        <row r="784">
          <cell r="A784" t="str">
            <v>Revenue from gambling tax</v>
          </cell>
          <cell r="B784" t="str">
            <v>e_bet_pub_</v>
          </cell>
          <cell r="C784" t="str">
            <v>Economic Bulletin</v>
          </cell>
        </row>
        <row r="785">
          <cell r="A785" t="str">
            <v>Non-resident workers (period-end)</v>
          </cell>
          <cell r="B785" t="str">
            <v>e_bet_pub_</v>
          </cell>
          <cell r="C785" t="str">
            <v>Economic Bulletin</v>
          </cell>
        </row>
        <row r="786">
          <cell r="A786" t="str">
            <v>Total employed population</v>
          </cell>
          <cell r="B786" t="str">
            <v>e_bet_pub_</v>
          </cell>
          <cell r="C786" t="str">
            <v>Economic Bulletin</v>
          </cell>
        </row>
        <row r="787">
          <cell r="A787" t="str">
            <v>Total employed population</v>
          </cell>
          <cell r="B787" t="str">
            <v>e_ie_pub_</v>
          </cell>
          <cell r="C787" t="str">
            <v>Employment Survey (quarterly)</v>
          </cell>
        </row>
        <row r="788">
          <cell r="A788" t="str">
            <v>Population (period-end)</v>
          </cell>
          <cell r="B788" t="str">
            <v>e_bet_pub_</v>
          </cell>
          <cell r="C788" t="str">
            <v>Economic Bulletin</v>
          </cell>
        </row>
        <row r="789">
          <cell r="A789" t="str">
            <v>Hotel &amp; restaurant employment</v>
          </cell>
          <cell r="B789" t="str">
            <v>e_ie_pub_</v>
          </cell>
          <cell r="C789" t="str">
            <v>Employment Survey (quarterly)</v>
          </cell>
        </row>
        <row r="790">
          <cell r="A790" t="str">
            <v>Other employment (includes gaming)</v>
          </cell>
          <cell r="B790" t="str">
            <v>e_ie_pub_</v>
          </cell>
          <cell r="C790" t="str">
            <v>Employment Survey (quarterly)</v>
          </cell>
        </row>
        <row r="791">
          <cell r="A791" t="str">
            <v>Construction Employment</v>
          </cell>
          <cell r="B791" t="str">
            <v>e_ie_pub_</v>
          </cell>
          <cell r="C791" t="str">
            <v>Employment Survey (quarterly)</v>
          </cell>
        </row>
        <row r="792">
          <cell r="A792" t="str">
            <v>Gaming Employment, Employment Survey</v>
          </cell>
          <cell r="B792" t="str">
            <v>e_ie_pub_</v>
          </cell>
          <cell r="C792" t="str">
            <v>Employment Survey (quarterly)</v>
          </cell>
        </row>
        <row r="793">
          <cell r="A793" t="str">
            <v>Unemployment Rate</v>
          </cell>
          <cell r="B793" t="str">
            <v>e_ie_pub_</v>
          </cell>
          <cell r="C793" t="str">
            <v>Employment Survey (quarterly)</v>
          </cell>
        </row>
        <row r="794">
          <cell r="A794" t="str">
            <v>Gambling Expenditures of Non-Residents (nominal)</v>
          </cell>
          <cell r="B794" t="str">
            <v>e_pib_fr_</v>
          </cell>
          <cell r="C794" t="str">
            <v>Gross Domestic Product</v>
          </cell>
        </row>
        <row r="795">
          <cell r="A795" t="str">
            <v>Gambling Expenditures of Non-Residents (1996 prices)</v>
          </cell>
          <cell r="B795" t="str">
            <v>e_pib_fr_</v>
          </cell>
          <cell r="C795" t="str">
            <v>Gross Domestic Product</v>
          </cell>
        </row>
        <row r="796">
          <cell r="A796" t="str">
            <v>GDP (nominal)</v>
          </cell>
          <cell r="B796" t="str">
            <v>e_pib_fr_</v>
          </cell>
          <cell r="C796" t="str">
            <v>Gross Domestic Product</v>
          </cell>
        </row>
        <row r="797">
          <cell r="A797" t="str">
            <v>Implicit GDP Deflator</v>
          </cell>
          <cell r="B797" t="str">
            <v>e_pib_fr_</v>
          </cell>
          <cell r="C797" t="str">
            <v>Gross Domestic Product</v>
          </cell>
        </row>
        <row r="798">
          <cell r="A798" t="str">
            <v>Unit counts</v>
          </cell>
          <cell r="B798" t="str">
            <v>Casino City</v>
          </cell>
        </row>
        <row r="799">
          <cell r="A799" t="str">
            <v>Real Estate</v>
          </cell>
          <cell r="B799" t="str">
            <v>e_ecp_fr</v>
          </cell>
          <cell r="C799" t="str">
            <v>Private Sector Construction Statistics</v>
          </cell>
        </row>
      </sheetData>
      <sheetData sheetId="2" refreshError="1">
        <row r="1">
          <cell r="B1" t="str">
            <v>Macau Monthly Data</v>
          </cell>
        </row>
        <row r="3">
          <cell r="B3" t="str">
            <v>Frequency</v>
          </cell>
          <cell r="C3" t="str">
            <v>A</v>
          </cell>
          <cell r="D3" t="str">
            <v>A</v>
          </cell>
          <cell r="E3" t="str">
            <v>A</v>
          </cell>
          <cell r="F3" t="str">
            <v>A</v>
          </cell>
          <cell r="G3" t="str">
            <v>A</v>
          </cell>
          <cell r="H3" t="str">
            <v>A</v>
          </cell>
          <cell r="I3" t="str">
            <v>A</v>
          </cell>
          <cell r="J3" t="str">
            <v>A</v>
          </cell>
          <cell r="K3" t="str">
            <v>A</v>
          </cell>
          <cell r="L3" t="str">
            <v>M</v>
          </cell>
          <cell r="M3" t="str">
            <v>M</v>
          </cell>
          <cell r="N3" t="str">
            <v>M</v>
          </cell>
          <cell r="O3" t="str">
            <v>M</v>
          </cell>
          <cell r="P3" t="str">
            <v>M</v>
          </cell>
          <cell r="Q3" t="str">
            <v>M</v>
          </cell>
          <cell r="R3" t="str">
            <v>M</v>
          </cell>
          <cell r="S3" t="str">
            <v>M</v>
          </cell>
          <cell r="T3" t="str">
            <v>M</v>
          </cell>
          <cell r="U3" t="str">
            <v>M</v>
          </cell>
          <cell r="V3" t="str">
            <v>M</v>
          </cell>
          <cell r="W3" t="str">
            <v>M</v>
          </cell>
          <cell r="X3" t="str">
            <v>M</v>
          </cell>
          <cell r="Y3" t="str">
            <v>M</v>
          </cell>
          <cell r="Z3" t="str">
            <v>M</v>
          </cell>
          <cell r="AA3" t="str">
            <v>M</v>
          </cell>
          <cell r="AB3" t="str">
            <v>M</v>
          </cell>
          <cell r="AC3" t="str">
            <v>M</v>
          </cell>
          <cell r="AD3" t="str">
            <v>M</v>
          </cell>
          <cell r="AE3" t="str">
            <v>M</v>
          </cell>
          <cell r="AF3" t="str">
            <v>M</v>
          </cell>
          <cell r="AG3" t="str">
            <v>M</v>
          </cell>
          <cell r="AH3" t="str">
            <v>M</v>
          </cell>
          <cell r="AI3" t="str">
            <v>M</v>
          </cell>
          <cell r="AJ3" t="str">
            <v>M</v>
          </cell>
          <cell r="AK3" t="str">
            <v>M</v>
          </cell>
          <cell r="AL3" t="str">
            <v>M</v>
          </cell>
          <cell r="AM3" t="str">
            <v>M</v>
          </cell>
          <cell r="AN3" t="str">
            <v>M</v>
          </cell>
          <cell r="AO3" t="str">
            <v>M</v>
          </cell>
          <cell r="AP3" t="str">
            <v>M</v>
          </cell>
          <cell r="AQ3" t="str">
            <v>M</v>
          </cell>
          <cell r="AR3" t="str">
            <v>M</v>
          </cell>
          <cell r="AS3" t="str">
            <v>M</v>
          </cell>
          <cell r="AT3" t="str">
            <v>M</v>
          </cell>
          <cell r="AU3" t="str">
            <v>M</v>
          </cell>
          <cell r="AV3" t="str">
            <v>M</v>
          </cell>
          <cell r="AW3" t="str">
            <v>M</v>
          </cell>
          <cell r="AX3" t="str">
            <v>M</v>
          </cell>
          <cell r="AY3" t="str">
            <v>M</v>
          </cell>
          <cell r="AZ3" t="str">
            <v>M</v>
          </cell>
          <cell r="BA3" t="str">
            <v>M</v>
          </cell>
          <cell r="BB3" t="str">
            <v>M</v>
          </cell>
          <cell r="BC3" t="str">
            <v>M</v>
          </cell>
          <cell r="BD3" t="str">
            <v>M</v>
          </cell>
          <cell r="BE3" t="str">
            <v>M</v>
          </cell>
          <cell r="BF3" t="str">
            <v>M</v>
          </cell>
          <cell r="BG3" t="str">
            <v>M</v>
          </cell>
          <cell r="BH3" t="str">
            <v>M</v>
          </cell>
          <cell r="BI3" t="str">
            <v>M</v>
          </cell>
          <cell r="BJ3" t="str">
            <v>M</v>
          </cell>
          <cell r="BK3" t="str">
            <v>M</v>
          </cell>
          <cell r="BL3" t="str">
            <v>M</v>
          </cell>
          <cell r="BM3" t="str">
            <v>M</v>
          </cell>
          <cell r="BN3" t="str">
            <v>M</v>
          </cell>
          <cell r="BO3" t="str">
            <v>M</v>
          </cell>
          <cell r="BP3" t="str">
            <v>M</v>
          </cell>
          <cell r="BQ3" t="str">
            <v>M</v>
          </cell>
          <cell r="BR3" t="str">
            <v>M</v>
          </cell>
          <cell r="BS3" t="str">
            <v>M</v>
          </cell>
          <cell r="BT3" t="str">
            <v>M</v>
          </cell>
          <cell r="BU3" t="str">
            <v>M</v>
          </cell>
          <cell r="BV3" t="str">
            <v>M</v>
          </cell>
          <cell r="BW3" t="str">
            <v>M</v>
          </cell>
          <cell r="BX3" t="str">
            <v>M</v>
          </cell>
          <cell r="BY3" t="str">
            <v>M</v>
          </cell>
          <cell r="BZ3" t="str">
            <v>M</v>
          </cell>
          <cell r="CA3" t="str">
            <v>M</v>
          </cell>
          <cell r="CB3" t="str">
            <v>M</v>
          </cell>
          <cell r="CC3" t="str">
            <v>M</v>
          </cell>
          <cell r="CD3" t="str">
            <v>M</v>
          </cell>
          <cell r="CE3" t="str">
            <v>M</v>
          </cell>
          <cell r="CF3" t="str">
            <v>M</v>
          </cell>
          <cell r="CG3" t="str">
            <v>M</v>
          </cell>
          <cell r="CH3" t="str">
            <v>M</v>
          </cell>
          <cell r="CI3" t="str">
            <v>M</v>
          </cell>
          <cell r="CJ3" t="str">
            <v>M</v>
          </cell>
          <cell r="CK3" t="str">
            <v>M</v>
          </cell>
          <cell r="CL3" t="str">
            <v>M</v>
          </cell>
          <cell r="CM3" t="str">
            <v>M</v>
          </cell>
          <cell r="CN3" t="str">
            <v>M</v>
          </cell>
          <cell r="CO3" t="str">
            <v>M</v>
          </cell>
          <cell r="CP3" t="str">
            <v>M</v>
          </cell>
          <cell r="CQ3" t="str">
            <v>M</v>
          </cell>
          <cell r="CR3" t="str">
            <v>M</v>
          </cell>
          <cell r="CS3" t="str">
            <v>M</v>
          </cell>
          <cell r="CT3" t="str">
            <v>M</v>
          </cell>
        </row>
        <row r="4">
          <cell r="B4" t="str">
            <v>Date</v>
          </cell>
          <cell r="C4">
            <v>33603</v>
          </cell>
          <cell r="D4">
            <v>33969</v>
          </cell>
          <cell r="E4">
            <v>34334</v>
          </cell>
          <cell r="F4">
            <v>34699</v>
          </cell>
          <cell r="G4">
            <v>35064</v>
          </cell>
          <cell r="H4">
            <v>35430</v>
          </cell>
          <cell r="I4">
            <v>35795</v>
          </cell>
          <cell r="J4">
            <v>36160</v>
          </cell>
          <cell r="K4">
            <v>36525</v>
          </cell>
          <cell r="L4">
            <v>36526</v>
          </cell>
          <cell r="M4">
            <v>36557</v>
          </cell>
          <cell r="N4">
            <v>36586</v>
          </cell>
          <cell r="O4">
            <v>36617</v>
          </cell>
          <cell r="P4">
            <v>36647</v>
          </cell>
          <cell r="Q4">
            <v>36678</v>
          </cell>
          <cell r="R4">
            <v>36708</v>
          </cell>
          <cell r="S4">
            <v>36739</v>
          </cell>
          <cell r="T4">
            <v>36770</v>
          </cell>
          <cell r="U4">
            <v>36800</v>
          </cell>
          <cell r="V4">
            <v>36831</v>
          </cell>
          <cell r="W4">
            <v>36861</v>
          </cell>
          <cell r="X4">
            <v>36892</v>
          </cell>
          <cell r="Y4">
            <v>36923</v>
          </cell>
          <cell r="Z4">
            <v>36951</v>
          </cell>
          <cell r="AA4">
            <v>36982</v>
          </cell>
          <cell r="AB4">
            <v>37012</v>
          </cell>
          <cell r="AC4">
            <v>37043</v>
          </cell>
          <cell r="AD4">
            <v>37073</v>
          </cell>
          <cell r="AE4">
            <v>37104</v>
          </cell>
          <cell r="AF4">
            <v>37135</v>
          </cell>
          <cell r="AG4">
            <v>37165</v>
          </cell>
          <cell r="AH4">
            <v>37196</v>
          </cell>
          <cell r="AI4">
            <v>37226</v>
          </cell>
          <cell r="AJ4">
            <v>37257</v>
          </cell>
          <cell r="AK4">
            <v>37288</v>
          </cell>
          <cell r="AL4">
            <v>37316</v>
          </cell>
          <cell r="AM4">
            <v>37347</v>
          </cell>
          <cell r="AN4">
            <v>37377</v>
          </cell>
          <cell r="AO4">
            <v>37408</v>
          </cell>
          <cell r="AP4">
            <v>37438</v>
          </cell>
          <cell r="AQ4">
            <v>37469</v>
          </cell>
          <cell r="AR4">
            <v>37500</v>
          </cell>
          <cell r="AS4">
            <v>37530</v>
          </cell>
          <cell r="AT4">
            <v>37561</v>
          </cell>
          <cell r="AU4">
            <v>37591</v>
          </cell>
          <cell r="AV4">
            <v>37622</v>
          </cell>
          <cell r="AW4">
            <v>37653</v>
          </cell>
          <cell r="AX4">
            <v>37681</v>
          </cell>
          <cell r="AY4">
            <v>37712</v>
          </cell>
          <cell r="AZ4">
            <v>37742</v>
          </cell>
          <cell r="BA4">
            <v>37773</v>
          </cell>
          <cell r="BB4">
            <v>37803</v>
          </cell>
          <cell r="BC4">
            <v>37834</v>
          </cell>
          <cell r="BD4">
            <v>37865</v>
          </cell>
          <cell r="BE4">
            <v>37895</v>
          </cell>
          <cell r="BF4">
            <v>37926</v>
          </cell>
          <cell r="BG4">
            <v>37956</v>
          </cell>
          <cell r="BH4">
            <v>37987</v>
          </cell>
          <cell r="BI4">
            <v>38018</v>
          </cell>
          <cell r="BJ4">
            <v>38047</v>
          </cell>
          <cell r="BK4">
            <v>38078</v>
          </cell>
          <cell r="BL4">
            <v>38108</v>
          </cell>
          <cell r="BM4">
            <v>38139</v>
          </cell>
          <cell r="BN4">
            <v>38169</v>
          </cell>
          <cell r="BO4">
            <v>38200</v>
          </cell>
          <cell r="BP4">
            <v>38231</v>
          </cell>
          <cell r="BQ4">
            <v>38261</v>
          </cell>
          <cell r="BR4">
            <v>38292</v>
          </cell>
          <cell r="BS4">
            <v>38322</v>
          </cell>
          <cell r="BT4">
            <v>38353</v>
          </cell>
          <cell r="BU4">
            <v>38384</v>
          </cell>
          <cell r="BV4">
            <v>38412</v>
          </cell>
          <cell r="BW4">
            <v>38443</v>
          </cell>
          <cell r="BX4">
            <v>38473</v>
          </cell>
          <cell r="BY4">
            <v>38504</v>
          </cell>
          <cell r="BZ4">
            <v>38534</v>
          </cell>
          <cell r="CA4">
            <v>38565</v>
          </cell>
          <cell r="CB4">
            <v>38596</v>
          </cell>
          <cell r="CC4">
            <v>38626</v>
          </cell>
          <cell r="CD4">
            <v>38657</v>
          </cell>
          <cell r="CE4">
            <v>38687</v>
          </cell>
          <cell r="CF4">
            <v>38718</v>
          </cell>
          <cell r="CG4">
            <v>38749</v>
          </cell>
          <cell r="CH4">
            <v>38777</v>
          </cell>
          <cell r="CI4">
            <v>38808</v>
          </cell>
          <cell r="CJ4">
            <v>38838</v>
          </cell>
          <cell r="CK4">
            <v>38869</v>
          </cell>
          <cell r="CL4">
            <v>38899</v>
          </cell>
          <cell r="CM4">
            <v>38930</v>
          </cell>
          <cell r="CN4">
            <v>38961</v>
          </cell>
          <cell r="CO4">
            <v>38991</v>
          </cell>
          <cell r="CP4">
            <v>39022</v>
          </cell>
          <cell r="CQ4">
            <v>39052</v>
          </cell>
          <cell r="CR4">
            <v>39083</v>
          </cell>
          <cell r="CS4">
            <v>39114</v>
          </cell>
          <cell r="CT4">
            <v>39142</v>
          </cell>
        </row>
        <row r="5">
          <cell r="B5" t="str">
            <v>Year</v>
          </cell>
          <cell r="C5">
            <v>33603</v>
          </cell>
          <cell r="D5">
            <v>33969</v>
          </cell>
          <cell r="E5">
            <v>34334</v>
          </cell>
          <cell r="F5">
            <v>34699</v>
          </cell>
          <cell r="G5">
            <v>35064</v>
          </cell>
          <cell r="H5">
            <v>35430</v>
          </cell>
          <cell r="I5">
            <v>35795</v>
          </cell>
          <cell r="J5">
            <v>36160</v>
          </cell>
          <cell r="K5">
            <v>36525</v>
          </cell>
          <cell r="L5">
            <v>2000</v>
          </cell>
          <cell r="M5">
            <v>2000</v>
          </cell>
          <cell r="N5">
            <v>2000</v>
          </cell>
          <cell r="O5">
            <v>2000</v>
          </cell>
          <cell r="P5">
            <v>2000</v>
          </cell>
          <cell r="Q5">
            <v>2000</v>
          </cell>
          <cell r="R5">
            <v>2000</v>
          </cell>
          <cell r="S5">
            <v>2000</v>
          </cell>
          <cell r="T5">
            <v>2000</v>
          </cell>
          <cell r="U5">
            <v>2000</v>
          </cell>
          <cell r="V5">
            <v>2000</v>
          </cell>
          <cell r="W5">
            <v>2000</v>
          </cell>
          <cell r="X5">
            <v>2001</v>
          </cell>
          <cell r="Y5">
            <v>2001</v>
          </cell>
          <cell r="Z5">
            <v>2001</v>
          </cell>
          <cell r="AA5">
            <v>2001</v>
          </cell>
          <cell r="AB5">
            <v>2001</v>
          </cell>
          <cell r="AC5">
            <v>2001</v>
          </cell>
          <cell r="AD5">
            <v>2001</v>
          </cell>
          <cell r="AE5">
            <v>2001</v>
          </cell>
          <cell r="AF5">
            <v>2001</v>
          </cell>
          <cell r="AG5">
            <v>2001</v>
          </cell>
          <cell r="AH5">
            <v>2001</v>
          </cell>
          <cell r="AI5">
            <v>2001</v>
          </cell>
          <cell r="AJ5">
            <v>2002</v>
          </cell>
          <cell r="AK5">
            <v>2002</v>
          </cell>
          <cell r="AL5">
            <v>2002</v>
          </cell>
          <cell r="AM5">
            <v>2002</v>
          </cell>
          <cell r="AN5">
            <v>2002</v>
          </cell>
          <cell r="AO5">
            <v>2002</v>
          </cell>
          <cell r="AP5">
            <v>2002</v>
          </cell>
          <cell r="AQ5">
            <v>2002</v>
          </cell>
          <cell r="AR5">
            <v>2002</v>
          </cell>
          <cell r="AS5">
            <v>2002</v>
          </cell>
          <cell r="AT5">
            <v>2002</v>
          </cell>
          <cell r="AU5">
            <v>2002</v>
          </cell>
          <cell r="AV5">
            <v>2003</v>
          </cell>
          <cell r="AW5">
            <v>2003</v>
          </cell>
          <cell r="AX5">
            <v>2003</v>
          </cell>
          <cell r="AY5">
            <v>2003</v>
          </cell>
          <cell r="AZ5">
            <v>2003</v>
          </cell>
          <cell r="BA5">
            <v>2003</v>
          </cell>
          <cell r="BB5">
            <v>2003</v>
          </cell>
          <cell r="BC5">
            <v>2003</v>
          </cell>
          <cell r="BD5">
            <v>2003</v>
          </cell>
          <cell r="BE5">
            <v>2003</v>
          </cell>
          <cell r="BF5">
            <v>2003</v>
          </cell>
          <cell r="BG5">
            <v>2003</v>
          </cell>
          <cell r="BH5">
            <v>2004</v>
          </cell>
          <cell r="BI5">
            <v>2004</v>
          </cell>
          <cell r="BJ5">
            <v>2004</v>
          </cell>
          <cell r="BK5">
            <v>2004</v>
          </cell>
          <cell r="BL5">
            <v>2004</v>
          </cell>
          <cell r="BM5">
            <v>2004</v>
          </cell>
          <cell r="BN5">
            <v>2004</v>
          </cell>
          <cell r="BO5">
            <v>2004</v>
          </cell>
          <cell r="BP5">
            <v>2004</v>
          </cell>
          <cell r="BQ5">
            <v>2004</v>
          </cell>
          <cell r="BR5">
            <v>2004</v>
          </cell>
          <cell r="BS5">
            <v>2004</v>
          </cell>
          <cell r="BT5">
            <v>2005</v>
          </cell>
          <cell r="BU5">
            <v>2005</v>
          </cell>
          <cell r="BV5">
            <v>2005</v>
          </cell>
          <cell r="BW5">
            <v>2005</v>
          </cell>
          <cell r="BX5">
            <v>2005</v>
          </cell>
          <cell r="BY5">
            <v>2005</v>
          </cell>
          <cell r="BZ5">
            <v>2005</v>
          </cell>
          <cell r="CA5">
            <v>2005</v>
          </cell>
          <cell r="CB5">
            <v>2005</v>
          </cell>
          <cell r="CC5">
            <v>2005</v>
          </cell>
          <cell r="CD5">
            <v>2005</v>
          </cell>
          <cell r="CE5">
            <v>2005</v>
          </cell>
          <cell r="CF5">
            <v>2006</v>
          </cell>
          <cell r="CG5">
            <v>2006</v>
          </cell>
          <cell r="CH5">
            <v>2006</v>
          </cell>
          <cell r="CI5">
            <v>2006</v>
          </cell>
          <cell r="CJ5">
            <v>2006</v>
          </cell>
          <cell r="CK5">
            <v>2006</v>
          </cell>
          <cell r="CL5">
            <v>2006</v>
          </cell>
          <cell r="CM5">
            <v>2006</v>
          </cell>
          <cell r="CN5">
            <v>2006</v>
          </cell>
          <cell r="CO5">
            <v>2006</v>
          </cell>
          <cell r="CP5">
            <v>2006</v>
          </cell>
          <cell r="CQ5">
            <v>2006</v>
          </cell>
          <cell r="CR5">
            <v>2007</v>
          </cell>
          <cell r="CS5">
            <v>2007</v>
          </cell>
          <cell r="CT5">
            <v>2007</v>
          </cell>
        </row>
        <row r="6">
          <cell r="B6" t="str">
            <v>Quarter</v>
          </cell>
          <cell r="L6" t="str">
            <v>2000q1</v>
          </cell>
          <cell r="M6" t="str">
            <v>2000q1</v>
          </cell>
          <cell r="N6" t="str">
            <v>2000q1</v>
          </cell>
          <cell r="O6" t="str">
            <v>2000q2</v>
          </cell>
          <cell r="P6" t="str">
            <v>2000q2</v>
          </cell>
          <cell r="Q6" t="str">
            <v>2000q2</v>
          </cell>
          <cell r="R6" t="str">
            <v>2000q3</v>
          </cell>
          <cell r="S6" t="str">
            <v>2000q3</v>
          </cell>
          <cell r="T6" t="str">
            <v>2000q3</v>
          </cell>
          <cell r="U6" t="str">
            <v>2000q4</v>
          </cell>
          <cell r="V6" t="str">
            <v>2000q4</v>
          </cell>
          <cell r="W6" t="str">
            <v>2000q4</v>
          </cell>
          <cell r="X6" t="str">
            <v>2001q1</v>
          </cell>
          <cell r="Y6" t="str">
            <v>2001q1</v>
          </cell>
          <cell r="Z6" t="str">
            <v>2001q1</v>
          </cell>
          <cell r="AA6" t="str">
            <v>2001q2</v>
          </cell>
          <cell r="AB6" t="str">
            <v>2001q2</v>
          </cell>
          <cell r="AC6" t="str">
            <v>2001q2</v>
          </cell>
          <cell r="AD6" t="str">
            <v>2001q3</v>
          </cell>
          <cell r="AE6" t="str">
            <v>2001q3</v>
          </cell>
          <cell r="AF6" t="str">
            <v>2001q3</v>
          </cell>
          <cell r="AG6" t="str">
            <v>2001q4</v>
          </cell>
          <cell r="AH6" t="str">
            <v>2001q4</v>
          </cell>
          <cell r="AI6" t="str">
            <v>2001q4</v>
          </cell>
          <cell r="AJ6" t="str">
            <v>2002q1</v>
          </cell>
          <cell r="AK6" t="str">
            <v>2002q1</v>
          </cell>
          <cell r="AL6" t="str">
            <v>2002q1</v>
          </cell>
          <cell r="AM6" t="str">
            <v>2002q2</v>
          </cell>
          <cell r="AN6" t="str">
            <v>2002q2</v>
          </cell>
          <cell r="AO6" t="str">
            <v>2002q2</v>
          </cell>
          <cell r="AP6" t="str">
            <v>2002q3</v>
          </cell>
          <cell r="AQ6" t="str">
            <v>2002q3</v>
          </cell>
          <cell r="AR6" t="str">
            <v>2002q3</v>
          </cell>
          <cell r="AS6" t="str">
            <v>2002q4</v>
          </cell>
          <cell r="AT6" t="str">
            <v>2002q4</v>
          </cell>
          <cell r="AU6" t="str">
            <v>2002q4</v>
          </cell>
          <cell r="AV6" t="str">
            <v>2003q1</v>
          </cell>
          <cell r="AW6" t="str">
            <v>2003q1</v>
          </cell>
          <cell r="AX6" t="str">
            <v>2003q1</v>
          </cell>
          <cell r="AY6" t="str">
            <v>2003q2</v>
          </cell>
          <cell r="AZ6" t="str">
            <v>2003q2</v>
          </cell>
          <cell r="BA6" t="str">
            <v>2003q2</v>
          </cell>
          <cell r="BB6" t="str">
            <v>2003q3</v>
          </cell>
          <cell r="BC6" t="str">
            <v>2003q3</v>
          </cell>
          <cell r="BD6" t="str">
            <v>2003q3</v>
          </cell>
          <cell r="BE6" t="str">
            <v>2003q4</v>
          </cell>
          <cell r="BF6" t="str">
            <v>2003q4</v>
          </cell>
          <cell r="BG6" t="str">
            <v>2003q4</v>
          </cell>
          <cell r="BH6" t="str">
            <v>2004q1</v>
          </cell>
          <cell r="BI6" t="str">
            <v>2004q1</v>
          </cell>
          <cell r="BJ6" t="str">
            <v>2004q1</v>
          </cell>
          <cell r="BK6" t="str">
            <v>2004q2</v>
          </cell>
          <cell r="BL6" t="str">
            <v>2004q2</v>
          </cell>
          <cell r="BM6" t="str">
            <v>2004q2</v>
          </cell>
          <cell r="BN6" t="str">
            <v>2004q3</v>
          </cell>
          <cell r="BO6" t="str">
            <v>2004q3</v>
          </cell>
          <cell r="BP6" t="str">
            <v>2004q3</v>
          </cell>
          <cell r="BQ6" t="str">
            <v>2004q4</v>
          </cell>
          <cell r="BR6" t="str">
            <v>2004q4</v>
          </cell>
          <cell r="BS6" t="str">
            <v>2004q4</v>
          </cell>
          <cell r="BT6" t="str">
            <v>2005q1</v>
          </cell>
          <cell r="BU6" t="str">
            <v>2005q1</v>
          </cell>
          <cell r="BV6" t="str">
            <v>2005q1</v>
          </cell>
          <cell r="BW6" t="str">
            <v>2005q2</v>
          </cell>
          <cell r="BX6" t="str">
            <v>2005q2</v>
          </cell>
          <cell r="BY6" t="str">
            <v>2005q2</v>
          </cell>
          <cell r="BZ6" t="str">
            <v>2005q3</v>
          </cell>
          <cell r="CA6" t="str">
            <v>2005q3</v>
          </cell>
          <cell r="CB6" t="str">
            <v>2005q3</v>
          </cell>
          <cell r="CC6" t="str">
            <v>2005q4</v>
          </cell>
          <cell r="CD6" t="str">
            <v>2005q4</v>
          </cell>
          <cell r="CE6" t="str">
            <v>2005q4</v>
          </cell>
          <cell r="CF6" t="str">
            <v>2006q1</v>
          </cell>
          <cell r="CG6" t="str">
            <v>2006q1</v>
          </cell>
          <cell r="CH6" t="str">
            <v>2006q1</v>
          </cell>
          <cell r="CI6" t="str">
            <v>2006q2</v>
          </cell>
          <cell r="CJ6" t="str">
            <v>2006q2</v>
          </cell>
          <cell r="CK6" t="str">
            <v>2006q2</v>
          </cell>
          <cell r="CL6" t="str">
            <v>2006q3</v>
          </cell>
          <cell r="CM6" t="str">
            <v>2006q3</v>
          </cell>
          <cell r="CN6" t="str">
            <v>2006q3</v>
          </cell>
          <cell r="CO6" t="str">
            <v>2006q4</v>
          </cell>
          <cell r="CP6" t="str">
            <v>2006q4</v>
          </cell>
          <cell r="CQ6" t="str">
            <v>2006q4</v>
          </cell>
          <cell r="CR6" t="str">
            <v>2007q1</v>
          </cell>
          <cell r="CS6" t="str">
            <v>2007q1</v>
          </cell>
          <cell r="CT6" t="str">
            <v>2007q1</v>
          </cell>
        </row>
        <row r="7">
          <cell r="B7" t="str">
            <v>Month</v>
          </cell>
          <cell r="L7" t="str">
            <v>2000m1</v>
          </cell>
          <cell r="M7" t="str">
            <v>2000m2</v>
          </cell>
          <cell r="N7" t="str">
            <v>2000m3</v>
          </cell>
          <cell r="O7" t="str">
            <v>2000m4</v>
          </cell>
          <cell r="P7" t="str">
            <v>2000m5</v>
          </cell>
          <cell r="Q7" t="str">
            <v>2000m6</v>
          </cell>
          <cell r="R7" t="str">
            <v>2000m7</v>
          </cell>
          <cell r="S7" t="str">
            <v>2000m8</v>
          </cell>
          <cell r="T7" t="str">
            <v>2000m9</v>
          </cell>
          <cell r="U7" t="str">
            <v>2000m10</v>
          </cell>
          <cell r="V7" t="str">
            <v>2000m11</v>
          </cell>
          <cell r="W7" t="str">
            <v>2000m12</v>
          </cell>
          <cell r="X7" t="str">
            <v>2001m1</v>
          </cell>
          <cell r="Y7" t="str">
            <v>2001m2</v>
          </cell>
          <cell r="Z7" t="str">
            <v>2001m3</v>
          </cell>
          <cell r="AA7" t="str">
            <v>2001m4</v>
          </cell>
          <cell r="AB7" t="str">
            <v>2001m5</v>
          </cell>
          <cell r="AC7" t="str">
            <v>2001m6</v>
          </cell>
          <cell r="AD7" t="str">
            <v>2001m7</v>
          </cell>
          <cell r="AE7" t="str">
            <v>2001m8</v>
          </cell>
          <cell r="AF7" t="str">
            <v>2001m9</v>
          </cell>
          <cell r="AG7" t="str">
            <v>2001m10</v>
          </cell>
          <cell r="AH7" t="str">
            <v>2001m11</v>
          </cell>
          <cell r="AI7" t="str">
            <v>2001m12</v>
          </cell>
          <cell r="AJ7" t="str">
            <v>2002m1</v>
          </cell>
          <cell r="AK7" t="str">
            <v>2002m2</v>
          </cell>
          <cell r="AL7" t="str">
            <v>2002m3</v>
          </cell>
          <cell r="AM7" t="str">
            <v>2002m4</v>
          </cell>
          <cell r="AN7" t="str">
            <v>2002m5</v>
          </cell>
          <cell r="AO7" t="str">
            <v>2002m6</v>
          </cell>
          <cell r="AP7" t="str">
            <v>2002m7</v>
          </cell>
          <cell r="AQ7" t="str">
            <v>2002m8</v>
          </cell>
          <cell r="AR7" t="str">
            <v>2002m9</v>
          </cell>
          <cell r="AS7" t="str">
            <v>2002m10</v>
          </cell>
          <cell r="AT7" t="str">
            <v>2002m11</v>
          </cell>
          <cell r="AU7" t="str">
            <v>2002m12</v>
          </cell>
          <cell r="AV7" t="str">
            <v>2003m1</v>
          </cell>
          <cell r="AW7" t="str">
            <v>2003m2</v>
          </cell>
          <cell r="AX7" t="str">
            <v>2003m3</v>
          </cell>
          <cell r="AY7" t="str">
            <v>2003m4</v>
          </cell>
          <cell r="AZ7" t="str">
            <v>2003m5</v>
          </cell>
          <cell r="BA7" t="str">
            <v>2003m6</v>
          </cell>
          <cell r="BB7" t="str">
            <v>2003m7</v>
          </cell>
          <cell r="BC7" t="str">
            <v>2003m8</v>
          </cell>
          <cell r="BD7" t="str">
            <v>2003m9</v>
          </cell>
          <cell r="BE7" t="str">
            <v>2003m10</v>
          </cell>
          <cell r="BF7" t="str">
            <v>2003m11</v>
          </cell>
          <cell r="BG7" t="str">
            <v>2003m12</v>
          </cell>
          <cell r="BH7" t="str">
            <v>2004m1</v>
          </cell>
          <cell r="BI7" t="str">
            <v>2004m2</v>
          </cell>
          <cell r="BJ7" t="str">
            <v>2004m3</v>
          </cell>
          <cell r="BK7" t="str">
            <v>2004m4</v>
          </cell>
          <cell r="BL7" t="str">
            <v>2004m5</v>
          </cell>
          <cell r="BM7" t="str">
            <v>2004m6</v>
          </cell>
          <cell r="BN7" t="str">
            <v>2004m7</v>
          </cell>
          <cell r="BO7" t="str">
            <v>2004m8</v>
          </cell>
          <cell r="BP7" t="str">
            <v>2004m9</v>
          </cell>
          <cell r="BQ7" t="str">
            <v>2004m10</v>
          </cell>
          <cell r="BR7" t="str">
            <v>2004m11</v>
          </cell>
          <cell r="BS7" t="str">
            <v>2004m12</v>
          </cell>
          <cell r="BT7" t="str">
            <v>2005m1</v>
          </cell>
          <cell r="BU7" t="str">
            <v>2005m2</v>
          </cell>
          <cell r="BV7" t="str">
            <v>2005m3</v>
          </cell>
          <cell r="BW7" t="str">
            <v>2005m4</v>
          </cell>
          <cell r="BX7" t="str">
            <v>2005m5</v>
          </cell>
          <cell r="BY7" t="str">
            <v>2005m6</v>
          </cell>
          <cell r="BZ7" t="str">
            <v>2005m7</v>
          </cell>
          <cell r="CA7" t="str">
            <v>2005m8</v>
          </cell>
          <cell r="CB7" t="str">
            <v>2005m9</v>
          </cell>
          <cell r="CC7" t="str">
            <v>2005m10</v>
          </cell>
          <cell r="CD7" t="str">
            <v>2005m11</v>
          </cell>
          <cell r="CE7" t="str">
            <v>2005m12</v>
          </cell>
          <cell r="CF7" t="str">
            <v>2006m1</v>
          </cell>
          <cell r="CG7" t="str">
            <v>2006m2</v>
          </cell>
          <cell r="CH7" t="str">
            <v>2006m3</v>
          </cell>
          <cell r="CI7" t="str">
            <v>2006m4</v>
          </cell>
          <cell r="CJ7" t="str">
            <v>2006m5</v>
          </cell>
          <cell r="CK7" t="str">
            <v>2006m6</v>
          </cell>
          <cell r="CL7" t="str">
            <v>2006m7</v>
          </cell>
          <cell r="CM7" t="str">
            <v>2006m8</v>
          </cell>
          <cell r="CN7" t="str">
            <v>2006m9</v>
          </cell>
          <cell r="CO7" t="str">
            <v>2006m10</v>
          </cell>
          <cell r="CP7" t="str">
            <v>2006m11</v>
          </cell>
          <cell r="CQ7" t="str">
            <v>2006m12</v>
          </cell>
          <cell r="CR7" t="str">
            <v>2007m1</v>
          </cell>
          <cell r="CS7" t="str">
            <v>2007m2</v>
          </cell>
          <cell r="CT7" t="str">
            <v>2007m3</v>
          </cell>
        </row>
        <row r="10">
          <cell r="B10" t="str">
            <v>Gross Gaming Receipts</v>
          </cell>
        </row>
        <row r="11">
          <cell r="B11" t="str">
            <v>Games of Fortune</v>
          </cell>
          <cell r="BN11">
            <v>4240.3040000000001</v>
          </cell>
          <cell r="BO11">
            <v>3668.652</v>
          </cell>
          <cell r="BP11">
            <v>2998.614</v>
          </cell>
          <cell r="BQ11">
            <v>3848.8780000000002</v>
          </cell>
          <cell r="BR11">
            <v>3639.7170000000001</v>
          </cell>
          <cell r="BS11">
            <v>3386.98</v>
          </cell>
          <cell r="BT11">
            <v>3670.527</v>
          </cell>
          <cell r="BU11">
            <v>3007.2640000000001</v>
          </cell>
          <cell r="BV11">
            <v>3922.248</v>
          </cell>
          <cell r="BW11">
            <v>3533.482</v>
          </cell>
          <cell r="BX11">
            <v>4186.4970000000003</v>
          </cell>
          <cell r="BY11">
            <v>3620.45</v>
          </cell>
          <cell r="BZ11">
            <v>3775.8069999999998</v>
          </cell>
          <cell r="CA11">
            <v>4336.732</v>
          </cell>
          <cell r="CB11">
            <v>3283.26</v>
          </cell>
          <cell r="CC11">
            <v>3990.5340000000001</v>
          </cell>
          <cell r="CD11">
            <v>3646.4250000000002</v>
          </cell>
          <cell r="CE11">
            <v>3751.3939999999998</v>
          </cell>
          <cell r="CF11">
            <v>3500.3270000000002</v>
          </cell>
          <cell r="CG11">
            <v>4298.4120000000003</v>
          </cell>
          <cell r="CH11">
            <v>4552.8180000000002</v>
          </cell>
          <cell r="CI11">
            <v>4390.8810000000003</v>
          </cell>
          <cell r="CJ11">
            <v>4342.5039999999999</v>
          </cell>
          <cell r="CK11">
            <v>3926.4720000000002</v>
          </cell>
          <cell r="CL11">
            <v>4471.1289999999999</v>
          </cell>
          <cell r="CM11">
            <v>4593.9709999999995</v>
          </cell>
          <cell r="CN11">
            <v>4483.9000000000005</v>
          </cell>
          <cell r="CO11">
            <v>5740.54</v>
          </cell>
          <cell r="CP11">
            <v>4799.018</v>
          </cell>
          <cell r="CQ11">
            <v>5897.2520000000004</v>
          </cell>
          <cell r="CR11">
            <v>6000.17</v>
          </cell>
          <cell r="CS11">
            <v>5734.9049999999997</v>
          </cell>
        </row>
        <row r="12">
          <cell r="B12" t="str">
            <v>Other (lottery, racing, etc.)</v>
          </cell>
          <cell r="BN12">
            <v>158.93700000000001</v>
          </cell>
          <cell r="BO12">
            <v>163.13800000000001</v>
          </cell>
          <cell r="BP12">
            <v>81.332999999999998</v>
          </cell>
          <cell r="BQ12">
            <v>149.935</v>
          </cell>
          <cell r="BR12">
            <v>142.47999999999999</v>
          </cell>
          <cell r="BS12">
            <v>104.15900000000001</v>
          </cell>
          <cell r="BT12">
            <v>141.43100000000001</v>
          </cell>
          <cell r="BU12">
            <v>114</v>
          </cell>
          <cell r="BV12">
            <v>97.91</v>
          </cell>
          <cell r="BW12">
            <v>105.08199999999999</v>
          </cell>
          <cell r="BX12">
            <v>100.47799999999999</v>
          </cell>
          <cell r="BY12">
            <v>73.63</v>
          </cell>
          <cell r="BZ12">
            <v>68.935000000000002</v>
          </cell>
          <cell r="CA12">
            <v>81.426000000000002</v>
          </cell>
          <cell r="CB12">
            <v>58.231000000000002</v>
          </cell>
          <cell r="CC12">
            <v>88.471999999999994</v>
          </cell>
          <cell r="CD12">
            <v>68.165999999999997</v>
          </cell>
          <cell r="CE12">
            <v>78.069000000000003</v>
          </cell>
          <cell r="CF12">
            <v>83.650999999999996</v>
          </cell>
          <cell r="CG12">
            <v>80.003999999999991</v>
          </cell>
          <cell r="CH12">
            <v>73.905000000000001</v>
          </cell>
          <cell r="CI12">
            <v>83.915000000000006</v>
          </cell>
          <cell r="CJ12">
            <v>80.185000000000002</v>
          </cell>
          <cell r="CK12">
            <v>76.088999999999999</v>
          </cell>
          <cell r="CL12">
            <v>81.191999999999993</v>
          </cell>
          <cell r="CM12">
            <v>78.369</v>
          </cell>
          <cell r="CN12">
            <v>54.165999999999997</v>
          </cell>
          <cell r="CO12">
            <v>70.096000000000004</v>
          </cell>
          <cell r="CP12">
            <v>71.19</v>
          </cell>
          <cell r="CQ12">
            <v>53.808999999999997</v>
          </cell>
          <cell r="CR12">
            <v>61.8645</v>
          </cell>
          <cell r="CS12">
            <v>58.191000000000003</v>
          </cell>
        </row>
        <row r="13">
          <cell r="BN13" t="str">
            <v>______</v>
          </cell>
          <cell r="BO13" t="str">
            <v>______</v>
          </cell>
          <cell r="BP13" t="str">
            <v>______</v>
          </cell>
          <cell r="BQ13" t="str">
            <v>______</v>
          </cell>
          <cell r="BR13" t="str">
            <v>______</v>
          </cell>
          <cell r="BS13" t="str">
            <v>______</v>
          </cell>
          <cell r="BT13" t="str">
            <v>______</v>
          </cell>
          <cell r="BU13" t="str">
            <v>______</v>
          </cell>
          <cell r="BV13" t="str">
            <v>______</v>
          </cell>
          <cell r="BW13" t="str">
            <v>______</v>
          </cell>
          <cell r="BX13" t="str">
            <v>______</v>
          </cell>
          <cell r="BY13" t="str">
            <v>______</v>
          </cell>
          <cell r="BZ13" t="str">
            <v>______</v>
          </cell>
          <cell r="CA13" t="str">
            <v>______</v>
          </cell>
          <cell r="CB13" t="str">
            <v>______</v>
          </cell>
          <cell r="CC13" t="str">
            <v>______</v>
          </cell>
          <cell r="CD13" t="str">
            <v>______</v>
          </cell>
          <cell r="CE13" t="str">
            <v>______</v>
          </cell>
          <cell r="CF13" t="str">
            <v>______</v>
          </cell>
          <cell r="CG13" t="str">
            <v>______</v>
          </cell>
          <cell r="CH13" t="str">
            <v>______</v>
          </cell>
          <cell r="CI13" t="str">
            <v>______</v>
          </cell>
          <cell r="CJ13" t="str">
            <v>______</v>
          </cell>
          <cell r="CK13" t="str">
            <v>______</v>
          </cell>
          <cell r="CL13" t="str">
            <v>______</v>
          </cell>
          <cell r="CM13" t="str">
            <v>______</v>
          </cell>
          <cell r="CN13" t="str">
            <v>______</v>
          </cell>
          <cell r="CO13" t="str">
            <v>______</v>
          </cell>
          <cell r="CP13" t="str">
            <v>______</v>
          </cell>
          <cell r="CQ13" t="str">
            <v>______</v>
          </cell>
          <cell r="CR13" t="str">
            <v>______</v>
          </cell>
          <cell r="CS13" t="str">
            <v>______</v>
          </cell>
        </row>
        <row r="14">
          <cell r="B14" t="str">
            <v>Total</v>
          </cell>
          <cell r="BN14">
            <v>4399.241</v>
          </cell>
          <cell r="BO14">
            <v>3831.79</v>
          </cell>
          <cell r="BP14">
            <v>3079.9470000000001</v>
          </cell>
          <cell r="BQ14">
            <v>3998.8130000000001</v>
          </cell>
          <cell r="BR14">
            <v>3782.1970000000001</v>
          </cell>
          <cell r="BS14">
            <v>3491.1390000000001</v>
          </cell>
          <cell r="BT14">
            <v>3811.9580000000001</v>
          </cell>
          <cell r="BU14">
            <v>3121.2640000000001</v>
          </cell>
          <cell r="BV14">
            <v>4020.1579999999999</v>
          </cell>
          <cell r="BW14">
            <v>3638.5639999999999</v>
          </cell>
          <cell r="BX14">
            <v>4286.9750000000004</v>
          </cell>
          <cell r="BY14">
            <v>3694.08</v>
          </cell>
          <cell r="BZ14">
            <v>3844.7419999999997</v>
          </cell>
          <cell r="CA14">
            <v>4418.1580000000004</v>
          </cell>
          <cell r="CB14">
            <v>3341.4910000000004</v>
          </cell>
          <cell r="CC14">
            <v>4079.0060000000003</v>
          </cell>
          <cell r="CD14">
            <v>3714.5910000000003</v>
          </cell>
          <cell r="CE14">
            <v>3829.4629999999997</v>
          </cell>
          <cell r="CF14">
            <v>3583.9780000000001</v>
          </cell>
          <cell r="CG14">
            <v>4378.4160000000002</v>
          </cell>
          <cell r="CH14">
            <v>4626.723</v>
          </cell>
          <cell r="CI14">
            <v>4474.7960000000003</v>
          </cell>
          <cell r="CJ14">
            <v>4422.6890000000003</v>
          </cell>
          <cell r="CK14">
            <v>4002.5610000000001</v>
          </cell>
          <cell r="CL14">
            <v>4552.3209999999999</v>
          </cell>
          <cell r="CM14">
            <v>4672.3399999999992</v>
          </cell>
          <cell r="CN14">
            <v>4538.0660000000007</v>
          </cell>
          <cell r="CO14">
            <v>5810.6360000000004</v>
          </cell>
          <cell r="CP14">
            <v>4870.2079999999996</v>
          </cell>
          <cell r="CQ14">
            <v>5951.0610000000006</v>
          </cell>
          <cell r="CR14">
            <v>6062.0344999999998</v>
          </cell>
          <cell r="CS14">
            <v>5793.0959999999995</v>
          </cell>
          <cell r="CT14">
            <v>6064.9249999999993</v>
          </cell>
        </row>
        <row r="15">
          <cell r="B15" t="str">
            <v>% Change</v>
          </cell>
          <cell r="BZ15">
            <v>-0.1260442426318541</v>
          </cell>
          <cell r="CA15">
            <v>0.15302717528883369</v>
          </cell>
          <cell r="CB15">
            <v>8.4918344374107946E-2</v>
          </cell>
          <cell r="CC15">
            <v>2.0054201084171774E-2</v>
          </cell>
          <cell r="CD15">
            <v>-1.7874796051078223E-2</v>
          </cell>
          <cell r="CE15">
            <v>9.6909346777656058E-2</v>
          </cell>
          <cell r="CF15">
            <v>-5.9806535119222182E-2</v>
          </cell>
          <cell r="CG15">
            <v>0.40277015978142194</v>
          </cell>
          <cell r="CH15">
            <v>0.15088088577613123</v>
          </cell>
          <cell r="CI15">
            <v>0.22982473305402906</v>
          </cell>
          <cell r="CJ15">
            <v>3.165728748126595E-2</v>
          </cell>
          <cell r="CK15">
            <v>8.3506854209979275E-2</v>
          </cell>
          <cell r="CL15">
            <v>0.1840380967045383</v>
          </cell>
          <cell r="CM15">
            <v>5.7531215497498955E-2</v>
          </cell>
          <cell r="CN15">
            <v>0.35809613133777707</v>
          </cell>
          <cell r="CO15">
            <v>0.4245225429920918</v>
          </cell>
          <cell r="CP15">
            <v>0.31110208364797076</v>
          </cell>
          <cell r="CQ15">
            <v>0.55401971503576375</v>
          </cell>
          <cell r="CR15">
            <v>0.69142625875493646</v>
          </cell>
          <cell r="CS15">
            <v>0.32310314963219566</v>
          </cell>
        </row>
        <row r="16">
          <cell r="B16" t="str">
            <v>Games of Fortune % Change</v>
          </cell>
          <cell r="BZ16">
            <v>-0.1095433251955521</v>
          </cell>
          <cell r="CA16">
            <v>0.18210503476481277</v>
          </cell>
          <cell r="CB16">
            <v>9.4925855745354504E-2</v>
          </cell>
          <cell r="CC16">
            <v>3.6804492114325349E-2</v>
          </cell>
          <cell r="CD16">
            <v>1.8430004310774351E-3</v>
          </cell>
          <cell r="CE16">
            <v>0.10759260462122588</v>
          </cell>
          <cell r="CF16">
            <v>-4.6369363309410327E-2</v>
          </cell>
          <cell r="CG16">
            <v>0.4293430839460719</v>
          </cell>
          <cell r="CH16">
            <v>0.1607674986385359</v>
          </cell>
          <cell r="CI16">
            <v>0.24264988473126525</v>
          </cell>
          <cell r="CJ16">
            <v>3.7264328626056553E-2</v>
          </cell>
          <cell r="CK16">
            <v>8.4525956718087603E-2</v>
          </cell>
          <cell r="CL16">
            <v>0.18415189123808506</v>
          </cell>
          <cell r="CM16">
            <v>5.9316323904728074E-2</v>
          </cell>
          <cell r="CN16">
            <v>0.36568532495142025</v>
          </cell>
          <cell r="CO16">
            <v>0.43853930326116752</v>
          </cell>
          <cell r="CP16">
            <v>0.31608849763809754</v>
          </cell>
          <cell r="CQ16">
            <v>0.57201616252518428</v>
          </cell>
          <cell r="CR16">
            <v>0.71417413287387133</v>
          </cell>
          <cell r="CS16">
            <v>0.33419155725416716</v>
          </cell>
        </row>
        <row r="17">
          <cell r="CR17">
            <v>1212.4069</v>
          </cell>
          <cell r="CS17">
            <v>926.89535999999998</v>
          </cell>
          <cell r="CT17">
            <v>970.38799999999992</v>
          </cell>
          <cell r="CU17">
            <v>388.71128249999998</v>
          </cell>
        </row>
        <row r="18">
          <cell r="B18" t="str">
            <v>Gaming Tax Receipts</v>
          </cell>
          <cell r="CT18">
            <v>0.17353128510120966</v>
          </cell>
          <cell r="CU18">
            <v>116.61338474999999</v>
          </cell>
        </row>
        <row r="19">
          <cell r="B19" t="str">
            <v>DSEC reported receipts</v>
          </cell>
          <cell r="BH19">
            <v>1005.035965</v>
          </cell>
          <cell r="BI19">
            <v>1150.3999820000001</v>
          </cell>
          <cell r="BJ19">
            <v>1046.5487170000001</v>
          </cell>
          <cell r="BK19">
            <v>1232.4445869999995</v>
          </cell>
          <cell r="BL19">
            <v>1051.4479160000001</v>
          </cell>
          <cell r="BM19">
            <v>1294.503966</v>
          </cell>
          <cell r="BN19">
            <v>1224.6592430000001</v>
          </cell>
          <cell r="BO19">
            <v>1593.9445140000003</v>
          </cell>
          <cell r="BP19">
            <v>1414.1295260000002</v>
          </cell>
          <cell r="BQ19">
            <v>1127.824631</v>
          </cell>
          <cell r="BR19">
            <v>1449.272594</v>
          </cell>
          <cell r="BS19">
            <v>1646.4008220000001</v>
          </cell>
          <cell r="BT19">
            <v>1397.7420769999999</v>
          </cell>
          <cell r="BU19">
            <v>1425.7593319999999</v>
          </cell>
          <cell r="BV19">
            <v>1169.8463509999997</v>
          </cell>
          <cell r="BW19">
            <v>1513.1694279999999</v>
          </cell>
          <cell r="BX19">
            <v>1373.2174170000001</v>
          </cell>
          <cell r="BY19">
            <v>1638.494919</v>
          </cell>
          <cell r="BZ19">
            <v>1417.5680150000001</v>
          </cell>
          <cell r="CA19">
            <v>1459.2882480000001</v>
          </cell>
          <cell r="CB19">
            <v>1676.55897</v>
          </cell>
          <cell r="CC19">
            <v>1281.054228</v>
          </cell>
          <cell r="CD19">
            <v>1550.998</v>
          </cell>
          <cell r="CE19">
            <v>1414.8672199999999</v>
          </cell>
          <cell r="CF19">
            <v>1577.4936250000001</v>
          </cell>
          <cell r="CG19">
            <v>1366.7267729999999</v>
          </cell>
          <cell r="CH19">
            <v>1670.083529</v>
          </cell>
          <cell r="CI19">
            <v>1764.008223</v>
          </cell>
          <cell r="CJ19">
            <v>1706.5882120000001</v>
          </cell>
          <cell r="CK19">
            <v>1690.9518129999999</v>
          </cell>
          <cell r="CL19">
            <v>1541.1408489999997</v>
          </cell>
          <cell r="CM19">
            <v>1746.611451</v>
          </cell>
          <cell r="CN19">
            <v>1794.638455</v>
          </cell>
          <cell r="CO19">
            <v>1760.143546</v>
          </cell>
          <cell r="CP19">
            <v>2239.7921780000001</v>
          </cell>
        </row>
        <row r="20">
          <cell r="B20" t="str">
            <v>% Change</v>
          </cell>
          <cell r="BT20">
            <v>0.39073836725832978</v>
          </cell>
          <cell r="BU20">
            <v>0.23935966125562724</v>
          </cell>
          <cell r="BV20">
            <v>0.11781356376169505</v>
          </cell>
          <cell r="BW20">
            <v>0.22777887457263879</v>
          </cell>
          <cell r="BX20">
            <v>0.306025145043894</v>
          </cell>
          <cell r="BY20">
            <v>0.2657318648956537</v>
          </cell>
          <cell r="BZ20">
            <v>0.15752036585086215</v>
          </cell>
          <cell r="CA20">
            <v>-8.4479895515359282E-2</v>
          </cell>
          <cell r="CB20">
            <v>0.18557666690003027</v>
          </cell>
          <cell r="CC20">
            <v>0.13586296378731944</v>
          </cell>
          <cell r="CD20">
            <v>7.0190664213995335E-2</v>
          </cell>
          <cell r="CE20">
            <v>-0.14063015452017325</v>
          </cell>
          <cell r="CF20">
            <v>0.12860137142455086</v>
          </cell>
          <cell r="CG20">
            <v>-4.1404294311853773E-2</v>
          </cell>
          <cell r="CH20">
            <v>0.42760929892407762</v>
          </cell>
          <cell r="CI20">
            <v>0.16577046189172684</v>
          </cell>
          <cell r="CJ20">
            <v>0.24276621522052833</v>
          </cell>
          <cell r="CK20">
            <v>3.2015292444126153E-2</v>
          </cell>
          <cell r="CL20">
            <v>8.7172419730420891E-2</v>
          </cell>
          <cell r="CM20">
            <v>0.19689269984445179</v>
          </cell>
          <cell r="CN20">
            <v>7.0429664039792117E-2</v>
          </cell>
          <cell r="CO20">
            <v>0.37398051349314154</v>
          </cell>
          <cell r="CP20">
            <v>0.44409739922295199</v>
          </cell>
          <cell r="CQ20">
            <v>-1</v>
          </cell>
          <cell r="CR20">
            <v>-1</v>
          </cell>
          <cell r="CS20">
            <v>-1</v>
          </cell>
        </row>
        <row r="21">
          <cell r="B21" t="str">
            <v>% of Revenues, lagged</v>
          </cell>
          <cell r="BO21">
            <v>0.36232261746969541</v>
          </cell>
          <cell r="BP21">
            <v>0.36905193812813336</v>
          </cell>
          <cell r="BQ21">
            <v>0.36618312944995479</v>
          </cell>
          <cell r="BR21">
            <v>0.36242569832597821</v>
          </cell>
          <cell r="BS21">
            <v>0.43530276767709353</v>
          </cell>
          <cell r="BT21">
            <v>0.40036849778825762</v>
          </cell>
          <cell r="BU21">
            <v>0.37402283341002179</v>
          </cell>
          <cell r="BV21">
            <v>0.37479891191517273</v>
          </cell>
          <cell r="BW21">
            <v>0.3763955118181922</v>
          </cell>
          <cell r="BX21">
            <v>0.37740642104962291</v>
          </cell>
          <cell r="BY21">
            <v>0.38220304970287905</v>
          </cell>
          <cell r="BZ21">
            <v>0.38374047530102218</v>
          </cell>
          <cell r="CA21">
            <v>0.37955427126189484</v>
          </cell>
          <cell r="CB21">
            <v>0.37947012533277441</v>
          </cell>
          <cell r="CC21">
            <v>0.38337802735365734</v>
          </cell>
          <cell r="CD21">
            <v>0.38023920533580974</v>
          </cell>
          <cell r="CE21">
            <v>0.38089448340342175</v>
          </cell>
          <cell r="CF21">
            <v>0.41193598815290816</v>
          </cell>
          <cell r="CG21">
            <v>0.3813435163385489</v>
          </cell>
          <cell r="CH21">
            <v>0.38143555317722205</v>
          </cell>
          <cell r="CI21">
            <v>0.38126514662753747</v>
          </cell>
          <cell r="CJ21">
            <v>0.38137788001955841</v>
          </cell>
          <cell r="CK21">
            <v>0.38233568152768593</v>
          </cell>
          <cell r="CL21">
            <v>0.38503869122794121</v>
          </cell>
          <cell r="CM21">
            <v>0.38367493219392923</v>
          </cell>
          <cell r="CN21">
            <v>0.38409842926670584</v>
          </cell>
          <cell r="CO21">
            <v>0.38786204211221248</v>
          </cell>
          <cell r="CP21">
            <v>0.38546420357427308</v>
          </cell>
          <cell r="CQ21">
            <v>0</v>
          </cell>
          <cell r="CR21">
            <v>0</v>
          </cell>
          <cell r="CS21">
            <v>0</v>
          </cell>
        </row>
        <row r="23">
          <cell r="B23" t="str">
            <v>DSF reported receipts, preliminary</v>
          </cell>
          <cell r="BH23">
            <v>974.88488604999998</v>
          </cell>
          <cell r="BI23">
            <v>1099.8151139499998</v>
          </cell>
          <cell r="BJ23">
            <v>1006.6000000000004</v>
          </cell>
          <cell r="BK23">
            <v>1185.1999999999998</v>
          </cell>
          <cell r="BL23">
            <v>1012.8000000000002</v>
          </cell>
          <cell r="BM23">
            <v>1246.3999999999996</v>
          </cell>
          <cell r="BN23">
            <v>1182.8000000000002</v>
          </cell>
          <cell r="BO23">
            <v>1545.7000000000007</v>
          </cell>
          <cell r="BP23">
            <v>1374.6999999999989</v>
          </cell>
          <cell r="BQ23">
            <v>1099.3999999999996</v>
          </cell>
          <cell r="BR23">
            <v>1407</v>
          </cell>
          <cell r="BS23">
            <v>1604.7000000000007</v>
          </cell>
          <cell r="BT23">
            <v>1340.1</v>
          </cell>
          <cell r="BU23">
            <v>1363.8000000000002</v>
          </cell>
          <cell r="BV23">
            <v>1120.1999999999998</v>
          </cell>
          <cell r="BW23">
            <v>1447.2000000000003</v>
          </cell>
          <cell r="BX23">
            <v>1313.8000000000002</v>
          </cell>
          <cell r="BY23">
            <v>1566.5999999999995</v>
          </cell>
          <cell r="BZ23">
            <v>1357.3000000000002</v>
          </cell>
          <cell r="CA23">
            <v>1395.5</v>
          </cell>
          <cell r="CB23">
            <v>1602.5</v>
          </cell>
          <cell r="CC23">
            <v>1223.3999999999996</v>
          </cell>
          <cell r="CD23">
            <v>1481.5</v>
          </cell>
          <cell r="CE23">
            <v>1350.0000000000018</v>
          </cell>
          <cell r="CF23">
            <v>1512.4</v>
          </cell>
          <cell r="CG23">
            <v>1305.4000000000001</v>
          </cell>
          <cell r="CH23">
            <v>1596.8999999999996</v>
          </cell>
          <cell r="CI23">
            <v>1686.7088875461268</v>
          </cell>
          <cell r="CJ23">
            <v>1630.5911124538734</v>
          </cell>
          <cell r="CK23">
            <v>1615.5</v>
          </cell>
          <cell r="CL23">
            <v>1467.7000000000007</v>
          </cell>
          <cell r="CM23">
            <v>1664.6999999999989</v>
          </cell>
          <cell r="CN23">
            <v>1710.4746647160841</v>
          </cell>
          <cell r="CO23">
            <v>1674.3253352839165</v>
          </cell>
          <cell r="CP23">
            <v>2129.5999999999985</v>
          </cell>
          <cell r="CR23">
            <v>2174.0175767802889</v>
          </cell>
          <cell r="CS23">
            <v>4552.8824232197112</v>
          </cell>
        </row>
        <row r="24">
          <cell r="B24" t="str">
            <v>% Change</v>
          </cell>
          <cell r="BT24">
            <v>0.37462383423520307</v>
          </cell>
          <cell r="BU24">
            <v>0.24002660329143444</v>
          </cell>
          <cell r="BV24">
            <v>0.11285515597059348</v>
          </cell>
          <cell r="BW24">
            <v>0.22105973675329094</v>
          </cell>
          <cell r="BX24">
            <v>0.29719589257503953</v>
          </cell>
          <cell r="BY24">
            <v>0.25689987163029526</v>
          </cell>
          <cell r="BZ24">
            <v>0.14753128170443008</v>
          </cell>
          <cell r="CA24">
            <v>-9.7172801966746936E-2</v>
          </cell>
          <cell r="CB24">
            <v>0.16570888193787825</v>
          </cell>
          <cell r="CC24">
            <v>0.11278879388757512</v>
          </cell>
          <cell r="CD24">
            <v>5.2949538024164911E-2</v>
          </cell>
          <cell r="CE24">
            <v>-0.15872125630958978</v>
          </cell>
          <cell r="CF24">
            <v>0.12857249458995601</v>
          </cell>
          <cell r="CG24">
            <v>-4.2821528083296756E-2</v>
          </cell>
          <cell r="CH24">
            <v>0.42554900910551674</v>
          </cell>
          <cell r="CI24">
            <v>0.16549812572286249</v>
          </cell>
          <cell r="CJ24">
            <v>0.24112582771645097</v>
          </cell>
          <cell r="CK24">
            <v>3.1214094216775568E-2</v>
          </cell>
          <cell r="CL24">
            <v>8.1337950342592391E-2</v>
          </cell>
          <cell r="CM24">
            <v>0.19290576854174057</v>
          </cell>
          <cell r="CN24">
            <v>6.7378885938274014E-2</v>
          </cell>
          <cell r="CO24">
            <v>0.36858373000156686</v>
          </cell>
          <cell r="CP24">
            <v>0.43746203172460252</v>
          </cell>
          <cell r="CQ24">
            <v>-1</v>
          </cell>
          <cell r="CR24">
            <v>0.43746203172460252</v>
          </cell>
          <cell r="CS24">
            <v>2.4877297557987674</v>
          </cell>
        </row>
        <row r="25">
          <cell r="B25" t="str">
            <v>% of Revenues, lagged</v>
          </cell>
          <cell r="BO25">
            <v>0.35135606346640269</v>
          </cell>
          <cell r="BP25">
            <v>0.35876183193755373</v>
          </cell>
          <cell r="BQ25">
            <v>0.35695419434165576</v>
          </cell>
          <cell r="BR25">
            <v>0.35185441279699747</v>
          </cell>
          <cell r="BS25">
            <v>0.42427721242441913</v>
          </cell>
          <cell r="BT25">
            <v>0.38385753188286109</v>
          </cell>
          <cell r="BU25">
            <v>0.35776889462055989</v>
          </cell>
          <cell r="BV25">
            <v>0.35889306383567676</v>
          </cell>
          <cell r="BW25">
            <v>0.35998585130236183</v>
          </cell>
          <cell r="BX25">
            <v>0.36107651260222445</v>
          </cell>
          <cell r="BY25">
            <v>0.36543250193901278</v>
          </cell>
          <cell r="BZ25">
            <v>0.36742571898821902</v>
          </cell>
          <cell r="CA25">
            <v>0.36296323654487089</v>
          </cell>
          <cell r="CB25">
            <v>0.36270771665476875</v>
          </cell>
          <cell r="CC25">
            <v>0.36612398477206715</v>
          </cell>
          <cell r="CD25">
            <v>0.3632012308881134</v>
          </cell>
          <cell r="CE25">
            <v>0.36343166717412539</v>
          </cell>
          <cell r="CF25">
            <v>0.39493788032421262</v>
          </cell>
          <cell r="CG25">
            <v>0.36423214651429225</v>
          </cell>
          <cell r="CH25">
            <v>0.36472094017562506</v>
          </cell>
          <cell r="CI25">
            <v>0.36455800088877738</v>
          </cell>
          <cell r="CJ25">
            <v>0.36439451372841875</v>
          </cell>
          <cell r="CK25">
            <v>0.36527551451164664</v>
          </cell>
          <cell r="CL25">
            <v>0.36669022658243078</v>
          </cell>
          <cell r="CM25">
            <v>0.36568159407036521</v>
          </cell>
          <cell r="CN25">
            <v>0.36608523025209733</v>
          </cell>
          <cell r="CO25">
            <v>0.36895129671624788</v>
          </cell>
          <cell r="CP25">
            <v>0.3665003280191701</v>
          </cell>
          <cell r="CQ25">
            <v>0</v>
          </cell>
          <cell r="CR25">
            <v>0.36531596244439246</v>
          </cell>
          <cell r="CS25">
            <v>0.75104858331302993</v>
          </cell>
        </row>
        <row r="26">
          <cell r="B26" t="str">
            <v>% of DSEC number</v>
          </cell>
          <cell r="BH26">
            <v>0.97</v>
          </cell>
          <cell r="BI26">
            <v>0.95602845198062569</v>
          </cell>
          <cell r="BJ26">
            <v>0.96182813437054759</v>
          </cell>
          <cell r="BK26">
            <v>0.96166595439799707</v>
          </cell>
          <cell r="BL26">
            <v>0.96324314746180928</v>
          </cell>
          <cell r="BM26">
            <v>0.96283984656405419</v>
          </cell>
          <cell r="BN26">
            <v>0.96581968148343134</v>
          </cell>
          <cell r="BO26">
            <v>0.96973262646456238</v>
          </cell>
          <cell r="BP26">
            <v>0.97211745793079407</v>
          </cell>
          <cell r="BQ26">
            <v>0.97479694074884915</v>
          </cell>
          <cell r="BR26">
            <v>0.97083185442475839</v>
          </cell>
          <cell r="BS26">
            <v>0.97467152503644749</v>
          </cell>
          <cell r="BT26">
            <v>0.95876057682707938</v>
          </cell>
          <cell r="BU26">
            <v>0.9565429237534181</v>
          </cell>
          <cell r="BV26">
            <v>0.95756164819631095</v>
          </cell>
          <cell r="BW26">
            <v>0.95640314509447011</v>
          </cell>
          <cell r="BX26">
            <v>0.95673123842995955</v>
          </cell>
          <cell r="BY26">
            <v>0.95612136591556895</v>
          </cell>
          <cell r="BZ26">
            <v>0.95748492180814349</v>
          </cell>
          <cell r="CA26">
            <v>0.95628810957161903</v>
          </cell>
          <cell r="CB26">
            <v>0.95582680279954602</v>
          </cell>
          <cell r="CC26">
            <v>0.95499470144209986</v>
          </cell>
          <cell r="CD26">
            <v>0.95519143158147202</v>
          </cell>
          <cell r="CE26">
            <v>0.95415313954337144</v>
          </cell>
          <cell r="CF26">
            <v>0.9587360456052556</v>
          </cell>
          <cell r="CG26">
            <v>0.95512872491303735</v>
          </cell>
          <cell r="CH26">
            <v>0.95617971931989498</v>
          </cell>
          <cell r="CI26">
            <v>0.95617971931989498</v>
          </cell>
          <cell r="CJ26">
            <v>0.95546840238802333</v>
          </cell>
          <cell r="CK26">
            <v>0.95537908743470512</v>
          </cell>
          <cell r="CL26">
            <v>0.95234643929680241</v>
          </cell>
          <cell r="CM26">
            <v>0.95310264858672278</v>
          </cell>
          <cell r="CN26">
            <v>0.95310264858672278</v>
          </cell>
          <cell r="CO26">
            <v>0.95124362958287745</v>
          </cell>
          <cell r="CP26">
            <v>0.95080249896291869</v>
          </cell>
          <cell r="CQ26" t="e">
            <v>#DIV/0!</v>
          </cell>
          <cell r="CR26" t="e">
            <v>#DIV/0!</v>
          </cell>
          <cell r="CS26" t="e">
            <v>#DIV/0!</v>
          </cell>
        </row>
        <row r="28">
          <cell r="B28" t="str">
            <v>Leaked Revenues</v>
          </cell>
          <cell r="BN28">
            <v>4000</v>
          </cell>
          <cell r="BP28">
            <v>3000</v>
          </cell>
          <cell r="BR28">
            <v>3600</v>
          </cell>
          <cell r="BS28">
            <v>3500</v>
          </cell>
          <cell r="BT28">
            <v>3600</v>
          </cell>
          <cell r="BU28">
            <v>3000</v>
          </cell>
          <cell r="BV28">
            <v>3720</v>
          </cell>
          <cell r="BW28">
            <v>3700</v>
          </cell>
          <cell r="BX28">
            <v>3900</v>
          </cell>
          <cell r="BY28">
            <v>3500</v>
          </cell>
          <cell r="BZ28">
            <v>3700</v>
          </cell>
          <cell r="CA28">
            <v>4100</v>
          </cell>
          <cell r="CD28">
            <v>3600</v>
          </cell>
          <cell r="CF28">
            <v>3500</v>
          </cell>
          <cell r="CG28">
            <v>4200</v>
          </cell>
          <cell r="CH28">
            <v>4320</v>
          </cell>
          <cell r="CI28">
            <v>4250</v>
          </cell>
          <cell r="CK28">
            <v>3915.0579999999973</v>
          </cell>
          <cell r="CN28">
            <v>4400</v>
          </cell>
          <cell r="CO28">
            <v>5500</v>
          </cell>
          <cell r="CQ28">
            <v>5900</v>
          </cell>
          <cell r="CR28">
            <v>6000</v>
          </cell>
          <cell r="CS28">
            <v>5600</v>
          </cell>
          <cell r="CT28">
            <v>6064.9249999999993</v>
          </cell>
        </row>
        <row r="29">
          <cell r="B29" t="str">
            <v xml:space="preserve">  Difference</v>
          </cell>
          <cell r="BN29">
            <v>240.30400000000009</v>
          </cell>
          <cell r="BP29">
            <v>-1.3859999999999673</v>
          </cell>
          <cell r="BR29">
            <v>39.717000000000098</v>
          </cell>
          <cell r="BS29">
            <v>-113.01999999999998</v>
          </cell>
          <cell r="BT29">
            <v>70.527000000000044</v>
          </cell>
          <cell r="BU29">
            <v>7.2640000000001237</v>
          </cell>
          <cell r="BV29">
            <v>202.24800000000005</v>
          </cell>
          <cell r="BW29">
            <v>-166.51800000000003</v>
          </cell>
          <cell r="BX29">
            <v>286.4970000000003</v>
          </cell>
          <cell r="BY29">
            <v>120.44999999999982</v>
          </cell>
          <cell r="BZ29">
            <v>75.806999999999789</v>
          </cell>
          <cell r="CA29">
            <v>236.73199999999997</v>
          </cell>
          <cell r="CD29">
            <v>46.425000000000182</v>
          </cell>
          <cell r="CF29">
            <v>0.32700000000022555</v>
          </cell>
          <cell r="CG29">
            <v>98.412000000000262</v>
          </cell>
          <cell r="CH29">
            <v>232.81800000000021</v>
          </cell>
          <cell r="CI29">
            <v>140.88100000000031</v>
          </cell>
          <cell r="CK29">
            <v>11.414000000002943</v>
          </cell>
        </row>
        <row r="30">
          <cell r="B30" t="str">
            <v>Leaked Growth</v>
          </cell>
          <cell r="BT30">
            <v>0.1</v>
          </cell>
          <cell r="BU30">
            <v>0.04</v>
          </cell>
          <cell r="BV30">
            <v>0.16</v>
          </cell>
          <cell r="BW30">
            <v>0.4</v>
          </cell>
          <cell r="BX30">
            <v>0.15</v>
          </cell>
          <cell r="BY30">
            <v>0.1</v>
          </cell>
          <cell r="BZ30">
            <v>-0.12</v>
          </cell>
          <cell r="CA30">
            <v>0.15</v>
          </cell>
          <cell r="CD30">
            <v>0</v>
          </cell>
          <cell r="CE30">
            <v>0.15</v>
          </cell>
          <cell r="CF30">
            <v>0</v>
          </cell>
          <cell r="CK30">
            <v>8.1373309947657679E-2</v>
          </cell>
          <cell r="CL30">
            <v>0.16500000000000001</v>
          </cell>
          <cell r="CN30">
            <v>0.3401314547126939</v>
          </cell>
          <cell r="CO30">
            <v>0.37826165620941965</v>
          </cell>
          <cell r="CP30">
            <v>-1</v>
          </cell>
          <cell r="CQ30">
            <v>0.57274869022022212</v>
          </cell>
          <cell r="CR30">
            <v>0.71412556598283516</v>
          </cell>
          <cell r="CS30">
            <v>0.30280671094348333</v>
          </cell>
          <cell r="CT30">
            <v>0.33212550995888668</v>
          </cell>
        </row>
        <row r="31">
          <cell r="B31" t="str">
            <v xml:space="preserve">  Difference</v>
          </cell>
          <cell r="BZ31">
            <v>1.0456674804447896E-2</v>
          </cell>
          <cell r="CA31">
            <v>3.2105034764812773E-2</v>
          </cell>
          <cell r="CD31">
            <v>1.8430004310774351E-3</v>
          </cell>
          <cell r="CE31">
            <v>-4.240739537877411E-2</v>
          </cell>
          <cell r="CF31">
            <v>-4.6369363309410327E-2</v>
          </cell>
          <cell r="CK31">
            <v>3.1526467704299233E-3</v>
          </cell>
          <cell r="CL31">
            <v>1.9151891238085056E-2</v>
          </cell>
          <cell r="CO31">
            <v>6.0277647051747874E-2</v>
          </cell>
          <cell r="CP31">
            <v>1.3160884976380975</v>
          </cell>
          <cell r="CQ31">
            <v>-7.3252769503784343E-4</v>
          </cell>
          <cell r="CR31">
            <v>4.8566891036161408E-5</v>
          </cell>
          <cell r="CS31">
            <v>3.1384846310683834E-2</v>
          </cell>
          <cell r="CT31">
            <v>-0.33212550995888668</v>
          </cell>
        </row>
        <row r="33">
          <cell r="B33" t="str">
            <v>Establishments</v>
          </cell>
        </row>
        <row r="34">
          <cell r="B34" t="str">
            <v>Grand Total</v>
          </cell>
          <cell r="K34">
            <v>74</v>
          </cell>
          <cell r="L34">
            <v>74</v>
          </cell>
          <cell r="M34">
            <v>74</v>
          </cell>
          <cell r="N34">
            <v>74</v>
          </cell>
          <cell r="O34">
            <v>72</v>
          </cell>
          <cell r="P34">
            <v>72</v>
          </cell>
          <cell r="Q34">
            <v>72</v>
          </cell>
          <cell r="R34">
            <v>72</v>
          </cell>
          <cell r="S34">
            <v>72</v>
          </cell>
          <cell r="T34">
            <v>72</v>
          </cell>
          <cell r="U34">
            <v>72</v>
          </cell>
          <cell r="V34">
            <v>72</v>
          </cell>
          <cell r="W34">
            <v>71</v>
          </cell>
          <cell r="X34">
            <v>71</v>
          </cell>
          <cell r="Y34">
            <v>71</v>
          </cell>
          <cell r="Z34">
            <v>71</v>
          </cell>
          <cell r="AA34">
            <v>72</v>
          </cell>
          <cell r="AB34">
            <v>69</v>
          </cell>
          <cell r="AC34">
            <v>69</v>
          </cell>
          <cell r="AD34">
            <v>71</v>
          </cell>
          <cell r="AE34">
            <v>70</v>
          </cell>
          <cell r="AF34">
            <v>70</v>
          </cell>
          <cell r="AG34">
            <v>70</v>
          </cell>
          <cell r="AH34">
            <v>70</v>
          </cell>
          <cell r="AI34">
            <v>70</v>
          </cell>
          <cell r="AJ34">
            <v>69</v>
          </cell>
          <cell r="AK34">
            <v>69</v>
          </cell>
          <cell r="AL34">
            <v>69</v>
          </cell>
          <cell r="AM34">
            <v>69</v>
          </cell>
          <cell r="AN34">
            <v>69</v>
          </cell>
          <cell r="AO34">
            <v>67</v>
          </cell>
          <cell r="AP34">
            <v>67</v>
          </cell>
          <cell r="AQ34">
            <v>67</v>
          </cell>
          <cell r="AR34">
            <v>67</v>
          </cell>
          <cell r="AS34">
            <v>68</v>
          </cell>
          <cell r="AT34">
            <v>68</v>
          </cell>
          <cell r="AU34">
            <v>68</v>
          </cell>
          <cell r="AV34">
            <v>68</v>
          </cell>
          <cell r="AW34">
            <v>68</v>
          </cell>
          <cell r="AX34">
            <v>67</v>
          </cell>
          <cell r="AY34">
            <v>67</v>
          </cell>
          <cell r="AZ34">
            <v>67</v>
          </cell>
          <cell r="BA34">
            <v>67</v>
          </cell>
          <cell r="BB34">
            <v>68</v>
          </cell>
          <cell r="BC34">
            <v>68</v>
          </cell>
          <cell r="BD34">
            <v>69</v>
          </cell>
          <cell r="BE34">
            <v>69</v>
          </cell>
          <cell r="BF34">
            <v>70</v>
          </cell>
          <cell r="BG34">
            <v>69</v>
          </cell>
          <cell r="BH34">
            <v>70</v>
          </cell>
          <cell r="BI34">
            <v>70</v>
          </cell>
          <cell r="BJ34">
            <v>70</v>
          </cell>
          <cell r="BK34">
            <v>70</v>
          </cell>
          <cell r="BL34">
            <v>70</v>
          </cell>
          <cell r="BM34">
            <v>70</v>
          </cell>
          <cell r="BN34">
            <v>72</v>
          </cell>
          <cell r="BO34">
            <v>72</v>
          </cell>
          <cell r="BP34">
            <v>70</v>
          </cell>
          <cell r="BQ34">
            <v>68</v>
          </cell>
          <cell r="BR34">
            <v>68</v>
          </cell>
          <cell r="BS34">
            <v>70</v>
          </cell>
          <cell r="BT34">
            <v>72</v>
          </cell>
          <cell r="BU34">
            <v>74</v>
          </cell>
          <cell r="BV34">
            <v>75</v>
          </cell>
          <cell r="BW34">
            <v>75</v>
          </cell>
          <cell r="BX34">
            <v>75</v>
          </cell>
          <cell r="BY34">
            <v>73</v>
          </cell>
          <cell r="BZ34">
            <v>73</v>
          </cell>
          <cell r="CA34">
            <v>73</v>
          </cell>
          <cell r="CB34">
            <v>73</v>
          </cell>
          <cell r="CC34">
            <v>73</v>
          </cell>
          <cell r="CD34">
            <v>75</v>
          </cell>
          <cell r="CE34">
            <v>75</v>
          </cell>
          <cell r="CF34">
            <v>76</v>
          </cell>
          <cell r="CG34">
            <v>77</v>
          </cell>
          <cell r="CH34">
            <v>77</v>
          </cell>
          <cell r="CI34">
            <v>77</v>
          </cell>
          <cell r="CJ34">
            <v>77</v>
          </cell>
          <cell r="CK34">
            <v>78</v>
          </cell>
          <cell r="CL34">
            <v>78</v>
          </cell>
          <cell r="CM34">
            <v>78</v>
          </cell>
          <cell r="CN34">
            <v>79</v>
          </cell>
          <cell r="CO34">
            <v>79</v>
          </cell>
          <cell r="CP34">
            <v>80</v>
          </cell>
          <cell r="CQ34">
            <v>80</v>
          </cell>
          <cell r="CR34">
            <v>81</v>
          </cell>
          <cell r="CS34">
            <v>81</v>
          </cell>
        </row>
        <row r="35">
          <cell r="B35" t="str">
            <v>Hotel Total</v>
          </cell>
          <cell r="K35">
            <v>40</v>
          </cell>
          <cell r="L35">
            <v>40</v>
          </cell>
          <cell r="M35">
            <v>39</v>
          </cell>
          <cell r="N35">
            <v>39</v>
          </cell>
          <cell r="O35">
            <v>38</v>
          </cell>
          <cell r="P35">
            <v>38</v>
          </cell>
          <cell r="Q35">
            <v>38</v>
          </cell>
          <cell r="R35">
            <v>38</v>
          </cell>
          <cell r="S35">
            <v>38</v>
          </cell>
          <cell r="T35">
            <v>38</v>
          </cell>
          <cell r="U35">
            <v>38</v>
          </cell>
          <cell r="V35">
            <v>38</v>
          </cell>
          <cell r="W35">
            <v>38</v>
          </cell>
          <cell r="X35">
            <v>38</v>
          </cell>
          <cell r="Y35">
            <v>38</v>
          </cell>
          <cell r="Z35">
            <v>38</v>
          </cell>
          <cell r="AA35">
            <v>38</v>
          </cell>
          <cell r="AB35">
            <v>37</v>
          </cell>
          <cell r="AC35">
            <v>36</v>
          </cell>
          <cell r="AD35">
            <v>37</v>
          </cell>
          <cell r="AE35">
            <v>37</v>
          </cell>
          <cell r="AF35">
            <v>37</v>
          </cell>
          <cell r="AG35">
            <v>37</v>
          </cell>
          <cell r="AH35">
            <v>37</v>
          </cell>
          <cell r="AI35">
            <v>37</v>
          </cell>
          <cell r="AJ35">
            <v>36</v>
          </cell>
          <cell r="AK35">
            <v>36</v>
          </cell>
          <cell r="AL35">
            <v>36</v>
          </cell>
          <cell r="AM35">
            <v>36</v>
          </cell>
          <cell r="AN35">
            <v>36</v>
          </cell>
          <cell r="AO35">
            <v>34</v>
          </cell>
          <cell r="AP35">
            <v>34</v>
          </cell>
          <cell r="AQ35">
            <v>34</v>
          </cell>
          <cell r="AR35">
            <v>34</v>
          </cell>
          <cell r="AS35">
            <v>35</v>
          </cell>
          <cell r="AT35">
            <v>35</v>
          </cell>
          <cell r="AU35">
            <v>35</v>
          </cell>
          <cell r="AV35">
            <v>35</v>
          </cell>
          <cell r="AW35">
            <v>35</v>
          </cell>
          <cell r="AX35">
            <v>34</v>
          </cell>
          <cell r="AY35">
            <v>34</v>
          </cell>
          <cell r="AZ35">
            <v>34</v>
          </cell>
          <cell r="BA35">
            <v>34</v>
          </cell>
          <cell r="BB35">
            <v>35</v>
          </cell>
          <cell r="BC35">
            <v>35</v>
          </cell>
          <cell r="BD35">
            <v>36</v>
          </cell>
          <cell r="BE35">
            <v>36</v>
          </cell>
          <cell r="BF35">
            <v>37</v>
          </cell>
          <cell r="BG35">
            <v>37</v>
          </cell>
          <cell r="BH35">
            <v>37</v>
          </cell>
          <cell r="BI35">
            <v>37</v>
          </cell>
          <cell r="BJ35">
            <v>37</v>
          </cell>
          <cell r="BK35">
            <v>37</v>
          </cell>
          <cell r="BL35">
            <v>37</v>
          </cell>
          <cell r="BM35">
            <v>37</v>
          </cell>
          <cell r="BN35">
            <v>39</v>
          </cell>
          <cell r="BO35">
            <v>39</v>
          </cell>
          <cell r="BP35">
            <v>38</v>
          </cell>
          <cell r="BQ35">
            <v>38</v>
          </cell>
          <cell r="BR35">
            <v>38</v>
          </cell>
          <cell r="BS35">
            <v>39</v>
          </cell>
          <cell r="BT35">
            <v>41</v>
          </cell>
          <cell r="BU35">
            <v>42</v>
          </cell>
          <cell r="BV35">
            <v>43</v>
          </cell>
          <cell r="BW35">
            <v>43</v>
          </cell>
          <cell r="BX35">
            <v>43</v>
          </cell>
          <cell r="BY35">
            <v>42</v>
          </cell>
          <cell r="BZ35">
            <v>42</v>
          </cell>
          <cell r="CA35">
            <v>42</v>
          </cell>
          <cell r="CB35">
            <v>42</v>
          </cell>
          <cell r="CC35">
            <v>42</v>
          </cell>
          <cell r="CD35">
            <v>44</v>
          </cell>
          <cell r="CE35">
            <v>44</v>
          </cell>
          <cell r="CF35">
            <v>45</v>
          </cell>
          <cell r="CG35">
            <v>46</v>
          </cell>
          <cell r="CH35">
            <v>46</v>
          </cell>
          <cell r="CI35">
            <v>46</v>
          </cell>
          <cell r="CJ35">
            <v>46</v>
          </cell>
          <cell r="CK35">
            <v>47</v>
          </cell>
          <cell r="CL35">
            <v>47</v>
          </cell>
          <cell r="CM35">
            <v>47</v>
          </cell>
          <cell r="CN35">
            <v>48</v>
          </cell>
          <cell r="CO35">
            <v>48</v>
          </cell>
          <cell r="CP35">
            <v>49</v>
          </cell>
          <cell r="CQ35">
            <v>49</v>
          </cell>
          <cell r="CR35">
            <v>50</v>
          </cell>
          <cell r="CS35">
            <v>50</v>
          </cell>
        </row>
        <row r="36">
          <cell r="B36" t="str">
            <v>5-star hotels</v>
          </cell>
          <cell r="K36">
            <v>8</v>
          </cell>
          <cell r="L36">
            <v>8</v>
          </cell>
          <cell r="M36">
            <v>8</v>
          </cell>
          <cell r="N36">
            <v>8</v>
          </cell>
          <cell r="O36">
            <v>8</v>
          </cell>
          <cell r="P36">
            <v>8</v>
          </cell>
          <cell r="Q36">
            <v>8</v>
          </cell>
          <cell r="R36">
            <v>8</v>
          </cell>
          <cell r="S36">
            <v>8</v>
          </cell>
          <cell r="T36">
            <v>8</v>
          </cell>
          <cell r="U36">
            <v>8</v>
          </cell>
          <cell r="V36">
            <v>8</v>
          </cell>
          <cell r="W36">
            <v>8</v>
          </cell>
          <cell r="X36">
            <v>8</v>
          </cell>
          <cell r="Y36">
            <v>8</v>
          </cell>
          <cell r="Z36">
            <v>8</v>
          </cell>
          <cell r="AA36">
            <v>8</v>
          </cell>
          <cell r="AB36">
            <v>8</v>
          </cell>
          <cell r="AC36">
            <v>8</v>
          </cell>
          <cell r="AD36">
            <v>8</v>
          </cell>
          <cell r="AE36">
            <v>8</v>
          </cell>
          <cell r="AF36">
            <v>8</v>
          </cell>
          <cell r="AG36">
            <v>8</v>
          </cell>
          <cell r="AH36">
            <v>8</v>
          </cell>
          <cell r="AI36">
            <v>8</v>
          </cell>
          <cell r="AJ36">
            <v>8</v>
          </cell>
          <cell r="AK36">
            <v>8</v>
          </cell>
          <cell r="AL36">
            <v>8</v>
          </cell>
          <cell r="AM36">
            <v>8</v>
          </cell>
          <cell r="AN36">
            <v>8</v>
          </cell>
          <cell r="AO36">
            <v>8</v>
          </cell>
          <cell r="AP36">
            <v>8</v>
          </cell>
          <cell r="AQ36">
            <v>8</v>
          </cell>
          <cell r="AR36">
            <v>8</v>
          </cell>
          <cell r="AS36">
            <v>8</v>
          </cell>
          <cell r="AT36">
            <v>8</v>
          </cell>
          <cell r="AU36">
            <v>8</v>
          </cell>
          <cell r="AV36">
            <v>8</v>
          </cell>
          <cell r="AW36">
            <v>8</v>
          </cell>
          <cell r="AX36">
            <v>8</v>
          </cell>
          <cell r="AY36">
            <v>8</v>
          </cell>
          <cell r="AZ36">
            <v>8</v>
          </cell>
          <cell r="BA36">
            <v>8</v>
          </cell>
          <cell r="BB36">
            <v>8</v>
          </cell>
          <cell r="BC36">
            <v>8</v>
          </cell>
          <cell r="BD36">
            <v>8</v>
          </cell>
          <cell r="BE36">
            <v>8</v>
          </cell>
          <cell r="BF36">
            <v>9</v>
          </cell>
          <cell r="BG36">
            <v>9</v>
          </cell>
          <cell r="BH36">
            <v>9</v>
          </cell>
          <cell r="BI36">
            <v>9</v>
          </cell>
          <cell r="BJ36">
            <v>9</v>
          </cell>
          <cell r="BK36">
            <v>9</v>
          </cell>
          <cell r="BL36">
            <v>9</v>
          </cell>
          <cell r="BM36">
            <v>9</v>
          </cell>
          <cell r="BN36">
            <v>9</v>
          </cell>
          <cell r="BO36">
            <v>9</v>
          </cell>
          <cell r="BP36">
            <v>9</v>
          </cell>
          <cell r="BQ36">
            <v>9</v>
          </cell>
          <cell r="BR36">
            <v>9</v>
          </cell>
          <cell r="BS36">
            <v>9</v>
          </cell>
          <cell r="BT36">
            <v>9</v>
          </cell>
          <cell r="BU36">
            <v>9</v>
          </cell>
          <cell r="BV36">
            <v>9</v>
          </cell>
          <cell r="BW36">
            <v>9</v>
          </cell>
          <cell r="BX36">
            <v>9</v>
          </cell>
          <cell r="BY36">
            <v>9</v>
          </cell>
          <cell r="BZ36">
            <v>9</v>
          </cell>
          <cell r="CA36">
            <v>9</v>
          </cell>
          <cell r="CB36">
            <v>9</v>
          </cell>
          <cell r="CC36">
            <v>9</v>
          </cell>
          <cell r="CD36">
            <v>9</v>
          </cell>
          <cell r="CE36">
            <v>9</v>
          </cell>
          <cell r="CF36">
            <v>9</v>
          </cell>
          <cell r="CG36">
            <v>9</v>
          </cell>
          <cell r="CH36">
            <v>9</v>
          </cell>
          <cell r="CI36">
            <v>9</v>
          </cell>
          <cell r="CJ36">
            <v>9</v>
          </cell>
          <cell r="CK36">
            <v>10</v>
          </cell>
          <cell r="CL36">
            <v>9</v>
          </cell>
          <cell r="CM36">
            <v>9</v>
          </cell>
          <cell r="CN36">
            <v>10</v>
          </cell>
          <cell r="CO36">
            <v>10</v>
          </cell>
          <cell r="CP36">
            <v>11</v>
          </cell>
          <cell r="CQ36">
            <v>11</v>
          </cell>
          <cell r="CR36">
            <v>11</v>
          </cell>
          <cell r="CS36">
            <v>11</v>
          </cell>
        </row>
        <row r="37">
          <cell r="B37" t="str">
            <v>4-star hotels</v>
          </cell>
          <cell r="K37">
            <v>8</v>
          </cell>
          <cell r="L37">
            <v>8</v>
          </cell>
          <cell r="M37">
            <v>8</v>
          </cell>
          <cell r="N37">
            <v>8</v>
          </cell>
          <cell r="O37">
            <v>8</v>
          </cell>
          <cell r="P37">
            <v>8</v>
          </cell>
          <cell r="Q37">
            <v>8</v>
          </cell>
          <cell r="R37">
            <v>8</v>
          </cell>
          <cell r="S37">
            <v>8</v>
          </cell>
          <cell r="T37">
            <v>8</v>
          </cell>
          <cell r="U37">
            <v>8</v>
          </cell>
          <cell r="V37">
            <v>9</v>
          </cell>
          <cell r="W37">
            <v>9</v>
          </cell>
          <cell r="X37">
            <v>9</v>
          </cell>
          <cell r="Y37">
            <v>9</v>
          </cell>
          <cell r="Z37">
            <v>9</v>
          </cell>
          <cell r="AA37">
            <v>9</v>
          </cell>
          <cell r="AB37">
            <v>9</v>
          </cell>
          <cell r="AC37">
            <v>8</v>
          </cell>
          <cell r="AD37">
            <v>9</v>
          </cell>
          <cell r="AE37">
            <v>9</v>
          </cell>
          <cell r="AF37">
            <v>9</v>
          </cell>
          <cell r="AG37">
            <v>9</v>
          </cell>
          <cell r="AH37">
            <v>9</v>
          </cell>
          <cell r="AI37">
            <v>9</v>
          </cell>
          <cell r="AJ37">
            <v>9</v>
          </cell>
          <cell r="AK37">
            <v>9</v>
          </cell>
          <cell r="AL37">
            <v>9</v>
          </cell>
          <cell r="AM37">
            <v>9</v>
          </cell>
          <cell r="AN37">
            <v>9</v>
          </cell>
          <cell r="AO37">
            <v>9</v>
          </cell>
          <cell r="AP37">
            <v>9</v>
          </cell>
          <cell r="AQ37">
            <v>9</v>
          </cell>
          <cell r="AR37">
            <v>9</v>
          </cell>
          <cell r="AS37">
            <v>9</v>
          </cell>
          <cell r="AT37">
            <v>9</v>
          </cell>
          <cell r="AU37">
            <v>9</v>
          </cell>
          <cell r="AV37">
            <v>9</v>
          </cell>
          <cell r="AW37">
            <v>9</v>
          </cell>
          <cell r="AX37">
            <v>9</v>
          </cell>
          <cell r="AY37">
            <v>9</v>
          </cell>
          <cell r="AZ37">
            <v>9</v>
          </cell>
          <cell r="BA37">
            <v>9</v>
          </cell>
          <cell r="BB37">
            <v>9</v>
          </cell>
          <cell r="BC37">
            <v>9</v>
          </cell>
          <cell r="BD37">
            <v>9</v>
          </cell>
          <cell r="BE37">
            <v>9</v>
          </cell>
          <cell r="BF37">
            <v>9</v>
          </cell>
          <cell r="BG37">
            <v>9</v>
          </cell>
          <cell r="BH37">
            <v>9</v>
          </cell>
          <cell r="BI37">
            <v>9</v>
          </cell>
          <cell r="BJ37">
            <v>9</v>
          </cell>
          <cell r="BK37">
            <v>9</v>
          </cell>
          <cell r="BL37">
            <v>9</v>
          </cell>
          <cell r="BM37">
            <v>9</v>
          </cell>
          <cell r="BN37">
            <v>9</v>
          </cell>
          <cell r="BO37">
            <v>9</v>
          </cell>
          <cell r="BP37">
            <v>9</v>
          </cell>
          <cell r="BQ37">
            <v>9</v>
          </cell>
          <cell r="BR37">
            <v>9</v>
          </cell>
          <cell r="BS37">
            <v>9</v>
          </cell>
          <cell r="BT37">
            <v>10</v>
          </cell>
          <cell r="BU37">
            <v>10</v>
          </cell>
          <cell r="BV37">
            <v>11</v>
          </cell>
          <cell r="BW37">
            <v>11</v>
          </cell>
          <cell r="BX37">
            <v>11</v>
          </cell>
          <cell r="BY37">
            <v>10</v>
          </cell>
          <cell r="BZ37">
            <v>10</v>
          </cell>
          <cell r="CA37">
            <v>10</v>
          </cell>
          <cell r="CB37">
            <v>10</v>
          </cell>
          <cell r="CC37">
            <v>10</v>
          </cell>
          <cell r="CD37">
            <v>11</v>
          </cell>
          <cell r="CE37">
            <v>11</v>
          </cell>
          <cell r="CF37">
            <v>11</v>
          </cell>
          <cell r="CG37">
            <v>12</v>
          </cell>
          <cell r="CH37">
            <v>12</v>
          </cell>
          <cell r="CI37">
            <v>12</v>
          </cell>
          <cell r="CJ37">
            <v>12</v>
          </cell>
          <cell r="CK37">
            <v>12</v>
          </cell>
          <cell r="CL37">
            <v>12</v>
          </cell>
          <cell r="CM37">
            <v>12</v>
          </cell>
          <cell r="CN37">
            <v>12</v>
          </cell>
          <cell r="CO37">
            <v>12</v>
          </cell>
          <cell r="CP37">
            <v>12</v>
          </cell>
          <cell r="CQ37">
            <v>12</v>
          </cell>
          <cell r="CR37">
            <v>12</v>
          </cell>
          <cell r="CS37">
            <v>12</v>
          </cell>
        </row>
        <row r="38">
          <cell r="B38" t="str">
            <v>3-star hotels</v>
          </cell>
          <cell r="K38">
            <v>10</v>
          </cell>
          <cell r="L38">
            <v>10</v>
          </cell>
          <cell r="M38">
            <v>9</v>
          </cell>
          <cell r="N38">
            <v>9</v>
          </cell>
          <cell r="O38">
            <v>9</v>
          </cell>
          <cell r="P38">
            <v>9</v>
          </cell>
          <cell r="Q38">
            <v>9</v>
          </cell>
          <cell r="R38">
            <v>9</v>
          </cell>
          <cell r="S38">
            <v>9</v>
          </cell>
          <cell r="T38">
            <v>9</v>
          </cell>
          <cell r="U38">
            <v>9</v>
          </cell>
          <cell r="V38">
            <v>9</v>
          </cell>
          <cell r="W38">
            <v>9</v>
          </cell>
          <cell r="X38">
            <v>9</v>
          </cell>
          <cell r="Y38">
            <v>9</v>
          </cell>
          <cell r="Z38">
            <v>9</v>
          </cell>
          <cell r="AA38">
            <v>9</v>
          </cell>
          <cell r="AB38">
            <v>8</v>
          </cell>
          <cell r="AC38">
            <v>8</v>
          </cell>
          <cell r="AD38">
            <v>8</v>
          </cell>
          <cell r="AE38">
            <v>8</v>
          </cell>
          <cell r="AF38">
            <v>8</v>
          </cell>
          <cell r="AG38">
            <v>8</v>
          </cell>
          <cell r="AH38">
            <v>8</v>
          </cell>
          <cell r="AI38">
            <v>8</v>
          </cell>
          <cell r="AJ38">
            <v>8</v>
          </cell>
          <cell r="AK38">
            <v>8</v>
          </cell>
          <cell r="AL38">
            <v>8</v>
          </cell>
          <cell r="AM38">
            <v>8</v>
          </cell>
          <cell r="AN38">
            <v>8</v>
          </cell>
          <cell r="AO38">
            <v>8</v>
          </cell>
          <cell r="AP38">
            <v>8</v>
          </cell>
          <cell r="AQ38">
            <v>8</v>
          </cell>
          <cell r="AR38">
            <v>8</v>
          </cell>
          <cell r="AS38">
            <v>8</v>
          </cell>
          <cell r="AT38">
            <v>8</v>
          </cell>
          <cell r="AU38">
            <v>8</v>
          </cell>
          <cell r="AV38">
            <v>8</v>
          </cell>
          <cell r="AW38">
            <v>8</v>
          </cell>
          <cell r="AX38">
            <v>8</v>
          </cell>
          <cell r="AY38">
            <v>8</v>
          </cell>
          <cell r="AZ38">
            <v>8</v>
          </cell>
          <cell r="BA38">
            <v>8</v>
          </cell>
          <cell r="BB38">
            <v>8</v>
          </cell>
          <cell r="BC38">
            <v>8</v>
          </cell>
          <cell r="BD38">
            <v>8</v>
          </cell>
          <cell r="BE38">
            <v>8</v>
          </cell>
          <cell r="BF38">
            <v>8</v>
          </cell>
          <cell r="BG38">
            <v>8</v>
          </cell>
          <cell r="BH38">
            <v>8</v>
          </cell>
          <cell r="BI38">
            <v>8</v>
          </cell>
          <cell r="BJ38">
            <v>8</v>
          </cell>
          <cell r="BK38">
            <v>8</v>
          </cell>
          <cell r="BL38">
            <v>8</v>
          </cell>
          <cell r="BM38">
            <v>8</v>
          </cell>
          <cell r="BN38">
            <v>9</v>
          </cell>
          <cell r="BO38">
            <v>9</v>
          </cell>
          <cell r="BP38">
            <v>8</v>
          </cell>
          <cell r="BQ38">
            <v>8</v>
          </cell>
          <cell r="BR38">
            <v>8</v>
          </cell>
          <cell r="BS38">
            <v>9</v>
          </cell>
          <cell r="BT38">
            <v>10</v>
          </cell>
          <cell r="BU38">
            <v>11</v>
          </cell>
          <cell r="BV38">
            <v>11</v>
          </cell>
          <cell r="BW38">
            <v>11</v>
          </cell>
          <cell r="BX38">
            <v>11</v>
          </cell>
          <cell r="BY38">
            <v>11</v>
          </cell>
          <cell r="BZ38">
            <v>11</v>
          </cell>
          <cell r="CA38">
            <v>11</v>
          </cell>
          <cell r="CB38">
            <v>11</v>
          </cell>
          <cell r="CC38">
            <v>11</v>
          </cell>
          <cell r="CD38">
            <v>12</v>
          </cell>
          <cell r="CE38">
            <v>12</v>
          </cell>
          <cell r="CF38">
            <v>13</v>
          </cell>
          <cell r="CG38">
            <v>13</v>
          </cell>
          <cell r="CH38">
            <v>13</v>
          </cell>
          <cell r="CI38">
            <v>13</v>
          </cell>
          <cell r="CJ38">
            <v>13</v>
          </cell>
          <cell r="CK38">
            <v>13</v>
          </cell>
          <cell r="CL38">
            <v>14</v>
          </cell>
          <cell r="CM38">
            <v>14</v>
          </cell>
          <cell r="CN38">
            <v>14</v>
          </cell>
          <cell r="CO38">
            <v>14</v>
          </cell>
          <cell r="CP38">
            <v>14</v>
          </cell>
          <cell r="CQ38">
            <v>15</v>
          </cell>
          <cell r="CR38">
            <v>15</v>
          </cell>
          <cell r="CS38">
            <v>15</v>
          </cell>
        </row>
        <row r="39">
          <cell r="B39" t="str">
            <v>2-star hotels</v>
          </cell>
          <cell r="K39">
            <v>14</v>
          </cell>
          <cell r="L39">
            <v>14</v>
          </cell>
          <cell r="M39">
            <v>14</v>
          </cell>
          <cell r="N39">
            <v>14</v>
          </cell>
          <cell r="O39">
            <v>13</v>
          </cell>
          <cell r="P39">
            <v>13</v>
          </cell>
          <cell r="Q39">
            <v>13</v>
          </cell>
          <cell r="R39">
            <v>13</v>
          </cell>
          <cell r="S39">
            <v>13</v>
          </cell>
          <cell r="T39">
            <v>13</v>
          </cell>
          <cell r="U39">
            <v>13</v>
          </cell>
          <cell r="V39">
            <v>12</v>
          </cell>
          <cell r="W39">
            <v>12</v>
          </cell>
          <cell r="X39">
            <v>12</v>
          </cell>
          <cell r="Y39">
            <v>12</v>
          </cell>
          <cell r="Z39">
            <v>12</v>
          </cell>
          <cell r="AA39">
            <v>12</v>
          </cell>
          <cell r="AB39">
            <v>12</v>
          </cell>
          <cell r="AC39">
            <v>12</v>
          </cell>
          <cell r="AD39">
            <v>12</v>
          </cell>
          <cell r="AE39">
            <v>12</v>
          </cell>
          <cell r="AF39">
            <v>12</v>
          </cell>
          <cell r="AG39">
            <v>12</v>
          </cell>
          <cell r="AH39">
            <v>12</v>
          </cell>
          <cell r="AI39">
            <v>12</v>
          </cell>
          <cell r="AJ39">
            <v>11</v>
          </cell>
          <cell r="AK39">
            <v>11</v>
          </cell>
          <cell r="AL39">
            <v>11</v>
          </cell>
          <cell r="AM39">
            <v>11</v>
          </cell>
          <cell r="AN39">
            <v>11</v>
          </cell>
          <cell r="AO39">
            <v>9</v>
          </cell>
          <cell r="AP39">
            <v>9</v>
          </cell>
          <cell r="AQ39">
            <v>9</v>
          </cell>
          <cell r="AR39">
            <v>9</v>
          </cell>
          <cell r="AS39">
            <v>10</v>
          </cell>
          <cell r="AT39">
            <v>10</v>
          </cell>
          <cell r="AU39">
            <v>10</v>
          </cell>
          <cell r="AV39">
            <v>10</v>
          </cell>
          <cell r="AW39">
            <v>10</v>
          </cell>
          <cell r="AX39">
            <v>9</v>
          </cell>
          <cell r="AY39">
            <v>9</v>
          </cell>
          <cell r="AZ39">
            <v>9</v>
          </cell>
          <cell r="BA39">
            <v>9</v>
          </cell>
          <cell r="BB39">
            <v>10</v>
          </cell>
          <cell r="BC39">
            <v>10</v>
          </cell>
          <cell r="BD39">
            <v>11</v>
          </cell>
          <cell r="BE39">
            <v>11</v>
          </cell>
          <cell r="BF39">
            <v>11</v>
          </cell>
          <cell r="BG39">
            <v>11</v>
          </cell>
          <cell r="BH39">
            <v>11</v>
          </cell>
          <cell r="BI39">
            <v>11</v>
          </cell>
          <cell r="BJ39">
            <v>11</v>
          </cell>
          <cell r="BK39">
            <v>11</v>
          </cell>
          <cell r="BL39">
            <v>11</v>
          </cell>
          <cell r="BM39">
            <v>11</v>
          </cell>
          <cell r="BN39">
            <v>12</v>
          </cell>
          <cell r="BO39">
            <v>12</v>
          </cell>
          <cell r="BP39">
            <v>12</v>
          </cell>
          <cell r="BQ39">
            <v>12</v>
          </cell>
          <cell r="BR39">
            <v>12</v>
          </cell>
          <cell r="BS39">
            <v>12</v>
          </cell>
          <cell r="BT39">
            <v>12</v>
          </cell>
          <cell r="BU39">
            <v>12</v>
          </cell>
          <cell r="BV39">
            <v>12</v>
          </cell>
          <cell r="BW39">
            <v>12</v>
          </cell>
          <cell r="BX39">
            <v>12</v>
          </cell>
          <cell r="BY39">
            <v>12</v>
          </cell>
          <cell r="BZ39">
            <v>12</v>
          </cell>
          <cell r="CA39">
            <v>12</v>
          </cell>
          <cell r="CB39">
            <v>12</v>
          </cell>
          <cell r="CC39">
            <v>12</v>
          </cell>
          <cell r="CD39">
            <v>12</v>
          </cell>
          <cell r="CE39">
            <v>12</v>
          </cell>
          <cell r="CF39">
            <v>12</v>
          </cell>
          <cell r="CG39">
            <v>12</v>
          </cell>
          <cell r="CH39">
            <v>12</v>
          </cell>
          <cell r="CI39">
            <v>12</v>
          </cell>
          <cell r="CJ39">
            <v>12</v>
          </cell>
          <cell r="CK39">
            <v>12</v>
          </cell>
          <cell r="CL39">
            <v>12</v>
          </cell>
          <cell r="CM39">
            <v>12</v>
          </cell>
          <cell r="CN39">
            <v>12</v>
          </cell>
          <cell r="CO39">
            <v>12</v>
          </cell>
          <cell r="CP39">
            <v>12</v>
          </cell>
          <cell r="CQ39">
            <v>11</v>
          </cell>
          <cell r="CR39">
            <v>12</v>
          </cell>
          <cell r="CS39">
            <v>12</v>
          </cell>
        </row>
        <row r="40">
          <cell r="B40" t="str">
            <v>Guest-houses</v>
          </cell>
          <cell r="K40">
            <v>34</v>
          </cell>
          <cell r="L40">
            <v>34</v>
          </cell>
          <cell r="M40">
            <v>35</v>
          </cell>
          <cell r="N40">
            <v>35</v>
          </cell>
          <cell r="O40">
            <v>34</v>
          </cell>
          <cell r="P40">
            <v>34</v>
          </cell>
          <cell r="Q40">
            <v>34</v>
          </cell>
          <cell r="R40">
            <v>34</v>
          </cell>
          <cell r="S40">
            <v>34</v>
          </cell>
          <cell r="T40">
            <v>34</v>
          </cell>
          <cell r="U40">
            <v>34</v>
          </cell>
          <cell r="V40">
            <v>34</v>
          </cell>
          <cell r="W40">
            <v>33</v>
          </cell>
          <cell r="X40">
            <v>33</v>
          </cell>
          <cell r="Y40">
            <v>33</v>
          </cell>
          <cell r="Z40">
            <v>33</v>
          </cell>
          <cell r="AA40">
            <v>34</v>
          </cell>
          <cell r="AB40">
            <v>32</v>
          </cell>
          <cell r="AC40">
            <v>33</v>
          </cell>
          <cell r="AD40">
            <v>34</v>
          </cell>
          <cell r="AE40">
            <v>33</v>
          </cell>
          <cell r="AF40">
            <v>33</v>
          </cell>
          <cell r="AG40">
            <v>33</v>
          </cell>
          <cell r="AH40">
            <v>33</v>
          </cell>
          <cell r="AI40">
            <v>33</v>
          </cell>
          <cell r="AJ40">
            <v>33</v>
          </cell>
          <cell r="AK40">
            <v>33</v>
          </cell>
          <cell r="AL40">
            <v>33</v>
          </cell>
          <cell r="AM40">
            <v>33</v>
          </cell>
          <cell r="AN40">
            <v>33</v>
          </cell>
          <cell r="AO40">
            <v>33</v>
          </cell>
          <cell r="AP40">
            <v>33</v>
          </cell>
          <cell r="AQ40">
            <v>33</v>
          </cell>
          <cell r="AR40">
            <v>33</v>
          </cell>
          <cell r="AS40">
            <v>33</v>
          </cell>
          <cell r="AT40">
            <v>33</v>
          </cell>
          <cell r="AU40">
            <v>33</v>
          </cell>
          <cell r="AV40">
            <v>33</v>
          </cell>
          <cell r="AW40">
            <v>33</v>
          </cell>
          <cell r="AX40">
            <v>33</v>
          </cell>
          <cell r="AY40">
            <v>33</v>
          </cell>
          <cell r="AZ40">
            <v>33</v>
          </cell>
          <cell r="BA40">
            <v>33</v>
          </cell>
          <cell r="BB40">
            <v>33</v>
          </cell>
          <cell r="BC40">
            <v>33</v>
          </cell>
          <cell r="BD40">
            <v>33</v>
          </cell>
          <cell r="BE40">
            <v>33</v>
          </cell>
          <cell r="BF40">
            <v>33</v>
          </cell>
          <cell r="BG40">
            <v>32</v>
          </cell>
          <cell r="BH40">
            <v>33</v>
          </cell>
          <cell r="BI40">
            <v>33</v>
          </cell>
          <cell r="BJ40">
            <v>33</v>
          </cell>
          <cell r="BK40">
            <v>33</v>
          </cell>
          <cell r="BL40">
            <v>33</v>
          </cell>
          <cell r="BM40">
            <v>33</v>
          </cell>
          <cell r="BN40">
            <v>33</v>
          </cell>
          <cell r="BO40">
            <v>33</v>
          </cell>
          <cell r="BP40">
            <v>32</v>
          </cell>
          <cell r="BQ40">
            <v>30</v>
          </cell>
          <cell r="BR40">
            <v>30</v>
          </cell>
          <cell r="BS40">
            <v>31</v>
          </cell>
          <cell r="BT40">
            <v>31</v>
          </cell>
          <cell r="BU40">
            <v>32</v>
          </cell>
          <cell r="BV40">
            <v>32</v>
          </cell>
          <cell r="BW40">
            <v>32</v>
          </cell>
          <cell r="BX40">
            <v>32</v>
          </cell>
          <cell r="BY40">
            <v>31</v>
          </cell>
          <cell r="BZ40">
            <v>31</v>
          </cell>
          <cell r="CA40">
            <v>31</v>
          </cell>
          <cell r="CB40">
            <v>31</v>
          </cell>
          <cell r="CC40">
            <v>31</v>
          </cell>
          <cell r="CD40">
            <v>31</v>
          </cell>
          <cell r="CE40">
            <v>31</v>
          </cell>
          <cell r="CF40">
            <v>31</v>
          </cell>
          <cell r="CG40">
            <v>31</v>
          </cell>
          <cell r="CH40">
            <v>31</v>
          </cell>
          <cell r="CI40">
            <v>31</v>
          </cell>
          <cell r="CJ40">
            <v>31</v>
          </cell>
          <cell r="CK40">
            <v>31</v>
          </cell>
          <cell r="CL40">
            <v>31</v>
          </cell>
          <cell r="CM40">
            <v>31</v>
          </cell>
          <cell r="CN40">
            <v>31</v>
          </cell>
          <cell r="CO40">
            <v>31</v>
          </cell>
          <cell r="CP40">
            <v>31</v>
          </cell>
          <cell r="CQ40">
            <v>31</v>
          </cell>
          <cell r="CR40">
            <v>31</v>
          </cell>
          <cell r="CS40">
            <v>31</v>
          </cell>
        </row>
        <row r="41">
          <cell r="B41" t="str">
            <v>Total % Change</v>
          </cell>
          <cell r="X41">
            <v>-4.0540540540540571E-2</v>
          </cell>
          <cell r="Y41">
            <v>-4.0540540540540571E-2</v>
          </cell>
          <cell r="Z41">
            <v>-4.0540540540540571E-2</v>
          </cell>
          <cell r="AA41">
            <v>0</v>
          </cell>
          <cell r="AB41">
            <v>-4.166666666666663E-2</v>
          </cell>
          <cell r="AC41">
            <v>-4.166666666666663E-2</v>
          </cell>
          <cell r="AD41">
            <v>-1.388888888888884E-2</v>
          </cell>
          <cell r="AE41">
            <v>-2.777777777777779E-2</v>
          </cell>
          <cell r="AF41">
            <v>-2.777777777777779E-2</v>
          </cell>
          <cell r="AG41">
            <v>-2.777777777777779E-2</v>
          </cell>
          <cell r="AH41">
            <v>-2.777777777777779E-2</v>
          </cell>
          <cell r="AI41">
            <v>-1.4084507042253502E-2</v>
          </cell>
          <cell r="AJ41">
            <v>-2.8169014084507005E-2</v>
          </cell>
          <cell r="AK41">
            <v>-2.8169014084507005E-2</v>
          </cell>
          <cell r="AL41">
            <v>-2.8169014084507005E-2</v>
          </cell>
          <cell r="AM41">
            <v>-4.166666666666663E-2</v>
          </cell>
          <cell r="AN41">
            <v>0</v>
          </cell>
          <cell r="AO41">
            <v>-2.8985507246376829E-2</v>
          </cell>
          <cell r="AP41">
            <v>-5.633802816901412E-2</v>
          </cell>
          <cell r="AQ41">
            <v>-4.2857142857142816E-2</v>
          </cell>
          <cell r="AR41">
            <v>-4.2857142857142816E-2</v>
          </cell>
          <cell r="AS41">
            <v>-2.8571428571428581E-2</v>
          </cell>
          <cell r="AT41">
            <v>-2.8571428571428581E-2</v>
          </cell>
          <cell r="AU41">
            <v>-2.8571428571428581E-2</v>
          </cell>
          <cell r="AV41">
            <v>-1.4492753623188359E-2</v>
          </cell>
          <cell r="AW41">
            <v>-1.4492753623188359E-2</v>
          </cell>
          <cell r="AX41">
            <v>-2.8985507246376829E-2</v>
          </cell>
          <cell r="AY41">
            <v>-2.8985507246376829E-2</v>
          </cell>
          <cell r="AZ41">
            <v>-2.8985507246376829E-2</v>
          </cell>
          <cell r="BA41">
            <v>0</v>
          </cell>
          <cell r="BB41">
            <v>1.4925373134328401E-2</v>
          </cell>
          <cell r="BC41">
            <v>1.4925373134328401E-2</v>
          </cell>
          <cell r="BD41">
            <v>2.9850746268656803E-2</v>
          </cell>
          <cell r="BE41">
            <v>1.4705882352941124E-2</v>
          </cell>
          <cell r="BF41">
            <v>2.9411764705882248E-2</v>
          </cell>
          <cell r="BG41">
            <v>1.4705882352941124E-2</v>
          </cell>
          <cell r="BH41">
            <v>2.9411764705882248E-2</v>
          </cell>
          <cell r="BI41">
            <v>2.9411764705882248E-2</v>
          </cell>
          <cell r="BJ41">
            <v>4.4776119402984982E-2</v>
          </cell>
          <cell r="BK41">
            <v>4.4776119402984982E-2</v>
          </cell>
          <cell r="BL41">
            <v>4.4776119402984982E-2</v>
          </cell>
          <cell r="BM41">
            <v>4.4776119402984982E-2</v>
          </cell>
          <cell r="BN41">
            <v>5.8823529411764719E-2</v>
          </cell>
          <cell r="BO41">
            <v>5.8823529411764719E-2</v>
          </cell>
          <cell r="BP41">
            <v>1.449275362318847E-2</v>
          </cell>
          <cell r="BQ41">
            <v>-1.4492753623188359E-2</v>
          </cell>
          <cell r="BR41">
            <v>-2.8571428571428581E-2</v>
          </cell>
          <cell r="BS41">
            <v>1.449275362318847E-2</v>
          </cell>
          <cell r="BT41">
            <v>2.857142857142847E-2</v>
          </cell>
          <cell r="BU41">
            <v>5.7142857142857162E-2</v>
          </cell>
          <cell r="BV41">
            <v>7.1428571428571397E-2</v>
          </cell>
          <cell r="BW41">
            <v>7.1428571428571397E-2</v>
          </cell>
          <cell r="BX41">
            <v>7.1428571428571397E-2</v>
          </cell>
          <cell r="BY41">
            <v>4.2857142857142927E-2</v>
          </cell>
          <cell r="BZ41">
            <v>1.388888888888884E-2</v>
          </cell>
          <cell r="CA41">
            <v>1.388888888888884E-2</v>
          </cell>
          <cell r="CB41">
            <v>4.2857142857142927E-2</v>
          </cell>
          <cell r="CC41">
            <v>7.3529411764705843E-2</v>
          </cell>
          <cell r="CD41">
            <v>0.10294117647058831</v>
          </cell>
          <cell r="CE41">
            <v>7.1428571428571397E-2</v>
          </cell>
          <cell r="CF41">
            <v>5.555555555555558E-2</v>
          </cell>
          <cell r="CG41">
            <v>4.0540540540540571E-2</v>
          </cell>
          <cell r="CH41">
            <v>2.6666666666666616E-2</v>
          </cell>
          <cell r="CI41">
            <v>2.6666666666666616E-2</v>
          </cell>
          <cell r="CJ41">
            <v>2.6666666666666616E-2</v>
          </cell>
          <cell r="CK41">
            <v>6.8493150684931559E-2</v>
          </cell>
          <cell r="CL41">
            <v>6.8493150684931559E-2</v>
          </cell>
          <cell r="CM41">
            <v>6.8493150684931559E-2</v>
          </cell>
          <cell r="CN41">
            <v>8.2191780821917915E-2</v>
          </cell>
          <cell r="CO41">
            <v>8.2191780821917915E-2</v>
          </cell>
          <cell r="CP41">
            <v>6.6666666666666652E-2</v>
          </cell>
          <cell r="CQ41">
            <v>6.6666666666666652E-2</v>
          </cell>
          <cell r="CR41">
            <v>6.578947368421062E-2</v>
          </cell>
          <cell r="CS41">
            <v>5.1948051948051965E-2</v>
          </cell>
        </row>
        <row r="43">
          <cell r="B43" t="str">
            <v>Rooms</v>
          </cell>
        </row>
        <row r="44">
          <cell r="B44" t="str">
            <v>Grand Total</v>
          </cell>
          <cell r="K44">
            <v>9431</v>
          </cell>
          <cell r="L44">
            <v>9416</v>
          </cell>
          <cell r="M44">
            <v>9440</v>
          </cell>
          <cell r="N44">
            <v>9440</v>
          </cell>
          <cell r="O44">
            <v>9317</v>
          </cell>
          <cell r="P44">
            <v>9139</v>
          </cell>
          <cell r="Q44">
            <v>9360</v>
          </cell>
          <cell r="R44">
            <v>9307</v>
          </cell>
          <cell r="S44">
            <v>9295</v>
          </cell>
          <cell r="T44">
            <v>9297</v>
          </cell>
          <cell r="U44">
            <v>9303</v>
          </cell>
          <cell r="V44">
            <v>9202</v>
          </cell>
          <cell r="W44">
            <v>9201</v>
          </cell>
          <cell r="X44">
            <v>9174</v>
          </cell>
          <cell r="Y44">
            <v>9178</v>
          </cell>
          <cell r="Z44">
            <v>9178</v>
          </cell>
          <cell r="AA44">
            <v>9201</v>
          </cell>
          <cell r="AB44">
            <v>9093</v>
          </cell>
          <cell r="AC44">
            <v>8650</v>
          </cell>
          <cell r="AD44">
            <v>9018</v>
          </cell>
          <cell r="AE44">
            <v>9019</v>
          </cell>
          <cell r="AF44">
            <v>9016</v>
          </cell>
          <cell r="AG44">
            <v>9009</v>
          </cell>
          <cell r="AH44">
            <v>9022</v>
          </cell>
          <cell r="AI44">
            <v>9030</v>
          </cell>
          <cell r="AJ44">
            <v>8936</v>
          </cell>
          <cell r="AK44">
            <v>8993</v>
          </cell>
          <cell r="AL44">
            <v>8975</v>
          </cell>
          <cell r="AM44">
            <v>8985</v>
          </cell>
          <cell r="AN44">
            <v>8955</v>
          </cell>
          <cell r="AO44">
            <v>8779</v>
          </cell>
          <cell r="AP44">
            <v>8790</v>
          </cell>
          <cell r="AQ44">
            <v>8798</v>
          </cell>
          <cell r="AR44">
            <v>8808</v>
          </cell>
          <cell r="AS44">
            <v>8946</v>
          </cell>
          <cell r="AT44">
            <v>8928</v>
          </cell>
          <cell r="AU44">
            <v>8954</v>
          </cell>
          <cell r="AV44">
            <v>8962</v>
          </cell>
          <cell r="AW44">
            <v>8943</v>
          </cell>
          <cell r="AX44">
            <v>8928</v>
          </cell>
          <cell r="AY44">
            <v>8929</v>
          </cell>
          <cell r="AZ44">
            <v>8917</v>
          </cell>
          <cell r="BA44">
            <v>8922</v>
          </cell>
          <cell r="BB44">
            <v>8805</v>
          </cell>
          <cell r="BC44">
            <v>8863</v>
          </cell>
          <cell r="BD44">
            <v>8907</v>
          </cell>
          <cell r="BE44">
            <v>8899</v>
          </cell>
          <cell r="BF44">
            <v>9178</v>
          </cell>
          <cell r="BG44">
            <v>9185</v>
          </cell>
          <cell r="BH44">
            <v>9188</v>
          </cell>
          <cell r="BI44">
            <v>9208</v>
          </cell>
          <cell r="BJ44">
            <v>9301</v>
          </cell>
          <cell r="BK44">
            <v>9318</v>
          </cell>
          <cell r="BL44">
            <v>9313</v>
          </cell>
          <cell r="BM44">
            <v>9300</v>
          </cell>
          <cell r="BN44">
            <v>9375</v>
          </cell>
          <cell r="BO44">
            <v>9281</v>
          </cell>
          <cell r="BP44">
            <v>9105</v>
          </cell>
          <cell r="BQ44">
            <v>9078</v>
          </cell>
          <cell r="BR44">
            <v>9155</v>
          </cell>
          <cell r="BS44">
            <v>9168</v>
          </cell>
          <cell r="BT44">
            <v>9901</v>
          </cell>
          <cell r="BU44">
            <v>10181</v>
          </cell>
          <cell r="BV44">
            <v>10585</v>
          </cell>
          <cell r="BW44">
            <v>10636</v>
          </cell>
          <cell r="BX44">
            <v>10454</v>
          </cell>
          <cell r="BY44">
            <v>10571</v>
          </cell>
          <cell r="BZ44">
            <v>10562</v>
          </cell>
          <cell r="CA44">
            <v>10549</v>
          </cell>
          <cell r="CB44">
            <v>10679</v>
          </cell>
          <cell r="CC44">
            <v>10635</v>
          </cell>
          <cell r="CD44">
            <v>10833</v>
          </cell>
          <cell r="CE44">
            <v>10832</v>
          </cell>
          <cell r="CF44">
            <v>11015</v>
          </cell>
          <cell r="CG44">
            <v>11041</v>
          </cell>
          <cell r="CH44">
            <v>11297</v>
          </cell>
          <cell r="CI44">
            <v>11323</v>
          </cell>
          <cell r="CJ44">
            <v>11325</v>
          </cell>
          <cell r="CK44">
            <v>11748</v>
          </cell>
          <cell r="CL44">
            <v>11792</v>
          </cell>
          <cell r="CM44">
            <v>11791</v>
          </cell>
          <cell r="CN44">
            <v>12411</v>
          </cell>
          <cell r="CO44">
            <v>12419</v>
          </cell>
          <cell r="CP44">
            <v>12693</v>
          </cell>
          <cell r="CQ44">
            <v>12978</v>
          </cell>
          <cell r="CR44">
            <v>12922</v>
          </cell>
          <cell r="CS44">
            <v>13063</v>
          </cell>
        </row>
        <row r="45">
          <cell r="B45" t="str">
            <v>Hotel Total</v>
          </cell>
          <cell r="K45">
            <v>8848</v>
          </cell>
          <cell r="L45">
            <v>8833</v>
          </cell>
          <cell r="M45">
            <v>8814</v>
          </cell>
          <cell r="N45">
            <v>8815</v>
          </cell>
          <cell r="O45">
            <v>8721</v>
          </cell>
          <cell r="P45">
            <v>8543</v>
          </cell>
          <cell r="Q45">
            <v>8766</v>
          </cell>
          <cell r="R45">
            <v>8713</v>
          </cell>
          <cell r="S45">
            <v>8700</v>
          </cell>
          <cell r="T45">
            <v>8694</v>
          </cell>
          <cell r="U45">
            <v>8700</v>
          </cell>
          <cell r="V45">
            <v>8599</v>
          </cell>
          <cell r="W45">
            <v>8611</v>
          </cell>
          <cell r="X45">
            <v>8584</v>
          </cell>
          <cell r="Y45">
            <v>8588</v>
          </cell>
          <cell r="Z45">
            <v>8588</v>
          </cell>
          <cell r="AA45">
            <v>8606</v>
          </cell>
          <cell r="AB45">
            <v>8515</v>
          </cell>
          <cell r="AC45">
            <v>8059</v>
          </cell>
          <cell r="AD45">
            <v>8437</v>
          </cell>
          <cell r="AE45">
            <v>8437</v>
          </cell>
          <cell r="AF45">
            <v>8434</v>
          </cell>
          <cell r="AG45">
            <v>8427</v>
          </cell>
          <cell r="AH45">
            <v>8432</v>
          </cell>
          <cell r="AI45">
            <v>8440</v>
          </cell>
          <cell r="AJ45">
            <v>8349</v>
          </cell>
          <cell r="AK45">
            <v>8403</v>
          </cell>
          <cell r="AL45">
            <v>8385</v>
          </cell>
          <cell r="AM45">
            <v>8395</v>
          </cell>
          <cell r="AN45">
            <v>8365</v>
          </cell>
          <cell r="AO45">
            <v>8190</v>
          </cell>
          <cell r="AP45">
            <v>8200</v>
          </cell>
          <cell r="AQ45">
            <v>8207</v>
          </cell>
          <cell r="AR45">
            <v>8215</v>
          </cell>
          <cell r="AS45">
            <v>8352</v>
          </cell>
          <cell r="AT45">
            <v>8334</v>
          </cell>
          <cell r="AU45">
            <v>8360</v>
          </cell>
          <cell r="AV45">
            <v>8366</v>
          </cell>
          <cell r="AW45">
            <v>8348</v>
          </cell>
          <cell r="AX45">
            <v>8323</v>
          </cell>
          <cell r="AY45">
            <v>8333</v>
          </cell>
          <cell r="AZ45">
            <v>8323</v>
          </cell>
          <cell r="BA45">
            <v>8328</v>
          </cell>
          <cell r="BB45">
            <v>8216</v>
          </cell>
          <cell r="BC45">
            <v>8263</v>
          </cell>
          <cell r="BD45">
            <v>8307</v>
          </cell>
          <cell r="BE45">
            <v>8305</v>
          </cell>
          <cell r="BF45">
            <v>8584</v>
          </cell>
          <cell r="BG45">
            <v>8599</v>
          </cell>
          <cell r="BH45">
            <v>8596</v>
          </cell>
          <cell r="BI45">
            <v>8615</v>
          </cell>
          <cell r="BJ45">
            <v>8708</v>
          </cell>
          <cell r="BK45">
            <v>8726</v>
          </cell>
          <cell r="BL45">
            <v>8722</v>
          </cell>
          <cell r="BM45">
            <v>8710</v>
          </cell>
          <cell r="BN45">
            <v>8786</v>
          </cell>
          <cell r="BO45">
            <v>8693</v>
          </cell>
          <cell r="BP45">
            <v>8532</v>
          </cell>
          <cell r="BQ45">
            <v>8532</v>
          </cell>
          <cell r="BR45">
            <v>8609</v>
          </cell>
          <cell r="BS45">
            <v>8608</v>
          </cell>
          <cell r="BT45">
            <v>9341</v>
          </cell>
          <cell r="BU45">
            <v>9607</v>
          </cell>
          <cell r="BV45">
            <v>10013</v>
          </cell>
          <cell r="BW45">
            <v>10067</v>
          </cell>
          <cell r="BX45">
            <v>9886</v>
          </cell>
          <cell r="BY45">
            <v>10023</v>
          </cell>
          <cell r="BZ45">
            <v>10012</v>
          </cell>
          <cell r="CA45">
            <v>9999</v>
          </cell>
          <cell r="CB45">
            <v>10128</v>
          </cell>
          <cell r="CC45">
            <v>10084</v>
          </cell>
          <cell r="CD45">
            <v>10282</v>
          </cell>
          <cell r="CE45">
            <v>10285</v>
          </cell>
          <cell r="CF45">
            <v>10464</v>
          </cell>
          <cell r="CG45">
            <v>10490</v>
          </cell>
          <cell r="CH45">
            <v>10746</v>
          </cell>
          <cell r="CI45">
            <v>10772</v>
          </cell>
          <cell r="CJ45">
            <v>10774</v>
          </cell>
          <cell r="CK45">
            <v>11197</v>
          </cell>
          <cell r="CL45">
            <v>11241</v>
          </cell>
          <cell r="CM45">
            <v>11240</v>
          </cell>
          <cell r="CN45">
            <v>11859</v>
          </cell>
          <cell r="CO45">
            <v>11860</v>
          </cell>
          <cell r="CP45">
            <v>12134</v>
          </cell>
          <cell r="CQ45">
            <v>12419</v>
          </cell>
          <cell r="CR45">
            <v>12364</v>
          </cell>
          <cell r="CS45">
            <v>12493</v>
          </cell>
        </row>
        <row r="46">
          <cell r="B46" t="str">
            <v>5-star hotels</v>
          </cell>
          <cell r="K46">
            <v>3189</v>
          </cell>
          <cell r="L46">
            <v>3179</v>
          </cell>
          <cell r="M46">
            <v>3181</v>
          </cell>
          <cell r="N46">
            <v>3182</v>
          </cell>
          <cell r="O46">
            <v>3177</v>
          </cell>
          <cell r="P46">
            <v>2954</v>
          </cell>
          <cell r="Q46">
            <v>3177</v>
          </cell>
          <cell r="R46">
            <v>3124</v>
          </cell>
          <cell r="S46">
            <v>3111</v>
          </cell>
          <cell r="T46">
            <v>3111</v>
          </cell>
          <cell r="U46">
            <v>3111</v>
          </cell>
          <cell r="V46">
            <v>3111</v>
          </cell>
          <cell r="W46">
            <v>3123</v>
          </cell>
          <cell r="X46">
            <v>3096</v>
          </cell>
          <cell r="Y46">
            <v>3100</v>
          </cell>
          <cell r="Z46">
            <v>3100</v>
          </cell>
          <cell r="AA46">
            <v>3118</v>
          </cell>
          <cell r="AB46">
            <v>3100</v>
          </cell>
          <cell r="AC46">
            <v>3091</v>
          </cell>
          <cell r="AD46">
            <v>3109</v>
          </cell>
          <cell r="AE46">
            <v>3109</v>
          </cell>
          <cell r="AF46">
            <v>3106</v>
          </cell>
          <cell r="AG46">
            <v>3099</v>
          </cell>
          <cell r="AH46">
            <v>3104</v>
          </cell>
          <cell r="AI46">
            <v>3112</v>
          </cell>
          <cell r="AJ46">
            <v>3110</v>
          </cell>
          <cell r="AK46">
            <v>3117</v>
          </cell>
          <cell r="AL46">
            <v>3099</v>
          </cell>
          <cell r="AM46">
            <v>3109</v>
          </cell>
          <cell r="AN46">
            <v>3089</v>
          </cell>
          <cell r="AO46">
            <v>3094</v>
          </cell>
          <cell r="AP46">
            <v>3104</v>
          </cell>
          <cell r="AQ46">
            <v>3111</v>
          </cell>
          <cell r="AR46">
            <v>3119</v>
          </cell>
          <cell r="AS46">
            <v>3099</v>
          </cell>
          <cell r="AT46">
            <v>3079</v>
          </cell>
          <cell r="AU46">
            <v>3104</v>
          </cell>
          <cell r="AV46">
            <v>3110</v>
          </cell>
          <cell r="AW46">
            <v>3092</v>
          </cell>
          <cell r="AX46">
            <v>3094</v>
          </cell>
          <cell r="AY46">
            <v>3104</v>
          </cell>
          <cell r="AZ46">
            <v>3094</v>
          </cell>
          <cell r="BA46">
            <v>3099</v>
          </cell>
          <cell r="BB46">
            <v>3011</v>
          </cell>
          <cell r="BC46">
            <v>3058</v>
          </cell>
          <cell r="BD46">
            <v>3058</v>
          </cell>
          <cell r="BE46">
            <v>3059</v>
          </cell>
          <cell r="BF46">
            <v>3338</v>
          </cell>
          <cell r="BG46">
            <v>3349</v>
          </cell>
          <cell r="BH46">
            <v>3346</v>
          </cell>
          <cell r="BI46">
            <v>3369</v>
          </cell>
          <cell r="BJ46">
            <v>3462</v>
          </cell>
          <cell r="BK46">
            <v>3480</v>
          </cell>
          <cell r="BL46">
            <v>3476</v>
          </cell>
          <cell r="BM46">
            <v>3464</v>
          </cell>
          <cell r="BN46">
            <v>3470</v>
          </cell>
          <cell r="BO46">
            <v>3470</v>
          </cell>
          <cell r="BP46">
            <v>3470</v>
          </cell>
          <cell r="BQ46">
            <v>3470</v>
          </cell>
          <cell r="BR46">
            <v>3470</v>
          </cell>
          <cell r="BS46">
            <v>3470</v>
          </cell>
          <cell r="BT46">
            <v>3449</v>
          </cell>
          <cell r="BU46">
            <v>3449</v>
          </cell>
          <cell r="BV46">
            <v>3449</v>
          </cell>
          <cell r="BW46">
            <v>3449</v>
          </cell>
          <cell r="BX46">
            <v>3449</v>
          </cell>
          <cell r="BY46">
            <v>3454</v>
          </cell>
          <cell r="BZ46">
            <v>3454</v>
          </cell>
          <cell r="CA46">
            <v>3449</v>
          </cell>
          <cell r="CB46">
            <v>3449</v>
          </cell>
          <cell r="CC46">
            <v>3405</v>
          </cell>
          <cell r="CD46">
            <v>3449</v>
          </cell>
          <cell r="CE46">
            <v>3452</v>
          </cell>
          <cell r="CF46">
            <v>3452</v>
          </cell>
          <cell r="CG46">
            <v>3452</v>
          </cell>
          <cell r="CH46">
            <v>3452</v>
          </cell>
          <cell r="CI46">
            <v>3471</v>
          </cell>
          <cell r="CJ46">
            <v>3471</v>
          </cell>
          <cell r="CK46">
            <v>3789</v>
          </cell>
          <cell r="CL46">
            <v>3463</v>
          </cell>
          <cell r="CM46">
            <v>3463</v>
          </cell>
          <cell r="CN46">
            <v>4059</v>
          </cell>
          <cell r="CO46">
            <v>4061</v>
          </cell>
          <cell r="CP46">
            <v>4349</v>
          </cell>
          <cell r="CQ46">
            <v>4572</v>
          </cell>
          <cell r="CR46">
            <v>4490</v>
          </cell>
          <cell r="CS46">
            <v>4593</v>
          </cell>
        </row>
        <row r="47">
          <cell r="B47" t="str">
            <v>4-star hotels</v>
          </cell>
          <cell r="K47">
            <v>2421</v>
          </cell>
          <cell r="L47">
            <v>2421</v>
          </cell>
          <cell r="M47">
            <v>2699</v>
          </cell>
          <cell r="N47">
            <v>2699</v>
          </cell>
          <cell r="O47">
            <v>2699</v>
          </cell>
          <cell r="P47">
            <v>2699</v>
          </cell>
          <cell r="Q47">
            <v>2699</v>
          </cell>
          <cell r="R47">
            <v>2699</v>
          </cell>
          <cell r="S47">
            <v>2699</v>
          </cell>
          <cell r="T47">
            <v>2699</v>
          </cell>
          <cell r="U47">
            <v>2699</v>
          </cell>
          <cell r="V47">
            <v>2721</v>
          </cell>
          <cell r="W47">
            <v>2721</v>
          </cell>
          <cell r="X47">
            <v>2721</v>
          </cell>
          <cell r="Y47">
            <v>2721</v>
          </cell>
          <cell r="Z47">
            <v>2721</v>
          </cell>
          <cell r="AA47">
            <v>2721</v>
          </cell>
          <cell r="AB47">
            <v>2721</v>
          </cell>
          <cell r="AC47">
            <v>2274</v>
          </cell>
          <cell r="AD47">
            <v>2634</v>
          </cell>
          <cell r="AE47">
            <v>2634</v>
          </cell>
          <cell r="AF47">
            <v>2634</v>
          </cell>
          <cell r="AG47">
            <v>2634</v>
          </cell>
          <cell r="AH47">
            <v>2634</v>
          </cell>
          <cell r="AI47">
            <v>2634</v>
          </cell>
          <cell r="AJ47">
            <v>2634</v>
          </cell>
          <cell r="AK47">
            <v>2681</v>
          </cell>
          <cell r="AL47">
            <v>2681</v>
          </cell>
          <cell r="AM47">
            <v>2681</v>
          </cell>
          <cell r="AN47">
            <v>2681</v>
          </cell>
          <cell r="AO47">
            <v>2681</v>
          </cell>
          <cell r="AP47">
            <v>2681</v>
          </cell>
          <cell r="AQ47">
            <v>2681</v>
          </cell>
          <cell r="AR47">
            <v>2681</v>
          </cell>
          <cell r="AS47">
            <v>2680</v>
          </cell>
          <cell r="AT47">
            <v>2680</v>
          </cell>
          <cell r="AU47">
            <v>2681</v>
          </cell>
          <cell r="AV47">
            <v>2681</v>
          </cell>
          <cell r="AW47">
            <v>2681</v>
          </cell>
          <cell r="AX47">
            <v>2681</v>
          </cell>
          <cell r="AY47">
            <v>2681</v>
          </cell>
          <cell r="AZ47">
            <v>2681</v>
          </cell>
          <cell r="BA47">
            <v>2681</v>
          </cell>
          <cell r="BB47">
            <v>2625</v>
          </cell>
          <cell r="BC47">
            <v>2625</v>
          </cell>
          <cell r="BD47">
            <v>2625</v>
          </cell>
          <cell r="BE47">
            <v>2625</v>
          </cell>
          <cell r="BF47">
            <v>2625</v>
          </cell>
          <cell r="BG47">
            <v>2625</v>
          </cell>
          <cell r="BH47">
            <v>2625</v>
          </cell>
          <cell r="BI47">
            <v>2625</v>
          </cell>
          <cell r="BJ47">
            <v>2625</v>
          </cell>
          <cell r="BK47">
            <v>2625</v>
          </cell>
          <cell r="BL47">
            <v>2625</v>
          </cell>
          <cell r="BM47">
            <v>2625</v>
          </cell>
          <cell r="BN47">
            <v>2625</v>
          </cell>
          <cell r="BO47">
            <v>2625</v>
          </cell>
          <cell r="BP47">
            <v>2625</v>
          </cell>
          <cell r="BQ47">
            <v>2625</v>
          </cell>
          <cell r="BR47">
            <v>2625</v>
          </cell>
          <cell r="BS47">
            <v>2625</v>
          </cell>
          <cell r="BT47">
            <v>3108</v>
          </cell>
          <cell r="BU47">
            <v>3112</v>
          </cell>
          <cell r="BV47">
            <v>3518</v>
          </cell>
          <cell r="BW47">
            <v>3518</v>
          </cell>
          <cell r="BX47">
            <v>3374</v>
          </cell>
          <cell r="BY47">
            <v>3506</v>
          </cell>
          <cell r="BZ47">
            <v>3441</v>
          </cell>
          <cell r="CA47">
            <v>3433</v>
          </cell>
          <cell r="CB47">
            <v>3562</v>
          </cell>
          <cell r="CC47">
            <v>3562</v>
          </cell>
          <cell r="CD47">
            <v>3584</v>
          </cell>
          <cell r="CE47">
            <v>3584</v>
          </cell>
          <cell r="CF47">
            <v>3473</v>
          </cell>
          <cell r="CG47">
            <v>3498</v>
          </cell>
          <cell r="CH47">
            <v>3755</v>
          </cell>
          <cell r="CI47">
            <v>3757</v>
          </cell>
          <cell r="CJ47">
            <v>3759</v>
          </cell>
          <cell r="CK47">
            <v>3864</v>
          </cell>
          <cell r="CL47">
            <v>3903</v>
          </cell>
          <cell r="CM47">
            <v>3908</v>
          </cell>
          <cell r="CN47">
            <v>3927</v>
          </cell>
          <cell r="CO47">
            <v>3927</v>
          </cell>
          <cell r="CP47">
            <v>3927</v>
          </cell>
          <cell r="CQ47">
            <v>3927</v>
          </cell>
          <cell r="CR47">
            <v>3926</v>
          </cell>
          <cell r="CS47">
            <v>3952</v>
          </cell>
        </row>
        <row r="48">
          <cell r="B48" t="str">
            <v>3-star hotels</v>
          </cell>
          <cell r="K48">
            <v>2185</v>
          </cell>
          <cell r="L48">
            <v>2180</v>
          </cell>
          <cell r="M48">
            <v>1880</v>
          </cell>
          <cell r="N48">
            <v>1880</v>
          </cell>
          <cell r="O48">
            <v>1880</v>
          </cell>
          <cell r="P48">
            <v>1880</v>
          </cell>
          <cell r="Q48">
            <v>1880</v>
          </cell>
          <cell r="R48">
            <v>1880</v>
          </cell>
          <cell r="S48">
            <v>1880</v>
          </cell>
          <cell r="T48">
            <v>1874</v>
          </cell>
          <cell r="U48">
            <v>1880</v>
          </cell>
          <cell r="V48">
            <v>1880</v>
          </cell>
          <cell r="W48">
            <v>1880</v>
          </cell>
          <cell r="X48">
            <v>1880</v>
          </cell>
          <cell r="Y48">
            <v>1880</v>
          </cell>
          <cell r="Z48">
            <v>1880</v>
          </cell>
          <cell r="AA48">
            <v>1880</v>
          </cell>
          <cell r="AB48">
            <v>1807</v>
          </cell>
          <cell r="AC48">
            <v>1807</v>
          </cell>
          <cell r="AD48">
            <v>1807</v>
          </cell>
          <cell r="AE48">
            <v>1807</v>
          </cell>
          <cell r="AF48">
            <v>1807</v>
          </cell>
          <cell r="AG48">
            <v>1807</v>
          </cell>
          <cell r="AH48">
            <v>1807</v>
          </cell>
          <cell r="AI48">
            <v>1807</v>
          </cell>
          <cell r="AJ48">
            <v>1807</v>
          </cell>
          <cell r="AK48">
            <v>1807</v>
          </cell>
          <cell r="AL48">
            <v>1807</v>
          </cell>
          <cell r="AM48">
            <v>1807</v>
          </cell>
          <cell r="AN48">
            <v>1807</v>
          </cell>
          <cell r="AO48">
            <v>1807</v>
          </cell>
          <cell r="AP48">
            <v>1807</v>
          </cell>
          <cell r="AQ48">
            <v>1807</v>
          </cell>
          <cell r="AR48">
            <v>1807</v>
          </cell>
          <cell r="AS48">
            <v>1807</v>
          </cell>
          <cell r="AT48">
            <v>1807</v>
          </cell>
          <cell r="AU48">
            <v>1807</v>
          </cell>
          <cell r="AV48">
            <v>1807</v>
          </cell>
          <cell r="AW48">
            <v>1807</v>
          </cell>
          <cell r="AX48">
            <v>1807</v>
          </cell>
          <cell r="AY48">
            <v>1807</v>
          </cell>
          <cell r="AZ48">
            <v>1807</v>
          </cell>
          <cell r="BA48">
            <v>1807</v>
          </cell>
          <cell r="BB48">
            <v>1824</v>
          </cell>
          <cell r="BC48">
            <v>1824</v>
          </cell>
          <cell r="BD48">
            <v>1824</v>
          </cell>
          <cell r="BE48">
            <v>1824</v>
          </cell>
          <cell r="BF48">
            <v>1824</v>
          </cell>
          <cell r="BG48">
            <v>1825</v>
          </cell>
          <cell r="BH48">
            <v>1825</v>
          </cell>
          <cell r="BI48">
            <v>1824</v>
          </cell>
          <cell r="BJ48">
            <v>1824</v>
          </cell>
          <cell r="BK48">
            <v>1824</v>
          </cell>
          <cell r="BL48">
            <v>1824</v>
          </cell>
          <cell r="BM48">
            <v>1824</v>
          </cell>
          <cell r="BN48">
            <v>1854</v>
          </cell>
          <cell r="BO48">
            <v>1761</v>
          </cell>
          <cell r="BP48">
            <v>1600</v>
          </cell>
          <cell r="BQ48">
            <v>1600</v>
          </cell>
          <cell r="BR48">
            <v>1675</v>
          </cell>
          <cell r="BS48">
            <v>1674</v>
          </cell>
          <cell r="BT48">
            <v>1945</v>
          </cell>
          <cell r="BU48">
            <v>2207</v>
          </cell>
          <cell r="BV48">
            <v>2207</v>
          </cell>
          <cell r="BW48">
            <v>2261</v>
          </cell>
          <cell r="BX48">
            <v>2224</v>
          </cell>
          <cell r="BY48">
            <v>2224</v>
          </cell>
          <cell r="BZ48">
            <v>2278</v>
          </cell>
          <cell r="CA48">
            <v>2278</v>
          </cell>
          <cell r="CB48">
            <v>2278</v>
          </cell>
          <cell r="CC48">
            <v>2278</v>
          </cell>
          <cell r="CD48">
            <v>2410</v>
          </cell>
          <cell r="CE48">
            <v>2410</v>
          </cell>
          <cell r="CF48">
            <v>2700</v>
          </cell>
          <cell r="CG48">
            <v>2701</v>
          </cell>
          <cell r="CH48">
            <v>2701</v>
          </cell>
          <cell r="CI48">
            <v>2701</v>
          </cell>
          <cell r="CJ48">
            <v>2701</v>
          </cell>
          <cell r="CK48">
            <v>2701</v>
          </cell>
          <cell r="CL48">
            <v>3027</v>
          </cell>
          <cell r="CM48">
            <v>3021</v>
          </cell>
          <cell r="CN48">
            <v>3025</v>
          </cell>
          <cell r="CO48">
            <v>3025</v>
          </cell>
          <cell r="CP48">
            <v>3025</v>
          </cell>
          <cell r="CQ48">
            <v>3100</v>
          </cell>
          <cell r="CR48">
            <v>3100</v>
          </cell>
          <cell r="CS48">
            <v>3100</v>
          </cell>
        </row>
        <row r="49">
          <cell r="B49" t="str">
            <v>2-star hotels</v>
          </cell>
          <cell r="K49">
            <v>1053</v>
          </cell>
          <cell r="L49">
            <v>1053</v>
          </cell>
          <cell r="M49">
            <v>1054</v>
          </cell>
          <cell r="N49">
            <v>1054</v>
          </cell>
          <cell r="O49">
            <v>965</v>
          </cell>
          <cell r="P49">
            <v>1010</v>
          </cell>
          <cell r="Q49">
            <v>1010</v>
          </cell>
          <cell r="R49">
            <v>1010</v>
          </cell>
          <cell r="S49">
            <v>1010</v>
          </cell>
          <cell r="T49">
            <v>1010</v>
          </cell>
          <cell r="U49">
            <v>1010</v>
          </cell>
          <cell r="V49">
            <v>887</v>
          </cell>
          <cell r="W49">
            <v>887</v>
          </cell>
          <cell r="X49">
            <v>887</v>
          </cell>
          <cell r="Y49">
            <v>887</v>
          </cell>
          <cell r="Z49">
            <v>887</v>
          </cell>
          <cell r="AA49">
            <v>887</v>
          </cell>
          <cell r="AB49">
            <v>887</v>
          </cell>
          <cell r="AC49">
            <v>887</v>
          </cell>
          <cell r="AD49">
            <v>887</v>
          </cell>
          <cell r="AE49">
            <v>887</v>
          </cell>
          <cell r="AF49">
            <v>887</v>
          </cell>
          <cell r="AG49">
            <v>887</v>
          </cell>
          <cell r="AH49">
            <v>887</v>
          </cell>
          <cell r="AI49">
            <v>887</v>
          </cell>
          <cell r="AJ49">
            <v>798</v>
          </cell>
          <cell r="AK49">
            <v>798</v>
          </cell>
          <cell r="AL49">
            <v>798</v>
          </cell>
          <cell r="AM49">
            <v>798</v>
          </cell>
          <cell r="AN49">
            <v>788</v>
          </cell>
          <cell r="AO49">
            <v>608</v>
          </cell>
          <cell r="AP49">
            <v>608</v>
          </cell>
          <cell r="AQ49">
            <v>608</v>
          </cell>
          <cell r="AR49">
            <v>608</v>
          </cell>
          <cell r="AS49">
            <v>766</v>
          </cell>
          <cell r="AT49">
            <v>768</v>
          </cell>
          <cell r="AU49">
            <v>768</v>
          </cell>
          <cell r="AV49">
            <v>768</v>
          </cell>
          <cell r="AW49">
            <v>768</v>
          </cell>
          <cell r="AX49">
            <v>741</v>
          </cell>
          <cell r="AY49">
            <v>741</v>
          </cell>
          <cell r="AZ49">
            <v>741</v>
          </cell>
          <cell r="BA49">
            <v>741</v>
          </cell>
          <cell r="BB49">
            <v>756</v>
          </cell>
          <cell r="BC49">
            <v>756</v>
          </cell>
          <cell r="BD49">
            <v>800</v>
          </cell>
          <cell r="BE49">
            <v>797</v>
          </cell>
          <cell r="BF49">
            <v>797</v>
          </cell>
          <cell r="BG49">
            <v>800</v>
          </cell>
          <cell r="BH49">
            <v>800</v>
          </cell>
          <cell r="BI49">
            <v>797</v>
          </cell>
          <cell r="BJ49">
            <v>797</v>
          </cell>
          <cell r="BK49">
            <v>797</v>
          </cell>
          <cell r="BL49">
            <v>797</v>
          </cell>
          <cell r="BM49">
            <v>797</v>
          </cell>
          <cell r="BN49">
            <v>837</v>
          </cell>
          <cell r="BO49">
            <v>837</v>
          </cell>
          <cell r="BP49">
            <v>837</v>
          </cell>
          <cell r="BQ49">
            <v>837</v>
          </cell>
          <cell r="BR49">
            <v>839</v>
          </cell>
          <cell r="BS49">
            <v>839</v>
          </cell>
          <cell r="BT49">
            <v>839</v>
          </cell>
          <cell r="BU49">
            <v>839</v>
          </cell>
          <cell r="BV49">
            <v>839</v>
          </cell>
          <cell r="BW49">
            <v>839</v>
          </cell>
          <cell r="BX49">
            <v>839</v>
          </cell>
          <cell r="BY49">
            <v>839</v>
          </cell>
          <cell r="BZ49">
            <v>839</v>
          </cell>
          <cell r="CA49">
            <v>839</v>
          </cell>
          <cell r="CB49">
            <v>839</v>
          </cell>
          <cell r="CC49">
            <v>839</v>
          </cell>
          <cell r="CD49">
            <v>839</v>
          </cell>
          <cell r="CE49">
            <v>839</v>
          </cell>
          <cell r="CF49">
            <v>839</v>
          </cell>
          <cell r="CG49">
            <v>839</v>
          </cell>
          <cell r="CH49">
            <v>838</v>
          </cell>
          <cell r="CI49">
            <v>843</v>
          </cell>
          <cell r="CJ49">
            <v>843</v>
          </cell>
          <cell r="CK49">
            <v>843</v>
          </cell>
          <cell r="CL49">
            <v>848</v>
          </cell>
          <cell r="CM49">
            <v>848</v>
          </cell>
          <cell r="CN49">
            <v>848</v>
          </cell>
          <cell r="CO49">
            <v>847</v>
          </cell>
          <cell r="CP49">
            <v>833</v>
          </cell>
          <cell r="CQ49">
            <v>820</v>
          </cell>
          <cell r="CR49">
            <v>848</v>
          </cell>
          <cell r="CS49">
            <v>848</v>
          </cell>
        </row>
        <row r="50">
          <cell r="B50" t="str">
            <v>Guest-houses</v>
          </cell>
          <cell r="K50">
            <v>583</v>
          </cell>
          <cell r="L50">
            <v>583</v>
          </cell>
          <cell r="M50">
            <v>626</v>
          </cell>
          <cell r="N50">
            <v>625</v>
          </cell>
          <cell r="O50">
            <v>596</v>
          </cell>
          <cell r="P50">
            <v>596</v>
          </cell>
          <cell r="Q50">
            <v>594</v>
          </cell>
          <cell r="R50">
            <v>594</v>
          </cell>
          <cell r="S50">
            <v>595</v>
          </cell>
          <cell r="T50">
            <v>603</v>
          </cell>
          <cell r="U50">
            <v>603</v>
          </cell>
          <cell r="V50">
            <v>603</v>
          </cell>
          <cell r="W50">
            <v>590</v>
          </cell>
          <cell r="X50">
            <v>590</v>
          </cell>
          <cell r="Y50">
            <v>590</v>
          </cell>
          <cell r="Z50">
            <v>590</v>
          </cell>
          <cell r="AA50">
            <v>595</v>
          </cell>
          <cell r="AB50">
            <v>578</v>
          </cell>
          <cell r="AC50">
            <v>591</v>
          </cell>
          <cell r="AD50">
            <v>581</v>
          </cell>
          <cell r="AE50">
            <v>582</v>
          </cell>
          <cell r="AF50">
            <v>582</v>
          </cell>
          <cell r="AG50">
            <v>582</v>
          </cell>
          <cell r="AH50">
            <v>590</v>
          </cell>
          <cell r="AI50">
            <v>590</v>
          </cell>
          <cell r="AJ50">
            <v>587</v>
          </cell>
          <cell r="AK50">
            <v>590</v>
          </cell>
          <cell r="AL50">
            <v>590</v>
          </cell>
          <cell r="AM50">
            <v>590</v>
          </cell>
          <cell r="AN50">
            <v>590</v>
          </cell>
          <cell r="AO50">
            <v>589</v>
          </cell>
          <cell r="AP50">
            <v>590</v>
          </cell>
          <cell r="AQ50">
            <v>591</v>
          </cell>
          <cell r="AR50">
            <v>593</v>
          </cell>
          <cell r="AS50">
            <v>594</v>
          </cell>
          <cell r="AT50">
            <v>594</v>
          </cell>
          <cell r="AU50">
            <v>594</v>
          </cell>
          <cell r="AV50">
            <v>596</v>
          </cell>
          <cell r="AW50">
            <v>595</v>
          </cell>
          <cell r="AX50">
            <v>605</v>
          </cell>
          <cell r="AY50">
            <v>596</v>
          </cell>
          <cell r="AZ50">
            <v>594</v>
          </cell>
          <cell r="BA50">
            <v>594</v>
          </cell>
          <cell r="BB50">
            <v>589</v>
          </cell>
          <cell r="BC50">
            <v>600</v>
          </cell>
          <cell r="BD50">
            <v>600</v>
          </cell>
          <cell r="BE50">
            <v>594</v>
          </cell>
          <cell r="BF50">
            <v>594</v>
          </cell>
          <cell r="BG50">
            <v>586</v>
          </cell>
          <cell r="BH50">
            <v>592</v>
          </cell>
          <cell r="BI50">
            <v>593</v>
          </cell>
          <cell r="BJ50">
            <v>593</v>
          </cell>
          <cell r="BK50">
            <v>592</v>
          </cell>
          <cell r="BL50">
            <v>591</v>
          </cell>
          <cell r="BM50">
            <v>590</v>
          </cell>
          <cell r="BN50">
            <v>589</v>
          </cell>
          <cell r="BO50">
            <v>588</v>
          </cell>
          <cell r="BP50">
            <v>573</v>
          </cell>
          <cell r="BQ50">
            <v>546</v>
          </cell>
          <cell r="BR50">
            <v>546</v>
          </cell>
          <cell r="BS50">
            <v>560</v>
          </cell>
          <cell r="BT50">
            <v>560</v>
          </cell>
          <cell r="BU50">
            <v>574</v>
          </cell>
          <cell r="BV50">
            <v>572</v>
          </cell>
          <cell r="BW50">
            <v>569</v>
          </cell>
          <cell r="BX50">
            <v>568</v>
          </cell>
          <cell r="BY50">
            <v>548</v>
          </cell>
          <cell r="BZ50">
            <v>550</v>
          </cell>
          <cell r="CA50">
            <v>550</v>
          </cell>
          <cell r="CB50">
            <v>551</v>
          </cell>
          <cell r="CC50">
            <v>551</v>
          </cell>
          <cell r="CD50">
            <v>551</v>
          </cell>
          <cell r="CE50">
            <v>547</v>
          </cell>
          <cell r="CF50">
            <v>551</v>
          </cell>
          <cell r="CG50">
            <v>551</v>
          </cell>
          <cell r="CH50">
            <v>551</v>
          </cell>
          <cell r="CI50">
            <v>551</v>
          </cell>
          <cell r="CJ50">
            <v>551</v>
          </cell>
          <cell r="CK50">
            <v>551</v>
          </cell>
          <cell r="CL50">
            <v>551</v>
          </cell>
          <cell r="CM50">
            <v>551</v>
          </cell>
          <cell r="CN50">
            <v>552</v>
          </cell>
          <cell r="CO50">
            <v>559</v>
          </cell>
          <cell r="CP50">
            <v>559</v>
          </cell>
          <cell r="CQ50">
            <v>559</v>
          </cell>
          <cell r="CR50">
            <v>558</v>
          </cell>
          <cell r="CS50">
            <v>570</v>
          </cell>
        </row>
        <row r="51">
          <cell r="B51" t="str">
            <v>Total % Change</v>
          </cell>
          <cell r="X51">
            <v>-2.5700934579439227E-2</v>
          </cell>
          <cell r="Y51">
            <v>-2.7754237288135641E-2</v>
          </cell>
          <cell r="Z51">
            <v>-2.7754237288135641E-2</v>
          </cell>
          <cell r="AA51">
            <v>-1.2450359557797608E-2</v>
          </cell>
          <cell r="AB51">
            <v>-5.0333734544261155E-3</v>
          </cell>
          <cell r="AC51">
            <v>-7.5854700854700807E-2</v>
          </cell>
          <cell r="AD51">
            <v>-3.1051896422047975E-2</v>
          </cell>
          <cell r="AE51">
            <v>-2.9693383539537432E-2</v>
          </cell>
          <cell r="AF51">
            <v>-3.0224803700118263E-2</v>
          </cell>
          <cell r="AG51">
            <v>-3.1602708803611712E-2</v>
          </cell>
          <cell r="AH51">
            <v>-1.9560965007607067E-2</v>
          </cell>
          <cell r="AI51">
            <v>-1.8584936419954401E-2</v>
          </cell>
          <cell r="AJ51">
            <v>-2.5942882057990002E-2</v>
          </cell>
          <cell r="AK51">
            <v>-2.0156896927435164E-2</v>
          </cell>
          <cell r="AL51">
            <v>-2.2118108520374768E-2</v>
          </cell>
          <cell r="AM51">
            <v>-2.3475709162047553E-2</v>
          </cell>
          <cell r="AN51">
            <v>-1.5176509402837324E-2</v>
          </cell>
          <cell r="AO51">
            <v>1.4913294797687771E-2</v>
          </cell>
          <cell r="AP51">
            <v>-2.528276779773786E-2</v>
          </cell>
          <cell r="AQ51">
            <v>-2.4503825257789158E-2</v>
          </cell>
          <cell r="AR51">
            <v>-2.3070097604259043E-2</v>
          </cell>
          <cell r="AS51">
            <v>-6.9930069930069783E-3</v>
          </cell>
          <cell r="AT51">
            <v>-1.0418975836843258E-2</v>
          </cell>
          <cell r="AU51">
            <v>-8.4163898117386449E-3</v>
          </cell>
          <cell r="AV51">
            <v>2.9095792300806167E-3</v>
          </cell>
          <cell r="AW51">
            <v>-5.5598799065940119E-3</v>
          </cell>
          <cell r="AX51">
            <v>-5.2367688022284531E-3</v>
          </cell>
          <cell r="AY51">
            <v>-6.2326099053978679E-3</v>
          </cell>
          <cell r="AZ51">
            <v>-4.2434394193188174E-3</v>
          </cell>
          <cell r="BA51">
            <v>1.6288871169837016E-2</v>
          </cell>
          <cell r="BB51">
            <v>1.7064846416381396E-3</v>
          </cell>
          <cell r="BC51">
            <v>7.3880427369856783E-3</v>
          </cell>
          <cell r="BD51">
            <v>1.1239782016348787E-2</v>
          </cell>
          <cell r="BE51">
            <v>-5.2537446903644369E-3</v>
          </cell>
          <cell r="BF51">
            <v>2.8001792114695334E-2</v>
          </cell>
          <cell r="BG51">
            <v>2.5798525798525818E-2</v>
          </cell>
          <cell r="BH51">
            <v>2.5217585360410633E-2</v>
          </cell>
          <cell r="BI51">
            <v>2.9632114502963214E-2</v>
          </cell>
          <cell r="BJ51">
            <v>4.1778673835125346E-2</v>
          </cell>
          <cell r="BK51">
            <v>4.3565908836375788E-2</v>
          </cell>
          <cell r="BL51">
            <v>4.4409554782998795E-2</v>
          </cell>
          <cell r="BM51">
            <v>4.2367182246133117E-2</v>
          </cell>
          <cell r="BN51">
            <v>6.4735945485519641E-2</v>
          </cell>
          <cell r="BO51">
            <v>4.7162360374590984E-2</v>
          </cell>
          <cell r="BP51">
            <v>2.2229706972044516E-2</v>
          </cell>
          <cell r="BQ51">
            <v>2.0114619620182017E-2</v>
          </cell>
          <cell r="BR51">
            <v>-2.5059925909783898E-3</v>
          </cell>
          <cell r="BS51">
            <v>-1.8508437670113898E-3</v>
          </cell>
          <cell r="BT51">
            <v>7.7601218981280029E-2</v>
          </cell>
          <cell r="BU51">
            <v>0.10566898349261522</v>
          </cell>
          <cell r="BV51">
            <v>0.13804967207827112</v>
          </cell>
          <cell r="BW51">
            <v>0.14144666237389991</v>
          </cell>
          <cell r="BX51">
            <v>0.12251691184365932</v>
          </cell>
          <cell r="BY51">
            <v>0.13666666666666671</v>
          </cell>
          <cell r="BZ51">
            <v>0.12661333333333324</v>
          </cell>
          <cell r="CA51">
            <v>0.13662320870595845</v>
          </cell>
          <cell r="CB51">
            <v>0.17287204832509606</v>
          </cell>
          <cell r="CC51">
            <v>0.17151354923992068</v>
          </cell>
          <cell r="CD51">
            <v>0.18328782086291651</v>
          </cell>
          <cell r="CE51">
            <v>0.18150087260034908</v>
          </cell>
          <cell r="CF51">
            <v>0.11251388748611246</v>
          </cell>
          <cell r="CG51">
            <v>8.447107356841177E-2</v>
          </cell>
          <cell r="CH51">
            <v>6.7264997638167179E-2</v>
          </cell>
          <cell r="CI51">
            <v>6.4591951861602048E-2</v>
          </cell>
          <cell r="CJ51">
            <v>8.3317390472546382E-2</v>
          </cell>
          <cell r="CK51">
            <v>0.11134235171696161</v>
          </cell>
          <cell r="CL51">
            <v>0.11645521681499726</v>
          </cell>
          <cell r="CM51">
            <v>0.11773627832021982</v>
          </cell>
          <cell r="CN51">
            <v>0.16218747073696038</v>
          </cell>
          <cell r="CO51">
            <v>0.16774800188058303</v>
          </cell>
          <cell r="CP51">
            <v>0.17169759069509838</v>
          </cell>
          <cell r="CQ51">
            <v>0.19811669128508114</v>
          </cell>
          <cell r="CR51">
            <v>0.17312755333635943</v>
          </cell>
          <cell r="CS51">
            <v>0.18313558554478759</v>
          </cell>
        </row>
        <row r="53">
          <cell r="B53" t="str">
            <v>Occupancy</v>
          </cell>
        </row>
        <row r="54">
          <cell r="B54" t="str">
            <v>Grand Total</v>
          </cell>
          <cell r="C54">
            <v>0.69730000000000003</v>
          </cell>
          <cell r="D54">
            <v>0.61840000000000006</v>
          </cell>
          <cell r="E54">
            <v>0.57020000000000004</v>
          </cell>
          <cell r="F54">
            <v>0.55569999999999997</v>
          </cell>
          <cell r="G54">
            <v>0.57030000000000003</v>
          </cell>
          <cell r="H54">
            <v>0.60760000000000003</v>
          </cell>
          <cell r="I54">
            <v>0.50219999999999998</v>
          </cell>
          <cell r="J54">
            <v>0.51280000000000003</v>
          </cell>
          <cell r="K54">
            <v>0.53689999999999993</v>
          </cell>
          <cell r="L54">
            <v>0.49340000000000006</v>
          </cell>
          <cell r="M54">
            <v>0.60960000000000003</v>
          </cell>
          <cell r="N54">
            <v>0.53569999999999995</v>
          </cell>
          <cell r="O54">
            <v>0.5907</v>
          </cell>
          <cell r="P54">
            <v>0.5927</v>
          </cell>
          <cell r="Q54">
            <v>0.5222</v>
          </cell>
          <cell r="R54">
            <v>0.60530000000000006</v>
          </cell>
          <cell r="S54">
            <v>0.65410000000000001</v>
          </cell>
          <cell r="T54">
            <v>0.54700000000000004</v>
          </cell>
          <cell r="U54">
            <v>0.57840000000000003</v>
          </cell>
          <cell r="V54">
            <v>0.58799999999999997</v>
          </cell>
          <cell r="W54">
            <v>0.59350000000000003</v>
          </cell>
          <cell r="X54">
            <v>0.56520000000000004</v>
          </cell>
          <cell r="Y54">
            <v>0.52100000000000002</v>
          </cell>
          <cell r="Z54">
            <v>0.5786</v>
          </cell>
          <cell r="AA54">
            <v>0.6079</v>
          </cell>
          <cell r="AB54">
            <v>0.57830000000000004</v>
          </cell>
          <cell r="AC54">
            <v>0.6018</v>
          </cell>
          <cell r="AD54">
            <v>0.63900000000000001</v>
          </cell>
          <cell r="AE54">
            <v>0.69420000000000004</v>
          </cell>
          <cell r="AF54">
            <v>0.5625</v>
          </cell>
          <cell r="AG54">
            <v>0.62020000000000008</v>
          </cell>
          <cell r="AH54">
            <v>0.63340000000000007</v>
          </cell>
          <cell r="AI54">
            <v>0.67049999999999998</v>
          </cell>
          <cell r="AJ54">
            <v>0.57399999999999995</v>
          </cell>
          <cell r="AK54">
            <v>0.63539999999999996</v>
          </cell>
          <cell r="AL54">
            <v>0.65300000000000002</v>
          </cell>
          <cell r="AM54">
            <v>0.70340000000000003</v>
          </cell>
          <cell r="AN54">
            <v>0.6845</v>
          </cell>
          <cell r="AO54">
            <v>0.60319999999999996</v>
          </cell>
          <cell r="AP54">
            <v>0.69310000000000005</v>
          </cell>
          <cell r="AQ54">
            <v>0.76400000000000001</v>
          </cell>
          <cell r="AR54">
            <v>0.63049999999999995</v>
          </cell>
          <cell r="AS54">
            <v>0.63780000000000003</v>
          </cell>
          <cell r="AT54">
            <v>0.73580000000000001</v>
          </cell>
          <cell r="AU54">
            <v>0.73819999999999997</v>
          </cell>
          <cell r="AV54">
            <v>0.60719999999999996</v>
          </cell>
          <cell r="AW54">
            <v>0.67790000000000006</v>
          </cell>
          <cell r="AX54">
            <v>0.67010000000000003</v>
          </cell>
          <cell r="AY54">
            <v>0.44179999999999997</v>
          </cell>
          <cell r="AZ54">
            <v>0.32719999999999999</v>
          </cell>
          <cell r="BA54">
            <v>0.4975</v>
          </cell>
          <cell r="BB54">
            <v>0.66870000000000007</v>
          </cell>
          <cell r="BC54">
            <v>0.84279999999999999</v>
          </cell>
          <cell r="BD54">
            <v>0.68209999999999993</v>
          </cell>
          <cell r="BE54">
            <v>0.72540000000000004</v>
          </cell>
          <cell r="BF54">
            <v>0.7904000000000001</v>
          </cell>
          <cell r="BG54">
            <v>0.7742</v>
          </cell>
          <cell r="BH54">
            <v>0.66749999999999998</v>
          </cell>
          <cell r="BI54">
            <v>0.64430000000000009</v>
          </cell>
          <cell r="BJ54">
            <v>0.78010000000000002</v>
          </cell>
          <cell r="BK54">
            <v>0.76980000000000004</v>
          </cell>
          <cell r="BL54">
            <v>0.71109999999999995</v>
          </cell>
          <cell r="BM54">
            <v>0.74939999999999996</v>
          </cell>
          <cell r="BN54">
            <v>0.82</v>
          </cell>
          <cell r="BO54">
            <v>0.8234999999999999</v>
          </cell>
          <cell r="BP54">
            <v>0.71230000000000004</v>
          </cell>
          <cell r="BQ54">
            <v>0.77180000000000004</v>
          </cell>
          <cell r="BR54">
            <v>0.82440000000000002</v>
          </cell>
          <cell r="BS54">
            <v>0.78500000000000003</v>
          </cell>
          <cell r="BT54">
            <v>0.66849999999999998</v>
          </cell>
          <cell r="BU54">
            <v>0.65349999999999997</v>
          </cell>
          <cell r="BV54">
            <v>0.64849999999999997</v>
          </cell>
          <cell r="BW54">
            <v>0.67030000000000001</v>
          </cell>
          <cell r="BX54">
            <v>0.67030000000000001</v>
          </cell>
          <cell r="BY54">
            <v>0.6765000000000001</v>
          </cell>
          <cell r="BZ54">
            <v>0.74019999999999997</v>
          </cell>
          <cell r="CA54">
            <v>0.75749999999999995</v>
          </cell>
          <cell r="CB54">
            <v>0.66949999999999998</v>
          </cell>
          <cell r="CC54">
            <v>0.75340000000000007</v>
          </cell>
          <cell r="CD54">
            <v>0.82569999999999988</v>
          </cell>
          <cell r="CE54">
            <v>0.76090000000000002</v>
          </cell>
          <cell r="CF54">
            <v>0.64529999999999998</v>
          </cell>
          <cell r="CG54">
            <v>0.72160000000000002</v>
          </cell>
          <cell r="CH54">
            <v>0.75120000000000009</v>
          </cell>
          <cell r="CI54">
            <v>0.77760000000000007</v>
          </cell>
          <cell r="CJ54">
            <v>0.65390000000000004</v>
          </cell>
          <cell r="CK54">
            <v>0.68</v>
          </cell>
          <cell r="CL54">
            <v>0.72819999999999996</v>
          </cell>
          <cell r="CM54">
            <v>0.74280000000000002</v>
          </cell>
          <cell r="CN54">
            <v>0.6724</v>
          </cell>
          <cell r="CO54">
            <v>0.73580000000000001</v>
          </cell>
          <cell r="CP54">
            <v>0.77579999999999993</v>
          </cell>
          <cell r="CQ54">
            <v>0.78079999999999994</v>
          </cell>
          <cell r="CR54">
            <v>0.71799999999999997</v>
          </cell>
          <cell r="CS54">
            <v>0.74140000000000006</v>
          </cell>
        </row>
        <row r="55">
          <cell r="B55" t="str">
            <v>Hotel Total</v>
          </cell>
          <cell r="C55" t="str">
            <v>NA</v>
          </cell>
          <cell r="D55" t="str">
            <v>NA</v>
          </cell>
          <cell r="E55" t="str">
            <v>NA</v>
          </cell>
          <cell r="F55" t="str">
            <v>NA</v>
          </cell>
          <cell r="G55" t="str">
            <v>NA</v>
          </cell>
          <cell r="H55" t="str">
            <v>NA</v>
          </cell>
          <cell r="I55" t="str">
            <v>NA</v>
          </cell>
          <cell r="J55" t="str">
            <v>NA</v>
          </cell>
          <cell r="K55">
            <v>0.55420000000000003</v>
          </cell>
          <cell r="L55">
            <v>0.50369999999999993</v>
          </cell>
          <cell r="M55">
            <v>0.62509999999999999</v>
          </cell>
          <cell r="N55">
            <v>0.54949999999999999</v>
          </cell>
          <cell r="O55">
            <v>0.60670000000000002</v>
          </cell>
          <cell r="P55">
            <v>0.60919999999999996</v>
          </cell>
          <cell r="Q55">
            <v>0.53510000000000002</v>
          </cell>
          <cell r="R55">
            <v>0.62159999999999993</v>
          </cell>
          <cell r="S55">
            <v>0.67359999999999998</v>
          </cell>
          <cell r="T55">
            <v>0.56220000000000003</v>
          </cell>
          <cell r="U55">
            <v>0.59499999999999997</v>
          </cell>
          <cell r="V55">
            <v>0.60699999999999998</v>
          </cell>
          <cell r="W55">
            <v>0.61240000000000006</v>
          </cell>
          <cell r="X55">
            <v>0.57799999999999996</v>
          </cell>
          <cell r="Y55">
            <v>0.53410000000000002</v>
          </cell>
          <cell r="Z55">
            <v>0.5948</v>
          </cell>
          <cell r="AA55">
            <v>0.626</v>
          </cell>
          <cell r="AB55">
            <v>0.59279999999999999</v>
          </cell>
          <cell r="AC55">
            <v>0.62250000000000005</v>
          </cell>
          <cell r="AD55">
            <v>0.6581999999999999</v>
          </cell>
          <cell r="AE55">
            <v>0.71629999999999994</v>
          </cell>
          <cell r="AF55">
            <v>0.57769999999999999</v>
          </cell>
          <cell r="AG55">
            <v>0.63819999999999999</v>
          </cell>
          <cell r="AH55">
            <v>0.6542</v>
          </cell>
          <cell r="AI55">
            <v>0.69140000000000001</v>
          </cell>
          <cell r="AJ55">
            <v>0.59060000000000001</v>
          </cell>
          <cell r="AK55">
            <v>0.65159999999999996</v>
          </cell>
          <cell r="AL55">
            <v>0.67249999999999999</v>
          </cell>
          <cell r="AM55">
            <v>0.72540000000000004</v>
          </cell>
          <cell r="AN55">
            <v>0.70510000000000006</v>
          </cell>
          <cell r="AO55">
            <v>0.61909999999999998</v>
          </cell>
          <cell r="AP55">
            <v>0.71400000000000008</v>
          </cell>
          <cell r="AQ55">
            <v>0.78980000000000006</v>
          </cell>
          <cell r="AR55">
            <v>0.65</v>
          </cell>
          <cell r="AS55">
            <v>0.65659999999999996</v>
          </cell>
          <cell r="AT55">
            <v>0.76159999999999994</v>
          </cell>
          <cell r="AU55">
            <v>0.7641</v>
          </cell>
          <cell r="AV55">
            <v>0.62480000000000002</v>
          </cell>
          <cell r="AW55">
            <v>0.69599999999999995</v>
          </cell>
          <cell r="AX55">
            <v>0.69230000000000003</v>
          </cell>
          <cell r="AY55">
            <v>0.45369999999999999</v>
          </cell>
          <cell r="AZ55">
            <v>0.3342</v>
          </cell>
          <cell r="BA55">
            <v>0.5141</v>
          </cell>
          <cell r="BB55">
            <v>0.6923999999999999</v>
          </cell>
          <cell r="BC55">
            <v>0.87379999999999991</v>
          </cell>
          <cell r="BD55">
            <v>0.70609999999999995</v>
          </cell>
          <cell r="BE55">
            <v>0.74970000000000003</v>
          </cell>
          <cell r="BF55">
            <v>0.81489999999999996</v>
          </cell>
          <cell r="BG55">
            <v>0.79579999999999995</v>
          </cell>
          <cell r="BH55">
            <v>0.68669999999999998</v>
          </cell>
          <cell r="BI55">
            <v>0.66520000000000001</v>
          </cell>
          <cell r="BJ55">
            <v>0.80449999999999999</v>
          </cell>
          <cell r="BK55">
            <v>0.79449999999999998</v>
          </cell>
          <cell r="BL55">
            <v>0.73299999999999998</v>
          </cell>
          <cell r="BM55">
            <v>0.77370000000000005</v>
          </cell>
          <cell r="BN55">
            <v>0.84670000000000001</v>
          </cell>
          <cell r="BO55">
            <v>0.84770000000000001</v>
          </cell>
          <cell r="BP55">
            <v>0.73439999999999994</v>
          </cell>
          <cell r="BQ55">
            <v>0.79200000000000004</v>
          </cell>
          <cell r="BR55">
            <v>0.84620000000000006</v>
          </cell>
          <cell r="BS55">
            <v>0.80519999999999992</v>
          </cell>
          <cell r="BT55">
            <v>0.68440000000000001</v>
          </cell>
          <cell r="BU55">
            <v>0.66739999999999999</v>
          </cell>
          <cell r="BV55">
            <v>0.66200000000000003</v>
          </cell>
          <cell r="BW55">
            <v>0.68340000000000001</v>
          </cell>
          <cell r="BX55">
            <v>0.68310000000000004</v>
          </cell>
          <cell r="BY55">
            <v>0.69010000000000005</v>
          </cell>
          <cell r="BZ55">
            <v>0.755</v>
          </cell>
          <cell r="CA55">
            <v>0.77349999999999997</v>
          </cell>
          <cell r="CB55">
            <v>0.68120000000000003</v>
          </cell>
          <cell r="CC55">
            <v>0.76780000000000004</v>
          </cell>
          <cell r="CD55">
            <v>0.8427</v>
          </cell>
          <cell r="CE55">
            <v>0.7752</v>
          </cell>
          <cell r="CF55">
            <v>0.65469999999999995</v>
          </cell>
          <cell r="CG55">
            <v>0.73540000000000005</v>
          </cell>
          <cell r="CH55">
            <v>0.76639999999999997</v>
          </cell>
          <cell r="CI55">
            <v>0.79290000000000005</v>
          </cell>
          <cell r="CJ55">
            <v>0.66670000000000007</v>
          </cell>
          <cell r="CK55">
            <v>0.69330000000000003</v>
          </cell>
          <cell r="CL55">
            <v>0.74170000000000003</v>
          </cell>
          <cell r="CM55">
            <v>0.75470000000000004</v>
          </cell>
          <cell r="CN55">
            <v>0.68149999999999999</v>
          </cell>
          <cell r="CO55">
            <v>0.74739999999999995</v>
          </cell>
          <cell r="CP55">
            <v>0.78769999999999996</v>
          </cell>
          <cell r="CQ55">
            <v>0.79299999999999993</v>
          </cell>
          <cell r="CR55">
            <v>0.72739999999999994</v>
          </cell>
          <cell r="CS55">
            <v>0.75060000000000004</v>
          </cell>
        </row>
        <row r="56">
          <cell r="B56" t="str">
            <v>5-star hotels</v>
          </cell>
          <cell r="C56">
            <v>0.80720000000000003</v>
          </cell>
          <cell r="D56">
            <v>0.67790000000000006</v>
          </cell>
          <cell r="E56">
            <v>0.57279999999999998</v>
          </cell>
          <cell r="F56">
            <v>0.58360000000000001</v>
          </cell>
          <cell r="G56">
            <v>0.63470000000000004</v>
          </cell>
          <cell r="H56">
            <v>0.68650000000000011</v>
          </cell>
          <cell r="I56">
            <v>0.52090000000000003</v>
          </cell>
          <cell r="J56">
            <v>0.55010000000000003</v>
          </cell>
          <cell r="K56">
            <v>0.55279999999999996</v>
          </cell>
          <cell r="L56">
            <v>0.50549999999999995</v>
          </cell>
          <cell r="M56">
            <v>0.64319999999999988</v>
          </cell>
          <cell r="N56">
            <v>0.57369999999999999</v>
          </cell>
          <cell r="O56">
            <v>0.64139999999999997</v>
          </cell>
          <cell r="P56">
            <v>0.65079999999999993</v>
          </cell>
          <cell r="Q56">
            <v>0.56979999999999997</v>
          </cell>
          <cell r="R56">
            <v>0.65949999999999998</v>
          </cell>
          <cell r="S56">
            <v>0.70269999999999999</v>
          </cell>
          <cell r="T56">
            <v>0.59430000000000005</v>
          </cell>
          <cell r="U56">
            <v>0.62360000000000004</v>
          </cell>
          <cell r="V56">
            <v>0.60429999999999995</v>
          </cell>
          <cell r="W56">
            <v>0.63429999999999997</v>
          </cell>
          <cell r="X56">
            <v>0.59079999999999999</v>
          </cell>
          <cell r="Y56">
            <v>0.55479999999999996</v>
          </cell>
          <cell r="Z56">
            <v>0.60819999999999996</v>
          </cell>
          <cell r="AA56">
            <v>0.61840000000000006</v>
          </cell>
          <cell r="AB56">
            <v>0.60209999999999997</v>
          </cell>
          <cell r="AC56">
            <v>0.61450000000000005</v>
          </cell>
          <cell r="AD56">
            <v>0.64569999999999994</v>
          </cell>
          <cell r="AE56">
            <v>0.72189999999999999</v>
          </cell>
          <cell r="AF56">
            <v>0.56020000000000003</v>
          </cell>
          <cell r="AG56">
            <v>0.63479999999999992</v>
          </cell>
          <cell r="AH56">
            <v>0.63890000000000002</v>
          </cell>
          <cell r="AI56">
            <v>0.66590000000000005</v>
          </cell>
          <cell r="AJ56">
            <v>0.57320000000000004</v>
          </cell>
          <cell r="AK56">
            <v>0.62549999999999994</v>
          </cell>
          <cell r="AL56">
            <v>0.66680000000000006</v>
          </cell>
          <cell r="AM56">
            <v>0.66810000000000003</v>
          </cell>
          <cell r="AN56">
            <v>0.70469999999999999</v>
          </cell>
          <cell r="AO56">
            <v>0.60329999999999995</v>
          </cell>
          <cell r="AP56">
            <v>0.68629999999999991</v>
          </cell>
          <cell r="AQ56">
            <v>0.76129999999999998</v>
          </cell>
          <cell r="AR56">
            <v>0.62229999999999996</v>
          </cell>
          <cell r="AS56">
            <v>0.66150000000000009</v>
          </cell>
          <cell r="AT56">
            <v>0.71560000000000001</v>
          </cell>
          <cell r="AU56">
            <v>0.73069999999999991</v>
          </cell>
          <cell r="AV56">
            <v>0.60840000000000005</v>
          </cell>
          <cell r="AW56">
            <v>0.70239999999999991</v>
          </cell>
          <cell r="AX56">
            <v>0.6631999999999999</v>
          </cell>
          <cell r="AY56">
            <v>0.47149999999999997</v>
          </cell>
          <cell r="AZ56">
            <v>0.41969999999999996</v>
          </cell>
          <cell r="BA56">
            <v>0.56899999999999995</v>
          </cell>
          <cell r="BB56">
            <v>0.73239999999999994</v>
          </cell>
          <cell r="BC56">
            <v>0.86849999999999994</v>
          </cell>
          <cell r="BD56">
            <v>0.71290000000000009</v>
          </cell>
          <cell r="BE56">
            <v>0.78120000000000001</v>
          </cell>
          <cell r="BF56">
            <v>0.76780000000000004</v>
          </cell>
          <cell r="BG56">
            <v>0.75060000000000004</v>
          </cell>
          <cell r="BH56">
            <v>0.67930000000000001</v>
          </cell>
          <cell r="BI56">
            <v>0.67049999999999998</v>
          </cell>
          <cell r="BJ56">
            <v>0.74080000000000001</v>
          </cell>
          <cell r="BK56">
            <v>0.7681</v>
          </cell>
          <cell r="BL56">
            <v>0.74870000000000003</v>
          </cell>
          <cell r="BM56">
            <v>0.76249999999999996</v>
          </cell>
          <cell r="BN56">
            <v>0.83779999999999999</v>
          </cell>
          <cell r="BO56">
            <v>0.83209999999999995</v>
          </cell>
          <cell r="BP56">
            <v>0.72089999999999999</v>
          </cell>
          <cell r="BQ56">
            <v>0.80049999999999999</v>
          </cell>
          <cell r="BR56">
            <v>0.82590000000000008</v>
          </cell>
          <cell r="BS56">
            <v>0.80010000000000003</v>
          </cell>
          <cell r="BT56">
            <v>0.70209999999999995</v>
          </cell>
          <cell r="BU56">
            <v>0.68049999999999999</v>
          </cell>
          <cell r="BV56">
            <v>0.6765000000000001</v>
          </cell>
          <cell r="BW56">
            <v>0.69489999999999996</v>
          </cell>
          <cell r="BX56">
            <v>0.69090000000000007</v>
          </cell>
          <cell r="BY56">
            <v>0.68659999999999999</v>
          </cell>
          <cell r="BZ56">
            <v>0.71189999999999998</v>
          </cell>
          <cell r="CA56">
            <v>0.74849999999999994</v>
          </cell>
          <cell r="CB56">
            <v>0.68059999999999998</v>
          </cell>
          <cell r="CC56">
            <v>0.77859999999999996</v>
          </cell>
          <cell r="CD56">
            <v>0.80969999999999998</v>
          </cell>
          <cell r="CE56">
            <v>0.74639999999999995</v>
          </cell>
          <cell r="CF56">
            <v>0.64190000000000003</v>
          </cell>
          <cell r="CG56">
            <v>0.69950000000000001</v>
          </cell>
          <cell r="CH56">
            <v>0.70330000000000004</v>
          </cell>
          <cell r="CI56">
            <v>0.73120000000000007</v>
          </cell>
          <cell r="CJ56">
            <v>0.63070000000000004</v>
          </cell>
          <cell r="CK56">
            <v>0.62029999999999996</v>
          </cell>
          <cell r="CL56">
            <v>0.65410000000000001</v>
          </cell>
          <cell r="CM56">
            <v>0.70330000000000004</v>
          </cell>
          <cell r="CN56">
            <v>0.64759999999999995</v>
          </cell>
          <cell r="CO56">
            <v>0.71189999999999998</v>
          </cell>
          <cell r="CP56">
            <v>0.7229000000000001</v>
          </cell>
          <cell r="CQ56">
            <v>0.7198</v>
          </cell>
          <cell r="CR56">
            <v>0.70189999999999997</v>
          </cell>
          <cell r="CS56">
            <v>0.71360000000000001</v>
          </cell>
        </row>
        <row r="57">
          <cell r="B57" t="str">
            <v>4-star hotels</v>
          </cell>
          <cell r="C57" t="str">
            <v>NA</v>
          </cell>
          <cell r="D57" t="str">
            <v>NA</v>
          </cell>
          <cell r="E57" t="str">
            <v>NA</v>
          </cell>
          <cell r="F57" t="str">
            <v>NA</v>
          </cell>
          <cell r="G57" t="str">
            <v>NA</v>
          </cell>
          <cell r="H57" t="str">
            <v>NA</v>
          </cell>
          <cell r="I57" t="str">
            <v>NA</v>
          </cell>
          <cell r="J57">
            <v>0.53839999999999999</v>
          </cell>
          <cell r="K57">
            <v>0.5877</v>
          </cell>
          <cell r="L57">
            <v>0.46920000000000001</v>
          </cell>
          <cell r="M57">
            <v>0.62</v>
          </cell>
          <cell r="N57">
            <v>0.52929999999999999</v>
          </cell>
          <cell r="O57">
            <v>0.59860000000000002</v>
          </cell>
          <cell r="P57">
            <v>0.63419999999999999</v>
          </cell>
          <cell r="Q57">
            <v>0.5383</v>
          </cell>
          <cell r="R57">
            <v>0.64049999999999996</v>
          </cell>
          <cell r="S57">
            <v>0.70510000000000006</v>
          </cell>
          <cell r="T57">
            <v>0.55820000000000003</v>
          </cell>
          <cell r="U57">
            <v>0.61809999999999998</v>
          </cell>
          <cell r="V57">
            <v>0.61939999999999995</v>
          </cell>
          <cell r="W57">
            <v>0.61609999999999998</v>
          </cell>
          <cell r="X57">
            <v>0.58950000000000002</v>
          </cell>
          <cell r="Y57">
            <v>0.5524</v>
          </cell>
          <cell r="Z57">
            <v>0.63090000000000002</v>
          </cell>
          <cell r="AA57">
            <v>0.68430000000000002</v>
          </cell>
          <cell r="AB57">
            <v>0.61990000000000001</v>
          </cell>
          <cell r="AC57">
            <v>0.68099999999999994</v>
          </cell>
          <cell r="AD57">
            <v>0.72680000000000011</v>
          </cell>
          <cell r="AE57">
            <v>0.76359999999999995</v>
          </cell>
          <cell r="AF57">
            <v>0.63080000000000003</v>
          </cell>
          <cell r="AG57">
            <v>0.68230000000000002</v>
          </cell>
          <cell r="AH57">
            <v>0.72209999999999996</v>
          </cell>
          <cell r="AI57">
            <v>0.73829999999999996</v>
          </cell>
          <cell r="AJ57">
            <v>0.61099999999999999</v>
          </cell>
          <cell r="AK57">
            <v>0.67659999999999998</v>
          </cell>
          <cell r="AL57">
            <v>0.70519999999999994</v>
          </cell>
          <cell r="AM57">
            <v>0.80689999999999995</v>
          </cell>
          <cell r="AN57">
            <v>0.73699999999999999</v>
          </cell>
          <cell r="AO57">
            <v>0.66790000000000005</v>
          </cell>
          <cell r="AP57">
            <v>0.76639999999999997</v>
          </cell>
          <cell r="AQ57">
            <v>0.8397</v>
          </cell>
          <cell r="AR57">
            <v>0.70469999999999999</v>
          </cell>
          <cell r="AS57">
            <v>0.69330000000000003</v>
          </cell>
          <cell r="AT57">
            <v>0.83979999999999999</v>
          </cell>
          <cell r="AU57">
            <v>0.81510000000000005</v>
          </cell>
          <cell r="AV57">
            <v>0.64629999999999999</v>
          </cell>
          <cell r="AW57">
            <v>0.71420000000000006</v>
          </cell>
          <cell r="AX57">
            <v>0.74120000000000008</v>
          </cell>
          <cell r="AY57">
            <v>0.46450000000000002</v>
          </cell>
          <cell r="AZ57">
            <v>0.2984</v>
          </cell>
          <cell r="BA57">
            <v>0.53010000000000002</v>
          </cell>
          <cell r="BB57">
            <v>0.70660000000000001</v>
          </cell>
          <cell r="BC57">
            <v>0.87719999999999998</v>
          </cell>
          <cell r="BD57">
            <v>0.70369999999999999</v>
          </cell>
          <cell r="BE57">
            <v>0.7278</v>
          </cell>
          <cell r="BF57">
            <v>0.81769999999999998</v>
          </cell>
          <cell r="BG57">
            <v>0.82730000000000004</v>
          </cell>
          <cell r="BH57">
            <v>0.68819999999999992</v>
          </cell>
          <cell r="BI57">
            <v>0.6512</v>
          </cell>
          <cell r="BJ57">
            <v>0.8640000000000001</v>
          </cell>
          <cell r="BK57">
            <v>0.81530000000000002</v>
          </cell>
          <cell r="BL57">
            <v>0.73499999999999999</v>
          </cell>
          <cell r="BM57">
            <v>0.81540000000000001</v>
          </cell>
          <cell r="BN57">
            <v>0.8751000000000001</v>
          </cell>
          <cell r="BO57">
            <v>0.87180000000000002</v>
          </cell>
          <cell r="BP57">
            <v>0.74919999999999998</v>
          </cell>
          <cell r="BQ57">
            <v>0.7964</v>
          </cell>
          <cell r="BR57">
            <v>0.86959999999999993</v>
          </cell>
          <cell r="BS57">
            <v>0.82599999999999996</v>
          </cell>
          <cell r="BT57">
            <v>0.68540000000000001</v>
          </cell>
          <cell r="BU57">
            <v>0.65049999999999997</v>
          </cell>
          <cell r="BV57">
            <v>0.63450000000000006</v>
          </cell>
          <cell r="BW57">
            <v>0.65099999999999991</v>
          </cell>
          <cell r="BX57">
            <v>0.66909999999999992</v>
          </cell>
          <cell r="BY57">
            <v>0.68889999999999996</v>
          </cell>
          <cell r="BZ57">
            <v>0.76060000000000005</v>
          </cell>
          <cell r="CA57">
            <v>0.74569999999999992</v>
          </cell>
          <cell r="CB57">
            <v>0.64489999999999992</v>
          </cell>
          <cell r="CC57">
            <v>0.74439999999999995</v>
          </cell>
          <cell r="CD57">
            <v>0.85560000000000003</v>
          </cell>
          <cell r="CE57">
            <v>0.78760000000000008</v>
          </cell>
          <cell r="CF57">
            <v>0.67010000000000003</v>
          </cell>
          <cell r="CG57">
            <v>0.76519999999999999</v>
          </cell>
          <cell r="CH57">
            <v>0.78639999999999999</v>
          </cell>
          <cell r="CI57">
            <v>0.82209999999999994</v>
          </cell>
          <cell r="CJ57">
            <v>0.67790000000000006</v>
          </cell>
          <cell r="CK57">
            <v>0.75829999999999997</v>
          </cell>
          <cell r="CL57">
            <v>0.82640000000000002</v>
          </cell>
          <cell r="CM57">
            <v>0.80230000000000001</v>
          </cell>
          <cell r="CN57">
            <v>0.73570000000000002</v>
          </cell>
          <cell r="CO57">
            <v>0.80159999999999998</v>
          </cell>
          <cell r="CP57">
            <v>0.85010000000000008</v>
          </cell>
          <cell r="CQ57">
            <v>0.87019999999999997</v>
          </cell>
          <cell r="CR57">
            <v>0.7923</v>
          </cell>
          <cell r="CS57">
            <v>0.8125</v>
          </cell>
        </row>
        <row r="58">
          <cell r="B58" t="str">
            <v>3-star hotels</v>
          </cell>
          <cell r="C58">
            <v>0.82650000000000001</v>
          </cell>
          <cell r="D58">
            <v>0.64489999999999992</v>
          </cell>
          <cell r="E58">
            <v>0.64680000000000004</v>
          </cell>
          <cell r="F58">
            <v>0.63490000000000002</v>
          </cell>
          <cell r="G58">
            <v>0.63829999999999998</v>
          </cell>
          <cell r="H58">
            <v>0.67749999999999999</v>
          </cell>
          <cell r="I58">
            <v>0.63319999999999999</v>
          </cell>
          <cell r="J58">
            <v>0.61970000000000003</v>
          </cell>
          <cell r="K58">
            <v>0.65879999999999994</v>
          </cell>
          <cell r="L58">
            <v>0.64590000000000003</v>
          </cell>
          <cell r="M58">
            <v>0.73499999999999999</v>
          </cell>
          <cell r="N58">
            <v>0.65739999999999998</v>
          </cell>
          <cell r="O58">
            <v>0.69</v>
          </cell>
          <cell r="P58">
            <v>0.65939999999999999</v>
          </cell>
          <cell r="Q58">
            <v>0.60159999999999991</v>
          </cell>
          <cell r="R58">
            <v>0.67709999999999992</v>
          </cell>
          <cell r="S58">
            <v>0.75099999999999989</v>
          </cell>
          <cell r="T58">
            <v>0.65680000000000005</v>
          </cell>
          <cell r="U58">
            <v>0.67810000000000004</v>
          </cell>
          <cell r="V58">
            <v>0.73530000000000006</v>
          </cell>
          <cell r="W58">
            <v>0.70860000000000001</v>
          </cell>
          <cell r="X58">
            <v>0.64599999999999991</v>
          </cell>
          <cell r="Y58">
            <v>0.59989999999999999</v>
          </cell>
          <cell r="Z58">
            <v>0.66510000000000002</v>
          </cell>
          <cell r="AA58">
            <v>0.69779999999999998</v>
          </cell>
          <cell r="AB58">
            <v>0.69110000000000005</v>
          </cell>
          <cell r="AC58">
            <v>0.71870000000000001</v>
          </cell>
          <cell r="AD58">
            <v>0.75849999999999995</v>
          </cell>
          <cell r="AE58">
            <v>0.81810000000000005</v>
          </cell>
          <cell r="AF58">
            <v>0.67310000000000003</v>
          </cell>
          <cell r="AG58">
            <v>0.74029999999999996</v>
          </cell>
          <cell r="AH58">
            <v>0.75540000000000007</v>
          </cell>
          <cell r="AI58">
            <v>0.84239999999999993</v>
          </cell>
          <cell r="AJ58">
            <v>0.71340000000000003</v>
          </cell>
          <cell r="AK58">
            <v>0.77829999999999999</v>
          </cell>
          <cell r="AL58">
            <v>0.7752</v>
          </cell>
          <cell r="AM58">
            <v>0.85980000000000001</v>
          </cell>
          <cell r="AN58">
            <v>0.80730000000000002</v>
          </cell>
          <cell r="AO58">
            <v>0.69900000000000007</v>
          </cell>
          <cell r="AP58">
            <v>0.79949999999999999</v>
          </cell>
          <cell r="AQ58">
            <v>0.90029999999999999</v>
          </cell>
          <cell r="AR58">
            <v>0.73080000000000001</v>
          </cell>
          <cell r="AS58">
            <v>0.73</v>
          </cell>
          <cell r="AT58">
            <v>0.88629999999999998</v>
          </cell>
          <cell r="AU58">
            <v>0.90319999999999989</v>
          </cell>
          <cell r="AV58">
            <v>0.75439999999999996</v>
          </cell>
          <cell r="AW58">
            <v>0.77029999999999998</v>
          </cell>
          <cell r="AX58">
            <v>0.80449999999999999</v>
          </cell>
          <cell r="AY58">
            <v>0.48420000000000002</v>
          </cell>
          <cell r="AZ58">
            <v>0.29469999999999996</v>
          </cell>
          <cell r="BA58">
            <v>0.4919</v>
          </cell>
          <cell r="BB58">
            <v>0.74390000000000001</v>
          </cell>
          <cell r="BC58">
            <v>0.96060000000000001</v>
          </cell>
          <cell r="BD58">
            <v>0.8095</v>
          </cell>
          <cell r="BE58">
            <v>0.85589999999999999</v>
          </cell>
          <cell r="BF58">
            <v>0.96209999999999996</v>
          </cell>
          <cell r="BG58">
            <v>0.9131999999999999</v>
          </cell>
          <cell r="BH58">
            <v>0.77870000000000006</v>
          </cell>
          <cell r="BI58">
            <v>0.78599999999999992</v>
          </cell>
          <cell r="BJ58">
            <v>0.92569999999999997</v>
          </cell>
          <cell r="BK58">
            <v>0.8891</v>
          </cell>
          <cell r="BL58">
            <v>0.79150000000000009</v>
          </cell>
          <cell r="BM58">
            <v>0.85030000000000006</v>
          </cell>
          <cell r="BN58">
            <v>0.90379999999999994</v>
          </cell>
          <cell r="BO58">
            <v>0.91969999999999996</v>
          </cell>
          <cell r="BP58">
            <v>0.84409999999999996</v>
          </cell>
          <cell r="BQ58">
            <v>0.86919999999999997</v>
          </cell>
          <cell r="BR58">
            <v>0.92220000000000002</v>
          </cell>
          <cell r="BS58">
            <v>0.87620000000000009</v>
          </cell>
          <cell r="BT58">
            <v>0.72950000000000004</v>
          </cell>
          <cell r="BU58">
            <v>0.70469999999999999</v>
          </cell>
          <cell r="BV58">
            <v>0.74199999999999999</v>
          </cell>
          <cell r="BW58">
            <v>0.76930000000000009</v>
          </cell>
          <cell r="BX58">
            <v>0.7641</v>
          </cell>
          <cell r="BY58">
            <v>0.78280000000000005</v>
          </cell>
          <cell r="BZ58">
            <v>0.85370000000000001</v>
          </cell>
          <cell r="CA58">
            <v>0.90310000000000001</v>
          </cell>
          <cell r="CB58">
            <v>0.78449999999999998</v>
          </cell>
          <cell r="CC58">
            <v>0.84250000000000003</v>
          </cell>
          <cell r="CD58">
            <v>0.90709999999999991</v>
          </cell>
          <cell r="CE58">
            <v>0.84219999999999995</v>
          </cell>
          <cell r="CF58">
            <v>0.70409999999999995</v>
          </cell>
          <cell r="CG58">
            <v>0.79500000000000004</v>
          </cell>
          <cell r="CH58">
            <v>0.86</v>
          </cell>
          <cell r="CI58">
            <v>0.86680000000000001</v>
          </cell>
          <cell r="CJ58">
            <v>0.73560000000000003</v>
          </cell>
          <cell r="CK58">
            <v>0.75529999999999997</v>
          </cell>
          <cell r="CL58">
            <v>0.77739999999999998</v>
          </cell>
          <cell r="CM58">
            <v>0.79370000000000007</v>
          </cell>
          <cell r="CN58">
            <v>0.69789999999999996</v>
          </cell>
          <cell r="CO58">
            <v>0.76900000000000002</v>
          </cell>
          <cell r="CP58">
            <v>0.82779999999999998</v>
          </cell>
          <cell r="CQ58">
            <v>0.83510000000000006</v>
          </cell>
          <cell r="CR58">
            <v>0.72920000000000007</v>
          </cell>
          <cell r="CS58">
            <v>0.76260000000000006</v>
          </cell>
        </row>
        <row r="59">
          <cell r="B59" t="str">
            <v>2-star hotels</v>
          </cell>
          <cell r="C59">
            <v>0.68420000000000003</v>
          </cell>
          <cell r="D59">
            <v>0.68079999999999996</v>
          </cell>
          <cell r="E59">
            <v>0.60329999999999995</v>
          </cell>
          <cell r="F59">
            <v>0.47899999999999998</v>
          </cell>
          <cell r="G59">
            <v>0.39979999999999999</v>
          </cell>
          <cell r="H59">
            <v>0.38630000000000003</v>
          </cell>
          <cell r="I59">
            <v>0.28360000000000002</v>
          </cell>
          <cell r="J59">
            <v>0.28539999999999999</v>
          </cell>
          <cell r="K59">
            <v>0.28610000000000002</v>
          </cell>
          <cell r="L59">
            <v>0.28320000000000001</v>
          </cell>
          <cell r="M59">
            <v>0.38770000000000004</v>
          </cell>
          <cell r="N59">
            <v>0.33640000000000003</v>
          </cell>
          <cell r="O59">
            <v>0.3533</v>
          </cell>
          <cell r="P59">
            <v>0.32700000000000001</v>
          </cell>
          <cell r="Q59">
            <v>0.29339999999999999</v>
          </cell>
          <cell r="R59">
            <v>0.35049999999999998</v>
          </cell>
          <cell r="S59">
            <v>0.35560000000000003</v>
          </cell>
          <cell r="T59">
            <v>0.29830000000000001</v>
          </cell>
          <cell r="U59">
            <v>0.29070000000000001</v>
          </cell>
          <cell r="V59">
            <v>0.30620000000000003</v>
          </cell>
          <cell r="W59">
            <v>0.32030000000000003</v>
          </cell>
          <cell r="X59">
            <v>0.3538</v>
          </cell>
          <cell r="Y59">
            <v>0.26640000000000003</v>
          </cell>
          <cell r="Z59">
            <v>0.28839999999999999</v>
          </cell>
          <cell r="AA59">
            <v>0.32119999999999999</v>
          </cell>
          <cell r="AB59">
            <v>0.28410000000000002</v>
          </cell>
          <cell r="AC59">
            <v>0.30449999999999999</v>
          </cell>
          <cell r="AD59">
            <v>0.31670000000000004</v>
          </cell>
          <cell r="AE59">
            <v>0.34909999999999997</v>
          </cell>
          <cell r="AF59">
            <v>0.28720000000000001</v>
          </cell>
          <cell r="AG59">
            <v>0.31069999999999998</v>
          </cell>
          <cell r="AH59">
            <v>0.3</v>
          </cell>
          <cell r="AI59">
            <v>0.33360000000000001</v>
          </cell>
          <cell r="AJ59">
            <v>0.31319999999999998</v>
          </cell>
          <cell r="AK59">
            <v>0.38280000000000003</v>
          </cell>
          <cell r="AL59">
            <v>0.35220000000000001</v>
          </cell>
          <cell r="AM59">
            <v>0.37079999999999996</v>
          </cell>
          <cell r="AN59">
            <v>0.36409999999999998</v>
          </cell>
          <cell r="AO59">
            <v>0.31359999999999999</v>
          </cell>
          <cell r="AP59">
            <v>0.3705</v>
          </cell>
          <cell r="AQ59">
            <v>0.38659999999999994</v>
          </cell>
          <cell r="AR59">
            <v>0.3115</v>
          </cell>
          <cell r="AS59">
            <v>0.33520000000000005</v>
          </cell>
          <cell r="AT59">
            <v>0.37959999999999999</v>
          </cell>
          <cell r="AU59">
            <v>0.39350000000000002</v>
          </cell>
          <cell r="AV59">
            <v>0.3115</v>
          </cell>
          <cell r="AW59">
            <v>0.43219999999999997</v>
          </cell>
          <cell r="AX59">
            <v>0.3639</v>
          </cell>
          <cell r="AY59">
            <v>0.2651</v>
          </cell>
          <cell r="AZ59">
            <v>0.2036</v>
          </cell>
          <cell r="BA59">
            <v>0.28070000000000001</v>
          </cell>
          <cell r="BB59">
            <v>0.3589</v>
          </cell>
          <cell r="BC59">
            <v>0.67379999999999995</v>
          </cell>
          <cell r="BD59">
            <v>0.45219999999999999</v>
          </cell>
          <cell r="BE59">
            <v>0.45740000000000003</v>
          </cell>
          <cell r="BF59">
            <v>0.66639999999999999</v>
          </cell>
          <cell r="BG59">
            <v>0.61350000000000005</v>
          </cell>
          <cell r="BH59">
            <v>0.50329999999999997</v>
          </cell>
          <cell r="BI59">
            <v>0.41240000000000004</v>
          </cell>
          <cell r="BJ59">
            <v>0.60770000000000002</v>
          </cell>
          <cell r="BK59">
            <v>0.62509999999999999</v>
          </cell>
          <cell r="BL59">
            <v>0.52369999999999994</v>
          </cell>
          <cell r="BM59">
            <v>0.51</v>
          </cell>
          <cell r="BN59">
            <v>0.66849999999999998</v>
          </cell>
          <cell r="BO59">
            <v>0.6926000000000001</v>
          </cell>
          <cell r="BP59">
            <v>0.53420000000000001</v>
          </cell>
          <cell r="BQ59">
            <v>0.5958</v>
          </cell>
          <cell r="BR59">
            <v>0.70530000000000004</v>
          </cell>
          <cell r="BS59">
            <v>0.61990000000000001</v>
          </cell>
          <cell r="BT59">
            <v>0.51549999999999996</v>
          </cell>
          <cell r="BU59">
            <v>0.58530000000000004</v>
          </cell>
          <cell r="BV59">
            <v>0.50029999999999997</v>
          </cell>
          <cell r="BW59">
            <v>0.54010000000000002</v>
          </cell>
          <cell r="BX59">
            <v>0.49299999999999999</v>
          </cell>
          <cell r="BY59">
            <v>0.46399999999999997</v>
          </cell>
          <cell r="BZ59">
            <v>0.64170000000000005</v>
          </cell>
          <cell r="CA59">
            <v>0.63759999999999994</v>
          </cell>
          <cell r="CB59">
            <v>0.55689999999999995</v>
          </cell>
          <cell r="CC59">
            <v>0.62029999999999996</v>
          </cell>
          <cell r="CD59">
            <v>0.73819999999999997</v>
          </cell>
          <cell r="CE59">
            <v>0.64739999999999998</v>
          </cell>
          <cell r="CF59">
            <v>0.48619999999999997</v>
          </cell>
          <cell r="CG59">
            <v>0.57050000000000001</v>
          </cell>
          <cell r="CH59">
            <v>0.63500000000000001</v>
          </cell>
          <cell r="CI59">
            <v>0.68019999999999992</v>
          </cell>
          <cell r="CJ59">
            <v>0.54369999999999996</v>
          </cell>
          <cell r="CK59">
            <v>0.51849999999999996</v>
          </cell>
          <cell r="CL59">
            <v>0.58420000000000005</v>
          </cell>
          <cell r="CM59">
            <v>0.60589999999999999</v>
          </cell>
          <cell r="CN59">
            <v>0.53069999999999995</v>
          </cell>
          <cell r="CO59">
            <v>0.5887</v>
          </cell>
          <cell r="CP59">
            <v>0.68590000000000007</v>
          </cell>
          <cell r="CQ59">
            <v>0.67430000000000012</v>
          </cell>
          <cell r="CR59">
            <v>0.55320000000000003</v>
          </cell>
          <cell r="CS59">
            <v>0.61799999999999999</v>
          </cell>
        </row>
        <row r="60">
          <cell r="B60" t="str">
            <v>Guest-houses</v>
          </cell>
          <cell r="C60">
            <v>0.33710000000000001</v>
          </cell>
          <cell r="D60">
            <v>0.32280000000000003</v>
          </cell>
          <cell r="E60">
            <v>0.3044</v>
          </cell>
          <cell r="F60">
            <v>0.27479999999999999</v>
          </cell>
          <cell r="G60">
            <v>0.2727</v>
          </cell>
          <cell r="H60">
            <v>0.27339999999999998</v>
          </cell>
          <cell r="I60">
            <v>0.30480000000000002</v>
          </cell>
          <cell r="J60">
            <v>0.29520000000000002</v>
          </cell>
          <cell r="K60">
            <v>0.30790000000000001</v>
          </cell>
          <cell r="L60">
            <v>0.33759999999999996</v>
          </cell>
          <cell r="M60">
            <v>0.39069999999999999</v>
          </cell>
          <cell r="N60">
            <v>0.34079999999999999</v>
          </cell>
          <cell r="O60">
            <v>0.35590000000000005</v>
          </cell>
          <cell r="P60">
            <v>0.35680000000000001</v>
          </cell>
          <cell r="Q60">
            <v>0.33250000000000002</v>
          </cell>
          <cell r="R60">
            <v>0.3664</v>
          </cell>
          <cell r="S60">
            <v>0.36829999999999996</v>
          </cell>
          <cell r="T60">
            <v>0.32850000000000001</v>
          </cell>
          <cell r="U60">
            <v>0.33829999999999999</v>
          </cell>
          <cell r="V60">
            <v>0.31739999999999996</v>
          </cell>
          <cell r="W60">
            <v>0.31670000000000004</v>
          </cell>
          <cell r="X60">
            <v>0.37880000000000003</v>
          </cell>
          <cell r="Y60">
            <v>0.32939999999999997</v>
          </cell>
          <cell r="Z60">
            <v>0.34179999999999999</v>
          </cell>
          <cell r="AA60">
            <v>0.34630000000000005</v>
          </cell>
          <cell r="AB60">
            <v>0.37219999999999998</v>
          </cell>
          <cell r="AC60">
            <v>0.31430000000000002</v>
          </cell>
          <cell r="AD60">
            <v>0.3674</v>
          </cell>
          <cell r="AE60">
            <v>0.37329999999999997</v>
          </cell>
          <cell r="AF60">
            <v>0.34200000000000003</v>
          </cell>
          <cell r="AG60">
            <v>0.36009999999999998</v>
          </cell>
          <cell r="AH60">
            <v>0.33679999999999999</v>
          </cell>
          <cell r="AI60">
            <v>0.37259999999999999</v>
          </cell>
          <cell r="AJ60">
            <v>0.33810000000000001</v>
          </cell>
          <cell r="AK60">
            <v>0.40450000000000003</v>
          </cell>
          <cell r="AL60">
            <v>0.37670000000000003</v>
          </cell>
          <cell r="AM60">
            <v>0.3901</v>
          </cell>
          <cell r="AN60">
            <v>0.39229999999999998</v>
          </cell>
          <cell r="AO60">
            <v>0.37829999999999997</v>
          </cell>
          <cell r="AP60">
            <v>0.40240000000000004</v>
          </cell>
          <cell r="AQ60">
            <v>0.40549999999999997</v>
          </cell>
          <cell r="AR60">
            <v>0.36009999999999998</v>
          </cell>
          <cell r="AS60">
            <v>0.37329999999999997</v>
          </cell>
          <cell r="AT60">
            <v>0.37439999999999996</v>
          </cell>
          <cell r="AU60">
            <v>0.37450000000000006</v>
          </cell>
          <cell r="AV60">
            <v>0.36049999999999999</v>
          </cell>
          <cell r="AW60">
            <v>0.42349999999999999</v>
          </cell>
          <cell r="AX60">
            <v>0.36340000000000006</v>
          </cell>
          <cell r="AY60">
            <v>0.27610000000000001</v>
          </cell>
          <cell r="AZ60">
            <v>0.22899999999999998</v>
          </cell>
          <cell r="BA60">
            <v>0.26530000000000004</v>
          </cell>
          <cell r="BB60">
            <v>0.33630000000000004</v>
          </cell>
          <cell r="BC60">
            <v>0.4158</v>
          </cell>
          <cell r="BD60">
            <v>0.35049999999999998</v>
          </cell>
          <cell r="BE60">
            <v>0.38630000000000003</v>
          </cell>
          <cell r="BF60">
            <v>0.43590000000000001</v>
          </cell>
          <cell r="BG60">
            <v>0.45740000000000003</v>
          </cell>
          <cell r="BH60">
            <v>0.3886</v>
          </cell>
          <cell r="BI60">
            <v>0.3397</v>
          </cell>
          <cell r="BJ60">
            <v>0.42219999999999996</v>
          </cell>
          <cell r="BK60">
            <v>0.40509999999999996</v>
          </cell>
          <cell r="BL60">
            <v>0.38799999999999996</v>
          </cell>
          <cell r="BM60">
            <v>0.38969999999999999</v>
          </cell>
          <cell r="BN60">
            <v>0.42210000000000003</v>
          </cell>
          <cell r="BO60">
            <v>0.45960000000000001</v>
          </cell>
          <cell r="BP60">
            <v>0.38250000000000001</v>
          </cell>
          <cell r="BQ60">
            <v>0.45539999999999997</v>
          </cell>
          <cell r="BR60">
            <v>0.47960000000000003</v>
          </cell>
          <cell r="BS60">
            <v>0.46700000000000003</v>
          </cell>
          <cell r="BT60">
            <v>0.41220000000000001</v>
          </cell>
          <cell r="BU60">
            <v>0.42509999999999998</v>
          </cell>
          <cell r="BV60">
            <v>0.41649999999999998</v>
          </cell>
          <cell r="BW60">
            <v>0.439</v>
          </cell>
          <cell r="BX60">
            <v>0.44679999999999997</v>
          </cell>
          <cell r="BY60">
            <v>0.4269</v>
          </cell>
          <cell r="BZ60">
            <v>0.47139999999999999</v>
          </cell>
          <cell r="CA60">
            <v>0.46799999999999997</v>
          </cell>
          <cell r="CB60">
            <v>0.4546</v>
          </cell>
          <cell r="CC60">
            <v>0.48880000000000001</v>
          </cell>
          <cell r="CD60">
            <v>0.50929999999999997</v>
          </cell>
          <cell r="CE60">
            <v>0.49209999999999998</v>
          </cell>
          <cell r="CF60">
            <v>0.46869999999999995</v>
          </cell>
          <cell r="CG60">
            <v>0.46130000000000004</v>
          </cell>
          <cell r="CH60">
            <v>0.45539999999999997</v>
          </cell>
          <cell r="CI60">
            <v>0.4783</v>
          </cell>
          <cell r="CJ60">
            <v>0.40509999999999996</v>
          </cell>
          <cell r="CK60">
            <v>0.41</v>
          </cell>
          <cell r="CL60">
            <v>0.45549999999999996</v>
          </cell>
          <cell r="CM60">
            <v>0.50039999999999996</v>
          </cell>
          <cell r="CN60">
            <v>0.47739999999999999</v>
          </cell>
          <cell r="CO60">
            <v>0.49</v>
          </cell>
          <cell r="CP60">
            <v>0.51649999999999996</v>
          </cell>
          <cell r="CQ60">
            <v>0.51170000000000004</v>
          </cell>
          <cell r="CR60">
            <v>0.50890000000000002</v>
          </cell>
          <cell r="CS60">
            <v>0.53969999999999996</v>
          </cell>
        </row>
        <row r="61">
          <cell r="B61" t="str">
            <v>Total % Change</v>
          </cell>
          <cell r="X61">
            <v>0.14552087555735715</v>
          </cell>
          <cell r="Y61">
            <v>-0.1453412073490814</v>
          </cell>
          <cell r="Z61">
            <v>8.0082135523614095E-2</v>
          </cell>
          <cell r="AA61">
            <v>2.9117995598442414E-2</v>
          </cell>
          <cell r="AB61">
            <v>-2.4295596423148269E-2</v>
          </cell>
          <cell r="AC61">
            <v>0.15243201838376108</v>
          </cell>
          <cell r="AD61">
            <v>5.5674871964315198E-2</v>
          </cell>
          <cell r="AE61">
            <v>6.1305610762880436E-2</v>
          </cell>
          <cell r="AF61">
            <v>2.8336380255941318E-2</v>
          </cell>
          <cell r="AG61">
            <v>7.2268326417704198E-2</v>
          </cell>
          <cell r="AH61">
            <v>7.7210884353741793E-2</v>
          </cell>
          <cell r="AI61">
            <v>0.12973883740522307</v>
          </cell>
          <cell r="AJ61">
            <v>1.5569709837225609E-2</v>
          </cell>
          <cell r="AK61">
            <v>0.21957773512475987</v>
          </cell>
          <cell r="AL61">
            <v>0.12858624265468377</v>
          </cell>
          <cell r="AM61">
            <v>0.15709820694193133</v>
          </cell>
          <cell r="AN61">
            <v>0.18364170845581862</v>
          </cell>
          <cell r="AO61">
            <v>2.3263542705216356E-3</v>
          </cell>
          <cell r="AP61">
            <v>8.4663536776212966E-2</v>
          </cell>
          <cell r="AQ61">
            <v>0.10054739268222401</v>
          </cell>
          <cell r="AR61">
            <v>0.12088888888888882</v>
          </cell>
          <cell r="AS61">
            <v>2.8377942599161488E-2</v>
          </cell>
          <cell r="AT61">
            <v>0.16166719292706011</v>
          </cell>
          <cell r="AU61">
            <v>0.10096942580164048</v>
          </cell>
          <cell r="AV61">
            <v>5.7839721254355325E-2</v>
          </cell>
          <cell r="AW61">
            <v>6.6887000314762579E-2</v>
          </cell>
          <cell r="AX61">
            <v>2.6186830015313856E-2</v>
          </cell>
          <cell r="AY61">
            <v>-0.37190787603070807</v>
          </cell>
          <cell r="AZ61">
            <v>-0.52198685171658143</v>
          </cell>
          <cell r="BA61">
            <v>-0.17523209549071617</v>
          </cell>
          <cell r="BB61">
            <v>-3.5204155244553448E-2</v>
          </cell>
          <cell r="BC61">
            <v>0.10314136125654438</v>
          </cell>
          <cell r="BD61">
            <v>8.1839809674861153E-2</v>
          </cell>
          <cell r="BE61">
            <v>0.13734713076199445</v>
          </cell>
          <cell r="BF61">
            <v>7.4204946996466514E-2</v>
          </cell>
          <cell r="BG61">
            <v>4.8767271742075291E-2</v>
          </cell>
          <cell r="BH61">
            <v>9.9308300395257065E-2</v>
          </cell>
          <cell r="BI61">
            <v>-4.956483257117561E-2</v>
          </cell>
          <cell r="BJ61">
            <v>0.16415460379047908</v>
          </cell>
          <cell r="BK61">
            <v>0.74241738343141717</v>
          </cell>
          <cell r="BL61">
            <v>1.1732885085574569</v>
          </cell>
          <cell r="BM61">
            <v>0.50633165829145721</v>
          </cell>
          <cell r="BN61">
            <v>0.22625990728278733</v>
          </cell>
          <cell r="BO61">
            <v>-2.2899857617465713E-2</v>
          </cell>
          <cell r="BP61">
            <v>4.4275032986365703E-2</v>
          </cell>
          <cell r="BQ61">
            <v>6.3964709125999386E-2</v>
          </cell>
          <cell r="BR61">
            <v>4.3016194331983781E-2</v>
          </cell>
          <cell r="BS61">
            <v>1.3949883750968839E-2</v>
          </cell>
          <cell r="BT61">
            <v>1.4981273408238849E-3</v>
          </cell>
          <cell r="BU61">
            <v>1.4279062548502086E-2</v>
          </cell>
          <cell r="BV61">
            <v>-0.16869632098448928</v>
          </cell>
          <cell r="BW61">
            <v>-0.12925435177968303</v>
          </cell>
          <cell r="BX61">
            <v>-5.7375896498382706E-2</v>
          </cell>
          <cell r="BY61">
            <v>-9.7277822257806013E-2</v>
          </cell>
          <cell r="BZ61">
            <v>-9.7317073170731683E-2</v>
          </cell>
          <cell r="CA61">
            <v>-8.0145719489981726E-2</v>
          </cell>
          <cell r="CB61">
            <v>-6.0087041976695343E-2</v>
          </cell>
          <cell r="CC61">
            <v>-2.3840373153666716E-2</v>
          </cell>
          <cell r="CD61">
            <v>1.5769044153322032E-3</v>
          </cell>
          <cell r="CE61">
            <v>-3.0700636942675219E-2</v>
          </cell>
          <cell r="CF61">
            <v>-3.4704562453253596E-2</v>
          </cell>
          <cell r="CG61">
            <v>0.10420811017597553</v>
          </cell>
          <cell r="CH61">
            <v>0.15836545875096397</v>
          </cell>
          <cell r="CI61">
            <v>0.1600775772042371</v>
          </cell>
          <cell r="CJ61">
            <v>-2.4466656720871227E-2</v>
          </cell>
          <cell r="CK61">
            <v>5.1736881005173263E-3</v>
          </cell>
          <cell r="CL61">
            <v>-1.621183463928666E-2</v>
          </cell>
          <cell r="CM61">
            <v>-1.9405940594059312E-2</v>
          </cell>
          <cell r="CN61">
            <v>4.331590739357738E-3</v>
          </cell>
          <cell r="CO61">
            <v>-2.3360764534112066E-2</v>
          </cell>
          <cell r="CP61">
            <v>-6.0433571515078111E-2</v>
          </cell>
          <cell r="CQ61">
            <v>2.615323958470217E-2</v>
          </cell>
          <cell r="CR61">
            <v>0.11266077793274443</v>
          </cell>
          <cell r="CS61">
            <v>2.7439024390244038E-2</v>
          </cell>
        </row>
        <row r="63">
          <cell r="B63" t="str">
            <v>Room Nights Sold</v>
          </cell>
        </row>
        <row r="64">
          <cell r="B64" t="str">
            <v>Grand Total</v>
          </cell>
          <cell r="K64">
            <v>1848178.9234999998</v>
          </cell>
          <cell r="L64">
            <v>144021.48639999999</v>
          </cell>
          <cell r="M64">
            <v>166884.09600000002</v>
          </cell>
          <cell r="N64">
            <v>156767.24799999999</v>
          </cell>
          <cell r="O64">
            <v>165106.557</v>
          </cell>
          <cell r="P64">
            <v>167917.24429999999</v>
          </cell>
          <cell r="Q64">
            <v>146633.76</v>
          </cell>
          <cell r="R64">
            <v>174639.3401</v>
          </cell>
          <cell r="S64">
            <v>188475.64450000002</v>
          </cell>
          <cell r="T64">
            <v>152563.77000000002</v>
          </cell>
          <cell r="U64">
            <v>166806.51120000001</v>
          </cell>
          <cell r="V64">
            <v>162323.28</v>
          </cell>
          <cell r="W64">
            <v>169284.59850000002</v>
          </cell>
          <cell r="X64">
            <v>160739.48879999999</v>
          </cell>
          <cell r="Y64">
            <v>133888.66400000002</v>
          </cell>
          <cell r="Z64">
            <v>164622.11480000001</v>
          </cell>
          <cell r="AA64">
            <v>167798.63700000002</v>
          </cell>
          <cell r="AB64">
            <v>163012.93890000001</v>
          </cell>
          <cell r="AC64">
            <v>156167.09999999998</v>
          </cell>
          <cell r="AD64">
            <v>178637.56200000001</v>
          </cell>
          <cell r="AE64">
            <v>194090.6838</v>
          </cell>
          <cell r="AF64">
            <v>152145</v>
          </cell>
          <cell r="AG64">
            <v>173208.83580000003</v>
          </cell>
          <cell r="AH64">
            <v>171436.04400000002</v>
          </cell>
          <cell r="AI64">
            <v>187693.065</v>
          </cell>
          <cell r="AJ64">
            <v>159007.18399999998</v>
          </cell>
          <cell r="AK64">
            <v>159996.2616</v>
          </cell>
          <cell r="AL64">
            <v>181680.92500000002</v>
          </cell>
          <cell r="AM64">
            <v>189601.47</v>
          </cell>
          <cell r="AN64">
            <v>190020.6225</v>
          </cell>
          <cell r="AO64">
            <v>158864.78399999999</v>
          </cell>
          <cell r="AP64">
            <v>188862.81900000002</v>
          </cell>
          <cell r="AQ64">
            <v>208371.83200000002</v>
          </cell>
          <cell r="AR64">
            <v>166603.31999999998</v>
          </cell>
          <cell r="AS64">
            <v>176878.52280000001</v>
          </cell>
          <cell r="AT64">
            <v>197076.67199999999</v>
          </cell>
          <cell r="AU64">
            <v>204905.12679999997</v>
          </cell>
          <cell r="AV64">
            <v>168693.5184</v>
          </cell>
          <cell r="AW64">
            <v>169748.87160000001</v>
          </cell>
          <cell r="AX64">
            <v>185462.23679999998</v>
          </cell>
          <cell r="AY64">
            <v>118344.966</v>
          </cell>
          <cell r="AZ64">
            <v>90446.914399999994</v>
          </cell>
          <cell r="BA64">
            <v>133160.84999999998</v>
          </cell>
          <cell r="BB64">
            <v>182525.0085</v>
          </cell>
          <cell r="BC64">
            <v>231561.8284</v>
          </cell>
          <cell r="BD64">
            <v>182263.94099999999</v>
          </cell>
          <cell r="BE64">
            <v>200115.3726</v>
          </cell>
          <cell r="BF64">
            <v>217628.736</v>
          </cell>
          <cell r="BG64">
            <v>220441.837</v>
          </cell>
          <cell r="BH64">
            <v>190122.69</v>
          </cell>
          <cell r="BI64">
            <v>172048.71760000003</v>
          </cell>
          <cell r="BJ64">
            <v>224927.01310000001</v>
          </cell>
          <cell r="BK64">
            <v>215189.89199999999</v>
          </cell>
          <cell r="BL64">
            <v>205296.70329999999</v>
          </cell>
          <cell r="BM64">
            <v>209082.59999999998</v>
          </cell>
          <cell r="BN64">
            <v>238312.49999999997</v>
          </cell>
          <cell r="BO64">
            <v>236930.0085</v>
          </cell>
          <cell r="BP64">
            <v>194564.745</v>
          </cell>
          <cell r="BQ64">
            <v>217198.4124</v>
          </cell>
          <cell r="BR64">
            <v>226421.46000000002</v>
          </cell>
          <cell r="BS64">
            <v>223103.28</v>
          </cell>
          <cell r="BT64">
            <v>205183.37349999999</v>
          </cell>
          <cell r="BU64">
            <v>186291.93799999999</v>
          </cell>
          <cell r="BV64">
            <v>212795.54749999999</v>
          </cell>
          <cell r="BW64">
            <v>213879.32399999999</v>
          </cell>
          <cell r="BX64">
            <v>217226.80220000001</v>
          </cell>
          <cell r="BY64">
            <v>214538.44500000004</v>
          </cell>
          <cell r="BZ64">
            <v>242357.76440000001</v>
          </cell>
          <cell r="CA64">
            <v>247716.89249999999</v>
          </cell>
          <cell r="CB64">
            <v>214487.715</v>
          </cell>
          <cell r="CC64">
            <v>248384.679</v>
          </cell>
          <cell r="CD64">
            <v>268344.24299999996</v>
          </cell>
          <cell r="CE64">
            <v>255504.13280000002</v>
          </cell>
          <cell r="CF64">
            <v>220347.3645</v>
          </cell>
          <cell r="CG64">
            <v>223081.19680000001</v>
          </cell>
          <cell r="CH64">
            <v>263075.49840000004</v>
          </cell>
          <cell r="CI64">
            <v>264142.94400000002</v>
          </cell>
          <cell r="CJ64">
            <v>229567.9425</v>
          </cell>
          <cell r="CK64">
            <v>239659.2</v>
          </cell>
          <cell r="CL64">
            <v>266194.96639999998</v>
          </cell>
          <cell r="CM64">
            <v>271508.99880000006</v>
          </cell>
          <cell r="CN64">
            <v>250354.69199999998</v>
          </cell>
          <cell r="CO64">
            <v>283274.90620000003</v>
          </cell>
          <cell r="CP64">
            <v>295416.88199999993</v>
          </cell>
          <cell r="CQ64">
            <v>314129.89439999999</v>
          </cell>
          <cell r="CR64">
            <v>287617.87599999999</v>
          </cell>
          <cell r="CS64">
            <v>271177.42960000003</v>
          </cell>
        </row>
        <row r="65">
          <cell r="B65" t="str">
            <v>Hotel Total</v>
          </cell>
          <cell r="K65">
            <v>1789799.9839999999</v>
          </cell>
          <cell r="L65">
            <v>137924.64509999997</v>
          </cell>
          <cell r="M65">
            <v>159779.3106</v>
          </cell>
          <cell r="N65">
            <v>150159.11749999999</v>
          </cell>
          <cell r="O65">
            <v>158730.921</v>
          </cell>
          <cell r="P65">
            <v>161336.26360000001</v>
          </cell>
          <cell r="Q65">
            <v>140720.598</v>
          </cell>
          <cell r="R65">
            <v>167896.02479999998</v>
          </cell>
          <cell r="S65">
            <v>181669.91999999998</v>
          </cell>
          <cell r="T65">
            <v>146633.00400000002</v>
          </cell>
          <cell r="U65">
            <v>160471.5</v>
          </cell>
          <cell r="V65">
            <v>156587.79</v>
          </cell>
          <cell r="W65">
            <v>163474.6684</v>
          </cell>
          <cell r="X65">
            <v>153808.11199999999</v>
          </cell>
          <cell r="Y65">
            <v>128431.8224</v>
          </cell>
          <cell r="Z65">
            <v>158352.41439999998</v>
          </cell>
          <cell r="AA65">
            <v>161620.68</v>
          </cell>
          <cell r="AB65">
            <v>156478.45199999999</v>
          </cell>
          <cell r="AC65">
            <v>150501.82500000001</v>
          </cell>
          <cell r="AD65">
            <v>172150.23539999998</v>
          </cell>
          <cell r="AE65">
            <v>187346.11609999998</v>
          </cell>
          <cell r="AF65">
            <v>146169.65399999998</v>
          </cell>
          <cell r="AG65">
            <v>166721.4534</v>
          </cell>
          <cell r="AH65">
            <v>165486.432</v>
          </cell>
          <cell r="AI65">
            <v>180897.89600000001</v>
          </cell>
          <cell r="AJ65">
            <v>152858.50139999998</v>
          </cell>
          <cell r="AK65">
            <v>153311.05439999999</v>
          </cell>
          <cell r="AL65">
            <v>174806.28749999998</v>
          </cell>
          <cell r="AM65">
            <v>182691.99</v>
          </cell>
          <cell r="AN65">
            <v>182843.00650000002</v>
          </cell>
          <cell r="AO65">
            <v>152112.87</v>
          </cell>
          <cell r="AP65">
            <v>181498.80000000005</v>
          </cell>
          <cell r="AQ65">
            <v>200938.5466</v>
          </cell>
          <cell r="AR65">
            <v>160192.5</v>
          </cell>
          <cell r="AS65">
            <v>170001.61919999999</v>
          </cell>
          <cell r="AT65">
            <v>190415.23199999999</v>
          </cell>
          <cell r="AU65">
            <v>198024.15600000002</v>
          </cell>
          <cell r="AV65">
            <v>162039.38079999998</v>
          </cell>
          <cell r="AW65">
            <v>162685.82399999999</v>
          </cell>
          <cell r="AX65">
            <v>178622.39990000002</v>
          </cell>
          <cell r="AY65">
            <v>113420.463</v>
          </cell>
          <cell r="AZ65">
            <v>86227.944600000003</v>
          </cell>
          <cell r="BA65">
            <v>128442.74399999999</v>
          </cell>
          <cell r="BB65">
            <v>176351.51039999997</v>
          </cell>
          <cell r="BC65">
            <v>223826.49139999997</v>
          </cell>
          <cell r="BD65">
            <v>175967.18099999998</v>
          </cell>
          <cell r="BE65">
            <v>193014.0135</v>
          </cell>
          <cell r="BF65">
            <v>209853.04800000001</v>
          </cell>
          <cell r="BG65">
            <v>212135.61019999997</v>
          </cell>
          <cell r="BH65">
            <v>182989.0692</v>
          </cell>
          <cell r="BI65">
            <v>166190.242</v>
          </cell>
          <cell r="BJ65">
            <v>217173.166</v>
          </cell>
          <cell r="BK65">
            <v>207984.21</v>
          </cell>
          <cell r="BL65">
            <v>198190.00599999999</v>
          </cell>
          <cell r="BM65">
            <v>202167.81000000003</v>
          </cell>
          <cell r="BN65">
            <v>230612.2922</v>
          </cell>
          <cell r="BO65">
            <v>228440.73910000001</v>
          </cell>
          <cell r="BP65">
            <v>187977.02399999998</v>
          </cell>
          <cell r="BQ65">
            <v>209477.66399999999</v>
          </cell>
          <cell r="BR65">
            <v>218548.07399999999</v>
          </cell>
          <cell r="BS65">
            <v>214866.00959999999</v>
          </cell>
          <cell r="BT65">
            <v>198182.39240000001</v>
          </cell>
          <cell r="BU65">
            <v>179527.93040000001</v>
          </cell>
          <cell r="BV65">
            <v>205486.78600000002</v>
          </cell>
          <cell r="BW65">
            <v>206393.63399999999</v>
          </cell>
          <cell r="BX65">
            <v>209346.92460000003</v>
          </cell>
          <cell r="BY65">
            <v>207506.16900000002</v>
          </cell>
          <cell r="BZ65">
            <v>234330.86000000002</v>
          </cell>
          <cell r="CA65">
            <v>239761.0215</v>
          </cell>
          <cell r="CB65">
            <v>206975.80800000002</v>
          </cell>
          <cell r="CC65">
            <v>240017.3512</v>
          </cell>
          <cell r="CD65">
            <v>259939.24200000003</v>
          </cell>
          <cell r="CE65">
            <v>247160.89199999999</v>
          </cell>
          <cell r="CF65">
            <v>212374.20479999998</v>
          </cell>
          <cell r="CG65">
            <v>216001.68800000002</v>
          </cell>
          <cell r="CH65">
            <v>255307.76639999999</v>
          </cell>
          <cell r="CI65">
            <v>256233.56400000001</v>
          </cell>
          <cell r="CJ65">
            <v>222673.79980000001</v>
          </cell>
          <cell r="CK65">
            <v>232886.40300000002</v>
          </cell>
          <cell r="CL65">
            <v>258460.94070000004</v>
          </cell>
          <cell r="CM65">
            <v>262967.66800000001</v>
          </cell>
          <cell r="CN65">
            <v>242457.25499999998</v>
          </cell>
          <cell r="CO65">
            <v>274789.08399999997</v>
          </cell>
          <cell r="CP65">
            <v>286738.55399999995</v>
          </cell>
          <cell r="CQ65">
            <v>305296.277</v>
          </cell>
          <cell r="CR65">
            <v>278800.78159999999</v>
          </cell>
          <cell r="CS65">
            <v>262562.8824</v>
          </cell>
        </row>
        <row r="66">
          <cell r="B66" t="str">
            <v>5-star hotels</v>
          </cell>
          <cell r="K66">
            <v>643450.90799999994</v>
          </cell>
          <cell r="L66">
            <v>49816.519499999995</v>
          </cell>
          <cell r="M66">
            <v>59334.556799999991</v>
          </cell>
          <cell r="N66">
            <v>56590.915399999998</v>
          </cell>
          <cell r="O66">
            <v>61131.833999999995</v>
          </cell>
          <cell r="P66">
            <v>59596.359199999999</v>
          </cell>
          <cell r="Q66">
            <v>54307.637999999999</v>
          </cell>
          <cell r="R66">
            <v>63868.617999999995</v>
          </cell>
          <cell r="S66">
            <v>67769.090699999986</v>
          </cell>
          <cell r="T66">
            <v>55466.019</v>
          </cell>
          <cell r="U66">
            <v>60140.607600000003</v>
          </cell>
          <cell r="V66">
            <v>56399.318999999996</v>
          </cell>
          <cell r="W66">
            <v>61408.4859</v>
          </cell>
          <cell r="X66">
            <v>56702.620799999997</v>
          </cell>
          <cell r="Y66">
            <v>48156.639999999999</v>
          </cell>
          <cell r="Z66">
            <v>58448.02</v>
          </cell>
          <cell r="AA66">
            <v>57845.136000000006</v>
          </cell>
          <cell r="AB66">
            <v>57861.81</v>
          </cell>
          <cell r="AC66">
            <v>56982.585000000006</v>
          </cell>
          <cell r="AD66">
            <v>62231.920299999998</v>
          </cell>
          <cell r="AE66">
            <v>69576.000100000005</v>
          </cell>
          <cell r="AF66">
            <v>52199.436000000002</v>
          </cell>
          <cell r="AG66">
            <v>60984.601199999997</v>
          </cell>
          <cell r="AH66">
            <v>59494.368000000002</v>
          </cell>
          <cell r="AI66">
            <v>64240.7048</v>
          </cell>
          <cell r="AJ66">
            <v>55262.212</v>
          </cell>
          <cell r="AK66">
            <v>54591.137999999999</v>
          </cell>
          <cell r="AL66">
            <v>64058.809199999996</v>
          </cell>
          <cell r="AM66">
            <v>62313.687000000005</v>
          </cell>
          <cell r="AN66">
            <v>67481.367299999998</v>
          </cell>
          <cell r="AO66">
            <v>55998.305999999997</v>
          </cell>
          <cell r="AP66">
            <v>66038.531199999983</v>
          </cell>
          <cell r="AQ66">
            <v>73420.53330000001</v>
          </cell>
          <cell r="AR66">
            <v>58228.610999999997</v>
          </cell>
          <cell r="AS66">
            <v>63549.643500000013</v>
          </cell>
          <cell r="AT66">
            <v>66099.972000000009</v>
          </cell>
          <cell r="AU66">
            <v>70310.876799999998</v>
          </cell>
          <cell r="AV66">
            <v>58655.844000000005</v>
          </cell>
          <cell r="AW66">
            <v>60810.982399999986</v>
          </cell>
          <cell r="AX66">
            <v>63610.164799999999</v>
          </cell>
          <cell r="AY66">
            <v>43906.079999999994</v>
          </cell>
          <cell r="AZ66">
            <v>40255.105799999998</v>
          </cell>
          <cell r="BA66">
            <v>52899.93</v>
          </cell>
          <cell r="BB66">
            <v>68362.948399999994</v>
          </cell>
          <cell r="BC66">
            <v>82332.062999999995</v>
          </cell>
          <cell r="BD66">
            <v>65401.446000000004</v>
          </cell>
          <cell r="BE66">
            <v>74080.414799999999</v>
          </cell>
          <cell r="BF66">
            <v>76887.491999999998</v>
          </cell>
          <cell r="BG66">
            <v>77926.541400000016</v>
          </cell>
          <cell r="BH66">
            <v>70461.071800000005</v>
          </cell>
          <cell r="BI66">
            <v>65508.520499999999</v>
          </cell>
          <cell r="BJ66">
            <v>79504.137600000002</v>
          </cell>
          <cell r="BK66">
            <v>80189.64</v>
          </cell>
          <cell r="BL66">
            <v>80676.917200000011</v>
          </cell>
          <cell r="BM66">
            <v>79238.999999999985</v>
          </cell>
          <cell r="BN66">
            <v>90122.146000000008</v>
          </cell>
          <cell r="BO66">
            <v>89508.996999999988</v>
          </cell>
          <cell r="BP66">
            <v>75045.69</v>
          </cell>
          <cell r="BQ66">
            <v>86109.785000000003</v>
          </cell>
          <cell r="BR66">
            <v>85976.19</v>
          </cell>
          <cell r="BS66">
            <v>86066.757000000012</v>
          </cell>
          <cell r="BT66">
            <v>75067.829899999997</v>
          </cell>
          <cell r="BU66">
            <v>65717.245999999999</v>
          </cell>
          <cell r="BV66">
            <v>72330.703500000003</v>
          </cell>
          <cell r="BW66">
            <v>71901.303</v>
          </cell>
          <cell r="BX66">
            <v>73870.337100000019</v>
          </cell>
          <cell r="BY66">
            <v>71145.491999999998</v>
          </cell>
          <cell r="BZ66">
            <v>76225.980599999995</v>
          </cell>
          <cell r="CA66">
            <v>80028.871499999994</v>
          </cell>
          <cell r="CB66">
            <v>70421.682000000001</v>
          </cell>
          <cell r="CC66">
            <v>82185.122999999992</v>
          </cell>
          <cell r="CD66">
            <v>83779.659</v>
          </cell>
          <cell r="CE66">
            <v>79873.756800000003</v>
          </cell>
          <cell r="CF66">
            <v>68691.002800000002</v>
          </cell>
          <cell r="CG66">
            <v>67610.872000000003</v>
          </cell>
          <cell r="CH66">
            <v>75261.539600000004</v>
          </cell>
          <cell r="CI66">
            <v>76139.856000000014</v>
          </cell>
          <cell r="CJ66">
            <v>67863.950700000001</v>
          </cell>
          <cell r="CK66">
            <v>70509.500999999989</v>
          </cell>
          <cell r="CL66">
            <v>70219.597299999994</v>
          </cell>
          <cell r="CM66">
            <v>75501.3649</v>
          </cell>
          <cell r="CN66">
            <v>78858.251999999993</v>
          </cell>
          <cell r="CO66">
            <v>89621.80290000001</v>
          </cell>
          <cell r="CP66">
            <v>94316.763000000021</v>
          </cell>
          <cell r="CQ66">
            <v>102018.6936</v>
          </cell>
          <cell r="CR66">
            <v>97697.460999999996</v>
          </cell>
          <cell r="CS66">
            <v>91771.814400000003</v>
          </cell>
        </row>
        <row r="67">
          <cell r="B67" t="str">
            <v>4-star hotels</v>
          </cell>
          <cell r="K67">
            <v>519329.92050000001</v>
          </cell>
          <cell r="L67">
            <v>35213.929199999999</v>
          </cell>
          <cell r="M67">
            <v>48528.02</v>
          </cell>
          <cell r="N67">
            <v>44286.001700000001</v>
          </cell>
          <cell r="O67">
            <v>48468.642</v>
          </cell>
          <cell r="P67">
            <v>53062.879799999995</v>
          </cell>
          <cell r="Q67">
            <v>43586.150999999998</v>
          </cell>
          <cell r="R67">
            <v>53589.994500000001</v>
          </cell>
          <cell r="S67">
            <v>58995.011900000005</v>
          </cell>
          <cell r="T67">
            <v>45197.454000000005</v>
          </cell>
          <cell r="U67">
            <v>51715.808899999996</v>
          </cell>
          <cell r="V67">
            <v>50561.621999999996</v>
          </cell>
          <cell r="W67">
            <v>51968.651099999995</v>
          </cell>
          <cell r="X67">
            <v>49724.914500000006</v>
          </cell>
          <cell r="Y67">
            <v>42086.251199999999</v>
          </cell>
          <cell r="Z67">
            <v>53217.045900000005</v>
          </cell>
          <cell r="AA67">
            <v>55859.409</v>
          </cell>
          <cell r="AB67">
            <v>52289.1849</v>
          </cell>
          <cell r="AC67">
            <v>46457.819999999992</v>
          </cell>
          <cell r="AD67">
            <v>59346.12720000001</v>
          </cell>
          <cell r="AE67">
            <v>62350.994399999996</v>
          </cell>
          <cell r="AF67">
            <v>49845.815999999999</v>
          </cell>
          <cell r="AG67">
            <v>55712.5242</v>
          </cell>
          <cell r="AH67">
            <v>57060.341999999997</v>
          </cell>
          <cell r="AI67">
            <v>60285.148199999996</v>
          </cell>
          <cell r="AJ67">
            <v>49890.593999999997</v>
          </cell>
          <cell r="AK67">
            <v>50791.008800000003</v>
          </cell>
          <cell r="AL67">
            <v>58609.877199999995</v>
          </cell>
          <cell r="AM67">
            <v>64898.96699999999</v>
          </cell>
          <cell r="AN67">
            <v>61252.807000000001</v>
          </cell>
          <cell r="AO67">
            <v>53719.197</v>
          </cell>
          <cell r="AP67">
            <v>63696.270399999994</v>
          </cell>
          <cell r="AQ67">
            <v>69788.306700000001</v>
          </cell>
          <cell r="AR67">
            <v>56679.021000000001</v>
          </cell>
          <cell r="AS67">
            <v>57599.364000000001</v>
          </cell>
          <cell r="AT67">
            <v>67519.92</v>
          </cell>
          <cell r="AU67">
            <v>67743.776100000003</v>
          </cell>
          <cell r="AV67">
            <v>53714.639299999995</v>
          </cell>
          <cell r="AW67">
            <v>53613.565600000002</v>
          </cell>
          <cell r="AX67">
            <v>61601.873200000009</v>
          </cell>
          <cell r="AY67">
            <v>37359.735000000008</v>
          </cell>
          <cell r="AZ67">
            <v>24800.322400000001</v>
          </cell>
          <cell r="BA67">
            <v>42635.942999999999</v>
          </cell>
          <cell r="BB67">
            <v>57499.575000000004</v>
          </cell>
          <cell r="BC67">
            <v>71382.150000000009</v>
          </cell>
          <cell r="BD67">
            <v>55416.375</v>
          </cell>
          <cell r="BE67">
            <v>59224.724999999999</v>
          </cell>
          <cell r="BF67">
            <v>64393.875</v>
          </cell>
          <cell r="BG67">
            <v>67321.537499999991</v>
          </cell>
          <cell r="BH67">
            <v>56002.274999999994</v>
          </cell>
          <cell r="BI67">
            <v>49572.600000000006</v>
          </cell>
          <cell r="BJ67">
            <v>70308.000000000015</v>
          </cell>
          <cell r="BK67">
            <v>64204.875</v>
          </cell>
          <cell r="BL67">
            <v>59810.625</v>
          </cell>
          <cell r="BM67">
            <v>64212.750000000007</v>
          </cell>
          <cell r="BN67">
            <v>71211.262500000012</v>
          </cell>
          <cell r="BO67">
            <v>70942.724999999991</v>
          </cell>
          <cell r="BP67">
            <v>58999.499999999993</v>
          </cell>
          <cell r="BQ67">
            <v>64807.05</v>
          </cell>
          <cell r="BR67">
            <v>68481</v>
          </cell>
          <cell r="BS67">
            <v>67215.75</v>
          </cell>
          <cell r="BT67">
            <v>66036.919200000004</v>
          </cell>
          <cell r="BU67">
            <v>56681.968000000001</v>
          </cell>
          <cell r="BV67">
            <v>69197.301000000007</v>
          </cell>
          <cell r="BW67">
            <v>68706.539999999994</v>
          </cell>
          <cell r="BX67">
            <v>69983.845399999991</v>
          </cell>
          <cell r="BY67">
            <v>72458.501999999993</v>
          </cell>
          <cell r="BZ67">
            <v>81133.962599999999</v>
          </cell>
          <cell r="CA67">
            <v>79359.631099999984</v>
          </cell>
          <cell r="CB67">
            <v>68914.013999999996</v>
          </cell>
          <cell r="CC67">
            <v>82198.136799999993</v>
          </cell>
          <cell r="CD67">
            <v>91994.112000000008</v>
          </cell>
          <cell r="CE67">
            <v>87505.510399999999</v>
          </cell>
          <cell r="CF67">
            <v>72144.976300000009</v>
          </cell>
          <cell r="CG67">
            <v>74946.748800000001</v>
          </cell>
          <cell r="CH67">
            <v>91540.891999999993</v>
          </cell>
          <cell r="CI67">
            <v>92658.891000000003</v>
          </cell>
          <cell r="CJ67">
            <v>78995.00910000001</v>
          </cell>
          <cell r="CK67">
            <v>87902.135999999999</v>
          </cell>
          <cell r="CL67">
            <v>99988.615200000015</v>
          </cell>
          <cell r="CM67">
            <v>97197.040400000013</v>
          </cell>
          <cell r="CN67">
            <v>86672.81700000001</v>
          </cell>
          <cell r="CO67">
            <v>97584.379199999996</v>
          </cell>
          <cell r="CP67">
            <v>100150.281</v>
          </cell>
          <cell r="CQ67">
            <v>105935.5374</v>
          </cell>
          <cell r="CR67">
            <v>96427.663800000009</v>
          </cell>
          <cell r="CS67">
            <v>89908</v>
          </cell>
        </row>
        <row r="68">
          <cell r="B68" t="str">
            <v>3-star hotels</v>
          </cell>
          <cell r="K68">
            <v>525409.47</v>
          </cell>
          <cell r="L68">
            <v>43649.922000000006</v>
          </cell>
          <cell r="M68">
            <v>40072.199999999997</v>
          </cell>
          <cell r="N68">
            <v>38313.272000000004</v>
          </cell>
          <cell r="O68">
            <v>38915.999999999993</v>
          </cell>
          <cell r="P68">
            <v>38429.832000000002</v>
          </cell>
          <cell r="Q68">
            <v>33930.239999999991</v>
          </cell>
          <cell r="R68">
            <v>39461.387999999999</v>
          </cell>
          <cell r="S68">
            <v>43768.28</v>
          </cell>
          <cell r="T68">
            <v>36925.296000000002</v>
          </cell>
          <cell r="U68">
            <v>39519.667999999998</v>
          </cell>
          <cell r="V68">
            <v>41470.92</v>
          </cell>
          <cell r="W68">
            <v>41297.208000000006</v>
          </cell>
          <cell r="X68">
            <v>37648.87999999999</v>
          </cell>
          <cell r="Y68">
            <v>31578.735999999997</v>
          </cell>
          <cell r="Z68">
            <v>38762.028000000006</v>
          </cell>
          <cell r="AA68">
            <v>39355.919999999998</v>
          </cell>
          <cell r="AB68">
            <v>38713.348700000002</v>
          </cell>
          <cell r="AC68">
            <v>38960.726999999999</v>
          </cell>
          <cell r="AD68">
            <v>42488.894500000002</v>
          </cell>
          <cell r="AE68">
            <v>45827.507700000002</v>
          </cell>
          <cell r="AF68">
            <v>36488.750999999997</v>
          </cell>
          <cell r="AG68">
            <v>41469.3851</v>
          </cell>
          <cell r="AH68">
            <v>40950.234000000004</v>
          </cell>
          <cell r="AI68">
            <v>47188.720799999996</v>
          </cell>
          <cell r="AJ68">
            <v>39962.527800000003</v>
          </cell>
          <cell r="AK68">
            <v>39378.866799999996</v>
          </cell>
          <cell r="AL68">
            <v>43424.378400000001</v>
          </cell>
          <cell r="AM68">
            <v>46609.758000000002</v>
          </cell>
          <cell r="AN68">
            <v>45222.524100000002</v>
          </cell>
          <cell r="AO68">
            <v>37892.79</v>
          </cell>
          <cell r="AP68">
            <v>44785.591500000002</v>
          </cell>
          <cell r="AQ68">
            <v>50432.105100000001</v>
          </cell>
          <cell r="AR68">
            <v>39616.667999999998</v>
          </cell>
          <cell r="AS68">
            <v>40892.409999999996</v>
          </cell>
          <cell r="AT68">
            <v>48046.323000000004</v>
          </cell>
          <cell r="AU68">
            <v>50594.554399999994</v>
          </cell>
          <cell r="AV68">
            <v>42259.224799999996</v>
          </cell>
          <cell r="AW68">
            <v>38974.0988</v>
          </cell>
          <cell r="AX68">
            <v>45065.676500000001</v>
          </cell>
          <cell r="AY68">
            <v>26248.482000000004</v>
          </cell>
          <cell r="AZ68">
            <v>16508.209899999998</v>
          </cell>
          <cell r="BA68">
            <v>26665.898999999998</v>
          </cell>
          <cell r="BB68">
            <v>42063.081599999998</v>
          </cell>
          <cell r="BC68">
            <v>54316.166399999995</v>
          </cell>
          <cell r="BD68">
            <v>44295.840000000004</v>
          </cell>
          <cell r="BE68">
            <v>48396.009599999998</v>
          </cell>
          <cell r="BF68">
            <v>52646.112000000001</v>
          </cell>
          <cell r="BG68">
            <v>51664.29</v>
          </cell>
          <cell r="BH68">
            <v>44054.952499999999</v>
          </cell>
          <cell r="BI68">
            <v>41576.255999999994</v>
          </cell>
          <cell r="BJ68">
            <v>52342.7808</v>
          </cell>
          <cell r="BK68">
            <v>48651.551999999996</v>
          </cell>
          <cell r="BL68">
            <v>44754.576000000001</v>
          </cell>
          <cell r="BM68">
            <v>46528.416000000005</v>
          </cell>
          <cell r="BN68">
            <v>51945.001199999999</v>
          </cell>
          <cell r="BO68">
            <v>50207.342700000001</v>
          </cell>
          <cell r="BP68">
            <v>40516.799999999996</v>
          </cell>
          <cell r="BQ68">
            <v>43112.32</v>
          </cell>
          <cell r="BR68">
            <v>46340.549999999996</v>
          </cell>
          <cell r="BS68">
            <v>45469.522799999999</v>
          </cell>
          <cell r="BT68">
            <v>43985.202499999999</v>
          </cell>
          <cell r="BU68">
            <v>43547.641199999998</v>
          </cell>
          <cell r="BV68">
            <v>50765.414000000004</v>
          </cell>
          <cell r="BW68">
            <v>52181.619000000006</v>
          </cell>
          <cell r="BX68">
            <v>52680.110400000005</v>
          </cell>
          <cell r="BY68">
            <v>52228.416000000005</v>
          </cell>
          <cell r="BZ68">
            <v>60286.586600000002</v>
          </cell>
          <cell r="CA68">
            <v>63775.115800000007</v>
          </cell>
          <cell r="CB68">
            <v>53612.729999999996</v>
          </cell>
          <cell r="CC68">
            <v>59495.665000000008</v>
          </cell>
          <cell r="CD68">
            <v>65583.33</v>
          </cell>
          <cell r="CE68">
            <v>62920.761999999995</v>
          </cell>
          <cell r="CF68">
            <v>58933.17</v>
          </cell>
          <cell r="CG68">
            <v>60124.26</v>
          </cell>
          <cell r="CH68">
            <v>72008.66</v>
          </cell>
          <cell r="CI68">
            <v>70236.804000000004</v>
          </cell>
          <cell r="CJ68">
            <v>61592.5236</v>
          </cell>
          <cell r="CK68">
            <v>61201.959000000003</v>
          </cell>
          <cell r="CL68">
            <v>72948.883800000011</v>
          </cell>
          <cell r="CM68">
            <v>74330.798700000014</v>
          </cell>
          <cell r="CN68">
            <v>63334.425000000003</v>
          </cell>
          <cell r="CO68">
            <v>72112.974999999991</v>
          </cell>
          <cell r="CP68">
            <v>75122.849999999991</v>
          </cell>
          <cell r="CQ68">
            <v>80253.110000000015</v>
          </cell>
          <cell r="CR68">
            <v>70076.12000000001</v>
          </cell>
          <cell r="CS68">
            <v>66193.679999999993</v>
          </cell>
        </row>
        <row r="69">
          <cell r="B69" t="str">
            <v>2-star hotels</v>
          </cell>
          <cell r="K69">
            <v>109961.1045</v>
          </cell>
          <cell r="L69">
            <v>9244.4976000000006</v>
          </cell>
          <cell r="M69">
            <v>11850.438200000002</v>
          </cell>
          <cell r="N69">
            <v>10991.533600000001</v>
          </cell>
          <cell r="O69">
            <v>10228.035</v>
          </cell>
          <cell r="P69">
            <v>10238.370000000001</v>
          </cell>
          <cell r="Q69">
            <v>8890.02</v>
          </cell>
          <cell r="R69">
            <v>10974.155000000001</v>
          </cell>
          <cell r="S69">
            <v>11133.835999999999</v>
          </cell>
          <cell r="T69">
            <v>9038.49</v>
          </cell>
          <cell r="U69">
            <v>9101.8170000000009</v>
          </cell>
          <cell r="V69">
            <v>8147.982</v>
          </cell>
          <cell r="W69">
            <v>8807.2891</v>
          </cell>
          <cell r="X69">
            <v>9728.4386000000013</v>
          </cell>
          <cell r="Y69">
            <v>6616.3104000000003</v>
          </cell>
          <cell r="Z69">
            <v>7930.1347999999998</v>
          </cell>
          <cell r="AA69">
            <v>8547.1319999999996</v>
          </cell>
          <cell r="AB69">
            <v>7811.8977000000004</v>
          </cell>
          <cell r="AC69">
            <v>8102.7449999999999</v>
          </cell>
          <cell r="AD69">
            <v>8708.2999000000018</v>
          </cell>
          <cell r="AE69">
            <v>9599.202699999998</v>
          </cell>
          <cell r="AF69">
            <v>7642.3920000000007</v>
          </cell>
          <cell r="AG69">
            <v>8543.3179</v>
          </cell>
          <cell r="AH69">
            <v>7982.9999999999991</v>
          </cell>
          <cell r="AI69">
            <v>9172.9992000000002</v>
          </cell>
          <cell r="AJ69">
            <v>7747.9415999999992</v>
          </cell>
          <cell r="AK69">
            <v>8553.2831999999999</v>
          </cell>
          <cell r="AL69">
            <v>8712.7236000000012</v>
          </cell>
          <cell r="AM69">
            <v>8876.9519999999993</v>
          </cell>
          <cell r="AN69">
            <v>8894.2348000000002</v>
          </cell>
          <cell r="AO69">
            <v>5720.0640000000003</v>
          </cell>
          <cell r="AP69">
            <v>6983.1840000000002</v>
          </cell>
          <cell r="AQ69">
            <v>7286.6367999999984</v>
          </cell>
          <cell r="AR69">
            <v>5681.76</v>
          </cell>
          <cell r="AS69">
            <v>7959.659200000001</v>
          </cell>
          <cell r="AT69">
            <v>8745.9840000000004</v>
          </cell>
          <cell r="AU69">
            <v>9368.4480000000003</v>
          </cell>
          <cell r="AV69">
            <v>7416.192</v>
          </cell>
          <cell r="AW69">
            <v>9294.0288</v>
          </cell>
          <cell r="AX69">
            <v>8359.1468999999997</v>
          </cell>
          <cell r="AY69">
            <v>5893.1729999999998</v>
          </cell>
          <cell r="AZ69">
            <v>4676.8956000000007</v>
          </cell>
          <cell r="BA69">
            <v>6239.9610000000002</v>
          </cell>
          <cell r="BB69">
            <v>8411.1803999999993</v>
          </cell>
          <cell r="BC69">
            <v>15791.176799999999</v>
          </cell>
          <cell r="BD69">
            <v>10852.8</v>
          </cell>
          <cell r="BE69">
            <v>11300.9818</v>
          </cell>
          <cell r="BF69">
            <v>15933.624000000002</v>
          </cell>
          <cell r="BG69">
            <v>15214.800000000001</v>
          </cell>
          <cell r="BH69">
            <v>12481.84</v>
          </cell>
          <cell r="BI69">
            <v>9531.8012000000017</v>
          </cell>
          <cell r="BJ69">
            <v>15014.4439</v>
          </cell>
          <cell r="BK69">
            <v>14946.141</v>
          </cell>
          <cell r="BL69">
            <v>12939.055899999999</v>
          </cell>
          <cell r="BM69">
            <v>12194.1</v>
          </cell>
          <cell r="BN69">
            <v>17345.569499999998</v>
          </cell>
          <cell r="BO69">
            <v>17970.892200000002</v>
          </cell>
          <cell r="BP69">
            <v>13413.762000000001</v>
          </cell>
          <cell r="BQ69">
            <v>15459.222599999999</v>
          </cell>
          <cell r="BR69">
            <v>17752.401000000002</v>
          </cell>
          <cell r="BS69">
            <v>16122.979099999999</v>
          </cell>
          <cell r="BT69">
            <v>13407.639499999999</v>
          </cell>
          <cell r="BU69">
            <v>13749.867600000001</v>
          </cell>
          <cell r="BV69">
            <v>13012.302699999998</v>
          </cell>
          <cell r="BW69">
            <v>13594.317000000001</v>
          </cell>
          <cell r="BX69">
            <v>12822.437</v>
          </cell>
          <cell r="BY69">
            <v>11678.88</v>
          </cell>
          <cell r="BZ69">
            <v>16689.975300000002</v>
          </cell>
          <cell r="CA69">
            <v>16583.338399999997</v>
          </cell>
          <cell r="CB69">
            <v>14017.172999999999</v>
          </cell>
          <cell r="CC69">
            <v>16133.3827</v>
          </cell>
          <cell r="CD69">
            <v>18580.493999999999</v>
          </cell>
          <cell r="CE69">
            <v>16838.226599999998</v>
          </cell>
          <cell r="CF69">
            <v>12645.575799999999</v>
          </cell>
          <cell r="CG69">
            <v>13402.186</v>
          </cell>
          <cell r="CH69">
            <v>16496.03</v>
          </cell>
          <cell r="CI69">
            <v>17202.257999999998</v>
          </cell>
          <cell r="CJ69">
            <v>14208.5121</v>
          </cell>
          <cell r="CK69">
            <v>13112.864999999998</v>
          </cell>
          <cell r="CL69">
            <v>15357.449600000002</v>
          </cell>
          <cell r="CM69">
            <v>15927.899199999998</v>
          </cell>
          <cell r="CN69">
            <v>13501.008</v>
          </cell>
          <cell r="CO69">
            <v>15457.4959</v>
          </cell>
          <cell r="CP69">
            <v>17140.641000000003</v>
          </cell>
          <cell r="CQ69">
            <v>17140.706000000002</v>
          </cell>
          <cell r="CR69">
            <v>14542.5216</v>
          </cell>
          <cell r="CS69">
            <v>14673.791999999999</v>
          </cell>
        </row>
        <row r="70">
          <cell r="B70" t="str">
            <v>Guest-houses</v>
          </cell>
          <cell r="K70">
            <v>65519.580499999996</v>
          </cell>
          <cell r="L70">
            <v>6101.4447999999993</v>
          </cell>
          <cell r="M70">
            <v>7092.7677999999996</v>
          </cell>
          <cell r="N70">
            <v>6603</v>
          </cell>
          <cell r="O70">
            <v>6363.4920000000011</v>
          </cell>
          <cell r="P70">
            <v>6592.2368000000006</v>
          </cell>
          <cell r="Q70">
            <v>5925.1500000000005</v>
          </cell>
          <cell r="R70">
            <v>6746.8896000000004</v>
          </cell>
          <cell r="S70">
            <v>6793.2934999999989</v>
          </cell>
          <cell r="T70">
            <v>5942.5649999999996</v>
          </cell>
          <cell r="U70">
            <v>6323.8419000000004</v>
          </cell>
          <cell r="V70">
            <v>5741.7659999999996</v>
          </cell>
          <cell r="W70">
            <v>5792.4430000000002</v>
          </cell>
          <cell r="X70">
            <v>6928.2520000000004</v>
          </cell>
          <cell r="Y70">
            <v>5441.6879999999992</v>
          </cell>
          <cell r="Z70">
            <v>6251.5219999999999</v>
          </cell>
          <cell r="AA70">
            <v>6181.4550000000008</v>
          </cell>
          <cell r="AB70">
            <v>6669.0796</v>
          </cell>
          <cell r="AC70">
            <v>5572.5390000000007</v>
          </cell>
          <cell r="AD70">
            <v>6617.2414000000008</v>
          </cell>
          <cell r="AE70">
            <v>6735.0785999999998</v>
          </cell>
          <cell r="AF70">
            <v>5971.3200000000006</v>
          </cell>
          <cell r="AG70">
            <v>6496.9241999999995</v>
          </cell>
          <cell r="AH70">
            <v>5961.36</v>
          </cell>
          <cell r="AI70">
            <v>6814.8540000000003</v>
          </cell>
          <cell r="AJ70">
            <v>6152.4056999999993</v>
          </cell>
          <cell r="AK70">
            <v>6682.3400000000011</v>
          </cell>
          <cell r="AL70">
            <v>6889.8430000000008</v>
          </cell>
          <cell r="AM70">
            <v>6904.7699999999995</v>
          </cell>
          <cell r="AN70">
            <v>7175.1669999999995</v>
          </cell>
          <cell r="AO70">
            <v>6684.5609999999997</v>
          </cell>
          <cell r="AP70">
            <v>7359.8960000000006</v>
          </cell>
          <cell r="AQ70">
            <v>7429.1655000000001</v>
          </cell>
          <cell r="AR70">
            <v>6406.1790000000001</v>
          </cell>
          <cell r="AS70">
            <v>6873.9461999999994</v>
          </cell>
          <cell r="AT70">
            <v>6671.8079999999991</v>
          </cell>
          <cell r="AU70">
            <v>6896.0430000000006</v>
          </cell>
          <cell r="AV70">
            <v>6660.598</v>
          </cell>
          <cell r="AW70">
            <v>7055.5099999999993</v>
          </cell>
          <cell r="AX70">
            <v>6815.5670000000009</v>
          </cell>
          <cell r="AY70">
            <v>4936.6679999999997</v>
          </cell>
          <cell r="AZ70">
            <v>4216.8059999999996</v>
          </cell>
          <cell r="BA70">
            <v>4727.6460000000006</v>
          </cell>
          <cell r="BB70">
            <v>6140.5017000000007</v>
          </cell>
          <cell r="BC70">
            <v>7733.88</v>
          </cell>
          <cell r="BD70">
            <v>6308.9999999999991</v>
          </cell>
          <cell r="BE70">
            <v>7113.3282000000008</v>
          </cell>
          <cell r="BF70">
            <v>7767.7380000000003</v>
          </cell>
          <cell r="BG70">
            <v>8309.1283999999996</v>
          </cell>
          <cell r="BH70">
            <v>7131.5871999999999</v>
          </cell>
          <cell r="BI70">
            <v>5841.8209000000006</v>
          </cell>
          <cell r="BJ70">
            <v>7761.3025999999991</v>
          </cell>
          <cell r="BK70">
            <v>7194.5759999999991</v>
          </cell>
          <cell r="BL70">
            <v>7108.5479999999989</v>
          </cell>
          <cell r="BM70">
            <v>6897.6900000000005</v>
          </cell>
          <cell r="BN70">
            <v>7707.1239000000005</v>
          </cell>
          <cell r="BO70">
            <v>8377.5887999999995</v>
          </cell>
          <cell r="BP70">
            <v>6575.1750000000002</v>
          </cell>
          <cell r="BQ70">
            <v>7708.1003999999994</v>
          </cell>
          <cell r="BR70">
            <v>7855.848</v>
          </cell>
          <cell r="BS70">
            <v>8107.1200000000008</v>
          </cell>
          <cell r="BT70">
            <v>7155.7919999999995</v>
          </cell>
          <cell r="BU70">
            <v>6832.2071999999998</v>
          </cell>
          <cell r="BV70">
            <v>7385.3779999999997</v>
          </cell>
          <cell r="BW70">
            <v>7493.73</v>
          </cell>
          <cell r="BX70">
            <v>7867.2543999999998</v>
          </cell>
          <cell r="BY70">
            <v>7018.2359999999999</v>
          </cell>
          <cell r="BZ70">
            <v>8037.369999999999</v>
          </cell>
          <cell r="CA70">
            <v>7979.4</v>
          </cell>
          <cell r="CB70">
            <v>7514.5380000000005</v>
          </cell>
          <cell r="CC70">
            <v>8349.1928000000007</v>
          </cell>
          <cell r="CD70">
            <v>8418.7289999999994</v>
          </cell>
          <cell r="CE70">
            <v>8344.5396999999994</v>
          </cell>
          <cell r="CF70">
            <v>8005.8646999999992</v>
          </cell>
          <cell r="CG70">
            <v>7116.9364000000005</v>
          </cell>
          <cell r="CH70">
            <v>7778.6873999999998</v>
          </cell>
          <cell r="CI70">
            <v>7906.299</v>
          </cell>
          <cell r="CJ70">
            <v>6919.5130999999992</v>
          </cell>
          <cell r="CK70">
            <v>6777.3</v>
          </cell>
          <cell r="CL70">
            <v>7780.3954999999996</v>
          </cell>
          <cell r="CM70">
            <v>8547.3323999999993</v>
          </cell>
          <cell r="CN70">
            <v>7905.7439999999988</v>
          </cell>
          <cell r="CO70">
            <v>8491.2099999999991</v>
          </cell>
          <cell r="CP70">
            <v>8661.7049999999999</v>
          </cell>
          <cell r="CQ70">
            <v>8867.2492999999995</v>
          </cell>
          <cell r="CR70">
            <v>8802.9521999999997</v>
          </cell>
          <cell r="CS70">
            <v>8613.6119999999992</v>
          </cell>
        </row>
        <row r="71">
          <cell r="B71" t="str">
            <v>Total % Change</v>
          </cell>
          <cell r="X71">
            <v>0.11607991847527543</v>
          </cell>
          <cell r="Y71">
            <v>-0.19771465820206136</v>
          </cell>
          <cell r="Z71">
            <v>5.0105279643615441E-2</v>
          </cell>
          <cell r="AA71">
            <v>1.6305106525842161E-2</v>
          </cell>
          <cell r="AB71">
            <v>-2.920668106747859E-2</v>
          </cell>
          <cell r="AC71">
            <v>6.5014632373881387E-2</v>
          </cell>
          <cell r="AD71">
            <v>2.2894165184720539E-2</v>
          </cell>
          <cell r="AE71">
            <v>2.9791856209834933E-2</v>
          </cell>
          <cell r="AF71">
            <v>-2.7448849749847071E-3</v>
          </cell>
          <cell r="AG71">
            <v>3.8381742738589297E-2</v>
          </cell>
          <cell r="AH71">
            <v>5.6139599939084572E-2</v>
          </cell>
          <cell r="AI71">
            <v>0.10874271294089399</v>
          </cell>
          <cell r="AJ71">
            <v>-1.0777095366748535E-2</v>
          </cell>
          <cell r="AK71">
            <v>0.1949948324228552</v>
          </cell>
          <cell r="AL71">
            <v>0.10362404966504535</v>
          </cell>
          <cell r="AM71">
            <v>0.12993450596383549</v>
          </cell>
          <cell r="AN71">
            <v>0.16567815893784843</v>
          </cell>
          <cell r="AO71">
            <v>1.7274342675249743E-2</v>
          </cell>
          <cell r="AP71">
            <v>5.7240240437226753E-2</v>
          </cell>
          <cell r="AQ71">
            <v>7.3579771684023632E-2</v>
          </cell>
          <cell r="AR71">
            <v>9.5029872818692462E-2</v>
          </cell>
          <cell r="AS71">
            <v>2.1186488455111396E-2</v>
          </cell>
          <cell r="AT71">
            <v>0.14956381051349954</v>
          </cell>
          <cell r="AU71">
            <v>9.1703237943287608E-2</v>
          </cell>
          <cell r="AV71">
            <v>6.091758973607142E-2</v>
          </cell>
          <cell r="AW71">
            <v>6.0955236719105965E-2</v>
          </cell>
          <cell r="AX71">
            <v>2.0812926838631896E-2</v>
          </cell>
          <cell r="AY71">
            <v>-0.37582252922406145</v>
          </cell>
          <cell r="AZ71">
            <v>-0.52401527155296002</v>
          </cell>
          <cell r="BA71">
            <v>-0.16179755734914802</v>
          </cell>
          <cell r="BB71">
            <v>-3.3557745953161966E-2</v>
          </cell>
          <cell r="BC71">
            <v>0.11129141677844423</v>
          </cell>
          <cell r="BD71">
            <v>9.3999453312215042E-2</v>
          </cell>
          <cell r="BE71">
            <v>0.13137179931265242</v>
          </cell>
          <cell r="BF71">
            <v>0.10428461061083882</v>
          </cell>
          <cell r="BG71">
            <v>7.5823921258763027E-2</v>
          </cell>
          <cell r="BH71">
            <v>0.12703020129788234</v>
          </cell>
          <cell r="BI71">
            <v>1.3548520106922535E-2</v>
          </cell>
          <cell r="BJ71">
            <v>0.21279143927590138</v>
          </cell>
          <cell r="BK71">
            <v>0.81832738031290653</v>
          </cell>
          <cell r="BL71">
            <v>1.2698032836375015</v>
          </cell>
          <cell r="BM71">
            <v>0.57015068618141163</v>
          </cell>
          <cell r="BN71">
            <v>0.30564300179172421</v>
          </cell>
          <cell r="BO71">
            <v>2.318249141964368E-2</v>
          </cell>
          <cell r="BP71">
            <v>6.7488960967874601E-2</v>
          </cell>
          <cell r="BQ71">
            <v>8.5365954539366573E-2</v>
          </cell>
          <cell r="BR71">
            <v>4.0402403476717419E-2</v>
          </cell>
          <cell r="BS71">
            <v>1.2073220928566331E-2</v>
          </cell>
          <cell r="BT71">
            <v>7.921560282994089E-2</v>
          </cell>
          <cell r="BU71">
            <v>8.2785972477367409E-2</v>
          </cell>
          <cell r="BV71">
            <v>-5.3935120698937578E-2</v>
          </cell>
          <cell r="BW71">
            <v>-6.0902860623212041E-3</v>
          </cell>
          <cell r="BX71">
            <v>5.8111497692033387E-2</v>
          </cell>
          <cell r="BY71">
            <v>2.6094208700293775E-2</v>
          </cell>
          <cell r="BZ71">
            <v>1.6974621138211576E-2</v>
          </cell>
          <cell r="CA71">
            <v>4.5527723855207647E-2</v>
          </cell>
          <cell r="CB71">
            <v>0.10239763632409349</v>
          </cell>
          <cell r="CC71">
            <v>0.1435842290714644</v>
          </cell>
          <cell r="CD71">
            <v>0.18515375265224399</v>
          </cell>
          <cell r="CE71">
            <v>0.14522804326319183</v>
          </cell>
          <cell r="CF71">
            <v>7.3904579797738901E-2</v>
          </cell>
          <cell r="CG71">
            <v>0.19748175468548723</v>
          </cell>
          <cell r="CH71">
            <v>0.23628290859798207</v>
          </cell>
          <cell r="CI71">
            <v>0.23500925222673708</v>
          </cell>
          <cell r="CJ71">
            <v>5.6812235760104635E-2</v>
          </cell>
          <cell r="CK71">
            <v>0.11709209041764046</v>
          </cell>
          <cell r="CL71">
            <v>9.8355429457823274E-2</v>
          </cell>
          <cell r="CM71">
            <v>9.604555450331298E-2</v>
          </cell>
          <cell r="CN71">
            <v>0.16722159122260205</v>
          </cell>
          <cell r="CO71">
            <v>0.14046851577347086</v>
          </cell>
          <cell r="CP71">
            <v>0.10088772055378126</v>
          </cell>
          <cell r="CQ71">
            <v>0.22945132416269076</v>
          </cell>
          <cell r="CR71">
            <v>0.30529301610957083</v>
          </cell>
          <cell r="CS71">
            <v>0.21559967173351668</v>
          </cell>
        </row>
        <row r="73">
          <cell r="B73" t="str">
            <v>Room Nights Available</v>
          </cell>
        </row>
        <row r="74">
          <cell r="B74" t="str">
            <v>Grand Total</v>
          </cell>
          <cell r="K74">
            <v>3442315</v>
          </cell>
          <cell r="L74">
            <v>291896</v>
          </cell>
          <cell r="M74">
            <v>273760</v>
          </cell>
          <cell r="N74">
            <v>292640</v>
          </cell>
          <cell r="O74">
            <v>279510</v>
          </cell>
          <cell r="P74">
            <v>283309</v>
          </cell>
          <cell r="Q74">
            <v>280800</v>
          </cell>
          <cell r="R74">
            <v>288517</v>
          </cell>
          <cell r="S74">
            <v>288145</v>
          </cell>
          <cell r="T74">
            <v>278910</v>
          </cell>
          <cell r="U74">
            <v>288393</v>
          </cell>
          <cell r="V74">
            <v>276060</v>
          </cell>
          <cell r="W74">
            <v>285231</v>
          </cell>
          <cell r="X74">
            <v>284394</v>
          </cell>
          <cell r="Y74">
            <v>256984</v>
          </cell>
          <cell r="Z74">
            <v>284518</v>
          </cell>
          <cell r="AA74">
            <v>276030</v>
          </cell>
          <cell r="AB74">
            <v>281883</v>
          </cell>
          <cell r="AC74">
            <v>259500</v>
          </cell>
          <cell r="AD74">
            <v>279558</v>
          </cell>
          <cell r="AE74">
            <v>279589</v>
          </cell>
          <cell r="AF74">
            <v>270480</v>
          </cell>
          <cell r="AG74">
            <v>279279</v>
          </cell>
          <cell r="AH74">
            <v>270660</v>
          </cell>
          <cell r="AI74">
            <v>279930</v>
          </cell>
          <cell r="AJ74">
            <v>277016</v>
          </cell>
          <cell r="AK74">
            <v>251804</v>
          </cell>
          <cell r="AL74">
            <v>278225</v>
          </cell>
          <cell r="AM74">
            <v>269550</v>
          </cell>
          <cell r="AN74">
            <v>277605</v>
          </cell>
          <cell r="AO74">
            <v>263370</v>
          </cell>
          <cell r="AP74">
            <v>272490</v>
          </cell>
          <cell r="AQ74">
            <v>272738</v>
          </cell>
          <cell r="AR74">
            <v>264240</v>
          </cell>
          <cell r="AS74">
            <v>277326</v>
          </cell>
          <cell r="AT74">
            <v>267840</v>
          </cell>
          <cell r="AU74">
            <v>277574</v>
          </cell>
          <cell r="AV74">
            <v>277822</v>
          </cell>
          <cell r="AW74">
            <v>250404</v>
          </cell>
          <cell r="AX74">
            <v>276768</v>
          </cell>
          <cell r="AY74">
            <v>267870</v>
          </cell>
          <cell r="AZ74">
            <v>276427</v>
          </cell>
          <cell r="BA74">
            <v>267660</v>
          </cell>
          <cell r="BB74">
            <v>272955</v>
          </cell>
          <cell r="BC74">
            <v>274753</v>
          </cell>
          <cell r="BD74">
            <v>267210</v>
          </cell>
          <cell r="BE74">
            <v>275869</v>
          </cell>
          <cell r="BF74">
            <v>275340</v>
          </cell>
          <cell r="BG74">
            <v>284735</v>
          </cell>
          <cell r="BH74">
            <v>284828</v>
          </cell>
          <cell r="BI74">
            <v>267032</v>
          </cell>
          <cell r="BJ74">
            <v>288331</v>
          </cell>
          <cell r="BK74">
            <v>279540</v>
          </cell>
          <cell r="BL74">
            <v>288703</v>
          </cell>
          <cell r="BM74">
            <v>279000</v>
          </cell>
          <cell r="BN74">
            <v>290625</v>
          </cell>
          <cell r="BO74">
            <v>287711</v>
          </cell>
          <cell r="BP74">
            <v>273150</v>
          </cell>
          <cell r="BQ74">
            <v>281418</v>
          </cell>
          <cell r="BR74">
            <v>274650</v>
          </cell>
          <cell r="BS74">
            <v>284208</v>
          </cell>
          <cell r="BT74">
            <v>306931</v>
          </cell>
          <cell r="BU74">
            <v>285068</v>
          </cell>
          <cell r="BV74">
            <v>328135</v>
          </cell>
          <cell r="BW74">
            <v>319080</v>
          </cell>
          <cell r="BX74">
            <v>324074</v>
          </cell>
          <cell r="BY74">
            <v>317130</v>
          </cell>
          <cell r="BZ74">
            <v>327422</v>
          </cell>
          <cell r="CA74">
            <v>327019</v>
          </cell>
          <cell r="CB74">
            <v>320370</v>
          </cell>
          <cell r="CC74">
            <v>329685</v>
          </cell>
          <cell r="CD74">
            <v>324990</v>
          </cell>
          <cell r="CE74">
            <v>335792</v>
          </cell>
          <cell r="CF74">
            <v>341465</v>
          </cell>
          <cell r="CG74">
            <v>309148</v>
          </cell>
          <cell r="CH74">
            <v>350207</v>
          </cell>
          <cell r="CI74">
            <v>339690</v>
          </cell>
          <cell r="CJ74">
            <v>351075</v>
          </cell>
          <cell r="CK74">
            <v>352440</v>
          </cell>
          <cell r="CL74">
            <v>365552</v>
          </cell>
          <cell r="CM74">
            <v>365521</v>
          </cell>
          <cell r="CN74">
            <v>372330</v>
          </cell>
          <cell r="CO74">
            <v>384989</v>
          </cell>
          <cell r="CP74">
            <v>380790</v>
          </cell>
          <cell r="CQ74">
            <v>402318</v>
          </cell>
          <cell r="CR74">
            <v>400582</v>
          </cell>
          <cell r="CS74">
            <v>365764</v>
          </cell>
        </row>
        <row r="75">
          <cell r="B75" t="str">
            <v>Hotel Total</v>
          </cell>
          <cell r="K75">
            <v>3229520</v>
          </cell>
          <cell r="L75">
            <v>273823</v>
          </cell>
          <cell r="M75">
            <v>255606</v>
          </cell>
          <cell r="N75">
            <v>273265</v>
          </cell>
          <cell r="O75">
            <v>261630</v>
          </cell>
          <cell r="P75">
            <v>264833</v>
          </cell>
          <cell r="Q75">
            <v>262980</v>
          </cell>
          <cell r="R75">
            <v>270103</v>
          </cell>
          <cell r="S75">
            <v>269700</v>
          </cell>
          <cell r="T75">
            <v>260820</v>
          </cell>
          <cell r="U75">
            <v>269700</v>
          </cell>
          <cell r="V75">
            <v>257970</v>
          </cell>
          <cell r="W75">
            <v>266941</v>
          </cell>
          <cell r="X75">
            <v>266104</v>
          </cell>
          <cell r="Y75">
            <v>240464</v>
          </cell>
          <cell r="Z75">
            <v>266228</v>
          </cell>
          <cell r="AA75">
            <v>258180</v>
          </cell>
          <cell r="AB75">
            <v>263965</v>
          </cell>
          <cell r="AC75">
            <v>241770</v>
          </cell>
          <cell r="AD75">
            <v>261547</v>
          </cell>
          <cell r="AE75">
            <v>261547</v>
          </cell>
          <cell r="AF75">
            <v>253020</v>
          </cell>
          <cell r="AG75">
            <v>261237</v>
          </cell>
          <cell r="AH75">
            <v>252960</v>
          </cell>
          <cell r="AI75">
            <v>261640</v>
          </cell>
          <cell r="AJ75">
            <v>258819</v>
          </cell>
          <cell r="AK75">
            <v>235284</v>
          </cell>
          <cell r="AL75">
            <v>259935</v>
          </cell>
          <cell r="AM75">
            <v>251850</v>
          </cell>
          <cell r="AN75">
            <v>259315</v>
          </cell>
          <cell r="AO75">
            <v>245700</v>
          </cell>
          <cell r="AP75">
            <v>254200</v>
          </cell>
          <cell r="AQ75">
            <v>254417</v>
          </cell>
          <cell r="AR75">
            <v>246450</v>
          </cell>
          <cell r="AS75">
            <v>258912</v>
          </cell>
          <cell r="AT75">
            <v>250020</v>
          </cell>
          <cell r="AU75">
            <v>259160</v>
          </cell>
          <cell r="AV75">
            <v>259346</v>
          </cell>
          <cell r="AW75">
            <v>233744</v>
          </cell>
          <cell r="AX75">
            <v>258013</v>
          </cell>
          <cell r="AY75">
            <v>249990</v>
          </cell>
          <cell r="AZ75">
            <v>258013</v>
          </cell>
          <cell r="BA75">
            <v>249840</v>
          </cell>
          <cell r="BB75">
            <v>254696</v>
          </cell>
          <cell r="BC75">
            <v>256153</v>
          </cell>
          <cell r="BD75">
            <v>249210</v>
          </cell>
          <cell r="BE75">
            <v>257455</v>
          </cell>
          <cell r="BF75">
            <v>257520</v>
          </cell>
          <cell r="BG75">
            <v>266569</v>
          </cell>
          <cell r="BH75">
            <v>266476</v>
          </cell>
          <cell r="BI75">
            <v>249835</v>
          </cell>
          <cell r="BJ75">
            <v>269948</v>
          </cell>
          <cell r="BK75">
            <v>261780</v>
          </cell>
          <cell r="BL75">
            <v>270382</v>
          </cell>
          <cell r="BM75">
            <v>261300</v>
          </cell>
          <cell r="BN75">
            <v>272366</v>
          </cell>
          <cell r="BO75">
            <v>269483</v>
          </cell>
          <cell r="BP75">
            <v>255960</v>
          </cell>
          <cell r="BQ75">
            <v>264492</v>
          </cell>
          <cell r="BR75">
            <v>258270</v>
          </cell>
          <cell r="BS75">
            <v>266848</v>
          </cell>
          <cell r="BT75">
            <v>289571</v>
          </cell>
          <cell r="BU75">
            <v>268996</v>
          </cell>
          <cell r="BV75">
            <v>310403</v>
          </cell>
          <cell r="BW75">
            <v>302010</v>
          </cell>
          <cell r="BX75">
            <v>306466</v>
          </cell>
          <cell r="BY75">
            <v>300690</v>
          </cell>
          <cell r="BZ75">
            <v>310372</v>
          </cell>
          <cell r="CA75">
            <v>309969</v>
          </cell>
          <cell r="CB75">
            <v>303840</v>
          </cell>
          <cell r="CC75">
            <v>312604</v>
          </cell>
          <cell r="CD75">
            <v>308460</v>
          </cell>
          <cell r="CE75">
            <v>318835</v>
          </cell>
          <cell r="CF75">
            <v>324384</v>
          </cell>
          <cell r="CG75">
            <v>293720</v>
          </cell>
          <cell r="CH75">
            <v>333126</v>
          </cell>
          <cell r="CI75">
            <v>323160</v>
          </cell>
          <cell r="CJ75">
            <v>333994</v>
          </cell>
          <cell r="CK75">
            <v>335910</v>
          </cell>
          <cell r="CL75">
            <v>348471</v>
          </cell>
          <cell r="CM75">
            <v>348440</v>
          </cell>
          <cell r="CN75">
            <v>355770</v>
          </cell>
          <cell r="CO75">
            <v>367660</v>
          </cell>
          <cell r="CP75">
            <v>364020</v>
          </cell>
          <cell r="CQ75">
            <v>384989</v>
          </cell>
          <cell r="CR75">
            <v>383284</v>
          </cell>
          <cell r="CS75">
            <v>349804</v>
          </cell>
        </row>
        <row r="76">
          <cell r="B76" t="str">
            <v>5-star hotels</v>
          </cell>
          <cell r="K76">
            <v>1163985</v>
          </cell>
          <cell r="L76">
            <v>98549</v>
          </cell>
          <cell r="M76">
            <v>92249</v>
          </cell>
          <cell r="N76">
            <v>98642</v>
          </cell>
          <cell r="O76">
            <v>95310</v>
          </cell>
          <cell r="P76">
            <v>91574</v>
          </cell>
          <cell r="Q76">
            <v>95310</v>
          </cell>
          <cell r="R76">
            <v>96844</v>
          </cell>
          <cell r="S76">
            <v>96441</v>
          </cell>
          <cell r="T76">
            <v>93330</v>
          </cell>
          <cell r="U76">
            <v>96441</v>
          </cell>
          <cell r="V76">
            <v>93330</v>
          </cell>
          <cell r="W76">
            <v>96813</v>
          </cell>
          <cell r="X76">
            <v>95976</v>
          </cell>
          <cell r="Y76">
            <v>86800</v>
          </cell>
          <cell r="Z76">
            <v>96100</v>
          </cell>
          <cell r="AA76">
            <v>93540</v>
          </cell>
          <cell r="AB76">
            <v>96100</v>
          </cell>
          <cell r="AC76">
            <v>92730</v>
          </cell>
          <cell r="AD76">
            <v>96379</v>
          </cell>
          <cell r="AE76">
            <v>96379</v>
          </cell>
          <cell r="AF76">
            <v>93180</v>
          </cell>
          <cell r="AG76">
            <v>96069</v>
          </cell>
          <cell r="AH76">
            <v>93120</v>
          </cell>
          <cell r="AI76">
            <v>96472</v>
          </cell>
          <cell r="AJ76">
            <v>96410</v>
          </cell>
          <cell r="AK76">
            <v>87276</v>
          </cell>
          <cell r="AL76">
            <v>96069</v>
          </cell>
          <cell r="AM76">
            <v>93270</v>
          </cell>
          <cell r="AN76">
            <v>95759</v>
          </cell>
          <cell r="AO76">
            <v>92820</v>
          </cell>
          <cell r="AP76">
            <v>96224</v>
          </cell>
          <cell r="AQ76">
            <v>96441</v>
          </cell>
          <cell r="AR76">
            <v>93570</v>
          </cell>
          <cell r="AS76">
            <v>96069</v>
          </cell>
          <cell r="AT76">
            <v>92370</v>
          </cell>
          <cell r="AU76">
            <v>96224</v>
          </cell>
          <cell r="AV76">
            <v>96410</v>
          </cell>
          <cell r="AW76">
            <v>86576</v>
          </cell>
          <cell r="AX76">
            <v>95914</v>
          </cell>
          <cell r="AY76">
            <v>93120</v>
          </cell>
          <cell r="AZ76">
            <v>95914</v>
          </cell>
          <cell r="BA76">
            <v>92970</v>
          </cell>
          <cell r="BB76">
            <v>93341</v>
          </cell>
          <cell r="BC76">
            <v>94798</v>
          </cell>
          <cell r="BD76">
            <v>91740</v>
          </cell>
          <cell r="BE76">
            <v>94829</v>
          </cell>
          <cell r="BF76">
            <v>100140</v>
          </cell>
          <cell r="BG76">
            <v>103819</v>
          </cell>
          <cell r="BH76">
            <v>103726</v>
          </cell>
          <cell r="BI76">
            <v>97701</v>
          </cell>
          <cell r="BJ76">
            <v>107322</v>
          </cell>
          <cell r="BK76">
            <v>104400</v>
          </cell>
          <cell r="BL76">
            <v>107756</v>
          </cell>
          <cell r="BM76">
            <v>103920</v>
          </cell>
          <cell r="BN76">
            <v>107570</v>
          </cell>
          <cell r="BO76">
            <v>107570</v>
          </cell>
          <cell r="BP76">
            <v>104100</v>
          </cell>
          <cell r="BQ76">
            <v>107570</v>
          </cell>
          <cell r="BR76">
            <v>104100</v>
          </cell>
          <cell r="BS76">
            <v>107570</v>
          </cell>
          <cell r="BT76">
            <v>106919</v>
          </cell>
          <cell r="BU76">
            <v>96572</v>
          </cell>
          <cell r="BV76">
            <v>106919</v>
          </cell>
          <cell r="BW76">
            <v>103470</v>
          </cell>
          <cell r="BX76">
            <v>106919</v>
          </cell>
          <cell r="BY76">
            <v>103620</v>
          </cell>
          <cell r="BZ76">
            <v>107074</v>
          </cell>
          <cell r="CA76">
            <v>106919</v>
          </cell>
          <cell r="CB76">
            <v>103470</v>
          </cell>
          <cell r="CC76">
            <v>105555</v>
          </cell>
          <cell r="CD76">
            <v>103470</v>
          </cell>
          <cell r="CE76">
            <v>107012</v>
          </cell>
          <cell r="CF76">
            <v>107012</v>
          </cell>
          <cell r="CG76">
            <v>96656</v>
          </cell>
          <cell r="CH76">
            <v>107012</v>
          </cell>
          <cell r="CI76">
            <v>104130</v>
          </cell>
          <cell r="CJ76">
            <v>107601</v>
          </cell>
          <cell r="CK76">
            <v>113670</v>
          </cell>
          <cell r="CL76">
            <v>107353</v>
          </cell>
          <cell r="CM76">
            <v>107353</v>
          </cell>
          <cell r="CN76">
            <v>121770</v>
          </cell>
          <cell r="CO76">
            <v>125891</v>
          </cell>
          <cell r="CP76">
            <v>130470</v>
          </cell>
          <cell r="CQ76">
            <v>141732</v>
          </cell>
          <cell r="CR76">
            <v>139190</v>
          </cell>
          <cell r="CS76">
            <v>128604</v>
          </cell>
        </row>
        <row r="77">
          <cell r="B77" t="str">
            <v>4-star hotels</v>
          </cell>
          <cell r="K77">
            <v>883665</v>
          </cell>
          <cell r="L77">
            <v>75051</v>
          </cell>
          <cell r="M77">
            <v>78271</v>
          </cell>
          <cell r="N77">
            <v>83669</v>
          </cell>
          <cell r="O77">
            <v>80970</v>
          </cell>
          <cell r="P77">
            <v>83669</v>
          </cell>
          <cell r="Q77">
            <v>80970</v>
          </cell>
          <cell r="R77">
            <v>83669</v>
          </cell>
          <cell r="S77">
            <v>83669</v>
          </cell>
          <cell r="T77">
            <v>80970</v>
          </cell>
          <cell r="U77">
            <v>83669</v>
          </cell>
          <cell r="V77">
            <v>81630</v>
          </cell>
          <cell r="W77">
            <v>84351</v>
          </cell>
          <cell r="X77">
            <v>84351</v>
          </cell>
          <cell r="Y77">
            <v>76188</v>
          </cell>
          <cell r="Z77">
            <v>84351</v>
          </cell>
          <cell r="AA77">
            <v>81630</v>
          </cell>
          <cell r="AB77">
            <v>84351</v>
          </cell>
          <cell r="AC77">
            <v>68220</v>
          </cell>
          <cell r="AD77">
            <v>81654</v>
          </cell>
          <cell r="AE77">
            <v>81654</v>
          </cell>
          <cell r="AF77">
            <v>79020</v>
          </cell>
          <cell r="AG77">
            <v>81654</v>
          </cell>
          <cell r="AH77">
            <v>79020</v>
          </cell>
          <cell r="AI77">
            <v>81654</v>
          </cell>
          <cell r="AJ77">
            <v>81654</v>
          </cell>
          <cell r="AK77">
            <v>75068</v>
          </cell>
          <cell r="AL77">
            <v>83111</v>
          </cell>
          <cell r="AM77">
            <v>80430</v>
          </cell>
          <cell r="AN77">
            <v>83111</v>
          </cell>
          <cell r="AO77">
            <v>80430</v>
          </cell>
          <cell r="AP77">
            <v>83111</v>
          </cell>
          <cell r="AQ77">
            <v>83111</v>
          </cell>
          <cell r="AR77">
            <v>80430</v>
          </cell>
          <cell r="AS77">
            <v>83080</v>
          </cell>
          <cell r="AT77">
            <v>80400</v>
          </cell>
          <cell r="AU77">
            <v>83111</v>
          </cell>
          <cell r="AV77">
            <v>83111</v>
          </cell>
          <cell r="AW77">
            <v>75068</v>
          </cell>
          <cell r="AX77">
            <v>83111</v>
          </cell>
          <cell r="AY77">
            <v>80430</v>
          </cell>
          <cell r="AZ77">
            <v>83111</v>
          </cell>
          <cell r="BA77">
            <v>80430</v>
          </cell>
          <cell r="BB77">
            <v>81375</v>
          </cell>
          <cell r="BC77">
            <v>81375</v>
          </cell>
          <cell r="BD77">
            <v>78750</v>
          </cell>
          <cell r="BE77">
            <v>81375</v>
          </cell>
          <cell r="BF77">
            <v>78750</v>
          </cell>
          <cell r="BG77">
            <v>81375</v>
          </cell>
          <cell r="BH77">
            <v>81375</v>
          </cell>
          <cell r="BI77">
            <v>76125</v>
          </cell>
          <cell r="BJ77">
            <v>81375</v>
          </cell>
          <cell r="BK77">
            <v>78750</v>
          </cell>
          <cell r="BL77">
            <v>81375</v>
          </cell>
          <cell r="BM77">
            <v>78750</v>
          </cell>
          <cell r="BN77">
            <v>81375</v>
          </cell>
          <cell r="BO77">
            <v>81375</v>
          </cell>
          <cell r="BP77">
            <v>78750</v>
          </cell>
          <cell r="BQ77">
            <v>81375</v>
          </cell>
          <cell r="BR77">
            <v>78750</v>
          </cell>
          <cell r="BS77">
            <v>81375</v>
          </cell>
          <cell r="BT77">
            <v>96348</v>
          </cell>
          <cell r="BU77">
            <v>87136</v>
          </cell>
          <cell r="BV77">
            <v>109058</v>
          </cell>
          <cell r="BW77">
            <v>105540</v>
          </cell>
          <cell r="BX77">
            <v>104594</v>
          </cell>
          <cell r="BY77">
            <v>105180</v>
          </cell>
          <cell r="BZ77">
            <v>106671</v>
          </cell>
          <cell r="CA77">
            <v>106423</v>
          </cell>
          <cell r="CB77">
            <v>106860</v>
          </cell>
          <cell r="CC77">
            <v>110422</v>
          </cell>
          <cell r="CD77">
            <v>107520</v>
          </cell>
          <cell r="CE77">
            <v>111104</v>
          </cell>
          <cell r="CF77">
            <v>107663</v>
          </cell>
          <cell r="CG77">
            <v>97944</v>
          </cell>
          <cell r="CH77">
            <v>116405</v>
          </cell>
          <cell r="CI77">
            <v>112710</v>
          </cell>
          <cell r="CJ77">
            <v>116529</v>
          </cell>
          <cell r="CK77">
            <v>115920</v>
          </cell>
          <cell r="CL77">
            <v>120993</v>
          </cell>
          <cell r="CM77">
            <v>121148</v>
          </cell>
          <cell r="CN77">
            <v>117810</v>
          </cell>
          <cell r="CO77">
            <v>121737</v>
          </cell>
          <cell r="CP77">
            <v>117810</v>
          </cell>
          <cell r="CQ77">
            <v>121737</v>
          </cell>
          <cell r="CR77">
            <v>121706</v>
          </cell>
          <cell r="CS77">
            <v>110656</v>
          </cell>
        </row>
        <row r="78">
          <cell r="B78" t="str">
            <v>3-star hotels</v>
          </cell>
          <cell r="K78">
            <v>797525</v>
          </cell>
          <cell r="L78">
            <v>67580</v>
          </cell>
          <cell r="M78">
            <v>54520</v>
          </cell>
          <cell r="N78">
            <v>58280</v>
          </cell>
          <cell r="O78">
            <v>56400</v>
          </cell>
          <cell r="P78">
            <v>58280</v>
          </cell>
          <cell r="Q78">
            <v>56400</v>
          </cell>
          <cell r="R78">
            <v>58280</v>
          </cell>
          <cell r="S78">
            <v>58280</v>
          </cell>
          <cell r="T78">
            <v>56220</v>
          </cell>
          <cell r="U78">
            <v>58280</v>
          </cell>
          <cell r="V78">
            <v>56400</v>
          </cell>
          <cell r="W78">
            <v>58280</v>
          </cell>
          <cell r="X78">
            <v>58280</v>
          </cell>
          <cell r="Y78">
            <v>52640</v>
          </cell>
          <cell r="Z78">
            <v>58280</v>
          </cell>
          <cell r="AA78">
            <v>56400</v>
          </cell>
          <cell r="AB78">
            <v>56017</v>
          </cell>
          <cell r="AC78">
            <v>54210</v>
          </cell>
          <cell r="AD78">
            <v>56017</v>
          </cell>
          <cell r="AE78">
            <v>56017</v>
          </cell>
          <cell r="AF78">
            <v>54210</v>
          </cell>
          <cell r="AG78">
            <v>56017</v>
          </cell>
          <cell r="AH78">
            <v>54210</v>
          </cell>
          <cell r="AI78">
            <v>56017</v>
          </cell>
          <cell r="AJ78">
            <v>56017</v>
          </cell>
          <cell r="AK78">
            <v>50596</v>
          </cell>
          <cell r="AL78">
            <v>56017</v>
          </cell>
          <cell r="AM78">
            <v>54210</v>
          </cell>
          <cell r="AN78">
            <v>56017</v>
          </cell>
          <cell r="AO78">
            <v>54210</v>
          </cell>
          <cell r="AP78">
            <v>56017</v>
          </cell>
          <cell r="AQ78">
            <v>56017</v>
          </cell>
          <cell r="AR78">
            <v>54210</v>
          </cell>
          <cell r="AS78">
            <v>56017</v>
          </cell>
          <cell r="AT78">
            <v>54210</v>
          </cell>
          <cell r="AU78">
            <v>56017</v>
          </cell>
          <cell r="AV78">
            <v>56017</v>
          </cell>
          <cell r="AW78">
            <v>50596</v>
          </cell>
          <cell r="AX78">
            <v>56017</v>
          </cell>
          <cell r="AY78">
            <v>54210</v>
          </cell>
          <cell r="AZ78">
            <v>56017</v>
          </cell>
          <cell r="BA78">
            <v>54210</v>
          </cell>
          <cell r="BB78">
            <v>56544</v>
          </cell>
          <cell r="BC78">
            <v>56544</v>
          </cell>
          <cell r="BD78">
            <v>54720</v>
          </cell>
          <cell r="BE78">
            <v>56544</v>
          </cell>
          <cell r="BF78">
            <v>54720</v>
          </cell>
          <cell r="BG78">
            <v>56575</v>
          </cell>
          <cell r="BH78">
            <v>56575</v>
          </cell>
          <cell r="BI78">
            <v>52896</v>
          </cell>
          <cell r="BJ78">
            <v>56544</v>
          </cell>
          <cell r="BK78">
            <v>54720</v>
          </cell>
          <cell r="BL78">
            <v>56544</v>
          </cell>
          <cell r="BM78">
            <v>54720</v>
          </cell>
          <cell r="BN78">
            <v>57474</v>
          </cell>
          <cell r="BO78">
            <v>54591</v>
          </cell>
          <cell r="BP78">
            <v>48000</v>
          </cell>
          <cell r="BQ78">
            <v>49600</v>
          </cell>
          <cell r="BR78">
            <v>50250</v>
          </cell>
          <cell r="BS78">
            <v>51894</v>
          </cell>
          <cell r="BT78">
            <v>60295</v>
          </cell>
          <cell r="BU78">
            <v>61796</v>
          </cell>
          <cell r="BV78">
            <v>68417</v>
          </cell>
          <cell r="BW78">
            <v>67830</v>
          </cell>
          <cell r="BX78">
            <v>68944</v>
          </cell>
          <cell r="BY78">
            <v>66720</v>
          </cell>
          <cell r="BZ78">
            <v>70618</v>
          </cell>
          <cell r="CA78">
            <v>70618</v>
          </cell>
          <cell r="CB78">
            <v>68340</v>
          </cell>
          <cell r="CC78">
            <v>70618</v>
          </cell>
          <cell r="CD78">
            <v>72300</v>
          </cell>
          <cell r="CE78">
            <v>74710</v>
          </cell>
          <cell r="CF78">
            <v>83700</v>
          </cell>
          <cell r="CG78">
            <v>75628</v>
          </cell>
          <cell r="CH78">
            <v>83731</v>
          </cell>
          <cell r="CI78">
            <v>81030</v>
          </cell>
          <cell r="CJ78">
            <v>83731</v>
          </cell>
          <cell r="CK78">
            <v>81030</v>
          </cell>
          <cell r="CL78">
            <v>93837</v>
          </cell>
          <cell r="CM78">
            <v>93651</v>
          </cell>
          <cell r="CN78">
            <v>90750</v>
          </cell>
          <cell r="CO78">
            <v>93775</v>
          </cell>
          <cell r="CP78">
            <v>90750</v>
          </cell>
          <cell r="CQ78">
            <v>96100</v>
          </cell>
          <cell r="CR78">
            <v>96100</v>
          </cell>
          <cell r="CS78">
            <v>86800</v>
          </cell>
        </row>
        <row r="79">
          <cell r="B79" t="str">
            <v>2-star hotels</v>
          </cell>
          <cell r="K79">
            <v>384345</v>
          </cell>
          <cell r="L79">
            <v>32643</v>
          </cell>
          <cell r="M79">
            <v>30566</v>
          </cell>
          <cell r="N79">
            <v>32674</v>
          </cell>
          <cell r="O79">
            <v>28950</v>
          </cell>
          <cell r="P79">
            <v>31310</v>
          </cell>
          <cell r="Q79">
            <v>30300</v>
          </cell>
          <cell r="R79">
            <v>31310</v>
          </cell>
          <cell r="S79">
            <v>31310</v>
          </cell>
          <cell r="T79">
            <v>30300</v>
          </cell>
          <cell r="U79">
            <v>31310</v>
          </cell>
          <cell r="V79">
            <v>26610</v>
          </cell>
          <cell r="W79">
            <v>27497</v>
          </cell>
          <cell r="X79">
            <v>27497</v>
          </cell>
          <cell r="Y79">
            <v>24836</v>
          </cell>
          <cell r="Z79">
            <v>27497</v>
          </cell>
          <cell r="AA79">
            <v>26610</v>
          </cell>
          <cell r="AB79">
            <v>27497</v>
          </cell>
          <cell r="AC79">
            <v>26610</v>
          </cell>
          <cell r="AD79">
            <v>27497</v>
          </cell>
          <cell r="AE79">
            <v>27497</v>
          </cell>
          <cell r="AF79">
            <v>26610</v>
          </cell>
          <cell r="AG79">
            <v>27497</v>
          </cell>
          <cell r="AH79">
            <v>26610</v>
          </cell>
          <cell r="AI79">
            <v>27497</v>
          </cell>
          <cell r="AJ79">
            <v>24738</v>
          </cell>
          <cell r="AK79">
            <v>22344</v>
          </cell>
          <cell r="AL79">
            <v>24738</v>
          </cell>
          <cell r="AM79">
            <v>23940</v>
          </cell>
          <cell r="AN79">
            <v>24428</v>
          </cell>
          <cell r="AO79">
            <v>18240</v>
          </cell>
          <cell r="AP79">
            <v>18848</v>
          </cell>
          <cell r="AQ79">
            <v>18848</v>
          </cell>
          <cell r="AR79">
            <v>18240</v>
          </cell>
          <cell r="AS79">
            <v>23746</v>
          </cell>
          <cell r="AT79">
            <v>23040</v>
          </cell>
          <cell r="AU79">
            <v>23808</v>
          </cell>
          <cell r="AV79">
            <v>23808</v>
          </cell>
          <cell r="AW79">
            <v>21504</v>
          </cell>
          <cell r="AX79">
            <v>22971</v>
          </cell>
          <cell r="AY79">
            <v>22230</v>
          </cell>
          <cell r="AZ79">
            <v>22971</v>
          </cell>
          <cell r="BA79">
            <v>22230</v>
          </cell>
          <cell r="BB79">
            <v>23436</v>
          </cell>
          <cell r="BC79">
            <v>23436</v>
          </cell>
          <cell r="BD79">
            <v>24000</v>
          </cell>
          <cell r="BE79">
            <v>24707</v>
          </cell>
          <cell r="BF79">
            <v>23910</v>
          </cell>
          <cell r="BG79">
            <v>24800</v>
          </cell>
          <cell r="BH79">
            <v>24800</v>
          </cell>
          <cell r="BI79">
            <v>23113</v>
          </cell>
          <cell r="BJ79">
            <v>24707</v>
          </cell>
          <cell r="BK79">
            <v>23910</v>
          </cell>
          <cell r="BL79">
            <v>24707</v>
          </cell>
          <cell r="BM79">
            <v>23910</v>
          </cell>
          <cell r="BN79">
            <v>25947</v>
          </cell>
          <cell r="BO79">
            <v>25947</v>
          </cell>
          <cell r="BP79">
            <v>25110</v>
          </cell>
          <cell r="BQ79">
            <v>25947</v>
          </cell>
          <cell r="BR79">
            <v>25170</v>
          </cell>
          <cell r="BS79">
            <v>26009</v>
          </cell>
          <cell r="BT79">
            <v>26009</v>
          </cell>
          <cell r="BU79">
            <v>23492</v>
          </cell>
          <cell r="BV79">
            <v>26009</v>
          </cell>
          <cell r="BW79">
            <v>25170</v>
          </cell>
          <cell r="BX79">
            <v>26009</v>
          </cell>
          <cell r="BY79">
            <v>25170</v>
          </cell>
          <cell r="BZ79">
            <v>26009</v>
          </cell>
          <cell r="CA79">
            <v>26009</v>
          </cell>
          <cell r="CB79">
            <v>25170</v>
          </cell>
          <cell r="CC79">
            <v>26009</v>
          </cell>
          <cell r="CD79">
            <v>25170</v>
          </cell>
          <cell r="CE79">
            <v>26009</v>
          </cell>
          <cell r="CF79">
            <v>26009</v>
          </cell>
          <cell r="CG79">
            <v>23492</v>
          </cell>
          <cell r="CH79">
            <v>25978</v>
          </cell>
          <cell r="CI79">
            <v>25290</v>
          </cell>
          <cell r="CJ79">
            <v>26133</v>
          </cell>
          <cell r="CK79">
            <v>25290</v>
          </cell>
          <cell r="CL79">
            <v>26288</v>
          </cell>
          <cell r="CM79">
            <v>26288</v>
          </cell>
          <cell r="CN79">
            <v>25440</v>
          </cell>
          <cell r="CO79">
            <v>26257</v>
          </cell>
          <cell r="CP79">
            <v>24990</v>
          </cell>
          <cell r="CQ79">
            <v>25420</v>
          </cell>
          <cell r="CR79">
            <v>26288</v>
          </cell>
          <cell r="CS79">
            <v>23744</v>
          </cell>
        </row>
        <row r="80">
          <cell r="B80" t="str">
            <v>Guest-houses</v>
          </cell>
          <cell r="K80">
            <v>212795</v>
          </cell>
          <cell r="L80">
            <v>18073</v>
          </cell>
          <cell r="M80">
            <v>18154</v>
          </cell>
          <cell r="N80">
            <v>19375</v>
          </cell>
          <cell r="O80">
            <v>17880</v>
          </cell>
          <cell r="P80">
            <v>18476</v>
          </cell>
          <cell r="Q80">
            <v>17820</v>
          </cell>
          <cell r="R80">
            <v>18414</v>
          </cell>
          <cell r="S80">
            <v>18445</v>
          </cell>
          <cell r="T80">
            <v>18090</v>
          </cell>
          <cell r="U80">
            <v>18693</v>
          </cell>
          <cell r="V80">
            <v>18090</v>
          </cell>
          <cell r="W80">
            <v>18290</v>
          </cell>
          <cell r="X80">
            <v>18290</v>
          </cell>
          <cell r="Y80">
            <v>16520</v>
          </cell>
          <cell r="Z80">
            <v>18290</v>
          </cell>
          <cell r="AA80">
            <v>17850</v>
          </cell>
          <cell r="AB80">
            <v>17918</v>
          </cell>
          <cell r="AC80">
            <v>17730</v>
          </cell>
          <cell r="AD80">
            <v>18011</v>
          </cell>
          <cell r="AE80">
            <v>18042</v>
          </cell>
          <cell r="AF80">
            <v>17460</v>
          </cell>
          <cell r="AG80">
            <v>18042</v>
          </cell>
          <cell r="AH80">
            <v>17700</v>
          </cell>
          <cell r="AI80">
            <v>18290</v>
          </cell>
          <cell r="AJ80">
            <v>18197</v>
          </cell>
          <cell r="AK80">
            <v>16520</v>
          </cell>
          <cell r="AL80">
            <v>18290</v>
          </cell>
          <cell r="AM80">
            <v>17700</v>
          </cell>
          <cell r="AN80">
            <v>18290</v>
          </cell>
          <cell r="AO80">
            <v>17670</v>
          </cell>
          <cell r="AP80">
            <v>18290</v>
          </cell>
          <cell r="AQ80">
            <v>18321</v>
          </cell>
          <cell r="AR80">
            <v>17790</v>
          </cell>
          <cell r="AS80">
            <v>18414</v>
          </cell>
          <cell r="AT80">
            <v>17820</v>
          </cell>
          <cell r="AU80">
            <v>18414</v>
          </cell>
          <cell r="AV80">
            <v>18476</v>
          </cell>
          <cell r="AW80">
            <v>16660</v>
          </cell>
          <cell r="AX80">
            <v>18755</v>
          </cell>
          <cell r="AY80">
            <v>17880</v>
          </cell>
          <cell r="AZ80">
            <v>18414</v>
          </cell>
          <cell r="BA80">
            <v>17820</v>
          </cell>
          <cell r="BB80">
            <v>18259</v>
          </cell>
          <cell r="BC80">
            <v>18600</v>
          </cell>
          <cell r="BD80">
            <v>18000</v>
          </cell>
          <cell r="BE80">
            <v>18414</v>
          </cell>
          <cell r="BF80">
            <v>17820</v>
          </cell>
          <cell r="BG80">
            <v>18166</v>
          </cell>
          <cell r="BH80">
            <v>18352</v>
          </cell>
          <cell r="BI80">
            <v>17197</v>
          </cell>
          <cell r="BJ80">
            <v>18383</v>
          </cell>
          <cell r="BK80">
            <v>17760</v>
          </cell>
          <cell r="BL80">
            <v>18321</v>
          </cell>
          <cell r="BM80">
            <v>17700</v>
          </cell>
          <cell r="BN80">
            <v>18259</v>
          </cell>
          <cell r="BO80">
            <v>18228</v>
          </cell>
          <cell r="BP80">
            <v>17190</v>
          </cell>
          <cell r="BQ80">
            <v>16926</v>
          </cell>
          <cell r="BR80">
            <v>16380</v>
          </cell>
          <cell r="BS80">
            <v>17360</v>
          </cell>
          <cell r="BT80">
            <v>17360</v>
          </cell>
          <cell r="BU80">
            <v>16072</v>
          </cell>
          <cell r="BV80">
            <v>17732</v>
          </cell>
          <cell r="BW80">
            <v>17070</v>
          </cell>
          <cell r="BX80">
            <v>17608</v>
          </cell>
          <cell r="BY80">
            <v>16440</v>
          </cell>
          <cell r="BZ80">
            <v>17050</v>
          </cell>
          <cell r="CA80">
            <v>17050</v>
          </cell>
          <cell r="CB80">
            <v>16530</v>
          </cell>
          <cell r="CC80">
            <v>17081</v>
          </cell>
          <cell r="CD80">
            <v>16530</v>
          </cell>
          <cell r="CE80">
            <v>16957</v>
          </cell>
          <cell r="CF80">
            <v>17081</v>
          </cell>
          <cell r="CG80">
            <v>15428</v>
          </cell>
          <cell r="CH80">
            <v>17081</v>
          </cell>
          <cell r="CI80">
            <v>16530</v>
          </cell>
          <cell r="CJ80">
            <v>17081</v>
          </cell>
          <cell r="CK80">
            <v>16530</v>
          </cell>
          <cell r="CL80">
            <v>17081</v>
          </cell>
          <cell r="CM80">
            <v>17081</v>
          </cell>
          <cell r="CN80">
            <v>16560</v>
          </cell>
          <cell r="CO80">
            <v>17329</v>
          </cell>
          <cell r="CP80">
            <v>16770</v>
          </cell>
          <cell r="CQ80">
            <v>17329</v>
          </cell>
          <cell r="CR80">
            <v>17298</v>
          </cell>
          <cell r="CS80">
            <v>15960</v>
          </cell>
        </row>
        <row r="81">
          <cell r="B81" t="str">
            <v>Total % Change</v>
          </cell>
          <cell r="X81">
            <v>-2.5700934579439227E-2</v>
          </cell>
          <cell r="Y81">
            <v>-6.1279953243717156E-2</v>
          </cell>
          <cell r="Z81">
            <v>-2.7754237288135641E-2</v>
          </cell>
          <cell r="AA81">
            <v>-1.2450359557797608E-2</v>
          </cell>
          <cell r="AB81">
            <v>-5.0333734544261155E-3</v>
          </cell>
          <cell r="AC81">
            <v>-7.5854700854700807E-2</v>
          </cell>
          <cell r="AD81">
            <v>-3.1051896422047975E-2</v>
          </cell>
          <cell r="AE81">
            <v>-2.9693383539537432E-2</v>
          </cell>
          <cell r="AF81">
            <v>-3.0224803700118263E-2</v>
          </cell>
          <cell r="AG81">
            <v>-3.1602708803611712E-2</v>
          </cell>
          <cell r="AH81">
            <v>-1.9560965007607067E-2</v>
          </cell>
          <cell r="AI81">
            <v>-1.8584936419954401E-2</v>
          </cell>
          <cell r="AJ81">
            <v>-2.5942882057990002E-2</v>
          </cell>
          <cell r="AK81">
            <v>-2.0156896927435164E-2</v>
          </cell>
          <cell r="AL81">
            <v>-2.2118108520374768E-2</v>
          </cell>
          <cell r="AM81">
            <v>-2.3475709162047553E-2</v>
          </cell>
          <cell r="AN81">
            <v>-1.5176509402837324E-2</v>
          </cell>
          <cell r="AO81">
            <v>1.4913294797687771E-2</v>
          </cell>
          <cell r="AP81">
            <v>-2.528276779773786E-2</v>
          </cell>
          <cell r="AQ81">
            <v>-2.4503825257789158E-2</v>
          </cell>
          <cell r="AR81">
            <v>-2.3070097604259043E-2</v>
          </cell>
          <cell r="AS81">
            <v>-6.9930069930069783E-3</v>
          </cell>
          <cell r="AT81">
            <v>-1.0418975836843258E-2</v>
          </cell>
          <cell r="AU81">
            <v>-8.4163898117386449E-3</v>
          </cell>
          <cell r="AV81">
            <v>2.9095792300806167E-3</v>
          </cell>
          <cell r="AW81">
            <v>-5.5598799065940119E-3</v>
          </cell>
          <cell r="AX81">
            <v>-5.2367688022284531E-3</v>
          </cell>
          <cell r="AY81">
            <v>-6.2326099053978679E-3</v>
          </cell>
          <cell r="AZ81">
            <v>-4.2434394193188174E-3</v>
          </cell>
          <cell r="BA81">
            <v>1.6288871169837016E-2</v>
          </cell>
          <cell r="BB81">
            <v>1.7064846416381396E-3</v>
          </cell>
          <cell r="BC81">
            <v>7.3880427369856783E-3</v>
          </cell>
          <cell r="BD81">
            <v>1.1239782016348787E-2</v>
          </cell>
          <cell r="BE81">
            <v>-5.2537446903644369E-3</v>
          </cell>
          <cell r="BF81">
            <v>2.8001792114695334E-2</v>
          </cell>
          <cell r="BG81">
            <v>2.5798525798525818E-2</v>
          </cell>
          <cell r="BH81">
            <v>2.5217585360410633E-2</v>
          </cell>
          <cell r="BI81">
            <v>6.6404690020926083E-2</v>
          </cell>
          <cell r="BJ81">
            <v>4.1778673835125346E-2</v>
          </cell>
          <cell r="BK81">
            <v>4.3565908836375788E-2</v>
          </cell>
          <cell r="BL81">
            <v>4.4409554782998795E-2</v>
          </cell>
          <cell r="BM81">
            <v>4.2367182246133117E-2</v>
          </cell>
          <cell r="BN81">
            <v>6.4735945485519641E-2</v>
          </cell>
          <cell r="BO81">
            <v>4.7162360374590984E-2</v>
          </cell>
          <cell r="BP81">
            <v>2.2229706972044516E-2</v>
          </cell>
          <cell r="BQ81">
            <v>2.0114619620182017E-2</v>
          </cell>
          <cell r="BR81">
            <v>-2.5059925909783898E-3</v>
          </cell>
          <cell r="BS81">
            <v>-1.8508437670113898E-3</v>
          </cell>
          <cell r="BT81">
            <v>7.7601218981280029E-2</v>
          </cell>
          <cell r="BU81">
            <v>6.754246682045606E-2</v>
          </cell>
          <cell r="BV81">
            <v>0.13804967207827112</v>
          </cell>
          <cell r="BW81">
            <v>0.14144666237389991</v>
          </cell>
          <cell r="BX81">
            <v>0.12251691184365932</v>
          </cell>
          <cell r="BY81">
            <v>0.13666666666666671</v>
          </cell>
          <cell r="BZ81">
            <v>0.12661333333333324</v>
          </cell>
          <cell r="CA81">
            <v>0.13662320870595845</v>
          </cell>
          <cell r="CB81">
            <v>0.17287204832509606</v>
          </cell>
          <cell r="CC81">
            <v>0.17151354923992068</v>
          </cell>
          <cell r="CD81">
            <v>0.18328782086291651</v>
          </cell>
          <cell r="CE81">
            <v>0.18150087260034908</v>
          </cell>
          <cell r="CF81">
            <v>0.11251388748611246</v>
          </cell>
          <cell r="CG81">
            <v>8.447107356841177E-2</v>
          </cell>
          <cell r="CH81">
            <v>6.7264997638167179E-2</v>
          </cell>
          <cell r="CI81">
            <v>6.4591951861602048E-2</v>
          </cell>
          <cell r="CJ81">
            <v>8.3317390472546382E-2</v>
          </cell>
          <cell r="CK81">
            <v>0.11134235171696161</v>
          </cell>
          <cell r="CL81">
            <v>0.11645521681499726</v>
          </cell>
          <cell r="CM81">
            <v>0.11773627832021982</v>
          </cell>
          <cell r="CN81">
            <v>0.16218747073696038</v>
          </cell>
          <cell r="CO81">
            <v>0.16774800188058303</v>
          </cell>
          <cell r="CP81">
            <v>0.17169759069509838</v>
          </cell>
          <cell r="CQ81">
            <v>0.19811669128508114</v>
          </cell>
          <cell r="CR81">
            <v>0.17312755333635943</v>
          </cell>
          <cell r="CS81">
            <v>0.18313558554478759</v>
          </cell>
        </row>
        <row r="83">
          <cell r="B83" t="str">
            <v>Average Length of Stay</v>
          </cell>
        </row>
        <row r="84">
          <cell r="B84" t="str">
            <v>Grand Total</v>
          </cell>
          <cell r="K84">
            <v>1.43</v>
          </cell>
          <cell r="L84">
            <v>1.27</v>
          </cell>
          <cell r="M84">
            <v>1.26</v>
          </cell>
          <cell r="N84">
            <v>1.27</v>
          </cell>
          <cell r="O84">
            <v>1.28</v>
          </cell>
          <cell r="P84">
            <v>1.25</v>
          </cell>
          <cell r="Q84">
            <v>1.28</v>
          </cell>
          <cell r="R84">
            <v>1.24</v>
          </cell>
          <cell r="S84">
            <v>1.24</v>
          </cell>
          <cell r="T84">
            <v>1.3</v>
          </cell>
          <cell r="U84">
            <v>1.31</v>
          </cell>
          <cell r="V84">
            <v>1.34</v>
          </cell>
          <cell r="W84">
            <v>1.35</v>
          </cell>
          <cell r="X84">
            <v>1.26</v>
          </cell>
          <cell r="Y84">
            <v>1.33</v>
          </cell>
          <cell r="Z84">
            <v>1.3</v>
          </cell>
          <cell r="AA84">
            <v>1.26</v>
          </cell>
          <cell r="AB84">
            <v>1.27</v>
          </cell>
          <cell r="AC84">
            <v>1.34</v>
          </cell>
          <cell r="AD84">
            <v>1.28</v>
          </cell>
          <cell r="AE84">
            <v>1.27</v>
          </cell>
          <cell r="AF84">
            <v>1.32</v>
          </cell>
          <cell r="AG84">
            <v>1.33</v>
          </cell>
          <cell r="AH84">
            <v>1.3</v>
          </cell>
          <cell r="AI84">
            <v>1.25</v>
          </cell>
          <cell r="AJ84">
            <v>1.26</v>
          </cell>
          <cell r="AK84">
            <v>1.25</v>
          </cell>
          <cell r="AL84">
            <v>1.29</v>
          </cell>
          <cell r="AM84">
            <v>1.26</v>
          </cell>
          <cell r="AN84">
            <v>1.24</v>
          </cell>
          <cell r="AO84">
            <v>1.21</v>
          </cell>
          <cell r="AP84">
            <v>1.23</v>
          </cell>
          <cell r="AQ84">
            <v>1.19</v>
          </cell>
          <cell r="AR84">
            <v>1.2</v>
          </cell>
          <cell r="AS84">
            <v>1.23</v>
          </cell>
          <cell r="AT84">
            <v>1.21</v>
          </cell>
          <cell r="AU84">
            <v>1.18</v>
          </cell>
          <cell r="AV84">
            <v>1.19</v>
          </cell>
          <cell r="AW84">
            <v>1.18</v>
          </cell>
          <cell r="AX84">
            <v>1.19</v>
          </cell>
          <cell r="AY84">
            <v>1.27</v>
          </cell>
          <cell r="AZ84">
            <v>1.33</v>
          </cell>
          <cell r="BA84">
            <v>1.24</v>
          </cell>
          <cell r="BB84">
            <v>1.2</v>
          </cell>
          <cell r="BC84">
            <v>1.19</v>
          </cell>
          <cell r="BD84">
            <v>1.2</v>
          </cell>
          <cell r="BE84">
            <v>1.25</v>
          </cell>
          <cell r="BF84">
            <v>1.22</v>
          </cell>
          <cell r="BG84">
            <v>1.2</v>
          </cell>
          <cell r="BH84">
            <v>1.21</v>
          </cell>
          <cell r="BI84">
            <v>1.17</v>
          </cell>
          <cell r="BJ84">
            <v>1.19</v>
          </cell>
          <cell r="BK84">
            <v>1.18</v>
          </cell>
          <cell r="BL84">
            <v>1.19</v>
          </cell>
          <cell r="BM84">
            <v>1.2</v>
          </cell>
          <cell r="BN84">
            <v>1.1599999999999999</v>
          </cell>
          <cell r="BO84">
            <v>1.1499999999999999</v>
          </cell>
          <cell r="BP84">
            <v>1.18</v>
          </cell>
          <cell r="BQ84">
            <v>1.17</v>
          </cell>
          <cell r="BR84">
            <v>1.1599999999999999</v>
          </cell>
          <cell r="BS84">
            <v>1.1499999999999999</v>
          </cell>
          <cell r="BT84">
            <v>1.2</v>
          </cell>
          <cell r="BU84">
            <v>1.1599999999999999</v>
          </cell>
          <cell r="BV84">
            <v>1.18</v>
          </cell>
          <cell r="BW84">
            <v>1.1599999999999999</v>
          </cell>
          <cell r="BX84">
            <v>1.18</v>
          </cell>
          <cell r="BY84">
            <v>1.1399999999999999</v>
          </cell>
          <cell r="BZ84">
            <v>1.1599999999999999</v>
          </cell>
          <cell r="CA84">
            <v>1.1599999999999999</v>
          </cell>
          <cell r="CB84">
            <v>1.17</v>
          </cell>
          <cell r="CC84">
            <v>1.25</v>
          </cell>
          <cell r="CD84">
            <v>1.21</v>
          </cell>
          <cell r="CE84">
            <v>1.1399999999999999</v>
          </cell>
          <cell r="CF84">
            <v>1.1599999999999999</v>
          </cell>
          <cell r="CG84">
            <v>1.1599999999999999</v>
          </cell>
          <cell r="CH84">
            <v>1.1499999999999999</v>
          </cell>
          <cell r="CI84">
            <v>1.1599999999999999</v>
          </cell>
          <cell r="CJ84">
            <v>1.1499999999999999</v>
          </cell>
          <cell r="CK84">
            <v>1.1599999999999999</v>
          </cell>
          <cell r="CL84">
            <v>1.1599999999999999</v>
          </cell>
          <cell r="CM84">
            <v>1.1599999999999999</v>
          </cell>
          <cell r="CN84">
            <v>1.18</v>
          </cell>
          <cell r="CO84">
            <v>1.19</v>
          </cell>
          <cell r="CP84">
            <v>1.2</v>
          </cell>
          <cell r="CQ84">
            <v>1.21</v>
          </cell>
          <cell r="CR84">
            <v>1.2</v>
          </cell>
          <cell r="CS84">
            <v>1.2</v>
          </cell>
        </row>
        <row r="85">
          <cell r="B85" t="str">
            <v>Hotel Total</v>
          </cell>
          <cell r="K85">
            <v>1.43</v>
          </cell>
          <cell r="L85">
            <v>1.26</v>
          </cell>
          <cell r="M85">
            <v>1.26</v>
          </cell>
          <cell r="N85">
            <v>1.27</v>
          </cell>
          <cell r="O85">
            <v>1.28</v>
          </cell>
          <cell r="P85">
            <v>1.25</v>
          </cell>
          <cell r="Q85">
            <v>1.28</v>
          </cell>
          <cell r="R85">
            <v>1.24</v>
          </cell>
          <cell r="S85">
            <v>1.24</v>
          </cell>
          <cell r="T85">
            <v>1.31</v>
          </cell>
          <cell r="U85">
            <v>1.31</v>
          </cell>
          <cell r="V85">
            <v>1.35</v>
          </cell>
          <cell r="W85">
            <v>1.36</v>
          </cell>
          <cell r="X85">
            <v>1.27</v>
          </cell>
          <cell r="Y85">
            <v>1.33</v>
          </cell>
          <cell r="Z85">
            <v>1.3</v>
          </cell>
          <cell r="AA85">
            <v>1.27</v>
          </cell>
          <cell r="AB85">
            <v>1.27</v>
          </cell>
          <cell r="AC85">
            <v>1.35</v>
          </cell>
          <cell r="AD85">
            <v>1.28</v>
          </cell>
          <cell r="AE85">
            <v>1.27</v>
          </cell>
          <cell r="AF85">
            <v>1.33</v>
          </cell>
          <cell r="AG85">
            <v>1.34</v>
          </cell>
          <cell r="AH85">
            <v>1.3</v>
          </cell>
          <cell r="AI85">
            <v>1.25</v>
          </cell>
          <cell r="AJ85">
            <v>1.26</v>
          </cell>
          <cell r="AK85">
            <v>1.25</v>
          </cell>
          <cell r="AL85">
            <v>1.29</v>
          </cell>
          <cell r="AM85">
            <v>1.26</v>
          </cell>
          <cell r="AN85">
            <v>1.24</v>
          </cell>
          <cell r="AO85">
            <v>1.21</v>
          </cell>
          <cell r="AP85">
            <v>1.23</v>
          </cell>
          <cell r="AQ85">
            <v>1.19</v>
          </cell>
          <cell r="AR85">
            <v>1.21</v>
          </cell>
          <cell r="AS85">
            <v>1.23</v>
          </cell>
          <cell r="AT85">
            <v>1.21</v>
          </cell>
          <cell r="AU85">
            <v>1.18</v>
          </cell>
          <cell r="AV85">
            <v>1.19</v>
          </cell>
          <cell r="AW85">
            <v>1.18</v>
          </cell>
          <cell r="AX85">
            <v>1.19</v>
          </cell>
          <cell r="AY85">
            <v>1.27</v>
          </cell>
          <cell r="AZ85">
            <v>1.34</v>
          </cell>
          <cell r="BA85">
            <v>1.24</v>
          </cell>
          <cell r="BB85">
            <v>1.2</v>
          </cell>
          <cell r="BC85">
            <v>1.19</v>
          </cell>
          <cell r="BD85">
            <v>1.2</v>
          </cell>
          <cell r="BE85">
            <v>1.26</v>
          </cell>
          <cell r="BF85">
            <v>1.22</v>
          </cell>
          <cell r="BG85">
            <v>1.21</v>
          </cell>
          <cell r="BH85">
            <v>1.21</v>
          </cell>
          <cell r="BI85">
            <v>1.17</v>
          </cell>
          <cell r="BJ85">
            <v>1.19</v>
          </cell>
          <cell r="BK85">
            <v>1.18</v>
          </cell>
          <cell r="BL85">
            <v>1.19</v>
          </cell>
          <cell r="BM85">
            <v>1.2</v>
          </cell>
          <cell r="BN85">
            <v>1.1599999999999999</v>
          </cell>
          <cell r="BO85">
            <v>1.1399999999999999</v>
          </cell>
          <cell r="BP85">
            <v>1.18</v>
          </cell>
          <cell r="BQ85">
            <v>1.17</v>
          </cell>
          <cell r="BR85">
            <v>1.1599999999999999</v>
          </cell>
          <cell r="BS85">
            <v>1.1499999999999999</v>
          </cell>
          <cell r="BT85">
            <v>1.19</v>
          </cell>
          <cell r="BU85">
            <v>1.1599999999999999</v>
          </cell>
          <cell r="BV85">
            <v>1.17</v>
          </cell>
          <cell r="BW85">
            <v>1.1499999999999999</v>
          </cell>
          <cell r="BX85">
            <v>1.18</v>
          </cell>
          <cell r="BY85">
            <v>1.1399999999999999</v>
          </cell>
          <cell r="BZ85">
            <v>1.1599999999999999</v>
          </cell>
          <cell r="CA85">
            <v>1.1599999999999999</v>
          </cell>
          <cell r="CB85">
            <v>1.17</v>
          </cell>
          <cell r="CC85">
            <v>1.24</v>
          </cell>
          <cell r="CD85">
            <v>1.21</v>
          </cell>
          <cell r="CE85">
            <v>1.1399999999999999</v>
          </cell>
          <cell r="CF85">
            <v>1.1599999999999999</v>
          </cell>
          <cell r="CG85">
            <v>1.1499999999999999</v>
          </cell>
          <cell r="CH85">
            <v>1.1499999999999999</v>
          </cell>
          <cell r="CI85">
            <v>1.1599999999999999</v>
          </cell>
          <cell r="CJ85">
            <v>1.1499999999999999</v>
          </cell>
          <cell r="CK85">
            <v>1.1599999999999999</v>
          </cell>
          <cell r="CL85">
            <v>1.1599999999999999</v>
          </cell>
          <cell r="CM85">
            <v>1.1599999999999999</v>
          </cell>
          <cell r="CN85">
            <v>1.18</v>
          </cell>
          <cell r="CO85">
            <v>1.18</v>
          </cell>
          <cell r="CP85">
            <v>1.2</v>
          </cell>
          <cell r="CQ85">
            <v>1.21</v>
          </cell>
          <cell r="CR85">
            <v>1.2</v>
          </cell>
          <cell r="CS85">
            <v>1.2</v>
          </cell>
        </row>
        <row r="86">
          <cell r="B86" t="str">
            <v>5-star hotels</v>
          </cell>
          <cell r="K86">
            <v>1.74</v>
          </cell>
          <cell r="L86">
            <v>1.47</v>
          </cell>
          <cell r="M86">
            <v>1.47</v>
          </cell>
          <cell r="N86">
            <v>1.51</v>
          </cell>
          <cell r="O86">
            <v>1.49</v>
          </cell>
          <cell r="P86">
            <v>1.43</v>
          </cell>
          <cell r="Q86">
            <v>1.56</v>
          </cell>
          <cell r="R86">
            <v>1.43</v>
          </cell>
          <cell r="S86">
            <v>1.44</v>
          </cell>
          <cell r="T86">
            <v>1.49</v>
          </cell>
          <cell r="U86">
            <v>1.49</v>
          </cell>
          <cell r="V86">
            <v>1.62</v>
          </cell>
          <cell r="W86">
            <v>1.51</v>
          </cell>
          <cell r="X86">
            <v>1.42</v>
          </cell>
          <cell r="Y86">
            <v>1.47</v>
          </cell>
          <cell r="Z86">
            <v>1.47</v>
          </cell>
          <cell r="AA86">
            <v>1.4</v>
          </cell>
          <cell r="AB86">
            <v>1.4</v>
          </cell>
          <cell r="AC86">
            <v>1.43</v>
          </cell>
          <cell r="AD86">
            <v>1.41</v>
          </cell>
          <cell r="AE86">
            <v>1.48</v>
          </cell>
          <cell r="AF86">
            <v>1.43</v>
          </cell>
          <cell r="AG86">
            <v>1.44</v>
          </cell>
          <cell r="AH86">
            <v>1.44</v>
          </cell>
          <cell r="AI86">
            <v>1.42</v>
          </cell>
          <cell r="AJ86">
            <v>1.45</v>
          </cell>
          <cell r="AK86">
            <v>1.38</v>
          </cell>
          <cell r="AL86">
            <v>1.48</v>
          </cell>
          <cell r="AM86">
            <v>1.38</v>
          </cell>
          <cell r="AN86">
            <v>1.37</v>
          </cell>
          <cell r="AO86">
            <v>1.37</v>
          </cell>
          <cell r="AP86">
            <v>1.44</v>
          </cell>
          <cell r="AQ86">
            <v>1.39</v>
          </cell>
          <cell r="AR86">
            <v>1.37</v>
          </cell>
          <cell r="AS86">
            <v>1.47</v>
          </cell>
          <cell r="AT86">
            <v>1.44</v>
          </cell>
          <cell r="AU86">
            <v>1.4</v>
          </cell>
          <cell r="AV86">
            <v>1.44</v>
          </cell>
          <cell r="AW86">
            <v>1.38</v>
          </cell>
          <cell r="AX86">
            <v>1.46</v>
          </cell>
          <cell r="AY86">
            <v>1.63</v>
          </cell>
          <cell r="AZ86">
            <v>1.79</v>
          </cell>
          <cell r="BA86">
            <v>1.58</v>
          </cell>
          <cell r="BB86">
            <v>1.46</v>
          </cell>
          <cell r="BC86">
            <v>1.4</v>
          </cell>
          <cell r="BD86">
            <v>1.47</v>
          </cell>
          <cell r="BE86">
            <v>1.66</v>
          </cell>
          <cell r="BF86">
            <v>1.57</v>
          </cell>
          <cell r="BG86">
            <v>1.54</v>
          </cell>
          <cell r="BH86">
            <v>1.53</v>
          </cell>
          <cell r="BI86">
            <v>1.5</v>
          </cell>
          <cell r="BJ86">
            <v>1.55</v>
          </cell>
          <cell r="BK86">
            <v>1.47</v>
          </cell>
          <cell r="BL86">
            <v>1.48</v>
          </cell>
          <cell r="BM86">
            <v>1.5</v>
          </cell>
          <cell r="BN86">
            <v>1.43</v>
          </cell>
          <cell r="BO86">
            <v>1.31</v>
          </cell>
          <cell r="BP86">
            <v>1.43</v>
          </cell>
          <cell r="BQ86">
            <v>1.38</v>
          </cell>
          <cell r="BR86">
            <v>1.36</v>
          </cell>
          <cell r="BS86">
            <v>1.33</v>
          </cell>
          <cell r="BT86">
            <v>1.4</v>
          </cell>
          <cell r="BU86">
            <v>1.36</v>
          </cell>
          <cell r="BV86">
            <v>1.43</v>
          </cell>
          <cell r="BW86">
            <v>1.39</v>
          </cell>
          <cell r="BX86">
            <v>1.36</v>
          </cell>
          <cell r="BY86">
            <v>1.32</v>
          </cell>
          <cell r="BZ86">
            <v>1.43</v>
          </cell>
          <cell r="CA86">
            <v>1.35</v>
          </cell>
          <cell r="CB86">
            <v>1.44</v>
          </cell>
          <cell r="CC86">
            <v>1.68</v>
          </cell>
          <cell r="CD86">
            <v>1.56</v>
          </cell>
          <cell r="CE86">
            <v>1.37</v>
          </cell>
          <cell r="CF86">
            <v>1.42</v>
          </cell>
          <cell r="CG86">
            <v>1.33</v>
          </cell>
          <cell r="CH86">
            <v>1.43</v>
          </cell>
          <cell r="CI86">
            <v>1.47</v>
          </cell>
          <cell r="CJ86">
            <v>1.41</v>
          </cell>
          <cell r="CK86">
            <v>1.42</v>
          </cell>
          <cell r="CL86">
            <v>1.41</v>
          </cell>
          <cell r="CM86">
            <v>1.4</v>
          </cell>
          <cell r="CN86">
            <v>1.35</v>
          </cell>
          <cell r="CO86">
            <v>1.33</v>
          </cell>
          <cell r="CP86">
            <v>1.26</v>
          </cell>
          <cell r="CQ86">
            <v>1.42</v>
          </cell>
          <cell r="CR86">
            <v>1.49</v>
          </cell>
          <cell r="CS86">
            <v>1.42</v>
          </cell>
        </row>
        <row r="87">
          <cell r="B87" t="str">
            <v>4-star hotels</v>
          </cell>
          <cell r="K87">
            <v>1.22</v>
          </cell>
          <cell r="L87">
            <v>1.0900000000000001</v>
          </cell>
          <cell r="M87">
            <v>1.1100000000000001</v>
          </cell>
          <cell r="N87">
            <v>1.1200000000000001</v>
          </cell>
          <cell r="O87">
            <v>1.08</v>
          </cell>
          <cell r="P87">
            <v>1.1000000000000001</v>
          </cell>
          <cell r="Q87">
            <v>1.0900000000000001</v>
          </cell>
          <cell r="R87">
            <v>1.07</v>
          </cell>
          <cell r="S87">
            <v>1.1000000000000001</v>
          </cell>
          <cell r="T87">
            <v>1.1399999999999999</v>
          </cell>
          <cell r="U87">
            <v>1.1299999999999999</v>
          </cell>
          <cell r="V87">
            <v>1.1399999999999999</v>
          </cell>
          <cell r="W87">
            <v>1.22</v>
          </cell>
          <cell r="X87">
            <v>1.1200000000000001</v>
          </cell>
          <cell r="Y87">
            <v>1.18</v>
          </cell>
          <cell r="Z87">
            <v>1.1100000000000001</v>
          </cell>
          <cell r="AA87">
            <v>1.1299999999999999</v>
          </cell>
          <cell r="AB87">
            <v>1.1200000000000001</v>
          </cell>
          <cell r="AC87">
            <v>1.24</v>
          </cell>
          <cell r="AD87">
            <v>1.1299999999999999</v>
          </cell>
          <cell r="AE87">
            <v>1.1100000000000001</v>
          </cell>
          <cell r="AF87">
            <v>1.1599999999999999</v>
          </cell>
          <cell r="AG87">
            <v>1.25</v>
          </cell>
          <cell r="AH87">
            <v>1.1599999999999999</v>
          </cell>
          <cell r="AI87">
            <v>1.06</v>
          </cell>
          <cell r="AJ87">
            <v>1.06</v>
          </cell>
          <cell r="AK87">
            <v>1.08</v>
          </cell>
          <cell r="AL87">
            <v>1.0900000000000001</v>
          </cell>
          <cell r="AM87">
            <v>1.1299999999999999</v>
          </cell>
          <cell r="AN87">
            <v>1.1299999999999999</v>
          </cell>
          <cell r="AO87">
            <v>1.1000000000000001</v>
          </cell>
          <cell r="AP87">
            <v>1.1200000000000001</v>
          </cell>
          <cell r="AQ87">
            <v>1.1100000000000001</v>
          </cell>
          <cell r="AR87">
            <v>1.1299999999999999</v>
          </cell>
          <cell r="AS87">
            <v>1.1299999999999999</v>
          </cell>
          <cell r="AT87">
            <v>1.1399999999999999</v>
          </cell>
          <cell r="AU87">
            <v>1.1000000000000001</v>
          </cell>
          <cell r="AV87">
            <v>1.0900000000000001</v>
          </cell>
          <cell r="AW87">
            <v>1.1000000000000001</v>
          </cell>
          <cell r="AX87">
            <v>1.1100000000000001</v>
          </cell>
          <cell r="AY87">
            <v>1.1299999999999999</v>
          </cell>
          <cell r="AZ87">
            <v>1.07</v>
          </cell>
          <cell r="BA87">
            <v>1.07</v>
          </cell>
          <cell r="BB87">
            <v>1.06</v>
          </cell>
          <cell r="BC87">
            <v>1.08</v>
          </cell>
          <cell r="BD87">
            <v>1.0900000000000001</v>
          </cell>
          <cell r="BE87">
            <v>1.1100000000000001</v>
          </cell>
          <cell r="BF87">
            <v>1.1000000000000001</v>
          </cell>
          <cell r="BG87">
            <v>1.08</v>
          </cell>
          <cell r="BH87">
            <v>1.06</v>
          </cell>
          <cell r="BI87">
            <v>1.02</v>
          </cell>
          <cell r="BJ87">
            <v>1.05</v>
          </cell>
          <cell r="BK87">
            <v>1.05</v>
          </cell>
          <cell r="BL87">
            <v>1.05</v>
          </cell>
          <cell r="BM87">
            <v>1.08</v>
          </cell>
          <cell r="BN87">
            <v>1.04</v>
          </cell>
          <cell r="BO87">
            <v>1.07</v>
          </cell>
          <cell r="BP87">
            <v>1.08</v>
          </cell>
          <cell r="BQ87">
            <v>1.0900000000000001</v>
          </cell>
          <cell r="BR87">
            <v>1.0900000000000001</v>
          </cell>
          <cell r="BS87">
            <v>1.07</v>
          </cell>
          <cell r="BT87">
            <v>1.1200000000000001</v>
          </cell>
          <cell r="BU87">
            <v>1.08</v>
          </cell>
          <cell r="BV87">
            <v>1.1000000000000001</v>
          </cell>
          <cell r="BW87">
            <v>1.0900000000000001</v>
          </cell>
          <cell r="BX87">
            <v>1.1200000000000001</v>
          </cell>
          <cell r="BY87">
            <v>1.08</v>
          </cell>
          <cell r="BZ87">
            <v>1.08</v>
          </cell>
          <cell r="CA87">
            <v>1.1000000000000001</v>
          </cell>
          <cell r="CB87">
            <v>1.0900000000000001</v>
          </cell>
          <cell r="CC87">
            <v>1.1399999999999999</v>
          </cell>
          <cell r="CD87">
            <v>1.1000000000000001</v>
          </cell>
          <cell r="CE87">
            <v>1.06</v>
          </cell>
          <cell r="CF87">
            <v>1.1000000000000001</v>
          </cell>
          <cell r="CG87">
            <v>1.1100000000000001</v>
          </cell>
          <cell r="CH87">
            <v>1.08</v>
          </cell>
          <cell r="CI87">
            <v>1.08</v>
          </cell>
          <cell r="CJ87">
            <v>1.08</v>
          </cell>
          <cell r="CK87">
            <v>1.08</v>
          </cell>
          <cell r="CL87">
            <v>1.0900000000000001</v>
          </cell>
          <cell r="CM87">
            <v>1.08</v>
          </cell>
          <cell r="CN87">
            <v>1.0900000000000001</v>
          </cell>
          <cell r="CO87">
            <v>1.1200000000000001</v>
          </cell>
          <cell r="CP87">
            <v>1.1000000000000001</v>
          </cell>
          <cell r="CQ87">
            <v>1.1299999999999999</v>
          </cell>
          <cell r="CR87">
            <v>1.07</v>
          </cell>
          <cell r="CS87">
            <v>1.06</v>
          </cell>
        </row>
        <row r="88">
          <cell r="B88" t="str">
            <v>3-star hotels</v>
          </cell>
          <cell r="K88">
            <v>1.41</v>
          </cell>
          <cell r="L88">
            <v>1.26</v>
          </cell>
          <cell r="M88">
            <v>1.24</v>
          </cell>
          <cell r="N88">
            <v>1.2</v>
          </cell>
          <cell r="O88">
            <v>1.32</v>
          </cell>
          <cell r="P88">
            <v>1.29</v>
          </cell>
          <cell r="Q88">
            <v>1.29</v>
          </cell>
          <cell r="R88">
            <v>1.29</v>
          </cell>
          <cell r="S88">
            <v>1.24</v>
          </cell>
          <cell r="T88">
            <v>1.36</v>
          </cell>
          <cell r="U88">
            <v>1.4</v>
          </cell>
          <cell r="V88">
            <v>1.39</v>
          </cell>
          <cell r="W88">
            <v>1.42</v>
          </cell>
          <cell r="X88">
            <v>1.33</v>
          </cell>
          <cell r="Y88">
            <v>1.43</v>
          </cell>
          <cell r="Z88">
            <v>1.43</v>
          </cell>
          <cell r="AA88">
            <v>1.36</v>
          </cell>
          <cell r="AB88">
            <v>1.36</v>
          </cell>
          <cell r="AC88">
            <v>1.41</v>
          </cell>
          <cell r="AD88">
            <v>1.36</v>
          </cell>
          <cell r="AE88">
            <v>1.31</v>
          </cell>
          <cell r="AF88">
            <v>1.46</v>
          </cell>
          <cell r="AG88">
            <v>1.37</v>
          </cell>
          <cell r="AH88">
            <v>1.35</v>
          </cell>
          <cell r="AI88">
            <v>1.35</v>
          </cell>
          <cell r="AJ88">
            <v>1.4</v>
          </cell>
          <cell r="AK88">
            <v>1.37</v>
          </cell>
          <cell r="AL88">
            <v>1.39</v>
          </cell>
          <cell r="AM88">
            <v>1.34</v>
          </cell>
          <cell r="AN88">
            <v>1.26</v>
          </cell>
          <cell r="AO88">
            <v>1.18</v>
          </cell>
          <cell r="AP88">
            <v>1.17</v>
          </cell>
          <cell r="AQ88">
            <v>1.1100000000000001</v>
          </cell>
          <cell r="AR88">
            <v>1.1100000000000001</v>
          </cell>
          <cell r="AS88">
            <v>1.1200000000000001</v>
          </cell>
          <cell r="AT88">
            <v>1.1000000000000001</v>
          </cell>
          <cell r="AU88">
            <v>1.0900000000000001</v>
          </cell>
          <cell r="AV88">
            <v>1.0900000000000001</v>
          </cell>
          <cell r="AW88">
            <v>1.0900000000000001</v>
          </cell>
          <cell r="AX88">
            <v>1.07</v>
          </cell>
          <cell r="AY88">
            <v>1.1000000000000001</v>
          </cell>
          <cell r="AZ88">
            <v>1.1299999999999999</v>
          </cell>
          <cell r="BA88">
            <v>1.1000000000000001</v>
          </cell>
          <cell r="BB88">
            <v>1.1200000000000001</v>
          </cell>
          <cell r="BC88">
            <v>1.1299999999999999</v>
          </cell>
          <cell r="BD88">
            <v>1.0900000000000001</v>
          </cell>
          <cell r="BE88">
            <v>1.1000000000000001</v>
          </cell>
          <cell r="BF88">
            <v>1.0900000000000001</v>
          </cell>
          <cell r="BG88">
            <v>1.08</v>
          </cell>
          <cell r="BH88">
            <v>1.1200000000000001</v>
          </cell>
          <cell r="BI88">
            <v>1.07</v>
          </cell>
          <cell r="BJ88">
            <v>1.05</v>
          </cell>
          <cell r="BK88">
            <v>1.06</v>
          </cell>
          <cell r="BL88">
            <v>1.08</v>
          </cell>
          <cell r="BM88">
            <v>1.06</v>
          </cell>
          <cell r="BN88">
            <v>1.07</v>
          </cell>
          <cell r="BO88">
            <v>1.05</v>
          </cell>
          <cell r="BP88">
            <v>1.06</v>
          </cell>
          <cell r="BQ88">
            <v>1.05</v>
          </cell>
          <cell r="BR88">
            <v>1.03</v>
          </cell>
          <cell r="BS88">
            <v>1.06</v>
          </cell>
          <cell r="BT88">
            <v>1.0900000000000001</v>
          </cell>
          <cell r="BU88">
            <v>1.08</v>
          </cell>
          <cell r="BV88">
            <v>1.07</v>
          </cell>
          <cell r="BW88">
            <v>1.05</v>
          </cell>
          <cell r="BX88">
            <v>1.0900000000000001</v>
          </cell>
          <cell r="BY88">
            <v>1.06</v>
          </cell>
          <cell r="BZ88">
            <v>1.06</v>
          </cell>
          <cell r="CA88">
            <v>1.08</v>
          </cell>
          <cell r="CB88">
            <v>1.07</v>
          </cell>
          <cell r="CC88">
            <v>1.0900000000000001</v>
          </cell>
          <cell r="CD88">
            <v>1.1599999999999999</v>
          </cell>
          <cell r="CE88">
            <v>1.07</v>
          </cell>
          <cell r="CF88">
            <v>1.06</v>
          </cell>
          <cell r="CG88">
            <v>1.1000000000000001</v>
          </cell>
          <cell r="CH88">
            <v>1.1000000000000001</v>
          </cell>
          <cell r="CI88">
            <v>1.07</v>
          </cell>
          <cell r="CJ88">
            <v>1.07</v>
          </cell>
          <cell r="CK88">
            <v>1.1000000000000001</v>
          </cell>
          <cell r="CL88">
            <v>1.1000000000000001</v>
          </cell>
          <cell r="CM88">
            <v>1.1299999999999999</v>
          </cell>
          <cell r="CN88">
            <v>1.1499999999999999</v>
          </cell>
          <cell r="CO88">
            <v>1.17</v>
          </cell>
          <cell r="CP88">
            <v>1.32</v>
          </cell>
          <cell r="CQ88">
            <v>1.17</v>
          </cell>
          <cell r="CR88">
            <v>1.1499999999999999</v>
          </cell>
          <cell r="CS88">
            <v>1.19</v>
          </cell>
        </row>
        <row r="89">
          <cell r="B89" t="str">
            <v>2-star hotels</v>
          </cell>
          <cell r="K89">
            <v>1.25</v>
          </cell>
          <cell r="L89">
            <v>1.21</v>
          </cell>
          <cell r="M89">
            <v>1.18</v>
          </cell>
          <cell r="N89">
            <v>1.23</v>
          </cell>
          <cell r="O89">
            <v>1.19</v>
          </cell>
          <cell r="P89">
            <v>1.17</v>
          </cell>
          <cell r="Q89">
            <v>1.24</v>
          </cell>
          <cell r="R89">
            <v>1.2</v>
          </cell>
          <cell r="S89">
            <v>1.19</v>
          </cell>
          <cell r="T89">
            <v>1.24</v>
          </cell>
          <cell r="U89">
            <v>1.21</v>
          </cell>
          <cell r="V89">
            <v>1.29</v>
          </cell>
          <cell r="W89">
            <v>1.25</v>
          </cell>
          <cell r="X89">
            <v>1.23</v>
          </cell>
          <cell r="Y89">
            <v>1.22</v>
          </cell>
          <cell r="Z89">
            <v>1.22</v>
          </cell>
          <cell r="AA89">
            <v>1.2</v>
          </cell>
          <cell r="AB89">
            <v>1.18</v>
          </cell>
          <cell r="AC89">
            <v>1.22</v>
          </cell>
          <cell r="AD89">
            <v>1.19</v>
          </cell>
          <cell r="AE89">
            <v>1.22</v>
          </cell>
          <cell r="AF89">
            <v>1.25</v>
          </cell>
          <cell r="AG89">
            <v>1.27</v>
          </cell>
          <cell r="AH89">
            <v>1.3</v>
          </cell>
          <cell r="AI89">
            <v>1.24</v>
          </cell>
          <cell r="AJ89">
            <v>1.28</v>
          </cell>
          <cell r="AK89">
            <v>1.23</v>
          </cell>
          <cell r="AL89">
            <v>1.3</v>
          </cell>
          <cell r="AM89">
            <v>1.23</v>
          </cell>
          <cell r="AN89">
            <v>1.24</v>
          </cell>
          <cell r="AO89">
            <v>1.33</v>
          </cell>
          <cell r="AP89">
            <v>1.47</v>
          </cell>
          <cell r="AQ89">
            <v>1.43</v>
          </cell>
          <cell r="AR89">
            <v>1.72</v>
          </cell>
          <cell r="AS89">
            <v>1.5</v>
          </cell>
          <cell r="AT89">
            <v>1.38</v>
          </cell>
          <cell r="AU89">
            <v>1.25</v>
          </cell>
          <cell r="AV89">
            <v>1.34</v>
          </cell>
          <cell r="AW89">
            <v>1.23</v>
          </cell>
          <cell r="AX89">
            <v>1.3</v>
          </cell>
          <cell r="AY89">
            <v>1.48</v>
          </cell>
          <cell r="AZ89">
            <v>1.5</v>
          </cell>
          <cell r="BA89">
            <v>1.45</v>
          </cell>
          <cell r="BB89">
            <v>1.28</v>
          </cell>
          <cell r="BC89">
            <v>1.1499999999999999</v>
          </cell>
          <cell r="BD89">
            <v>1.21</v>
          </cell>
          <cell r="BE89">
            <v>1.18</v>
          </cell>
          <cell r="BF89">
            <v>1.1299999999999999</v>
          </cell>
          <cell r="BG89">
            <v>1.1599999999999999</v>
          </cell>
          <cell r="BH89">
            <v>1.1299999999999999</v>
          </cell>
          <cell r="BI89">
            <v>1.21</v>
          </cell>
          <cell r="BJ89">
            <v>1.1399999999999999</v>
          </cell>
          <cell r="BK89">
            <v>1.1399999999999999</v>
          </cell>
          <cell r="BL89">
            <v>1.1499999999999999</v>
          </cell>
          <cell r="BM89">
            <v>1.1599999999999999</v>
          </cell>
          <cell r="BN89">
            <v>1.1000000000000001</v>
          </cell>
          <cell r="BO89">
            <v>1.0900000000000001</v>
          </cell>
          <cell r="BP89">
            <v>1.1200000000000001</v>
          </cell>
          <cell r="BQ89">
            <v>1.1200000000000001</v>
          </cell>
          <cell r="BR89">
            <v>1.0900000000000001</v>
          </cell>
          <cell r="BS89">
            <v>1.07</v>
          </cell>
          <cell r="BT89">
            <v>1.0900000000000001</v>
          </cell>
          <cell r="BU89">
            <v>1.1000000000000001</v>
          </cell>
          <cell r="BV89">
            <v>1.1100000000000001</v>
          </cell>
          <cell r="BW89">
            <v>1.0900000000000001</v>
          </cell>
          <cell r="BX89">
            <v>1.1399999999999999</v>
          </cell>
          <cell r="BY89">
            <v>1.1299999999999999</v>
          </cell>
          <cell r="BZ89">
            <v>1.1000000000000001</v>
          </cell>
          <cell r="CA89">
            <v>1.08</v>
          </cell>
          <cell r="CB89">
            <v>1.1100000000000001</v>
          </cell>
          <cell r="CC89">
            <v>1.1200000000000001</v>
          </cell>
          <cell r="CD89">
            <v>1.0900000000000001</v>
          </cell>
          <cell r="CE89">
            <v>1.1000000000000001</v>
          </cell>
          <cell r="CF89">
            <v>1.1299999999999999</v>
          </cell>
          <cell r="CG89">
            <v>1.0900000000000001</v>
          </cell>
          <cell r="CH89">
            <v>1.1000000000000001</v>
          </cell>
          <cell r="CI89">
            <v>1.1200000000000001</v>
          </cell>
          <cell r="CJ89">
            <v>1.1100000000000001</v>
          </cell>
          <cell r="CK89">
            <v>1.1299999999999999</v>
          </cell>
          <cell r="CL89">
            <v>1.1100000000000001</v>
          </cell>
          <cell r="CM89">
            <v>1.1100000000000001</v>
          </cell>
          <cell r="CN89">
            <v>1.17</v>
          </cell>
          <cell r="CO89">
            <v>1.1100000000000001</v>
          </cell>
          <cell r="CP89">
            <v>1.1000000000000001</v>
          </cell>
          <cell r="CQ89">
            <v>1.1499999999999999</v>
          </cell>
          <cell r="CR89">
            <v>1.1000000000000001</v>
          </cell>
          <cell r="CS89">
            <v>1.0900000000000001</v>
          </cell>
        </row>
        <row r="90">
          <cell r="B90" t="str">
            <v>Guest-houses</v>
          </cell>
          <cell r="K90">
            <v>1.48</v>
          </cell>
          <cell r="L90">
            <v>1.51</v>
          </cell>
          <cell r="M90">
            <v>1.38</v>
          </cell>
          <cell r="N90">
            <v>1.37</v>
          </cell>
          <cell r="O90">
            <v>1.26</v>
          </cell>
          <cell r="P90">
            <v>1.25</v>
          </cell>
          <cell r="Q90">
            <v>1.24</v>
          </cell>
          <cell r="R90">
            <v>1.21</v>
          </cell>
          <cell r="S90">
            <v>1.19</v>
          </cell>
          <cell r="T90">
            <v>1.17</v>
          </cell>
          <cell r="U90">
            <v>1.17</v>
          </cell>
          <cell r="V90">
            <v>1.2</v>
          </cell>
          <cell r="W90">
            <v>1.21</v>
          </cell>
          <cell r="X90">
            <v>1.2</v>
          </cell>
          <cell r="Y90">
            <v>1.27</v>
          </cell>
          <cell r="Z90">
            <v>1.23</v>
          </cell>
          <cell r="AA90">
            <v>1.19</v>
          </cell>
          <cell r="AB90">
            <v>1.21</v>
          </cell>
          <cell r="AC90">
            <v>1.23</v>
          </cell>
          <cell r="AD90">
            <v>1.29</v>
          </cell>
          <cell r="AE90">
            <v>1.23</v>
          </cell>
          <cell r="AF90">
            <v>1.19</v>
          </cell>
          <cell r="AG90">
            <v>1.23</v>
          </cell>
          <cell r="AH90">
            <v>1.23</v>
          </cell>
          <cell r="AI90">
            <v>1.22</v>
          </cell>
          <cell r="AJ90">
            <v>1.2</v>
          </cell>
          <cell r="AK90">
            <v>1.22</v>
          </cell>
          <cell r="AL90">
            <v>1.26</v>
          </cell>
          <cell r="AM90">
            <v>1.2</v>
          </cell>
          <cell r="AN90">
            <v>1.21</v>
          </cell>
          <cell r="AO90">
            <v>1.21</v>
          </cell>
          <cell r="AP90">
            <v>1.19</v>
          </cell>
          <cell r="AQ90">
            <v>1.19</v>
          </cell>
          <cell r="AR90">
            <v>1.17</v>
          </cell>
          <cell r="AS90">
            <v>1.23</v>
          </cell>
          <cell r="AT90">
            <v>1.18</v>
          </cell>
          <cell r="AU90">
            <v>1.17</v>
          </cell>
          <cell r="AV90">
            <v>1.21</v>
          </cell>
          <cell r="AW90">
            <v>1.2</v>
          </cell>
          <cell r="AX90">
            <v>1.1599999999999999</v>
          </cell>
          <cell r="AY90">
            <v>1.27</v>
          </cell>
          <cell r="AZ90">
            <v>1.25</v>
          </cell>
          <cell r="BA90">
            <v>1.26</v>
          </cell>
          <cell r="BB90">
            <v>1.22</v>
          </cell>
          <cell r="BC90">
            <v>1.1499999999999999</v>
          </cell>
          <cell r="BD90">
            <v>1.19</v>
          </cell>
          <cell r="BE90">
            <v>1.24</v>
          </cell>
          <cell r="BF90">
            <v>1.18</v>
          </cell>
          <cell r="BG90">
            <v>1.1299999999999999</v>
          </cell>
          <cell r="BH90">
            <v>1.21</v>
          </cell>
          <cell r="BI90">
            <v>1.25</v>
          </cell>
          <cell r="BJ90">
            <v>1.21</v>
          </cell>
          <cell r="BK90">
            <v>1.22</v>
          </cell>
          <cell r="BL90">
            <v>1.23</v>
          </cell>
          <cell r="BM90">
            <v>1.26</v>
          </cell>
          <cell r="BN90">
            <v>1.1599999999999999</v>
          </cell>
          <cell r="BO90">
            <v>1.1599999999999999</v>
          </cell>
          <cell r="BP90">
            <v>1.22</v>
          </cell>
          <cell r="BQ90">
            <v>1.24</v>
          </cell>
          <cell r="BR90">
            <v>1.25</v>
          </cell>
          <cell r="BS90">
            <v>1.28</v>
          </cell>
          <cell r="BT90">
            <v>1.31</v>
          </cell>
          <cell r="BU90">
            <v>1.28</v>
          </cell>
          <cell r="BV90">
            <v>1.32</v>
          </cell>
          <cell r="BW90">
            <v>1.28</v>
          </cell>
          <cell r="BX90">
            <v>1.27</v>
          </cell>
          <cell r="BY90">
            <v>1.27</v>
          </cell>
          <cell r="BZ90">
            <v>1.3</v>
          </cell>
          <cell r="CA90">
            <v>1.31</v>
          </cell>
          <cell r="CB90">
            <v>1.27</v>
          </cell>
          <cell r="CC90">
            <v>1.29</v>
          </cell>
          <cell r="CD90">
            <v>1.3</v>
          </cell>
          <cell r="CE90">
            <v>1.3</v>
          </cell>
          <cell r="CF90">
            <v>1.27</v>
          </cell>
          <cell r="CG90">
            <v>1.2</v>
          </cell>
          <cell r="CH90">
            <v>1.31</v>
          </cell>
          <cell r="CI90">
            <v>1.31</v>
          </cell>
          <cell r="CJ90">
            <v>1.27</v>
          </cell>
          <cell r="CK90">
            <v>1.29</v>
          </cell>
          <cell r="CL90">
            <v>1.3</v>
          </cell>
          <cell r="CM90">
            <v>1.33</v>
          </cell>
          <cell r="CN90">
            <v>1.32</v>
          </cell>
          <cell r="CO90">
            <v>1.42</v>
          </cell>
          <cell r="CP90">
            <v>1.52</v>
          </cell>
          <cell r="CQ90">
            <v>1.4</v>
          </cell>
          <cell r="CR90">
            <v>1.34</v>
          </cell>
          <cell r="CS90">
            <v>1.37</v>
          </cell>
        </row>
        <row r="91">
          <cell r="B91" t="str">
            <v>Total % Change</v>
          </cell>
          <cell r="X91">
            <v>-7.8740157480314821E-3</v>
          </cell>
          <cell r="Y91">
            <v>5.555555555555558E-2</v>
          </cell>
          <cell r="Z91">
            <v>2.3622047244094446E-2</v>
          </cell>
          <cell r="AA91">
            <v>-1.5625E-2</v>
          </cell>
          <cell r="AB91">
            <v>1.6000000000000014E-2</v>
          </cell>
          <cell r="AC91">
            <v>4.6875E-2</v>
          </cell>
          <cell r="AD91">
            <v>3.2258064516129004E-2</v>
          </cell>
          <cell r="AE91">
            <v>2.4193548387096753E-2</v>
          </cell>
          <cell r="AF91">
            <v>1.538461538461533E-2</v>
          </cell>
          <cell r="AG91">
            <v>1.5267175572519109E-2</v>
          </cell>
          <cell r="AH91">
            <v>-2.9850746268656692E-2</v>
          </cell>
          <cell r="AI91">
            <v>-7.4074074074074181E-2</v>
          </cell>
          <cell r="AJ91">
            <v>0</v>
          </cell>
          <cell r="AK91">
            <v>-6.0150375939849621E-2</v>
          </cell>
          <cell r="AL91">
            <v>-7.692307692307665E-3</v>
          </cell>
          <cell r="AM91">
            <v>0</v>
          </cell>
          <cell r="AN91">
            <v>-2.3622047244094557E-2</v>
          </cell>
          <cell r="AO91">
            <v>-9.7014925373134386E-2</v>
          </cell>
          <cell r="AP91">
            <v>-3.90625E-2</v>
          </cell>
          <cell r="AQ91">
            <v>-6.2992125984252079E-2</v>
          </cell>
          <cell r="AR91">
            <v>-9.0909090909090939E-2</v>
          </cell>
          <cell r="AS91">
            <v>-7.5187969924812137E-2</v>
          </cell>
          <cell r="AT91">
            <v>-6.9230769230769318E-2</v>
          </cell>
          <cell r="AU91">
            <v>-5.600000000000005E-2</v>
          </cell>
          <cell r="AV91">
            <v>-5.555555555555558E-2</v>
          </cell>
          <cell r="AW91">
            <v>-5.600000000000005E-2</v>
          </cell>
          <cell r="AX91">
            <v>-7.7519379844961267E-2</v>
          </cell>
          <cell r="AY91">
            <v>7.9365079365079083E-3</v>
          </cell>
          <cell r="AZ91">
            <v>7.258064516129048E-2</v>
          </cell>
          <cell r="BA91">
            <v>2.4793388429751984E-2</v>
          </cell>
          <cell r="BB91">
            <v>-2.4390243902439046E-2</v>
          </cell>
          <cell r="BC91">
            <v>0</v>
          </cell>
          <cell r="BD91">
            <v>0</v>
          </cell>
          <cell r="BE91">
            <v>1.6260162601626105E-2</v>
          </cell>
          <cell r="BF91">
            <v>8.2644628099173278E-3</v>
          </cell>
          <cell r="BG91">
            <v>1.6949152542372836E-2</v>
          </cell>
          <cell r="BH91">
            <v>1.6806722689075571E-2</v>
          </cell>
          <cell r="BI91">
            <v>-8.4745762711864181E-3</v>
          </cell>
          <cell r="BJ91">
            <v>0</v>
          </cell>
          <cell r="BK91">
            <v>-7.0866141732283561E-2</v>
          </cell>
          <cell r="BL91">
            <v>-0.10526315789473695</v>
          </cell>
          <cell r="BM91">
            <v>-3.2258064516129115E-2</v>
          </cell>
          <cell r="BN91">
            <v>-3.3333333333333326E-2</v>
          </cell>
          <cell r="BO91">
            <v>-3.3613445378151252E-2</v>
          </cell>
          <cell r="BP91">
            <v>-1.6666666666666718E-2</v>
          </cell>
          <cell r="BQ91">
            <v>-6.4000000000000057E-2</v>
          </cell>
          <cell r="BR91">
            <v>-4.9180327868852514E-2</v>
          </cell>
          <cell r="BS91">
            <v>-4.1666666666666741E-2</v>
          </cell>
          <cell r="BT91">
            <v>-8.2644628099173278E-3</v>
          </cell>
          <cell r="BU91">
            <v>-8.5470085470085166E-3</v>
          </cell>
          <cell r="BV91">
            <v>-8.4033613445377853E-3</v>
          </cell>
          <cell r="BW91">
            <v>-1.6949152542372947E-2</v>
          </cell>
          <cell r="BX91">
            <v>-8.4033613445377853E-3</v>
          </cell>
          <cell r="BY91">
            <v>-5.0000000000000044E-2</v>
          </cell>
          <cell r="BZ91">
            <v>0</v>
          </cell>
          <cell r="CA91">
            <v>8.6956521739129933E-3</v>
          </cell>
          <cell r="CB91">
            <v>-8.4745762711864181E-3</v>
          </cell>
          <cell r="CC91">
            <v>6.8376068376068355E-2</v>
          </cell>
          <cell r="CD91">
            <v>4.31034482758621E-2</v>
          </cell>
          <cell r="CE91">
            <v>-8.6956521739131043E-3</v>
          </cell>
          <cell r="CF91">
            <v>-3.3333333333333326E-2</v>
          </cell>
          <cell r="CG91">
            <v>0</v>
          </cell>
          <cell r="CH91">
            <v>-2.5423728813559365E-2</v>
          </cell>
          <cell r="CI91">
            <v>0</v>
          </cell>
          <cell r="CJ91">
            <v>-2.5423728813559365E-2</v>
          </cell>
          <cell r="CK91">
            <v>1.7543859649122862E-2</v>
          </cell>
          <cell r="CL91">
            <v>0</v>
          </cell>
          <cell r="CM91">
            <v>0</v>
          </cell>
          <cell r="CN91">
            <v>8.5470085470085166E-3</v>
          </cell>
          <cell r="CO91">
            <v>-4.8000000000000043E-2</v>
          </cell>
          <cell r="CP91">
            <v>-8.2644628099173278E-3</v>
          </cell>
          <cell r="CQ91">
            <v>6.1403508771929793E-2</v>
          </cell>
          <cell r="CR91">
            <v>3.4482758620689724E-2</v>
          </cell>
          <cell r="CS91">
            <v>3.4482758620689724E-2</v>
          </cell>
        </row>
        <row r="93">
          <cell r="B93" t="str">
            <v>Non-Resident Workers</v>
          </cell>
        </row>
        <row r="94">
          <cell r="B94" t="str">
            <v>Total</v>
          </cell>
          <cell r="AV94">
            <v>22912</v>
          </cell>
          <cell r="AW94">
            <v>22905</v>
          </cell>
          <cell r="AX94">
            <v>22979</v>
          </cell>
          <cell r="AY94">
            <v>22970</v>
          </cell>
          <cell r="AZ94">
            <v>23319</v>
          </cell>
          <cell r="BA94">
            <v>23498</v>
          </cell>
          <cell r="BB94">
            <v>23525</v>
          </cell>
          <cell r="BC94">
            <v>23481</v>
          </cell>
          <cell r="BD94">
            <v>23221</v>
          </cell>
          <cell r="BE94">
            <v>23752</v>
          </cell>
          <cell r="BF94">
            <v>24269</v>
          </cell>
          <cell r="BG94">
            <v>24970</v>
          </cell>
          <cell r="BH94">
            <v>24858</v>
          </cell>
          <cell r="BI94">
            <v>25220</v>
          </cell>
          <cell r="BJ94">
            <v>25219</v>
          </cell>
          <cell r="BK94">
            <v>25018</v>
          </cell>
          <cell r="BL94">
            <v>25014</v>
          </cell>
          <cell r="BM94">
            <v>24961</v>
          </cell>
          <cell r="BN94">
            <v>25929</v>
          </cell>
          <cell r="BO94">
            <v>26742</v>
          </cell>
          <cell r="BP94">
            <v>26534</v>
          </cell>
          <cell r="BQ94">
            <v>26730</v>
          </cell>
          <cell r="BR94">
            <v>27358</v>
          </cell>
          <cell r="BS94">
            <v>27736</v>
          </cell>
          <cell r="BT94">
            <v>27553</v>
          </cell>
          <cell r="BU94">
            <v>28143</v>
          </cell>
          <cell r="BV94">
            <v>28648</v>
          </cell>
          <cell r="BW94">
            <v>29417</v>
          </cell>
          <cell r="BX94">
            <v>30151</v>
          </cell>
          <cell r="BY94">
            <v>31097</v>
          </cell>
          <cell r="BZ94">
            <v>31925</v>
          </cell>
          <cell r="CA94">
            <v>33559</v>
          </cell>
          <cell r="CB94">
            <v>34718</v>
          </cell>
          <cell r="CC94">
            <v>35458</v>
          </cell>
          <cell r="CD94">
            <v>37181</v>
          </cell>
          <cell r="CE94">
            <v>39411</v>
          </cell>
          <cell r="CF94">
            <v>42496</v>
          </cell>
          <cell r="CG94">
            <v>44499</v>
          </cell>
          <cell r="CH94">
            <v>47876</v>
          </cell>
          <cell r="CI94">
            <v>48775</v>
          </cell>
          <cell r="CJ94">
            <v>49726</v>
          </cell>
          <cell r="CK94">
            <v>49382</v>
          </cell>
          <cell r="CL94">
            <v>52187</v>
          </cell>
          <cell r="CM94">
            <v>53343</v>
          </cell>
          <cell r="CN94">
            <v>56553</v>
          </cell>
          <cell r="CO94">
            <v>60361</v>
          </cell>
          <cell r="CP94">
            <v>62045</v>
          </cell>
          <cell r="CQ94">
            <v>64673</v>
          </cell>
          <cell r="CR94">
            <v>66769</v>
          </cell>
          <cell r="CS94">
            <v>68832</v>
          </cell>
        </row>
        <row r="95">
          <cell r="B95" t="str">
            <v>Mainland China</v>
          </cell>
          <cell r="AV95">
            <v>17101</v>
          </cell>
          <cell r="AW95">
            <v>17037</v>
          </cell>
          <cell r="AX95">
            <v>17141</v>
          </cell>
          <cell r="AY95">
            <v>17153</v>
          </cell>
          <cell r="AZ95">
            <v>17536</v>
          </cell>
          <cell r="BA95">
            <v>17740</v>
          </cell>
          <cell r="BB95">
            <v>17840</v>
          </cell>
          <cell r="BC95">
            <v>17845</v>
          </cell>
          <cell r="BD95">
            <v>17560</v>
          </cell>
          <cell r="BE95">
            <v>17876</v>
          </cell>
          <cell r="BF95">
            <v>18258</v>
          </cell>
          <cell r="BG95">
            <v>18777</v>
          </cell>
          <cell r="BH95">
            <v>18572</v>
          </cell>
          <cell r="BI95">
            <v>18751</v>
          </cell>
          <cell r="BJ95">
            <v>18736</v>
          </cell>
          <cell r="BK95">
            <v>18373</v>
          </cell>
          <cell r="BL95">
            <v>18162</v>
          </cell>
          <cell r="BM95">
            <v>17910</v>
          </cell>
          <cell r="BN95">
            <v>18576</v>
          </cell>
          <cell r="BO95">
            <v>19217</v>
          </cell>
          <cell r="BP95">
            <v>18898</v>
          </cell>
          <cell r="BQ95">
            <v>18943</v>
          </cell>
          <cell r="BR95">
            <v>19150</v>
          </cell>
          <cell r="BS95">
            <v>19215</v>
          </cell>
          <cell r="BT95">
            <v>18619</v>
          </cell>
          <cell r="BU95">
            <v>18807</v>
          </cell>
          <cell r="BV95">
            <v>19178</v>
          </cell>
          <cell r="BW95">
            <v>19628</v>
          </cell>
          <cell r="BX95">
            <v>19930</v>
          </cell>
          <cell r="BY95">
            <v>20367</v>
          </cell>
          <cell r="BZ95">
            <v>20626</v>
          </cell>
          <cell r="CA95">
            <v>21261</v>
          </cell>
          <cell r="CB95">
            <v>21996</v>
          </cell>
          <cell r="CC95">
            <v>21985</v>
          </cell>
          <cell r="CD95">
            <v>22521</v>
          </cell>
          <cell r="CE95">
            <v>23139</v>
          </cell>
          <cell r="CF95">
            <v>24001</v>
          </cell>
          <cell r="CG95">
            <v>24722</v>
          </cell>
          <cell r="CH95">
            <v>26683</v>
          </cell>
          <cell r="CI95">
            <v>27142</v>
          </cell>
          <cell r="CJ95">
            <v>27852</v>
          </cell>
          <cell r="CK95">
            <v>28365</v>
          </cell>
          <cell r="CL95">
            <v>29470</v>
          </cell>
          <cell r="CM95">
            <v>30405</v>
          </cell>
          <cell r="CN95">
            <v>33029</v>
          </cell>
          <cell r="CO95">
            <v>34799</v>
          </cell>
          <cell r="CP95">
            <v>35813</v>
          </cell>
          <cell r="CQ95">
            <v>37357</v>
          </cell>
          <cell r="CR95">
            <v>38435</v>
          </cell>
          <cell r="CS95">
            <v>39208</v>
          </cell>
        </row>
        <row r="97">
          <cell r="B97" t="str">
            <v>Construction Employment</v>
          </cell>
        </row>
        <row r="98">
          <cell r="B98" t="str">
            <v>Total Employment</v>
          </cell>
          <cell r="BP98">
            <v>6281</v>
          </cell>
          <cell r="BS98">
            <v>6347</v>
          </cell>
          <cell r="BV98">
            <v>7829</v>
          </cell>
          <cell r="BY98">
            <v>7868</v>
          </cell>
          <cell r="CB98">
            <v>10578</v>
          </cell>
          <cell r="CE98">
            <v>11234</v>
          </cell>
          <cell r="CH98">
            <v>14441</v>
          </cell>
          <cell r="CK98">
            <v>18670</v>
          </cell>
          <cell r="CN98">
            <v>19327</v>
          </cell>
          <cell r="CQ98">
            <v>22595</v>
          </cell>
        </row>
        <row r="99">
          <cell r="B99" t="str">
            <v>Number of Projects</v>
          </cell>
          <cell r="BP99">
            <v>117</v>
          </cell>
          <cell r="BS99">
            <v>117</v>
          </cell>
          <cell r="BV99">
            <v>124</v>
          </cell>
          <cell r="BY99">
            <v>131</v>
          </cell>
          <cell r="CB99">
            <v>135</v>
          </cell>
          <cell r="CE99">
            <v>139</v>
          </cell>
          <cell r="CH99">
            <v>123</v>
          </cell>
          <cell r="CK99">
            <v>113</v>
          </cell>
          <cell r="CN99">
            <v>134</v>
          </cell>
          <cell r="CQ99">
            <v>132</v>
          </cell>
        </row>
        <row r="100">
          <cell r="B100" t="str">
            <v>Average Daily Wage</v>
          </cell>
          <cell r="BV100">
            <v>370</v>
          </cell>
          <cell r="BY100">
            <v>396</v>
          </cell>
          <cell r="CB100">
            <v>426</v>
          </cell>
          <cell r="CE100">
            <v>454</v>
          </cell>
          <cell r="CH100">
            <v>474</v>
          </cell>
          <cell r="CK100">
            <v>491</v>
          </cell>
          <cell r="CN100">
            <v>499</v>
          </cell>
          <cell r="CQ100">
            <v>519</v>
          </cell>
        </row>
        <row r="102">
          <cell r="B102" t="str">
            <v>Hotel Employment</v>
          </cell>
        </row>
        <row r="103">
          <cell r="B103" t="str">
            <v>Total Employment</v>
          </cell>
          <cell r="AL103">
            <v>6096</v>
          </cell>
          <cell r="AR103">
            <v>6251</v>
          </cell>
          <cell r="AX103">
            <v>6333</v>
          </cell>
          <cell r="BD103">
            <v>6434</v>
          </cell>
          <cell r="BJ103">
            <v>6825</v>
          </cell>
          <cell r="BP103">
            <v>7552</v>
          </cell>
          <cell r="BV103">
            <v>8992</v>
          </cell>
          <cell r="CB103">
            <v>8880</v>
          </cell>
          <cell r="CH103">
            <v>9538</v>
          </cell>
          <cell r="CN103">
            <v>13001</v>
          </cell>
        </row>
        <row r="104">
          <cell r="B104" t="str">
            <v>Average Wage</v>
          </cell>
          <cell r="AL104">
            <v>6000</v>
          </cell>
          <cell r="AR104">
            <v>6006</v>
          </cell>
          <cell r="AX104">
            <v>5980</v>
          </cell>
          <cell r="BD104">
            <v>5892</v>
          </cell>
          <cell r="BJ104">
            <v>6108</v>
          </cell>
          <cell r="BP104">
            <v>6266</v>
          </cell>
          <cell r="BV104">
            <v>6303</v>
          </cell>
          <cell r="CB104">
            <v>6234</v>
          </cell>
          <cell r="CH104">
            <v>6464</v>
          </cell>
          <cell r="CN104">
            <v>7426</v>
          </cell>
        </row>
        <row r="105">
          <cell r="B105" t="str">
            <v>Average Wage, incl. Bonus</v>
          </cell>
          <cell r="AL105">
            <v>6002</v>
          </cell>
          <cell r="AR105">
            <v>6010</v>
          </cell>
          <cell r="AX105">
            <v>5981</v>
          </cell>
          <cell r="BD105">
            <v>5944</v>
          </cell>
          <cell r="BJ105">
            <v>6138</v>
          </cell>
          <cell r="BP105">
            <v>6271</v>
          </cell>
          <cell r="BV105">
            <v>6303</v>
          </cell>
          <cell r="CB105">
            <v>6479</v>
          </cell>
          <cell r="CH105">
            <v>6481</v>
          </cell>
        </row>
        <row r="106">
          <cell r="B106" t="str">
            <v>Number of Vacancies</v>
          </cell>
          <cell r="AL106">
            <v>265</v>
          </cell>
          <cell r="AR106">
            <v>237</v>
          </cell>
          <cell r="AX106">
            <v>186</v>
          </cell>
          <cell r="BD106">
            <v>279</v>
          </cell>
          <cell r="BJ106">
            <v>356</v>
          </cell>
          <cell r="BP106">
            <v>465</v>
          </cell>
          <cell r="BV106">
            <v>576</v>
          </cell>
          <cell r="CB106">
            <v>615</v>
          </cell>
          <cell r="CH106">
            <v>938</v>
          </cell>
          <cell r="CN106">
            <v>615</v>
          </cell>
        </row>
        <row r="108">
          <cell r="B108" t="str">
            <v>Gaming Employment</v>
          </cell>
        </row>
        <row r="109">
          <cell r="B109" t="str">
            <v>Total Employment</v>
          </cell>
          <cell r="BM109">
            <v>19772</v>
          </cell>
          <cell r="BS109">
            <v>21264</v>
          </cell>
          <cell r="BY109">
            <v>23368</v>
          </cell>
          <cell r="CE109">
            <v>26118</v>
          </cell>
          <cell r="CK109">
            <v>29993</v>
          </cell>
          <cell r="CQ109">
            <v>36412</v>
          </cell>
        </row>
        <row r="110">
          <cell r="B110" t="str">
            <v>Average Wage</v>
          </cell>
          <cell r="BM110">
            <v>10881.497059317762</v>
          </cell>
          <cell r="BS110">
            <v>10730.064187847498</v>
          </cell>
          <cell r="BY110">
            <v>10931</v>
          </cell>
          <cell r="CE110">
            <v>11269</v>
          </cell>
          <cell r="CK110">
            <v>12615</v>
          </cell>
          <cell r="CQ110">
            <v>13978</v>
          </cell>
        </row>
        <row r="111">
          <cell r="B111" t="str">
            <v>Average Wage, Resident</v>
          </cell>
          <cell r="BM111">
            <v>10030.511104313246</v>
          </cell>
          <cell r="BS111">
            <v>9870.2110707902284</v>
          </cell>
          <cell r="BY111">
            <v>9936</v>
          </cell>
          <cell r="CE111">
            <v>10252</v>
          </cell>
          <cell r="CK111">
            <v>11367</v>
          </cell>
          <cell r="CQ111">
            <v>12874</v>
          </cell>
        </row>
        <row r="112">
          <cell r="B112" t="str">
            <v>Average Wage, Non-Resident</v>
          </cell>
          <cell r="BM112">
            <v>20105.214190981431</v>
          </cell>
          <cell r="BS112">
            <v>20174.126115407496</v>
          </cell>
          <cell r="BY112">
            <v>23178</v>
          </cell>
          <cell r="CE112">
            <v>23921</v>
          </cell>
          <cell r="CK112">
            <v>25880</v>
          </cell>
          <cell r="CQ112">
            <v>26002</v>
          </cell>
        </row>
        <row r="113">
          <cell r="B113" t="str">
            <v>Average Wage, incl. Bonus</v>
          </cell>
          <cell r="BM113">
            <v>11368.720495154876</v>
          </cell>
          <cell r="BS113">
            <v>11320.592484114377</v>
          </cell>
          <cell r="BY113">
            <v>11804</v>
          </cell>
          <cell r="CE113">
            <v>11881</v>
          </cell>
          <cell r="CK113">
            <v>12636</v>
          </cell>
          <cell r="CQ113">
            <v>14132</v>
          </cell>
        </row>
        <row r="114">
          <cell r="B114" t="str">
            <v>Average Wage, incl. Bonus, Resident</v>
          </cell>
          <cell r="BM114">
            <v>10562.68608137045</v>
          </cell>
          <cell r="BS114">
            <v>10512.41932513676</v>
          </cell>
          <cell r="BY114">
            <v>10695</v>
          </cell>
          <cell r="CE114">
            <v>10910</v>
          </cell>
          <cell r="CK114">
            <v>11389</v>
          </cell>
          <cell r="CQ114">
            <v>13031</v>
          </cell>
        </row>
        <row r="115">
          <cell r="B115" t="str">
            <v>Average Wage, incl. Bonus, Non-Resident</v>
          </cell>
          <cell r="BM115">
            <v>20105.214190981431</v>
          </cell>
          <cell r="BS115">
            <v>20197.035693039856</v>
          </cell>
          <cell r="BY115">
            <v>25453</v>
          </cell>
          <cell r="CE115">
            <v>23960</v>
          </cell>
          <cell r="CK115">
            <v>25880</v>
          </cell>
          <cell r="CQ115">
            <v>26117</v>
          </cell>
        </row>
        <row r="116">
          <cell r="B116" t="str">
            <v>Number of Vacancies</v>
          </cell>
          <cell r="BM116">
            <v>4925</v>
          </cell>
          <cell r="BS116">
            <v>7104</v>
          </cell>
          <cell r="BY116">
            <v>13046</v>
          </cell>
          <cell r="CE116">
            <v>6167</v>
          </cell>
          <cell r="CK116">
            <v>5699</v>
          </cell>
          <cell r="CQ116">
            <v>5631</v>
          </cell>
        </row>
        <row r="118">
          <cell r="B118" t="str">
            <v>Average Non-Gaming Spend</v>
          </cell>
        </row>
        <row r="119">
          <cell r="B119" t="str">
            <v>All Visitors</v>
          </cell>
          <cell r="BG119">
            <v>1616</v>
          </cell>
          <cell r="BJ119">
            <v>1497</v>
          </cell>
          <cell r="BM119">
            <v>1517</v>
          </cell>
          <cell r="BP119">
            <v>1497</v>
          </cell>
          <cell r="BS119">
            <v>1590</v>
          </cell>
          <cell r="BV119">
            <v>1490</v>
          </cell>
          <cell r="BY119">
            <v>1334</v>
          </cell>
          <cell r="CB119">
            <v>1419</v>
          </cell>
          <cell r="CE119">
            <v>1574</v>
          </cell>
          <cell r="CH119">
            <v>1562</v>
          </cell>
          <cell r="CK119">
            <v>1468</v>
          </cell>
          <cell r="CN119">
            <v>1430</v>
          </cell>
          <cell r="CQ119">
            <v>1670</v>
          </cell>
          <cell r="CW119">
            <v>6.099110546378661E-2</v>
          </cell>
        </row>
        <row r="120">
          <cell r="B120" t="str">
            <v>Accomodation</v>
          </cell>
          <cell r="BG120">
            <v>317</v>
          </cell>
          <cell r="BJ120">
            <v>280</v>
          </cell>
          <cell r="BM120">
            <v>303</v>
          </cell>
          <cell r="BP120">
            <v>305</v>
          </cell>
          <cell r="BS120">
            <v>354</v>
          </cell>
          <cell r="BV120">
            <v>296</v>
          </cell>
          <cell r="BY120">
            <v>265</v>
          </cell>
          <cell r="CB120">
            <v>296</v>
          </cell>
          <cell r="CE120">
            <v>316</v>
          </cell>
          <cell r="CH120">
            <v>300</v>
          </cell>
          <cell r="CK120">
            <v>295</v>
          </cell>
          <cell r="CN120">
            <v>288</v>
          </cell>
          <cell r="CQ120">
            <v>377</v>
          </cell>
          <cell r="CW120">
            <v>0.19303797468354422</v>
          </cell>
        </row>
        <row r="121">
          <cell r="B121" t="str">
            <v>F&amp;B</v>
          </cell>
          <cell r="BG121">
            <v>332</v>
          </cell>
          <cell r="BJ121">
            <v>335</v>
          </cell>
          <cell r="BM121">
            <v>335</v>
          </cell>
          <cell r="BP121">
            <v>337</v>
          </cell>
          <cell r="BS121">
            <v>332</v>
          </cell>
          <cell r="BV121">
            <v>325</v>
          </cell>
          <cell r="BY121">
            <v>317</v>
          </cell>
          <cell r="CB121">
            <v>342</v>
          </cell>
          <cell r="CE121">
            <v>338</v>
          </cell>
          <cell r="CH121">
            <v>325</v>
          </cell>
          <cell r="CK121">
            <v>316</v>
          </cell>
          <cell r="CN121">
            <v>327</v>
          </cell>
          <cell r="CQ121">
            <v>347</v>
          </cell>
          <cell r="CW121">
            <v>2.6627218934911268E-2</v>
          </cell>
        </row>
        <row r="122">
          <cell r="B122" t="str">
            <v>Outbound Transport</v>
          </cell>
          <cell r="BG122">
            <v>111</v>
          </cell>
          <cell r="BJ122">
            <v>119</v>
          </cell>
          <cell r="BM122">
            <v>125</v>
          </cell>
          <cell r="BP122">
            <v>127</v>
          </cell>
          <cell r="BS122">
            <v>139</v>
          </cell>
          <cell r="BV122">
            <v>135</v>
          </cell>
          <cell r="BY122">
            <v>138</v>
          </cell>
          <cell r="CB122">
            <v>137</v>
          </cell>
          <cell r="CE122">
            <v>131</v>
          </cell>
          <cell r="CH122">
            <v>128</v>
          </cell>
          <cell r="CK122">
            <v>123</v>
          </cell>
          <cell r="CN122">
            <v>127</v>
          </cell>
          <cell r="CQ122">
            <v>121</v>
          </cell>
          <cell r="CW122">
            <v>-7.6335877862595436E-2</v>
          </cell>
        </row>
        <row r="123">
          <cell r="B123" t="str">
            <v>Entertainment</v>
          </cell>
          <cell r="BG123">
            <v>33</v>
          </cell>
          <cell r="BJ123">
            <v>27</v>
          </cell>
          <cell r="BM123">
            <v>31</v>
          </cell>
          <cell r="BP123">
            <v>28</v>
          </cell>
          <cell r="BS123">
            <v>28</v>
          </cell>
          <cell r="BV123">
            <v>18</v>
          </cell>
          <cell r="BY123">
            <v>17</v>
          </cell>
          <cell r="CB123">
            <v>18</v>
          </cell>
          <cell r="CE123">
            <v>29</v>
          </cell>
          <cell r="CH123">
            <v>16</v>
          </cell>
          <cell r="CK123">
            <v>19</v>
          </cell>
          <cell r="CN123">
            <v>23</v>
          </cell>
          <cell r="CQ123">
            <v>29</v>
          </cell>
          <cell r="CW123">
            <v>0</v>
          </cell>
        </row>
        <row r="124">
          <cell r="B124" t="str">
            <v>Shopping</v>
          </cell>
          <cell r="BG124">
            <v>772</v>
          </cell>
          <cell r="BJ124">
            <v>689</v>
          </cell>
          <cell r="BM124">
            <v>674</v>
          </cell>
          <cell r="BP124">
            <v>653</v>
          </cell>
          <cell r="BS124">
            <v>688</v>
          </cell>
          <cell r="BV124">
            <v>666</v>
          </cell>
          <cell r="BY124">
            <v>547</v>
          </cell>
          <cell r="CB124">
            <v>574</v>
          </cell>
          <cell r="CE124">
            <v>704.25</v>
          </cell>
          <cell r="CH124">
            <v>744</v>
          </cell>
          <cell r="CK124">
            <v>668</v>
          </cell>
          <cell r="CN124">
            <v>616</v>
          </cell>
          <cell r="CQ124">
            <v>745</v>
          </cell>
          <cell r="CW124">
            <v>5.7862974795882094E-2</v>
          </cell>
        </row>
        <row r="125">
          <cell r="B125" t="str">
            <v>Other</v>
          </cell>
          <cell r="BG125">
            <v>51</v>
          </cell>
          <cell r="BJ125">
            <v>47</v>
          </cell>
          <cell r="BM125">
            <v>49</v>
          </cell>
          <cell r="BP125">
            <v>47</v>
          </cell>
          <cell r="BS125">
            <v>49</v>
          </cell>
          <cell r="BV125">
            <v>50</v>
          </cell>
          <cell r="BY125">
            <v>50</v>
          </cell>
          <cell r="CB125">
            <v>52</v>
          </cell>
          <cell r="CE125">
            <v>55.75</v>
          </cell>
          <cell r="CH125">
            <v>49</v>
          </cell>
          <cell r="CK125">
            <v>47</v>
          </cell>
          <cell r="CN125">
            <v>49</v>
          </cell>
          <cell r="CO125">
            <v>0</v>
          </cell>
          <cell r="CP125">
            <v>0</v>
          </cell>
          <cell r="CQ125">
            <v>51</v>
          </cell>
          <cell r="CR125">
            <v>0</v>
          </cell>
          <cell r="CW125">
            <v>-8.5201793721973118E-2</v>
          </cell>
        </row>
        <row r="127">
          <cell r="B127" t="str">
            <v>Mainland Chinese Visitors</v>
          </cell>
          <cell r="BG127">
            <v>2948</v>
          </cell>
          <cell r="BJ127">
            <v>2617</v>
          </cell>
          <cell r="BM127">
            <v>2820</v>
          </cell>
          <cell r="BP127">
            <v>2567</v>
          </cell>
          <cell r="BS127">
            <v>3290</v>
          </cell>
          <cell r="BV127">
            <v>2816</v>
          </cell>
          <cell r="BY127">
            <v>2856</v>
          </cell>
          <cell r="CB127">
            <v>2863</v>
          </cell>
          <cell r="CE127">
            <v>3185</v>
          </cell>
          <cell r="CH127">
            <v>3088</v>
          </cell>
          <cell r="CK127">
            <v>2875</v>
          </cell>
          <cell r="CN127">
            <v>2898</v>
          </cell>
          <cell r="CQ127">
            <v>3562</v>
          </cell>
          <cell r="CW127">
            <v>0.1183673469387756</v>
          </cell>
        </row>
        <row r="128">
          <cell r="B128" t="str">
            <v>Accomodation</v>
          </cell>
          <cell r="BG128">
            <v>472</v>
          </cell>
          <cell r="BJ128">
            <v>426</v>
          </cell>
          <cell r="BM128">
            <v>520</v>
          </cell>
          <cell r="BP128">
            <v>445</v>
          </cell>
          <cell r="BS128">
            <v>682</v>
          </cell>
          <cell r="BV128">
            <v>480</v>
          </cell>
          <cell r="BY128">
            <v>573</v>
          </cell>
          <cell r="CB128">
            <v>545</v>
          </cell>
          <cell r="CE128">
            <v>608</v>
          </cell>
          <cell r="CH128">
            <v>486</v>
          </cell>
          <cell r="CK128">
            <v>484</v>
          </cell>
          <cell r="CN128">
            <v>443</v>
          </cell>
          <cell r="CQ128">
            <v>738</v>
          </cell>
          <cell r="CW128">
            <v>0.21381578947368429</v>
          </cell>
        </row>
        <row r="129">
          <cell r="B129" t="str">
            <v>F&amp;B</v>
          </cell>
          <cell r="BG129">
            <v>447</v>
          </cell>
          <cell r="BJ129">
            <v>428</v>
          </cell>
          <cell r="BM129">
            <v>491</v>
          </cell>
          <cell r="BP129">
            <v>440</v>
          </cell>
          <cell r="BS129">
            <v>491</v>
          </cell>
          <cell r="BV129">
            <v>454</v>
          </cell>
          <cell r="BY129">
            <v>521</v>
          </cell>
          <cell r="CB129">
            <v>490</v>
          </cell>
          <cell r="CE129">
            <v>460</v>
          </cell>
          <cell r="CH129">
            <v>424</v>
          </cell>
          <cell r="CK129">
            <v>411</v>
          </cell>
          <cell r="CN129">
            <v>397</v>
          </cell>
          <cell r="CQ129">
            <v>494</v>
          </cell>
          <cell r="CW129">
            <v>7.3913043478260887E-2</v>
          </cell>
        </row>
        <row r="130">
          <cell r="B130" t="str">
            <v>Outbound Transport</v>
          </cell>
          <cell r="BG130">
            <v>63</v>
          </cell>
          <cell r="BJ130">
            <v>68</v>
          </cell>
          <cell r="BM130">
            <v>73</v>
          </cell>
          <cell r="BP130">
            <v>75</v>
          </cell>
          <cell r="BS130">
            <v>85</v>
          </cell>
          <cell r="BV130">
            <v>81</v>
          </cell>
          <cell r="BY130">
            <v>83</v>
          </cell>
          <cell r="CB130">
            <v>74</v>
          </cell>
          <cell r="CE130">
            <v>71</v>
          </cell>
          <cell r="CH130">
            <v>76</v>
          </cell>
          <cell r="CK130">
            <v>62</v>
          </cell>
          <cell r="CN130">
            <v>57</v>
          </cell>
          <cell r="CQ130">
            <v>54</v>
          </cell>
          <cell r="CW130">
            <v>-0.23943661971830987</v>
          </cell>
        </row>
        <row r="131">
          <cell r="B131" t="str">
            <v>Entertainment</v>
          </cell>
          <cell r="BG131">
            <v>53</v>
          </cell>
          <cell r="BJ131">
            <v>50</v>
          </cell>
          <cell r="BM131">
            <v>67</v>
          </cell>
          <cell r="BP131">
            <v>51</v>
          </cell>
          <cell r="BS131">
            <v>52</v>
          </cell>
          <cell r="BV131">
            <v>36</v>
          </cell>
          <cell r="BY131">
            <v>46</v>
          </cell>
          <cell r="CB131">
            <v>43</v>
          </cell>
          <cell r="CE131">
            <v>42</v>
          </cell>
          <cell r="CH131">
            <v>23</v>
          </cell>
          <cell r="CK131">
            <v>33</v>
          </cell>
          <cell r="CN131">
            <v>44</v>
          </cell>
          <cell r="CQ131">
            <v>52</v>
          </cell>
          <cell r="CW131">
            <v>0.23809523809523814</v>
          </cell>
        </row>
        <row r="132">
          <cell r="B132" t="str">
            <v>Shopping</v>
          </cell>
          <cell r="BG132">
            <v>1855</v>
          </cell>
          <cell r="BJ132">
            <v>1595</v>
          </cell>
          <cell r="BM132">
            <v>1608</v>
          </cell>
          <cell r="BP132">
            <v>1504</v>
          </cell>
          <cell r="BS132">
            <v>1917</v>
          </cell>
          <cell r="BV132">
            <v>1705</v>
          </cell>
          <cell r="BY132">
            <v>1564</v>
          </cell>
          <cell r="CB132">
            <v>1652</v>
          </cell>
          <cell r="CE132">
            <v>1936</v>
          </cell>
          <cell r="CH132">
            <v>2023</v>
          </cell>
          <cell r="CK132">
            <v>1833</v>
          </cell>
          <cell r="CN132">
            <v>1906</v>
          </cell>
          <cell r="CQ132">
            <v>2157</v>
          </cell>
          <cell r="CW132">
            <v>0.11415289256198347</v>
          </cell>
        </row>
        <row r="133">
          <cell r="B133" t="str">
            <v>Other</v>
          </cell>
          <cell r="BG133">
            <v>58</v>
          </cell>
          <cell r="BJ133">
            <v>50</v>
          </cell>
          <cell r="BM133">
            <v>61</v>
          </cell>
          <cell r="BP133">
            <v>52</v>
          </cell>
          <cell r="BS133">
            <v>63</v>
          </cell>
          <cell r="BV133">
            <v>60</v>
          </cell>
          <cell r="BY133">
            <v>69</v>
          </cell>
          <cell r="CB133">
            <v>59</v>
          </cell>
          <cell r="CE133">
            <v>68</v>
          </cell>
          <cell r="CH133">
            <v>56</v>
          </cell>
          <cell r="CK133">
            <v>52</v>
          </cell>
          <cell r="CN133">
            <v>51</v>
          </cell>
          <cell r="CO133">
            <v>0</v>
          </cell>
          <cell r="CP133">
            <v>0</v>
          </cell>
          <cell r="CQ133">
            <v>67</v>
          </cell>
          <cell r="CR133">
            <v>0</v>
          </cell>
          <cell r="CW133">
            <v>-1.4705882352941124E-2</v>
          </cell>
        </row>
        <row r="135">
          <cell r="B135" t="str">
            <v>Per-Diem Spend</v>
          </cell>
        </row>
        <row r="136">
          <cell r="B136" t="str">
            <v>Tourists</v>
          </cell>
          <cell r="BG136">
            <v>1360</v>
          </cell>
          <cell r="BJ136">
            <v>1236</v>
          </cell>
          <cell r="BM136">
            <v>1307</v>
          </cell>
          <cell r="BP136">
            <v>1291</v>
          </cell>
          <cell r="BS136">
            <v>1386</v>
          </cell>
          <cell r="BV136">
            <v>1273</v>
          </cell>
          <cell r="BY136">
            <v>1243</v>
          </cell>
          <cell r="CB136">
            <v>1160</v>
          </cell>
          <cell r="CE136">
            <v>1352</v>
          </cell>
          <cell r="CH136">
            <v>1378</v>
          </cell>
          <cell r="CK136">
            <v>1331</v>
          </cell>
          <cell r="CN136">
            <v>1200</v>
          </cell>
          <cell r="CQ136">
            <v>1412</v>
          </cell>
          <cell r="CW136">
            <v>4.4378698224851965E-2</v>
          </cell>
        </row>
        <row r="137">
          <cell r="B137" t="str">
            <v>Same Day Visitor Spend</v>
          </cell>
          <cell r="BG137">
            <v>472</v>
          </cell>
          <cell r="BJ137">
            <v>539</v>
          </cell>
          <cell r="BM137">
            <v>470</v>
          </cell>
          <cell r="BP137">
            <v>519</v>
          </cell>
          <cell r="BS137">
            <v>514</v>
          </cell>
          <cell r="BV137">
            <v>533</v>
          </cell>
          <cell r="BY137">
            <v>463</v>
          </cell>
          <cell r="CB137">
            <v>508</v>
          </cell>
          <cell r="CE137">
            <v>557</v>
          </cell>
          <cell r="CH137">
            <v>591</v>
          </cell>
          <cell r="CK137">
            <v>522</v>
          </cell>
          <cell r="CN137">
            <v>516</v>
          </cell>
          <cell r="CQ137">
            <v>522</v>
          </cell>
          <cell r="CW137">
            <v>-6.2836624775583494E-2</v>
          </cell>
        </row>
        <row r="139">
          <cell r="B139" t="str">
            <v>Hotel Guests</v>
          </cell>
          <cell r="L139">
            <v>195104</v>
          </cell>
          <cell r="M139">
            <v>232418</v>
          </cell>
          <cell r="N139">
            <v>214982</v>
          </cell>
          <cell r="O139">
            <v>227198</v>
          </cell>
          <cell r="P139">
            <v>234328</v>
          </cell>
          <cell r="Q139">
            <v>196788</v>
          </cell>
          <cell r="R139">
            <v>248879</v>
          </cell>
          <cell r="S139">
            <v>268394</v>
          </cell>
          <cell r="T139">
            <v>206725</v>
          </cell>
          <cell r="U139">
            <v>227021</v>
          </cell>
          <cell r="V139">
            <v>213591</v>
          </cell>
          <cell r="W139">
            <v>224415</v>
          </cell>
          <cell r="X139">
            <v>229207</v>
          </cell>
          <cell r="Y139">
            <v>182303</v>
          </cell>
          <cell r="Z139">
            <v>223000</v>
          </cell>
          <cell r="AA139">
            <v>238356</v>
          </cell>
          <cell r="AB139">
            <v>224935</v>
          </cell>
          <cell r="AC139">
            <v>212838</v>
          </cell>
          <cell r="AD139">
            <v>243043</v>
          </cell>
          <cell r="AE139">
            <v>271109</v>
          </cell>
          <cell r="AF139">
            <v>207406</v>
          </cell>
          <cell r="AG139">
            <v>233175</v>
          </cell>
          <cell r="AH139">
            <v>233870</v>
          </cell>
          <cell r="AI139">
            <v>267611</v>
          </cell>
          <cell r="AJ139">
            <v>231779</v>
          </cell>
          <cell r="AK139">
            <v>235288</v>
          </cell>
          <cell r="AL139">
            <v>254568</v>
          </cell>
          <cell r="AM139">
            <v>275482</v>
          </cell>
          <cell r="AN139">
            <v>273308</v>
          </cell>
          <cell r="AO139">
            <v>229369</v>
          </cell>
          <cell r="AP139">
            <v>272872</v>
          </cell>
          <cell r="AQ139">
            <v>308286</v>
          </cell>
          <cell r="AR139">
            <v>238709</v>
          </cell>
          <cell r="AS139">
            <v>246984</v>
          </cell>
          <cell r="AT139">
            <v>285760</v>
          </cell>
          <cell r="AU139">
            <v>302396</v>
          </cell>
          <cell r="AV139">
            <v>242796</v>
          </cell>
          <cell r="AW139">
            <v>248037</v>
          </cell>
          <cell r="AX139">
            <v>272109</v>
          </cell>
          <cell r="AY139">
            <v>162809</v>
          </cell>
          <cell r="AZ139">
            <v>118395</v>
          </cell>
          <cell r="BA139">
            <v>189007</v>
          </cell>
          <cell r="BB139">
            <v>264842</v>
          </cell>
          <cell r="BC139">
            <v>350507</v>
          </cell>
          <cell r="BD139">
            <v>265668</v>
          </cell>
          <cell r="BE139">
            <v>280884</v>
          </cell>
          <cell r="BF139">
            <v>319501</v>
          </cell>
          <cell r="BG139">
            <v>328717</v>
          </cell>
          <cell r="BH139">
            <v>292180</v>
          </cell>
          <cell r="BI139">
            <v>264633</v>
          </cell>
          <cell r="BJ139">
            <v>352018</v>
          </cell>
          <cell r="BK139">
            <v>332605</v>
          </cell>
          <cell r="BL139">
            <v>314560</v>
          </cell>
          <cell r="BM139">
            <v>318192</v>
          </cell>
          <cell r="BN139">
            <v>375930</v>
          </cell>
          <cell r="BO139">
            <v>376912</v>
          </cell>
          <cell r="BP139">
            <v>297167</v>
          </cell>
          <cell r="BQ139">
            <v>332135</v>
          </cell>
          <cell r="BR139">
            <v>351974</v>
          </cell>
          <cell r="BS139">
            <v>347848</v>
          </cell>
          <cell r="BT139">
            <v>302774</v>
          </cell>
          <cell r="BU139">
            <v>288249</v>
          </cell>
          <cell r="BV139">
            <v>318686</v>
          </cell>
          <cell r="BW139">
            <v>330819</v>
          </cell>
          <cell r="BX139">
            <v>329184</v>
          </cell>
          <cell r="BY139">
            <v>335215</v>
          </cell>
          <cell r="BZ139">
            <v>379479</v>
          </cell>
          <cell r="CA139">
            <v>384807</v>
          </cell>
          <cell r="CB139">
            <v>325719</v>
          </cell>
          <cell r="CC139">
            <v>351692</v>
          </cell>
          <cell r="CD139">
            <v>387940</v>
          </cell>
          <cell r="CE139">
            <v>386524</v>
          </cell>
          <cell r="CF139">
            <v>327331</v>
          </cell>
          <cell r="CG139">
            <v>340115</v>
          </cell>
          <cell r="CH139">
            <v>399412</v>
          </cell>
          <cell r="CI139">
            <v>402224</v>
          </cell>
          <cell r="CJ139">
            <v>343016</v>
          </cell>
          <cell r="CK139">
            <v>346970</v>
          </cell>
          <cell r="CL139">
            <v>399230</v>
          </cell>
          <cell r="CM139">
            <v>419769</v>
          </cell>
          <cell r="CN139">
            <v>365094</v>
          </cell>
          <cell r="CO139">
            <v>412448</v>
          </cell>
          <cell r="CP139">
            <v>443377</v>
          </cell>
          <cell r="CQ139">
            <v>481868</v>
          </cell>
          <cell r="CR139">
            <v>429669</v>
          </cell>
          <cell r="CS139">
            <v>426186</v>
          </cell>
        </row>
        <row r="140">
          <cell r="B140" t="str">
            <v>% of Total</v>
          </cell>
          <cell r="L140">
            <v>0.30387569854155116</v>
          </cell>
          <cell r="M140">
            <v>0.28580528379102904</v>
          </cell>
          <cell r="N140">
            <v>0.29837434820564851</v>
          </cell>
          <cell r="O140">
            <v>0.28288047572149477</v>
          </cell>
          <cell r="P140">
            <v>0.31767602273220252</v>
          </cell>
          <cell r="Q140">
            <v>0.30316493917844689</v>
          </cell>
          <cell r="R140">
            <v>0.29340946039463306</v>
          </cell>
          <cell r="S140">
            <v>0.29789316894827156</v>
          </cell>
          <cell r="T140">
            <v>0.28495359553612903</v>
          </cell>
          <cell r="U140">
            <v>0.29065905645689938</v>
          </cell>
          <cell r="V140">
            <v>0.29203554342639398</v>
          </cell>
          <cell r="W140">
            <v>0.2772523705099299</v>
          </cell>
          <cell r="X140">
            <v>0.25879737416757181</v>
          </cell>
          <cell r="Y140">
            <v>0.25658951279759601</v>
          </cell>
          <cell r="Z140">
            <v>0.26022977238647038</v>
          </cell>
          <cell r="AA140">
            <v>0.25562993738913331</v>
          </cell>
          <cell r="AB140">
            <v>0.27348518376220099</v>
          </cell>
          <cell r="AC140">
            <v>0.26547738731075016</v>
          </cell>
          <cell r="AD140">
            <v>0.28569295909083431</v>
          </cell>
          <cell r="AE140">
            <v>0.25684656698205355</v>
          </cell>
          <cell r="AF140">
            <v>0.26491576969599434</v>
          </cell>
          <cell r="AG140">
            <v>0.27209745213862119</v>
          </cell>
          <cell r="AH140">
            <v>0.28460028548863459</v>
          </cell>
          <cell r="AI140">
            <v>0.29687978416084987</v>
          </cell>
          <cell r="AJ140">
            <v>0.29787625063455447</v>
          </cell>
          <cell r="AK140">
            <v>0.251678028232591</v>
          </cell>
          <cell r="AL140">
            <v>0.26518356321922898</v>
          </cell>
          <cell r="AM140">
            <v>0.27607390244684604</v>
          </cell>
          <cell r="AN140">
            <v>0.28972006207651013</v>
          </cell>
          <cell r="AO140">
            <v>0.26588266660484311</v>
          </cell>
          <cell r="AP140">
            <v>0.26854599260512407</v>
          </cell>
          <cell r="AQ140">
            <v>0.27705896150745613</v>
          </cell>
          <cell r="AR140">
            <v>0.26988076852632792</v>
          </cell>
          <cell r="AS140">
            <v>0.25434106978458904</v>
          </cell>
          <cell r="AT140">
            <v>0.28484933667066387</v>
          </cell>
          <cell r="AU140">
            <v>0.28356049417446139</v>
          </cell>
          <cell r="AV140">
            <v>0.24594084559259247</v>
          </cell>
          <cell r="AW140">
            <v>0.23680803652410021</v>
          </cell>
          <cell r="AX140">
            <v>0.28316488996374445</v>
          </cell>
          <cell r="AY140">
            <v>0.24643163111163582</v>
          </cell>
          <cell r="AZ140">
            <v>0.19844023411573042</v>
          </cell>
          <cell r="BA140">
            <v>0.2316889745874802</v>
          </cell>
          <cell r="BB140">
            <v>0.25299959495915203</v>
          </cell>
          <cell r="BC140">
            <v>0.27525481175852506</v>
          </cell>
          <cell r="BD140">
            <v>0.26538987141475734</v>
          </cell>
          <cell r="BE140">
            <v>0.25188204899649463</v>
          </cell>
          <cell r="BF140">
            <v>0.27552072823479296</v>
          </cell>
          <cell r="BG140">
            <v>0.26873484510326179</v>
          </cell>
          <cell r="BH140">
            <v>0.21904338510418017</v>
          </cell>
          <cell r="BI140">
            <v>0.23828595971974725</v>
          </cell>
          <cell r="BJ140">
            <v>0.26933550218938673</v>
          </cell>
          <cell r="BK140">
            <v>0.24541749123047796</v>
          </cell>
          <cell r="BL140">
            <v>0.23697239440354614</v>
          </cell>
          <cell r="BM140">
            <v>0.24461912797469182</v>
          </cell>
          <cell r="BN140">
            <v>0.24667759861887317</v>
          </cell>
          <cell r="BO140">
            <v>0.23295032796804435</v>
          </cell>
          <cell r="BP140">
            <v>0.22628175206604018</v>
          </cell>
          <cell r="BQ140">
            <v>0.22004395115154798</v>
          </cell>
          <cell r="BR140">
            <v>0.24196672986681222</v>
          </cell>
          <cell r="BS140">
            <v>0.22908821247601097</v>
          </cell>
          <cell r="BT140">
            <v>0.2160450793791239</v>
          </cell>
          <cell r="BU140">
            <v>0.1893149173447875</v>
          </cell>
          <cell r="BV140">
            <v>0.20788483704752728</v>
          </cell>
          <cell r="BW140">
            <v>0.22147738623491323</v>
          </cell>
          <cell r="BX140">
            <v>0.21382054569759421</v>
          </cell>
          <cell r="BY140">
            <v>0.23391308898696858</v>
          </cell>
          <cell r="BZ140">
            <v>0.22781625287262475</v>
          </cell>
          <cell r="CA140">
            <v>0.22216429582185149</v>
          </cell>
          <cell r="CB140">
            <v>0.22411986307260937</v>
          </cell>
          <cell r="CC140">
            <v>0.21140126098280682</v>
          </cell>
          <cell r="CD140">
            <v>0.24161849638979838</v>
          </cell>
          <cell r="CE140">
            <v>0.23179572059105738</v>
          </cell>
          <cell r="CF140">
            <v>0.19702201706640152</v>
          </cell>
          <cell r="CG140">
            <v>0.19173009471646507</v>
          </cell>
          <cell r="CH140">
            <v>0.22034104945167399</v>
          </cell>
          <cell r="CI140">
            <v>0.2150569369635259</v>
          </cell>
          <cell r="CJ140">
            <v>0.2009284452788411</v>
          </cell>
          <cell r="CK140">
            <v>0.21726457160425874</v>
          </cell>
          <cell r="CL140">
            <v>0.22151779333365884</v>
          </cell>
          <cell r="CM140">
            <v>0.21837457595111545</v>
          </cell>
          <cell r="CN140">
            <v>0.20876555260309362</v>
          </cell>
          <cell r="CO140">
            <v>0.20727821701172161</v>
          </cell>
          <cell r="CP140">
            <v>0.22742145371599978</v>
          </cell>
          <cell r="CQ140">
            <v>0.22278617256233132</v>
          </cell>
          <cell r="CR140">
            <v>0.21074933489244485</v>
          </cell>
          <cell r="CS140">
            <v>0.19644533804965134</v>
          </cell>
        </row>
        <row r="141">
          <cell r="B141" t="str">
            <v>Overnight Guests per Room</v>
          </cell>
          <cell r="L141">
            <v>1.7204521783077502</v>
          </cell>
          <cell r="M141">
            <v>1.754790822008587</v>
          </cell>
          <cell r="N141">
            <v>1.7416082981822836</v>
          </cell>
          <cell r="O141">
            <v>1.7613682053826609</v>
          </cell>
          <cell r="P141">
            <v>1.7443711705790543</v>
          </cell>
          <cell r="Q141">
            <v>1.7178079590948223</v>
          </cell>
          <cell r="R141">
            <v>1.7671273827723311</v>
          </cell>
          <cell r="S141">
            <v>1.7657908048697504</v>
          </cell>
          <cell r="T141">
            <v>1.7615093019791002</v>
          </cell>
          <cell r="U141">
            <v>1.782889096238109</v>
          </cell>
          <cell r="V141">
            <v>1.7632217633847718</v>
          </cell>
          <cell r="W141">
            <v>1.7896504034299374</v>
          </cell>
          <cell r="X141">
            <v>1.7967011227672887</v>
          </cell>
          <cell r="Y141">
            <v>1.8109299380267174</v>
          </cell>
          <cell r="Z141">
            <v>1.7610027689912777</v>
          </cell>
          <cell r="AA141">
            <v>1.7898152533861165</v>
          </cell>
          <cell r="AB141">
            <v>1.7524219361215381</v>
          </cell>
          <cell r="AC141">
            <v>1.8262676325551288</v>
          </cell>
          <cell r="AD141">
            <v>1.7414872690660657</v>
          </cell>
          <cell r="AE141">
            <v>1.7739564993999986</v>
          </cell>
          <cell r="AF141">
            <v>1.7994407966084986</v>
          </cell>
          <cell r="AG141">
            <v>1.7904557153082599</v>
          </cell>
          <cell r="AH141">
            <v>1.7734368625538279</v>
          </cell>
          <cell r="AI141">
            <v>1.7822381983053024</v>
          </cell>
          <cell r="AJ141">
            <v>1.8366562607636649</v>
          </cell>
          <cell r="AK141">
            <v>1.8382304502544702</v>
          </cell>
          <cell r="AL141">
            <v>1.8075244828261412</v>
          </cell>
          <cell r="AM141">
            <v>1.8307206162483864</v>
          </cell>
          <cell r="AN141">
            <v>1.7835007355583208</v>
          </cell>
          <cell r="AO141">
            <v>1.7469981893532804</v>
          </cell>
          <cell r="AP141">
            <v>1.7771235321866077</v>
          </cell>
          <cell r="AQ141">
            <v>1.7606042835962585</v>
          </cell>
          <cell r="AR141">
            <v>1.7193582937002698</v>
          </cell>
          <cell r="AS141">
            <v>1.7175082378062465</v>
          </cell>
          <cell r="AT141">
            <v>1.7544927894865201</v>
          </cell>
          <cell r="AU141">
            <v>1.7414268035776646</v>
          </cell>
          <cell r="AV141">
            <v>1.7127346844168969</v>
          </cell>
          <cell r="AW141">
            <v>1.7242156442116812</v>
          </cell>
          <cell r="AX141">
            <v>1.7459603398895274</v>
          </cell>
          <cell r="AY141">
            <v>1.7471586412893978</v>
          </cell>
          <cell r="AZ141">
            <v>1.7409698389887807</v>
          </cell>
          <cell r="BA141">
            <v>1.7600419342471909</v>
          </cell>
          <cell r="BB141">
            <v>1.7411882492803719</v>
          </cell>
          <cell r="BC141">
            <v>1.8012611702110741</v>
          </cell>
          <cell r="BD141">
            <v>1.7491205240646037</v>
          </cell>
          <cell r="BE141">
            <v>1.7545128864327935</v>
          </cell>
          <cell r="BF141">
            <v>1.7910834164841172</v>
          </cell>
          <cell r="BG141">
            <v>1.7894080605035061</v>
          </cell>
          <cell r="BH141">
            <v>1.8595244996796543</v>
          </cell>
          <cell r="BI141">
            <v>1.7996101006683698</v>
          </cell>
          <cell r="BJ141">
            <v>1.8623882219685244</v>
          </cell>
          <cell r="BK141">
            <v>1.8238491425052623</v>
          </cell>
          <cell r="BL141">
            <v>1.8233434535624129</v>
          </cell>
          <cell r="BM141">
            <v>1.8262179636182065</v>
          </cell>
          <cell r="BN141">
            <v>1.8298612116443747</v>
          </cell>
          <cell r="BO141">
            <v>1.8294381650689047</v>
          </cell>
          <cell r="BP141">
            <v>1.802264125497145</v>
          </cell>
          <cell r="BQ141">
            <v>1.7891380775120251</v>
          </cell>
          <cell r="BR141">
            <v>1.8032294288712736</v>
          </cell>
          <cell r="BS141">
            <v>1.7930045672121</v>
          </cell>
          <cell r="BT141">
            <v>1.7707516637550558</v>
          </cell>
          <cell r="BU141">
            <v>1.7948647890495402</v>
          </cell>
          <cell r="BV141">
            <v>1.7671867875900928</v>
          </cell>
          <cell r="BW141">
            <v>1.7942362675505745</v>
          </cell>
          <cell r="BX141">
            <v>1.7881638732699623</v>
          </cell>
          <cell r="BY141">
            <v>1.7812429842119901</v>
          </cell>
          <cell r="BZ141">
            <v>1.816305085540721</v>
          </cell>
          <cell r="CA141">
            <v>1.801960760508087</v>
          </cell>
          <cell r="CB141">
            <v>1.7767508502759704</v>
          </cell>
          <cell r="CC141">
            <v>1.7698957994103974</v>
          </cell>
          <cell r="CD141">
            <v>1.7492732273745857</v>
          </cell>
          <cell r="CE141">
            <v>1.7245801669474989</v>
          </cell>
          <cell r="CF141">
            <v>1.7232062696170798</v>
          </cell>
          <cell r="CG141">
            <v>1.7685641177266627</v>
          </cell>
          <cell r="CH141">
            <v>1.7459771160505759</v>
          </cell>
          <cell r="CI141">
            <v>1.766391458103836</v>
          </cell>
          <cell r="CJ141">
            <v>1.7183078599922548</v>
          </cell>
          <cell r="CK141">
            <v>1.6794064237884461</v>
          </cell>
          <cell r="CL141">
            <v>1.7397278628631498</v>
          </cell>
          <cell r="CM141">
            <v>1.7934287340460697</v>
          </cell>
          <cell r="CN141">
            <v>1.7208022608180238</v>
          </cell>
          <cell r="CO141">
            <v>1.7326388933775594</v>
          </cell>
          <cell r="CP141">
            <v>1.8010223261377463</v>
          </cell>
          <cell r="CQ141">
            <v>1.8561120428021256</v>
          </cell>
          <cell r="CR141">
            <v>1.7926660441647932</v>
          </cell>
          <cell r="CS141">
            <v>1.8859357165320663</v>
          </cell>
        </row>
        <row r="142">
          <cell r="B142" t="str">
            <v>Other Overnight Guests</v>
          </cell>
          <cell r="L142">
            <v>178882</v>
          </cell>
          <cell r="M142">
            <v>272421</v>
          </cell>
          <cell r="N142">
            <v>198003</v>
          </cell>
          <cell r="O142">
            <v>229839</v>
          </cell>
          <cell r="P142">
            <v>187850</v>
          </cell>
          <cell r="Q142">
            <v>158044</v>
          </cell>
          <cell r="R142">
            <v>217829</v>
          </cell>
          <cell r="S142">
            <v>248642</v>
          </cell>
          <cell r="T142">
            <v>185513</v>
          </cell>
          <cell r="U142">
            <v>200810</v>
          </cell>
          <cell r="V142">
            <v>193187</v>
          </cell>
          <cell r="W142">
            <v>235855</v>
          </cell>
          <cell r="X142">
            <v>293715</v>
          </cell>
          <cell r="Y142">
            <v>211545</v>
          </cell>
          <cell r="Z142">
            <v>250458</v>
          </cell>
          <cell r="AA142">
            <v>279598</v>
          </cell>
          <cell r="AB142">
            <v>228103</v>
          </cell>
          <cell r="AC142">
            <v>233077</v>
          </cell>
          <cell r="AD142">
            <v>232020</v>
          </cell>
          <cell r="AE142">
            <v>347416</v>
          </cell>
          <cell r="AF142">
            <v>241600</v>
          </cell>
          <cell r="AG142">
            <v>254745</v>
          </cell>
          <cell r="AH142">
            <v>245031</v>
          </cell>
          <cell r="AI142">
            <v>257674</v>
          </cell>
          <cell r="AJ142">
            <v>218010</v>
          </cell>
          <cell r="AK142">
            <v>320997</v>
          </cell>
          <cell r="AL142">
            <v>283160</v>
          </cell>
          <cell r="AM142">
            <v>302486</v>
          </cell>
          <cell r="AN142">
            <v>282090</v>
          </cell>
          <cell r="AO142">
            <v>269923</v>
          </cell>
          <cell r="AP142">
            <v>323771</v>
          </cell>
          <cell r="AQ142">
            <v>329641</v>
          </cell>
          <cell r="AR142">
            <v>235980</v>
          </cell>
          <cell r="AS142">
            <v>258502</v>
          </cell>
          <cell r="AT142">
            <v>276300</v>
          </cell>
          <cell r="AU142">
            <v>309498</v>
          </cell>
          <cell r="AV142">
            <v>308457</v>
          </cell>
          <cell r="AW142">
            <v>302582</v>
          </cell>
          <cell r="AX142">
            <v>236839</v>
          </cell>
          <cell r="AY142">
            <v>193366</v>
          </cell>
          <cell r="AZ142">
            <v>197979</v>
          </cell>
          <cell r="BA142">
            <v>235829</v>
          </cell>
          <cell r="BB142">
            <v>290443</v>
          </cell>
          <cell r="BC142">
            <v>359831</v>
          </cell>
          <cell r="BD142">
            <v>251178</v>
          </cell>
          <cell r="BE142">
            <v>284358</v>
          </cell>
          <cell r="BF142">
            <v>284832</v>
          </cell>
          <cell r="BG142">
            <v>319549</v>
          </cell>
          <cell r="BH142">
            <v>394828</v>
          </cell>
          <cell r="BI142">
            <v>276652</v>
          </cell>
          <cell r="BJ142">
            <v>308121</v>
          </cell>
          <cell r="BK142">
            <v>347034</v>
          </cell>
          <cell r="BL142">
            <v>338998</v>
          </cell>
          <cell r="BM142">
            <v>323254</v>
          </cell>
          <cell r="BN142">
            <v>416977</v>
          </cell>
          <cell r="BO142">
            <v>442307</v>
          </cell>
          <cell r="BP142">
            <v>348227</v>
          </cell>
          <cell r="BQ142">
            <v>391899</v>
          </cell>
          <cell r="BR142">
            <v>368565</v>
          </cell>
          <cell r="BS142">
            <v>410415</v>
          </cell>
          <cell r="BT142">
            <v>363799</v>
          </cell>
          <cell r="BU142">
            <v>437198</v>
          </cell>
          <cell r="BV142">
            <v>398386</v>
          </cell>
          <cell r="BW142">
            <v>378843</v>
          </cell>
          <cell r="BX142">
            <v>396930</v>
          </cell>
          <cell r="BY142">
            <v>349095</v>
          </cell>
          <cell r="BZ142">
            <v>436595</v>
          </cell>
          <cell r="CA142">
            <v>462653</v>
          </cell>
          <cell r="CB142">
            <v>386811</v>
          </cell>
          <cell r="CC142">
            <v>433773</v>
          </cell>
          <cell r="CD142">
            <v>399522</v>
          </cell>
          <cell r="CE142">
            <v>449371</v>
          </cell>
          <cell r="CF142">
            <v>470343</v>
          </cell>
          <cell r="CG142">
            <v>494722</v>
          </cell>
          <cell r="CH142">
            <v>462227</v>
          </cell>
          <cell r="CI142">
            <v>507945</v>
          </cell>
          <cell r="CJ142">
            <v>474436</v>
          </cell>
          <cell r="CK142">
            <v>425670</v>
          </cell>
          <cell r="CL142">
            <v>494277</v>
          </cell>
          <cell r="CM142">
            <v>528217</v>
          </cell>
          <cell r="CN142">
            <v>484931</v>
          </cell>
          <cell r="CO142">
            <v>553190</v>
          </cell>
          <cell r="CP142">
            <v>502851</v>
          </cell>
          <cell r="CQ142">
            <v>603000</v>
          </cell>
          <cell r="CR142">
            <v>553846</v>
          </cell>
          <cell r="CS142">
            <v>595477</v>
          </cell>
        </row>
        <row r="144">
          <cell r="B144" t="str">
            <v>From Mainland China</v>
          </cell>
          <cell r="CJ144">
            <v>200543</v>
          </cell>
          <cell r="CK144">
            <v>196699</v>
          </cell>
          <cell r="CL144">
            <v>216010</v>
          </cell>
          <cell r="CM144">
            <v>220256</v>
          </cell>
          <cell r="CN144">
            <v>193469</v>
          </cell>
          <cell r="CO144">
            <v>217507</v>
          </cell>
          <cell r="CP144">
            <v>251866</v>
          </cell>
          <cell r="CQ144">
            <v>252643</v>
          </cell>
          <cell r="CR144">
            <v>230238</v>
          </cell>
          <cell r="CS144">
            <v>228127</v>
          </cell>
        </row>
        <row r="145">
          <cell r="B145" t="str">
            <v>Share of Mainland China</v>
          </cell>
          <cell r="CJ145">
            <v>0.20448756513138441</v>
          </cell>
          <cell r="CK145">
            <v>0.22430768739537196</v>
          </cell>
          <cell r="CL145">
            <v>0.22729807710519837</v>
          </cell>
          <cell r="CM145">
            <v>0.21615871162121977</v>
          </cell>
          <cell r="CN145">
            <v>0.21089228817189767</v>
          </cell>
          <cell r="CO145">
            <v>0.204867302064525</v>
          </cell>
          <cell r="CP145">
            <v>0.23556182391925284</v>
          </cell>
          <cell r="CQ145">
            <v>0.2211172133120364</v>
          </cell>
          <cell r="CR145">
            <v>0.1992074547704128</v>
          </cell>
          <cell r="CS145">
            <v>0.18423577449819661</v>
          </cell>
        </row>
        <row r="147">
          <cell r="B147" t="str">
            <v>Same Day Visitors</v>
          </cell>
          <cell r="L147">
            <v>268066</v>
          </cell>
          <cell r="M147">
            <v>308365</v>
          </cell>
          <cell r="N147">
            <v>307526</v>
          </cell>
          <cell r="O147">
            <v>346122</v>
          </cell>
          <cell r="P147">
            <v>315454</v>
          </cell>
          <cell r="Q147">
            <v>294280</v>
          </cell>
          <cell r="R147">
            <v>381523</v>
          </cell>
          <cell r="S147">
            <v>383938</v>
          </cell>
          <cell r="T147">
            <v>333231</v>
          </cell>
          <cell r="U147">
            <v>353225</v>
          </cell>
          <cell r="V147">
            <v>324609</v>
          </cell>
          <cell r="W147">
            <v>349155</v>
          </cell>
          <cell r="X147">
            <v>362740</v>
          </cell>
          <cell r="Y147">
            <v>316637</v>
          </cell>
          <cell r="Z147">
            <v>383477</v>
          </cell>
          <cell r="AA147">
            <v>414472</v>
          </cell>
          <cell r="AB147">
            <v>369438</v>
          </cell>
          <cell r="AC147">
            <v>355803</v>
          </cell>
          <cell r="AD147">
            <v>375651</v>
          </cell>
          <cell r="AE147">
            <v>437004</v>
          </cell>
          <cell r="AF147">
            <v>333907</v>
          </cell>
          <cell r="AG147">
            <v>369034</v>
          </cell>
          <cell r="AH147">
            <v>342848</v>
          </cell>
          <cell r="AI147">
            <v>376127</v>
          </cell>
          <cell r="AJ147">
            <v>328316</v>
          </cell>
          <cell r="AK147">
            <v>378592</v>
          </cell>
          <cell r="AL147">
            <v>422241</v>
          </cell>
          <cell r="AM147">
            <v>419888</v>
          </cell>
          <cell r="AN147">
            <v>387954</v>
          </cell>
          <cell r="AO147">
            <v>363378</v>
          </cell>
          <cell r="AP147">
            <v>419466</v>
          </cell>
          <cell r="AQ147">
            <v>474782</v>
          </cell>
          <cell r="AR147">
            <v>409809</v>
          </cell>
          <cell r="AS147">
            <v>465588</v>
          </cell>
          <cell r="AT147">
            <v>441137</v>
          </cell>
          <cell r="AU147">
            <v>454531</v>
          </cell>
          <cell r="AV147">
            <v>435960</v>
          </cell>
          <cell r="AW147">
            <v>496799</v>
          </cell>
          <cell r="AX147">
            <v>452008</v>
          </cell>
          <cell r="AY147">
            <v>304491</v>
          </cell>
          <cell r="AZ147">
            <v>280254</v>
          </cell>
          <cell r="BA147">
            <v>390943</v>
          </cell>
          <cell r="BB147">
            <v>491523</v>
          </cell>
          <cell r="BC147">
            <v>563053</v>
          </cell>
          <cell r="BD147">
            <v>484202</v>
          </cell>
          <cell r="BE147">
            <v>549899</v>
          </cell>
          <cell r="BF147">
            <v>555293</v>
          </cell>
          <cell r="BG147">
            <v>574936</v>
          </cell>
          <cell r="BH147">
            <v>646883</v>
          </cell>
          <cell r="BI147">
            <v>569284</v>
          </cell>
          <cell r="BJ147">
            <v>646848</v>
          </cell>
          <cell r="BK147">
            <v>675623</v>
          </cell>
          <cell r="BL147">
            <v>673854</v>
          </cell>
          <cell r="BM147">
            <v>659319</v>
          </cell>
          <cell r="BN147">
            <v>731066</v>
          </cell>
          <cell r="BO147">
            <v>798774</v>
          </cell>
          <cell r="BP147">
            <v>667867</v>
          </cell>
          <cell r="BQ147">
            <v>785369</v>
          </cell>
          <cell r="BR147">
            <v>734099</v>
          </cell>
          <cell r="BS147">
            <v>760139</v>
          </cell>
          <cell r="BT147">
            <v>734866</v>
          </cell>
          <cell r="BU147">
            <v>797143</v>
          </cell>
          <cell r="BV147">
            <v>815921</v>
          </cell>
          <cell r="BW147">
            <v>784030</v>
          </cell>
          <cell r="BX147">
            <v>813420</v>
          </cell>
          <cell r="BY147">
            <v>748765</v>
          </cell>
          <cell r="BZ147">
            <v>849650</v>
          </cell>
          <cell r="CA147">
            <v>884623</v>
          </cell>
          <cell r="CB147">
            <v>740795</v>
          </cell>
          <cell r="CC147">
            <v>878158</v>
          </cell>
          <cell r="CD147">
            <v>818127</v>
          </cell>
          <cell r="CE147">
            <v>831625</v>
          </cell>
          <cell r="CF147">
            <v>863719</v>
          </cell>
          <cell r="CG147">
            <v>939089</v>
          </cell>
          <cell r="CH147">
            <v>951060</v>
          </cell>
          <cell r="CI147">
            <v>960145</v>
          </cell>
          <cell r="CJ147">
            <v>889703</v>
          </cell>
          <cell r="CK147">
            <v>824353</v>
          </cell>
          <cell r="CL147">
            <v>908741</v>
          </cell>
          <cell r="CM147">
            <v>974257</v>
          </cell>
          <cell r="CN147">
            <v>898798</v>
          </cell>
          <cell r="CO147">
            <v>1024190</v>
          </cell>
          <cell r="CP147">
            <v>1003355</v>
          </cell>
          <cell r="CQ147">
            <v>1078049</v>
          </cell>
          <cell r="CR147">
            <v>1055253</v>
          </cell>
          <cell r="CS147">
            <v>1147826</v>
          </cell>
          <cell r="CW147">
            <v>0.22175499207496885</v>
          </cell>
        </row>
        <row r="148">
          <cell r="B148" t="str">
            <v>% of Total</v>
          </cell>
          <cell r="L148">
            <v>0.4175144692330216</v>
          </cell>
          <cell r="M148">
            <v>0.37919759371572198</v>
          </cell>
          <cell r="N148">
            <v>0.42681652327306591</v>
          </cell>
          <cell r="O148">
            <v>0.43095078309525264</v>
          </cell>
          <cell r="P148">
            <v>0.42765769380937918</v>
          </cell>
          <cell r="Q148">
            <v>0.45335781806529535</v>
          </cell>
          <cell r="R148">
            <v>0.44978667367733555</v>
          </cell>
          <cell r="S148">
            <v>0.42613660327601016</v>
          </cell>
          <cell r="T148">
            <v>0.45933182534332961</v>
          </cell>
          <cell r="U148">
            <v>0.4522403003113733</v>
          </cell>
          <cell r="V148">
            <v>0.44382659248797146</v>
          </cell>
          <cell r="W148">
            <v>0.43136176915711771</v>
          </cell>
          <cell r="X148">
            <v>0.40956933909324322</v>
          </cell>
          <cell r="Y148">
            <v>0.44566317374751052</v>
          </cell>
          <cell r="Z148">
            <v>0.44749835168361662</v>
          </cell>
          <cell r="AA148">
            <v>0.44450926936829305</v>
          </cell>
          <cell r="AB148">
            <v>0.44917784835059016</v>
          </cell>
          <cell r="AC148">
            <v>0.44380068802247175</v>
          </cell>
          <cell r="AD148">
            <v>0.44157143293750895</v>
          </cell>
          <cell r="AE148">
            <v>0.41401420519947818</v>
          </cell>
          <cell r="AF148">
            <v>0.42649310970695337</v>
          </cell>
          <cell r="AG148">
            <v>0.43063454981247534</v>
          </cell>
          <cell r="AH148">
            <v>0.41721742283836061</v>
          </cell>
          <cell r="AI148">
            <v>0.41726424764702491</v>
          </cell>
          <cell r="AJ148">
            <v>0.4219430539580134</v>
          </cell>
          <cell r="AK148">
            <v>0.4049645033517778</v>
          </cell>
          <cell r="AL148">
            <v>0.43984857844367892</v>
          </cell>
          <cell r="AM148">
            <v>0.42079017413334191</v>
          </cell>
          <cell r="AN148">
            <v>0.41125051942435059</v>
          </cell>
          <cell r="AO148">
            <v>0.42122480206799817</v>
          </cell>
          <cell r="AP148">
            <v>0.41281594789535375</v>
          </cell>
          <cell r="AQ148">
            <v>0.42669017685666244</v>
          </cell>
          <cell r="AR148">
            <v>0.46332382888372842</v>
          </cell>
          <cell r="AS148">
            <v>0.47945676642562773</v>
          </cell>
          <cell r="AT148">
            <v>0.43973117941939621</v>
          </cell>
          <cell r="AU148">
            <v>0.42621937782778913</v>
          </cell>
          <cell r="AV148">
            <v>0.44160682649033189</v>
          </cell>
          <cell r="AW148">
            <v>0.47430825133805221</v>
          </cell>
          <cell r="AX148">
            <v>0.47037325330192015</v>
          </cell>
          <cell r="AY148">
            <v>0.46088492521183172</v>
          </cell>
          <cell r="AZ148">
            <v>0.46972988193648302</v>
          </cell>
          <cell r="BA148">
            <v>0.4792266042641451</v>
          </cell>
          <cell r="BB148">
            <v>0.46954455831441871</v>
          </cell>
          <cell r="BC148">
            <v>0.4421681950005929</v>
          </cell>
          <cell r="BD148">
            <v>0.48369508754824941</v>
          </cell>
          <cell r="BE148">
            <v>0.49312060089262255</v>
          </cell>
          <cell r="BF148">
            <v>0.47885525160698361</v>
          </cell>
          <cell r="BG148">
            <v>0.47002539237182411</v>
          </cell>
          <cell r="BH148">
            <v>0.48495941572437329</v>
          </cell>
          <cell r="BI148">
            <v>0.51260570032118669</v>
          </cell>
          <cell r="BJ148">
            <v>0.49491540466737621</v>
          </cell>
          <cell r="BK148">
            <v>0.49851836766617819</v>
          </cell>
          <cell r="BL148">
            <v>0.50764495122840536</v>
          </cell>
          <cell r="BM148">
            <v>0.50687018792787319</v>
          </cell>
          <cell r="BN148">
            <v>0.4797105985473496</v>
          </cell>
          <cell r="BO148">
            <v>0.49368198749932785</v>
          </cell>
          <cell r="BP148">
            <v>0.50855618190138896</v>
          </cell>
          <cell r="BQ148">
            <v>0.52031763551549848</v>
          </cell>
          <cell r="BR148">
            <v>0.50466095344683692</v>
          </cell>
          <cell r="BS148">
            <v>0.50061775471844738</v>
          </cell>
          <cell r="BT148">
            <v>0.52436531308176815</v>
          </cell>
          <cell r="BU148">
            <v>0.52354409263163426</v>
          </cell>
          <cell r="BV148">
            <v>0.5322405255601298</v>
          </cell>
          <cell r="BW148">
            <v>0.52489402098960158</v>
          </cell>
          <cell r="BX148">
            <v>0.52835468394981855</v>
          </cell>
          <cell r="BY148">
            <v>0.52248835545941419</v>
          </cell>
          <cell r="BZ148">
            <v>0.51007850039982616</v>
          </cell>
          <cell r="CA148">
            <v>0.51072783463610005</v>
          </cell>
          <cell r="CB148">
            <v>0.50972425300603785</v>
          </cell>
          <cell r="CC148">
            <v>0.52785877569617634</v>
          </cell>
          <cell r="CD148">
            <v>0.50954945505979421</v>
          </cell>
          <cell r="CE148">
            <v>0.49871965553636538</v>
          </cell>
          <cell r="CF148">
            <v>0.51987639288235832</v>
          </cell>
          <cell r="CG148">
            <v>0.52938454027958326</v>
          </cell>
          <cell r="CH148">
            <v>0.52466515400516023</v>
          </cell>
          <cell r="CI148">
            <v>0.51336032345370886</v>
          </cell>
          <cell r="CJ148">
            <v>0.52116123023392724</v>
          </cell>
          <cell r="CK148">
            <v>0.51619074097381767</v>
          </cell>
          <cell r="CL148">
            <v>0.50422638837718226</v>
          </cell>
          <cell r="CM148">
            <v>0.50683342324565628</v>
          </cell>
          <cell r="CN148">
            <v>0.51394452154391834</v>
          </cell>
          <cell r="CO148">
            <v>0.51471282945058572</v>
          </cell>
          <cell r="CP148">
            <v>0.51465108179544039</v>
          </cell>
          <cell r="CQ148">
            <v>0.49842365657119531</v>
          </cell>
          <cell r="CR148">
            <v>0.51759346821217522</v>
          </cell>
          <cell r="CS148">
            <v>0.52907666275330278</v>
          </cell>
        </row>
        <row r="149">
          <cell r="B149" t="str">
            <v>From Mainland China</v>
          </cell>
          <cell r="L149">
            <v>12458</v>
          </cell>
          <cell r="M149">
            <v>13840</v>
          </cell>
          <cell r="N149">
            <v>29757</v>
          </cell>
          <cell r="O149">
            <v>23029</v>
          </cell>
          <cell r="P149">
            <v>32113</v>
          </cell>
          <cell r="Q149">
            <v>22636</v>
          </cell>
          <cell r="R149">
            <v>28651</v>
          </cell>
          <cell r="S149">
            <v>21599</v>
          </cell>
          <cell r="T149">
            <v>19949</v>
          </cell>
          <cell r="U149">
            <v>14371</v>
          </cell>
          <cell r="V149">
            <v>14494</v>
          </cell>
          <cell r="W149">
            <v>17652</v>
          </cell>
          <cell r="X149">
            <v>16751</v>
          </cell>
          <cell r="Y149">
            <v>14063</v>
          </cell>
          <cell r="Z149">
            <v>23849</v>
          </cell>
          <cell r="AA149">
            <v>20003</v>
          </cell>
          <cell r="AB149">
            <v>20927</v>
          </cell>
          <cell r="AC149">
            <v>18472</v>
          </cell>
          <cell r="AD149">
            <v>21789</v>
          </cell>
          <cell r="AE149">
            <v>37245</v>
          </cell>
          <cell r="AF149">
            <v>21159</v>
          </cell>
          <cell r="AG149">
            <v>23356</v>
          </cell>
          <cell r="AH149">
            <v>24141</v>
          </cell>
          <cell r="AI149">
            <v>29848</v>
          </cell>
          <cell r="AJ149">
            <v>28133</v>
          </cell>
          <cell r="AK149">
            <v>28926</v>
          </cell>
          <cell r="AL149">
            <v>37708</v>
          </cell>
          <cell r="AM149">
            <v>26757</v>
          </cell>
          <cell r="AN149">
            <v>28145</v>
          </cell>
          <cell r="AO149">
            <v>20203</v>
          </cell>
          <cell r="AP149">
            <v>33291</v>
          </cell>
          <cell r="AQ149">
            <v>75762</v>
          </cell>
          <cell r="AR149">
            <v>83226</v>
          </cell>
          <cell r="AS149">
            <v>104790</v>
          </cell>
          <cell r="AT149">
            <v>107722</v>
          </cell>
          <cell r="AU149">
            <v>115015</v>
          </cell>
          <cell r="AV149">
            <v>135917</v>
          </cell>
          <cell r="AW149">
            <v>136869</v>
          </cell>
          <cell r="AX149">
            <v>150318</v>
          </cell>
          <cell r="AY149">
            <v>110578</v>
          </cell>
          <cell r="AZ149">
            <v>114674</v>
          </cell>
          <cell r="BA149">
            <v>165006</v>
          </cell>
          <cell r="BB149">
            <v>171319</v>
          </cell>
          <cell r="BC149">
            <v>205277</v>
          </cell>
          <cell r="BD149">
            <v>191420</v>
          </cell>
          <cell r="BE149">
            <v>244046</v>
          </cell>
          <cell r="BF149">
            <v>270224</v>
          </cell>
          <cell r="BG149">
            <v>277719</v>
          </cell>
          <cell r="BH149">
            <v>335315</v>
          </cell>
          <cell r="BI149">
            <v>318631</v>
          </cell>
          <cell r="BJ149">
            <v>360754</v>
          </cell>
          <cell r="BK149">
            <v>328872</v>
          </cell>
          <cell r="BL149">
            <v>387621</v>
          </cell>
          <cell r="BM149">
            <v>346745</v>
          </cell>
          <cell r="BN149">
            <v>382349</v>
          </cell>
          <cell r="BO149">
            <v>405899</v>
          </cell>
          <cell r="BP149">
            <v>325016</v>
          </cell>
          <cell r="BQ149">
            <v>401738</v>
          </cell>
          <cell r="BR149">
            <v>363750</v>
          </cell>
          <cell r="BS149">
            <v>360442</v>
          </cell>
          <cell r="BT149">
            <v>387336</v>
          </cell>
          <cell r="BU149">
            <v>400525</v>
          </cell>
          <cell r="BV149">
            <v>393414</v>
          </cell>
          <cell r="BW149">
            <v>374821</v>
          </cell>
          <cell r="BX149">
            <v>410488</v>
          </cell>
          <cell r="BY149">
            <v>372914</v>
          </cell>
          <cell r="BZ149">
            <v>417058</v>
          </cell>
          <cell r="CA149">
            <v>437544</v>
          </cell>
          <cell r="CB149">
            <v>359298</v>
          </cell>
          <cell r="CC149">
            <v>460891</v>
          </cell>
          <cell r="CD149">
            <v>420513</v>
          </cell>
          <cell r="CE149">
            <v>412437</v>
          </cell>
          <cell r="CF149">
            <v>457232</v>
          </cell>
          <cell r="CG149">
            <v>489712</v>
          </cell>
          <cell r="CH149">
            <v>490644</v>
          </cell>
          <cell r="CI149">
            <v>452255</v>
          </cell>
          <cell r="CJ149">
            <v>464753</v>
          </cell>
          <cell r="CK149">
            <v>408185</v>
          </cell>
          <cell r="CL149">
            <v>431787</v>
          </cell>
          <cell r="CM149">
            <v>472919</v>
          </cell>
          <cell r="CN149">
            <v>426228</v>
          </cell>
          <cell r="CO149">
            <v>498328</v>
          </cell>
          <cell r="CP149">
            <v>495241</v>
          </cell>
          <cell r="CQ149">
            <v>527336</v>
          </cell>
          <cell r="CR149">
            <v>554309</v>
          </cell>
          <cell r="CS149">
            <v>642115</v>
          </cell>
        </row>
        <row r="150">
          <cell r="B150" t="str">
            <v>Share of Mainland China</v>
          </cell>
          <cell r="L150">
            <v>6.8567717363186551E-2</v>
          </cell>
          <cell r="M150">
            <v>7.1979487926273039E-2</v>
          </cell>
          <cell r="N150">
            <v>0.14552309971978111</v>
          </cell>
          <cell r="O150">
            <v>0.13106105445274085</v>
          </cell>
          <cell r="P150">
            <v>0.14562926280655927</v>
          </cell>
          <cell r="Q150">
            <v>0.14822284501951336</v>
          </cell>
          <cell r="R150">
            <v>0.15230738970725044</v>
          </cell>
          <cell r="S150">
            <v>0.11007766950707383</v>
          </cell>
          <cell r="T150">
            <v>0.12021018252375701</v>
          </cell>
          <cell r="U150">
            <v>7.3229144904125923E-2</v>
          </cell>
          <cell r="V150">
            <v>7.4118014042228966E-2</v>
          </cell>
          <cell r="W150">
            <v>8.6004950205608929E-2</v>
          </cell>
          <cell r="X150">
            <v>7.2732088350100518E-2</v>
          </cell>
          <cell r="Y150">
            <v>7.3525874959480514E-2</v>
          </cell>
          <cell r="Z150">
            <v>0.10304169367033916</v>
          </cell>
          <cell r="AA150">
            <v>8.3941468000016783E-2</v>
          </cell>
          <cell r="AB150">
            <v>8.3237210338326428E-2</v>
          </cell>
          <cell r="AC150">
            <v>8.505543890669319E-2</v>
          </cell>
          <cell r="AD150">
            <v>9.8321375389197233E-2</v>
          </cell>
          <cell r="AE150">
            <v>0.11452036430051718</v>
          </cell>
          <cell r="AF150">
            <v>8.6724677123850819E-2</v>
          </cell>
          <cell r="AG150">
            <v>8.2563002188152865E-2</v>
          </cell>
          <cell r="AH150">
            <v>8.4625388668239446E-2</v>
          </cell>
          <cell r="AI150">
            <v>0.10405909976746375</v>
          </cell>
          <cell r="AJ150">
            <v>0.10402023242142004</v>
          </cell>
          <cell r="AK150">
            <v>9.6572584683800408E-2</v>
          </cell>
          <cell r="AL150">
            <v>0.12428682081115378</v>
          </cell>
          <cell r="AM150">
            <v>7.5153568088172099E-2</v>
          </cell>
          <cell r="AN150">
            <v>7.8848357337561736E-2</v>
          </cell>
          <cell r="AO150">
            <v>7.1100271689401293E-2</v>
          </cell>
          <cell r="AP150">
            <v>9.5404719941538069E-2</v>
          </cell>
          <cell r="AQ150">
            <v>0.19544876441770653</v>
          </cell>
          <cell r="AR150">
            <v>0.2464414839907495</v>
          </cell>
          <cell r="AS150">
            <v>0.27457094196253112</v>
          </cell>
          <cell r="AT150">
            <v>0.24205124056822114</v>
          </cell>
          <cell r="AU150">
            <v>0.24525388996573291</v>
          </cell>
          <cell r="AV150">
            <v>0.29071911362080766</v>
          </cell>
          <cell r="AW150">
            <v>0.32896773511258098</v>
          </cell>
          <cell r="AX150">
            <v>0.33057993006531633</v>
          </cell>
          <cell r="AY150">
            <v>0.37035374814953748</v>
          </cell>
          <cell r="AZ150">
            <v>0.42387547729146108</v>
          </cell>
          <cell r="BA150">
            <v>0.44857236840316761</v>
          </cell>
          <cell r="BB150">
            <v>0.38143870828407239</v>
          </cell>
          <cell r="BC150">
            <v>0.34988409749446053</v>
          </cell>
          <cell r="BD150">
            <v>0.38393806285977899</v>
          </cell>
          <cell r="BE150">
            <v>0.41274533846348993</v>
          </cell>
          <cell r="BF150">
            <v>0.40897980557779534</v>
          </cell>
          <cell r="BG150">
            <v>0.40818159237250895</v>
          </cell>
          <cell r="BH150">
            <v>0.45438222771485642</v>
          </cell>
          <cell r="BI150">
            <v>0.48293961265524255</v>
          </cell>
          <cell r="BJ150">
            <v>0.45561885805435537</v>
          </cell>
          <cell r="BK150">
            <v>0.45043060942738805</v>
          </cell>
          <cell r="BL150">
            <v>0.47703618559098948</v>
          </cell>
          <cell r="BM150">
            <v>0.47257911299676036</v>
          </cell>
          <cell r="BN150">
            <v>0.44284776120094466</v>
          </cell>
          <cell r="BO150">
            <v>0.45369535159520302</v>
          </cell>
          <cell r="BP150">
            <v>0.44188541183732349</v>
          </cell>
          <cell r="BQ150">
            <v>0.45821689847184233</v>
          </cell>
          <cell r="BR150">
            <v>0.42580164842304141</v>
          </cell>
          <cell r="BS150">
            <v>0.42949234296281819</v>
          </cell>
          <cell r="BT150">
            <v>0.46926440282477455</v>
          </cell>
          <cell r="BU150">
            <v>0.48120532909146174</v>
          </cell>
          <cell r="BV150">
            <v>0.47555867694468656</v>
          </cell>
          <cell r="BW150">
            <v>0.45122623610763335</v>
          </cell>
          <cell r="BX150">
            <v>0.47080304947074686</v>
          </cell>
          <cell r="BY150">
            <v>0.46439752629494674</v>
          </cell>
          <cell r="BZ150">
            <v>0.45665801290509078</v>
          </cell>
          <cell r="CA150">
            <v>0.46541837169945188</v>
          </cell>
          <cell r="CB150">
            <v>0.45073896260464091</v>
          </cell>
          <cell r="CC150">
            <v>0.47874731744610483</v>
          </cell>
          <cell r="CD150">
            <v>0.45016443072285289</v>
          </cell>
          <cell r="CE150">
            <v>0.44586482340515465</v>
          </cell>
          <cell r="CF150">
            <v>0.49285188422887338</v>
          </cell>
          <cell r="CG150">
            <v>0.48665821967156098</v>
          </cell>
          <cell r="CH150">
            <v>0.47007312976821319</v>
          </cell>
          <cell r="CI150">
            <v>0.45679277947126756</v>
          </cell>
          <cell r="CJ150">
            <v>0.47389442342792465</v>
          </cell>
          <cell r="CK150">
            <v>0.46547787929516626</v>
          </cell>
          <cell r="CL150">
            <v>0.45435097828351595</v>
          </cell>
          <cell r="CM150">
            <v>0.46412157553572042</v>
          </cell>
          <cell r="CN150">
            <v>0.46461292611700894</v>
          </cell>
          <cell r="CO150">
            <v>0.46936932100213147</v>
          </cell>
          <cell r="CP150">
            <v>0.46318230026916968</v>
          </cell>
          <cell r="CQ150">
            <v>0.46153294094479574</v>
          </cell>
          <cell r="CR150">
            <v>0.47960147780267698</v>
          </cell>
          <cell r="CS150">
            <v>0.51857322606227907</v>
          </cell>
        </row>
        <row r="151">
          <cell r="B151" t="str">
            <v xml:space="preserve">   % Change</v>
          </cell>
          <cell r="X151">
            <v>0.34459784877187349</v>
          </cell>
          <cell r="Y151">
            <v>1.6112716763005741E-2</v>
          </cell>
          <cell r="Z151">
            <v>-0.19854151964243705</v>
          </cell>
          <cell r="AA151">
            <v>-0.13139953971079943</v>
          </cell>
          <cell r="AB151">
            <v>-0.34833245103229227</v>
          </cell>
          <cell r="AC151">
            <v>-0.18395476232549923</v>
          </cell>
          <cell r="AD151">
            <v>-0.2395029841890336</v>
          </cell>
          <cell r="AE151">
            <v>0.72438538821241716</v>
          </cell>
          <cell r="AF151">
            <v>6.0654669406987827E-2</v>
          </cell>
          <cell r="AG151">
            <v>0.62521745181267829</v>
          </cell>
          <cell r="AH151">
            <v>0.66558575962467237</v>
          </cell>
          <cell r="AI151">
            <v>0.69091321096759573</v>
          </cell>
          <cell r="AJ151">
            <v>0.67948182198077722</v>
          </cell>
          <cell r="AK151">
            <v>1.0568868662447559</v>
          </cell>
          <cell r="AL151">
            <v>0.58111451213887366</v>
          </cell>
          <cell r="AM151">
            <v>0.33764935259711049</v>
          </cell>
          <cell r="AN151">
            <v>0.34491326993835725</v>
          </cell>
          <cell r="AO151">
            <v>9.3709398007795652E-2</v>
          </cell>
          <cell r="AP151">
            <v>0.52788104089219323</v>
          </cell>
          <cell r="AQ151">
            <v>1.0341522351993557</v>
          </cell>
          <cell r="AR151">
            <v>2.9333616900609671</v>
          </cell>
          <cell r="AS151">
            <v>3.4866415482103097</v>
          </cell>
          <cell r="AT151">
            <v>3.4622012344144819</v>
          </cell>
          <cell r="AU151">
            <v>2.8533570088448137</v>
          </cell>
          <cell r="AV151">
            <v>3.8312302278463015</v>
          </cell>
          <cell r="AW151">
            <v>3.7316946691557771</v>
          </cell>
          <cell r="AX151">
            <v>2.986368940277925</v>
          </cell>
          <cell r="AY151">
            <v>3.132675561535299</v>
          </cell>
          <cell r="AZ151">
            <v>3.074400426363475</v>
          </cell>
          <cell r="BA151">
            <v>7.1674008810572687</v>
          </cell>
          <cell r="BB151">
            <v>4.1461055540536478</v>
          </cell>
          <cell r="BC151">
            <v>1.7094981653071462</v>
          </cell>
          <cell r="BD151">
            <v>1.3000024030951867</v>
          </cell>
          <cell r="BE151">
            <v>1.3289054299074339</v>
          </cell>
          <cell r="BF151">
            <v>1.5085312192495497</v>
          </cell>
          <cell r="BG151">
            <v>1.4146328739729599</v>
          </cell>
          <cell r="BH151">
            <v>1.4670571010248903</v>
          </cell>
          <cell r="BI151">
            <v>1.3279997661997971</v>
          </cell>
          <cell r="BJ151">
            <v>1.3999387964182599</v>
          </cell>
          <cell r="BK151">
            <v>1.9741178172873446</v>
          </cell>
          <cell r="BL151">
            <v>2.380199522123585</v>
          </cell>
          <cell r="BM151">
            <v>1.1014084336327166</v>
          </cell>
          <cell r="BN151">
            <v>1.2317956560568297</v>
          </cell>
          <cell r="BO151">
            <v>0.97732332409378553</v>
          </cell>
          <cell r="BP151">
            <v>0.69792080242398913</v>
          </cell>
          <cell r="BQ151">
            <v>0.64615687206510253</v>
          </cell>
          <cell r="BR151">
            <v>0.34610545325359698</v>
          </cell>
          <cell r="BS151">
            <v>0.29786582840929143</v>
          </cell>
          <cell r="BT151">
            <v>0.15514068860623587</v>
          </cell>
          <cell r="BU151">
            <v>0.25701830644224821</v>
          </cell>
          <cell r="BV151">
            <v>9.0532606707063534E-2</v>
          </cell>
          <cell r="BW151">
            <v>0.13971697195261368</v>
          </cell>
          <cell r="BX151">
            <v>5.8993191803333733E-2</v>
          </cell>
          <cell r="BY151">
            <v>7.5470446581781925E-2</v>
          </cell>
          <cell r="BZ151">
            <v>9.0778320330378692E-2</v>
          </cell>
          <cell r="CA151">
            <v>7.7962744426569142E-2</v>
          </cell>
          <cell r="CB151">
            <v>0.1054778841657027</v>
          </cell>
          <cell r="CC151">
            <v>0.147242730336687</v>
          </cell>
          <cell r="CD151">
            <v>0.15604948453608247</v>
          </cell>
          <cell r="CE151">
            <v>0.14425344438217524</v>
          </cell>
          <cell r="CF151">
            <v>0.18045314662205425</v>
          </cell>
          <cell r="CG151">
            <v>0.22267523874914175</v>
          </cell>
          <cell r="CH151">
            <v>0.24714422974271377</v>
          </cell>
          <cell r="CI151">
            <v>0.20658927861565912</v>
          </cell>
          <cell r="CJ151">
            <v>0.13219631268149135</v>
          </cell>
          <cell r="CK151">
            <v>9.4582128855446479E-2</v>
          </cell>
          <cell r="CL151">
            <v>3.5316430808185029E-2</v>
          </cell>
          <cell r="CM151">
            <v>8.0849011756531919E-2</v>
          </cell>
          <cell r="CN151">
            <v>0.18627991249603393</v>
          </cell>
          <cell r="CO151">
            <v>8.1227448572439132E-2</v>
          </cell>
          <cell r="CP151">
            <v>0.17770675341784914</v>
          </cell>
          <cell r="CQ151">
            <v>0.27858557791856686</v>
          </cell>
          <cell r="CR151">
            <v>0.21231453616544771</v>
          </cell>
          <cell r="CS151">
            <v>0.31120944555167118</v>
          </cell>
        </row>
        <row r="153">
          <cell r="B153" t="str">
            <v>From Hong Kong</v>
          </cell>
          <cell r="L153">
            <v>174260</v>
          </cell>
          <cell r="M153">
            <v>208845</v>
          </cell>
          <cell r="N153">
            <v>189375</v>
          </cell>
          <cell r="O153">
            <v>225476</v>
          </cell>
          <cell r="P153">
            <v>182491</v>
          </cell>
          <cell r="Q153">
            <v>170014</v>
          </cell>
          <cell r="R153">
            <v>223265</v>
          </cell>
          <cell r="S153">
            <v>236295</v>
          </cell>
          <cell r="T153">
            <v>185803</v>
          </cell>
          <cell r="U153">
            <v>201934</v>
          </cell>
          <cell r="V153">
            <v>182975</v>
          </cell>
          <cell r="W153">
            <v>207721</v>
          </cell>
          <cell r="X153">
            <v>236151</v>
          </cell>
          <cell r="Y153">
            <v>191449</v>
          </cell>
          <cell r="Z153">
            <v>222613</v>
          </cell>
          <cell r="AA153">
            <v>247126</v>
          </cell>
          <cell r="AB153">
            <v>203203</v>
          </cell>
          <cell r="AC153">
            <v>196992</v>
          </cell>
          <cell r="AD153">
            <v>216894</v>
          </cell>
          <cell r="AE153">
            <v>254341</v>
          </cell>
          <cell r="AF153">
            <v>190057</v>
          </cell>
          <cell r="AG153">
            <v>213387</v>
          </cell>
          <cell r="AH153">
            <v>194269</v>
          </cell>
          <cell r="AI153">
            <v>213910</v>
          </cell>
          <cell r="AJ153">
            <v>189562</v>
          </cell>
          <cell r="AK153">
            <v>232425</v>
          </cell>
          <cell r="AL153">
            <v>233180</v>
          </cell>
          <cell r="AM153">
            <v>234671</v>
          </cell>
          <cell r="AN153">
            <v>208687</v>
          </cell>
          <cell r="AO153">
            <v>202244</v>
          </cell>
          <cell r="AP153">
            <v>232734</v>
          </cell>
          <cell r="AQ153">
            <v>245132</v>
          </cell>
          <cell r="AR153">
            <v>188974</v>
          </cell>
          <cell r="AS153">
            <v>207153</v>
          </cell>
          <cell r="AT153">
            <v>194190</v>
          </cell>
          <cell r="AU153">
            <v>208149</v>
          </cell>
          <cell r="AV153">
            <v>191298</v>
          </cell>
          <cell r="AW153">
            <v>239505</v>
          </cell>
          <cell r="AX153">
            <v>185773</v>
          </cell>
          <cell r="AY153">
            <v>143183</v>
          </cell>
          <cell r="AZ153">
            <v>144622</v>
          </cell>
          <cell r="BA153">
            <v>192376</v>
          </cell>
          <cell r="BB153">
            <v>219163</v>
          </cell>
          <cell r="BC153">
            <v>238489</v>
          </cell>
          <cell r="BD153">
            <v>175725</v>
          </cell>
          <cell r="BE153">
            <v>189433</v>
          </cell>
          <cell r="BF153">
            <v>172284</v>
          </cell>
          <cell r="BG153">
            <v>192793</v>
          </cell>
          <cell r="BH153">
            <v>213770</v>
          </cell>
          <cell r="BI153">
            <v>166701</v>
          </cell>
          <cell r="BJ153">
            <v>179238</v>
          </cell>
          <cell r="BK153">
            <v>223787</v>
          </cell>
          <cell r="BL153">
            <v>185600</v>
          </cell>
          <cell r="BM153">
            <v>193768</v>
          </cell>
          <cell r="BN153">
            <v>223231</v>
          </cell>
          <cell r="BO153">
            <v>254314</v>
          </cell>
          <cell r="BP153">
            <v>203376</v>
          </cell>
          <cell r="BQ153">
            <v>232046</v>
          </cell>
          <cell r="BR153">
            <v>215687</v>
          </cell>
          <cell r="BS153">
            <v>241655</v>
          </cell>
          <cell r="BT153">
            <v>208040</v>
          </cell>
          <cell r="BU153">
            <v>255163</v>
          </cell>
          <cell r="BV153">
            <v>263160</v>
          </cell>
          <cell r="BW153">
            <v>248339</v>
          </cell>
          <cell r="BX153">
            <v>241597</v>
          </cell>
          <cell r="BY153">
            <v>219260</v>
          </cell>
          <cell r="BZ153">
            <v>268152</v>
          </cell>
          <cell r="CA153">
            <v>281766</v>
          </cell>
          <cell r="CB153">
            <v>235201</v>
          </cell>
          <cell r="CC153">
            <v>255556</v>
          </cell>
          <cell r="CD153">
            <v>245787</v>
          </cell>
          <cell r="CE153">
            <v>271499</v>
          </cell>
          <cell r="CF153">
            <v>270568</v>
          </cell>
          <cell r="CG153">
            <v>296397</v>
          </cell>
          <cell r="CH153">
            <v>289521</v>
          </cell>
          <cell r="CI153">
            <v>335219</v>
          </cell>
          <cell r="CJ153">
            <v>262277</v>
          </cell>
          <cell r="CK153">
            <v>257661</v>
          </cell>
          <cell r="CL153">
            <v>301719</v>
          </cell>
          <cell r="CM153">
            <v>320618</v>
          </cell>
          <cell r="CN153">
            <v>305275</v>
          </cell>
          <cell r="CO153">
            <v>343401</v>
          </cell>
          <cell r="CP153">
            <v>324600</v>
          </cell>
          <cell r="CQ153">
            <v>361094</v>
          </cell>
          <cell r="CR153">
            <v>327693</v>
          </cell>
          <cell r="CS153">
            <v>346155</v>
          </cell>
        </row>
        <row r="154">
          <cell r="B154" t="str">
            <v>Share of Hong Kong</v>
          </cell>
          <cell r="L154">
            <v>0.51387000793245907</v>
          </cell>
          <cell r="M154">
            <v>0.43327310032633704</v>
          </cell>
          <cell r="N154">
            <v>0.5043759188630601</v>
          </cell>
          <cell r="O154">
            <v>0.48588624957170656</v>
          </cell>
          <cell r="P154">
            <v>0.51412577404396065</v>
          </cell>
          <cell r="Q154">
            <v>0.4976830371387338</v>
          </cell>
          <cell r="R154">
            <v>0.46405552079847523</v>
          </cell>
          <cell r="S154">
            <v>0.44657689581856841</v>
          </cell>
          <cell r="T154">
            <v>0.47713487445238228</v>
          </cell>
          <cell r="U154">
            <v>0.5011652176934398</v>
          </cell>
          <cell r="V154">
            <v>0.50774486080895087</v>
          </cell>
          <cell r="W154">
            <v>0.47811746183733222</v>
          </cell>
          <cell r="X154">
            <v>0.46746375018557923</v>
          </cell>
          <cell r="Y154">
            <v>0.51437683371127041</v>
          </cell>
          <cell r="Z154">
            <v>0.49949514894228092</v>
          </cell>
          <cell r="AA154">
            <v>0.49528218694885362</v>
          </cell>
          <cell r="AB154">
            <v>0.52957717847946872</v>
          </cell>
          <cell r="AC154">
            <v>0.49116368133402483</v>
          </cell>
          <cell r="AD154">
            <v>0.48314298888673557</v>
          </cell>
          <cell r="AE154">
            <v>0.47035032954352118</v>
          </cell>
          <cell r="AF154">
            <v>0.50015131618767417</v>
          </cell>
          <cell r="AG154">
            <v>0.52907879142512859</v>
          </cell>
          <cell r="AH154">
            <v>0.51597849702262377</v>
          </cell>
          <cell r="AI154">
            <v>0.48631935524206843</v>
          </cell>
          <cell r="AJ154">
            <v>0.52472893258815745</v>
          </cell>
          <cell r="AK154">
            <v>0.48229859870391006</v>
          </cell>
          <cell r="AL154">
            <v>0.50237528411845178</v>
          </cell>
          <cell r="AM154">
            <v>0.53284908539354414</v>
          </cell>
          <cell r="AN154">
            <v>0.52534236229986908</v>
          </cell>
          <cell r="AO154">
            <v>0.50254073247640041</v>
          </cell>
          <cell r="AP154">
            <v>0.49195692887853587</v>
          </cell>
          <cell r="AQ154">
            <v>0.46579928970605838</v>
          </cell>
          <cell r="AR154">
            <v>0.50777213210340633</v>
          </cell>
          <cell r="AS154">
            <v>0.52945641728177972</v>
          </cell>
          <cell r="AT154">
            <v>0.51975268989882772</v>
          </cell>
          <cell r="AU154">
            <v>0.49838738641669361</v>
          </cell>
          <cell r="AV154">
            <v>0.51704537776059978</v>
          </cell>
          <cell r="AW154">
            <v>0.50709494651795017</v>
          </cell>
          <cell r="AX154">
            <v>0.52229641396179205</v>
          </cell>
          <cell r="AY154">
            <v>0.484948552771512</v>
          </cell>
          <cell r="AZ154">
            <v>0.49682745258355637</v>
          </cell>
          <cell r="BA154">
            <v>0.48745359871279981</v>
          </cell>
          <cell r="BB154">
            <v>0.47333887671025776</v>
          </cell>
          <cell r="BC154">
            <v>0.45122479599346876</v>
          </cell>
          <cell r="BD154">
            <v>0.50324470766129037</v>
          </cell>
          <cell r="BE154">
            <v>0.51687039563437931</v>
          </cell>
          <cell r="BF154">
            <v>0.50389583040853569</v>
          </cell>
          <cell r="BG154">
            <v>0.48802671081342425</v>
          </cell>
          <cell r="BH154">
            <v>0.46703836893780831</v>
          </cell>
          <cell r="BI154">
            <v>0.50044881012779829</v>
          </cell>
          <cell r="BJ154">
            <v>0.48852402717929011</v>
          </cell>
          <cell r="BK154">
            <v>0.49220519858708228</v>
          </cell>
          <cell r="BL154">
            <v>0.49880271223974781</v>
          </cell>
          <cell r="BM154">
            <v>0.48357133231179278</v>
          </cell>
          <cell r="BN154">
            <v>0.46558254391343701</v>
          </cell>
          <cell r="BO154">
            <v>0.48121054782700839</v>
          </cell>
          <cell r="BP154">
            <v>0.52007139678919023</v>
          </cell>
          <cell r="BQ154">
            <v>0.54857469775270806</v>
          </cell>
          <cell r="BR154">
            <v>0.55746327292276199</v>
          </cell>
          <cell r="BS154">
            <v>0.5288133293652183</v>
          </cell>
          <cell r="BT154">
            <v>0.5518961149208792</v>
          </cell>
          <cell r="BU154">
            <v>0.515025088911226</v>
          </cell>
          <cell r="BV154">
            <v>0.54178581795947101</v>
          </cell>
          <cell r="BW154">
            <v>0.56485356600220171</v>
          </cell>
          <cell r="BX154">
            <v>0.54643512246315018</v>
          </cell>
          <cell r="BY154">
            <v>0.52982084777135019</v>
          </cell>
          <cell r="BZ154">
            <v>0.51505885245397831</v>
          </cell>
          <cell r="CA154">
            <v>0.50121850996687789</v>
          </cell>
          <cell r="CB154">
            <v>0.52554419959869325</v>
          </cell>
          <cell r="CC154">
            <v>0.54459477601921324</v>
          </cell>
          <cell r="CD154">
            <v>0.5521045325282693</v>
          </cell>
          <cell r="CE154">
            <v>0.52576958232633075</v>
          </cell>
          <cell r="CF154">
            <v>0.5114948721584196</v>
          </cell>
          <cell r="CG154">
            <v>0.54208716645024413</v>
          </cell>
          <cell r="CH154">
            <v>0.55658170199758927</v>
          </cell>
          <cell r="CI154">
            <v>0.53790559264946813</v>
          </cell>
          <cell r="CJ154">
            <v>0.53905235206103352</v>
          </cell>
          <cell r="CK154">
            <v>0.53038493207081105</v>
          </cell>
          <cell r="CL154">
            <v>0.51086082331965821</v>
          </cell>
          <cell r="CM154">
            <v>0.50429951759208136</v>
          </cell>
          <cell r="CN154">
            <v>0.52730809025600633</v>
          </cell>
          <cell r="CO154">
            <v>0.53532111378892133</v>
          </cell>
          <cell r="CP154">
            <v>0.5445532096932485</v>
          </cell>
          <cell r="CQ154">
            <v>0.51124083085448435</v>
          </cell>
          <cell r="CR154">
            <v>0.5422660486544002</v>
          </cell>
          <cell r="CS154">
            <v>0.50994612607118073</v>
          </cell>
        </row>
        <row r="155">
          <cell r="B155" t="str">
            <v xml:space="preserve">   % Change</v>
          </cell>
          <cell r="X155">
            <v>0.35516469643062099</v>
          </cell>
          <cell r="Y155">
            <v>-8.3296224472695024E-2</v>
          </cell>
          <cell r="Z155">
            <v>0.17551419141914182</v>
          </cell>
          <cell r="AA155">
            <v>9.6019088506093864E-2</v>
          </cell>
          <cell r="AB155">
            <v>0.11349600802231352</v>
          </cell>
          <cell r="AC155">
            <v>0.15868104979589925</v>
          </cell>
          <cell r="AD155">
            <v>-2.8535596712426892E-2</v>
          </cell>
          <cell r="AE155">
            <v>7.6370638396919155E-2</v>
          </cell>
          <cell r="AF155">
            <v>2.2895216977120825E-2</v>
          </cell>
          <cell r="AG155">
            <v>5.6716550952291334E-2</v>
          </cell>
          <cell r="AH155">
            <v>6.1724279273124738E-2</v>
          </cell>
          <cell r="AI155">
            <v>2.9794772796202684E-2</v>
          </cell>
          <cell r="AJ155">
            <v>-0.19728478812285355</v>
          </cell>
          <cell r="AK155">
            <v>0.21403089073330239</v>
          </cell>
          <cell r="AL155">
            <v>4.7468027473687613E-2</v>
          </cell>
          <cell r="AM155">
            <v>-5.0399391403575522E-2</v>
          </cell>
          <cell r="AN155">
            <v>2.6987790534588552E-2</v>
          </cell>
          <cell r="AO155">
            <v>2.6660981156595209E-2</v>
          </cell>
          <cell r="AP155">
            <v>7.3031065866275613E-2</v>
          </cell>
          <cell r="AQ155">
            <v>-3.6207296503512953E-2</v>
          </cell>
          <cell r="AR155">
            <v>-5.6982905128460937E-3</v>
          </cell>
          <cell r="AS155">
            <v>-2.9214525720873352E-2</v>
          </cell>
          <cell r="AT155">
            <v>-4.0665263114547656E-4</v>
          </cell>
          <cell r="AU155">
            <v>-2.6931887242298114E-2</v>
          </cell>
          <cell r="AV155">
            <v>9.1579535982950766E-3</v>
          </cell>
          <cell r="AW155">
            <v>3.0461439173927074E-2</v>
          </cell>
          <cell r="AX155">
            <v>-0.20330645852989104</v>
          </cell>
          <cell r="AY155">
            <v>-0.38985643731010644</v>
          </cell>
          <cell r="AZ155">
            <v>-0.30699085232908618</v>
          </cell>
          <cell r="BA155">
            <v>-4.8792547615751247E-2</v>
          </cell>
          <cell r="BB155">
            <v>-5.8311205066728489E-2</v>
          </cell>
          <cell r="BC155">
            <v>-2.7099685067637047E-2</v>
          </cell>
          <cell r="BD155">
            <v>-7.0110173886354765E-2</v>
          </cell>
          <cell r="BE155">
            <v>-8.5540639044570876E-2</v>
          </cell>
          <cell r="BF155">
            <v>-0.1128070446469952</v>
          </cell>
          <cell r="BG155">
            <v>-7.3774075301827002E-2</v>
          </cell>
          <cell r="BH155">
            <v>0.11747117063429835</v>
          </cell>
          <cell r="BI155">
            <v>-0.30397695246445799</v>
          </cell>
          <cell r="BJ155">
            <v>-3.5177340087095499E-2</v>
          </cell>
          <cell r="BK155">
            <v>0.56294392490728651</v>
          </cell>
          <cell r="BL155">
            <v>0.28334554908658438</v>
          </cell>
          <cell r="BM155">
            <v>7.2358298332433346E-3</v>
          </cell>
          <cell r="BN155">
            <v>1.8561527265094968E-2</v>
          </cell>
          <cell r="BO155">
            <v>6.6355261668253007E-2</v>
          </cell>
          <cell r="BP155">
            <v>0.15735381988903119</v>
          </cell>
          <cell r="BQ155">
            <v>0.22495024626121118</v>
          </cell>
          <cell r="BR155">
            <v>0.25192705068375476</v>
          </cell>
          <cell r="BS155">
            <v>0.25344281172034244</v>
          </cell>
          <cell r="BT155">
            <v>-2.6804509519577135E-2</v>
          </cell>
          <cell r="BU155">
            <v>0.53066268348720169</v>
          </cell>
          <cell r="BV155">
            <v>0.46821544538546522</v>
          </cell>
          <cell r="BW155">
            <v>0.10971146670718146</v>
          </cell>
          <cell r="BX155">
            <v>0.30170797413793093</v>
          </cell>
          <cell r="BY155">
            <v>0.13155939061145294</v>
          </cell>
          <cell r="BZ155">
            <v>0.20123101182183478</v>
          </cell>
          <cell r="CA155">
            <v>0.1079452959726952</v>
          </cell>
          <cell r="CB155">
            <v>0.1564835575485799</v>
          </cell>
          <cell r="CC155">
            <v>0.10131611835584331</v>
          </cell>
          <cell r="CD155">
            <v>0.13955407604538062</v>
          </cell>
          <cell r="CE155">
            <v>0.12349837578365852</v>
          </cell>
          <cell r="CF155">
            <v>0.30055758507979236</v>
          </cell>
          <cell r="CG155">
            <v>0.16159866438315906</v>
          </cell>
          <cell r="CH155">
            <v>0.10017099863201095</v>
          </cell>
          <cell r="CI155">
            <v>0.34984436596748791</v>
          </cell>
          <cell r="CJ155">
            <v>8.5597089367831503E-2</v>
          </cell>
          <cell r="CK155">
            <v>0.17513910425978296</v>
          </cell>
          <cell r="CL155">
            <v>0.12517900295354867</v>
          </cell>
          <cell r="CM155">
            <v>0.1378874669051624</v>
          </cell>
          <cell r="CN155">
            <v>0.29793240674997135</v>
          </cell>
          <cell r="CO155">
            <v>0.34374070653790167</v>
          </cell>
          <cell r="CP155">
            <v>0.32065568968252989</v>
          </cell>
          <cell r="CQ155">
            <v>0.33000121547409011</v>
          </cell>
          <cell r="CR155">
            <v>0.21112991928092018</v>
          </cell>
          <cell r="CS155">
            <v>0.16787619307887724</v>
          </cell>
        </row>
        <row r="157">
          <cell r="B157" t="str">
            <v>From PRC + Hong Kong</v>
          </cell>
          <cell r="L157">
            <v>186718</v>
          </cell>
          <cell r="M157">
            <v>222685</v>
          </cell>
          <cell r="N157">
            <v>219132</v>
          </cell>
          <cell r="O157">
            <v>248505</v>
          </cell>
          <cell r="P157">
            <v>214604</v>
          </cell>
          <cell r="Q157">
            <v>192650</v>
          </cell>
          <cell r="R157">
            <v>251916</v>
          </cell>
          <cell r="S157">
            <v>257894</v>
          </cell>
          <cell r="T157">
            <v>205752</v>
          </cell>
          <cell r="U157">
            <v>216305</v>
          </cell>
          <cell r="V157">
            <v>197469</v>
          </cell>
          <cell r="W157">
            <v>225373</v>
          </cell>
          <cell r="X157">
            <v>252902</v>
          </cell>
          <cell r="Y157">
            <v>205512</v>
          </cell>
          <cell r="Z157">
            <v>246462</v>
          </cell>
          <cell r="AA157">
            <v>267129</v>
          </cell>
          <cell r="AB157">
            <v>224130</v>
          </cell>
          <cell r="AC157">
            <v>215464</v>
          </cell>
          <cell r="AD157">
            <v>238683</v>
          </cell>
          <cell r="AE157">
            <v>291586</v>
          </cell>
          <cell r="AF157">
            <v>211216</v>
          </cell>
          <cell r="AG157">
            <v>236743</v>
          </cell>
          <cell r="AH157">
            <v>218410</v>
          </cell>
          <cell r="AI157">
            <v>243758</v>
          </cell>
          <cell r="AJ157">
            <v>217695</v>
          </cell>
          <cell r="AK157">
            <v>261351</v>
          </cell>
          <cell r="AL157">
            <v>270888</v>
          </cell>
          <cell r="AM157">
            <v>261428</v>
          </cell>
          <cell r="AN157">
            <v>236832</v>
          </cell>
          <cell r="AO157">
            <v>222447</v>
          </cell>
          <cell r="AP157">
            <v>266025</v>
          </cell>
          <cell r="AQ157">
            <v>320894</v>
          </cell>
          <cell r="AR157">
            <v>272200</v>
          </cell>
          <cell r="AS157">
            <v>311943</v>
          </cell>
          <cell r="AT157">
            <v>301912</v>
          </cell>
          <cell r="AU157">
            <v>323164</v>
          </cell>
          <cell r="AV157">
            <v>327215</v>
          </cell>
          <cell r="AW157">
            <v>376374</v>
          </cell>
          <cell r="AX157">
            <v>336091</v>
          </cell>
          <cell r="AY157">
            <v>253761</v>
          </cell>
          <cell r="AZ157">
            <v>259296</v>
          </cell>
          <cell r="BA157">
            <v>357382</v>
          </cell>
          <cell r="BB157">
            <v>390482</v>
          </cell>
          <cell r="BC157">
            <v>443766</v>
          </cell>
          <cell r="BD157">
            <v>367145</v>
          </cell>
          <cell r="BE157">
            <v>433479</v>
          </cell>
          <cell r="BF157">
            <v>442508</v>
          </cell>
          <cell r="BG157">
            <v>470512</v>
          </cell>
          <cell r="BH157">
            <v>549085</v>
          </cell>
          <cell r="BI157">
            <v>485332</v>
          </cell>
          <cell r="BJ157">
            <v>539992</v>
          </cell>
          <cell r="BK157">
            <v>552659</v>
          </cell>
          <cell r="BL157">
            <v>573221</v>
          </cell>
          <cell r="BM157">
            <v>540513</v>
          </cell>
          <cell r="BN157">
            <v>605580</v>
          </cell>
          <cell r="BO157">
            <v>660213</v>
          </cell>
          <cell r="BP157">
            <v>528392</v>
          </cell>
          <cell r="BQ157">
            <v>633784</v>
          </cell>
          <cell r="BR157">
            <v>579437</v>
          </cell>
          <cell r="BS157">
            <v>602097</v>
          </cell>
          <cell r="BT157">
            <v>595376</v>
          </cell>
          <cell r="BU157">
            <v>655688</v>
          </cell>
          <cell r="BV157">
            <v>656574</v>
          </cell>
          <cell r="BW157">
            <v>623160</v>
          </cell>
          <cell r="BX157">
            <v>652085</v>
          </cell>
          <cell r="BY157">
            <v>592174</v>
          </cell>
          <cell r="BZ157">
            <v>685210</v>
          </cell>
          <cell r="CA157">
            <v>719310</v>
          </cell>
          <cell r="CB157">
            <v>594499</v>
          </cell>
          <cell r="CC157">
            <v>716447</v>
          </cell>
          <cell r="CD157">
            <v>666300</v>
          </cell>
          <cell r="CE157">
            <v>683936</v>
          </cell>
          <cell r="CF157">
            <v>727800</v>
          </cell>
          <cell r="CG157">
            <v>786109</v>
          </cell>
          <cell r="CH157">
            <v>780165</v>
          </cell>
          <cell r="CI157">
            <v>787474</v>
          </cell>
          <cell r="CJ157">
            <v>727030</v>
          </cell>
          <cell r="CK157">
            <v>665846</v>
          </cell>
          <cell r="CL157">
            <v>733506</v>
          </cell>
          <cell r="CM157">
            <v>793537</v>
          </cell>
          <cell r="CN157">
            <v>731503</v>
          </cell>
          <cell r="CO157">
            <v>841729</v>
          </cell>
          <cell r="CP157">
            <v>819841</v>
          </cell>
          <cell r="CQ157">
            <v>888430</v>
          </cell>
          <cell r="CR157">
            <v>882002</v>
          </cell>
          <cell r="CS157">
            <v>988270</v>
          </cell>
        </row>
        <row r="158">
          <cell r="B158" t="str">
            <v>Share of Total Same-Day</v>
          </cell>
          <cell r="L158">
            <v>0.69653741988913176</v>
          </cell>
          <cell r="M158">
            <v>0.72214745512623024</v>
          </cell>
          <cell r="N158">
            <v>0.71256414091816622</v>
          </cell>
          <cell r="O158">
            <v>0.7179693865168929</v>
          </cell>
          <cell r="P158">
            <v>0.68030204086808221</v>
          </cell>
          <cell r="Q158">
            <v>0.65464863395405737</v>
          </cell>
          <cell r="R158">
            <v>0.66029046741611908</v>
          </cell>
          <cell r="S158">
            <v>0.67170741109241594</v>
          </cell>
          <cell r="T158">
            <v>0.61744555578562621</v>
          </cell>
          <cell r="U158">
            <v>0.61237171774364785</v>
          </cell>
          <cell r="V158">
            <v>0.60832878940509971</v>
          </cell>
          <cell r="W158">
            <v>0.64548123326316398</v>
          </cell>
          <cell r="X158">
            <v>0.69719909577107575</v>
          </cell>
          <cell r="Y158">
            <v>0.64904606852641988</v>
          </cell>
          <cell r="Z158">
            <v>0.64270347374158032</v>
          </cell>
          <cell r="AA158">
            <v>0.64450433322395728</v>
          </cell>
          <cell r="AB158">
            <v>0.60667825183115975</v>
          </cell>
          <cell r="AC158">
            <v>0.60557106039015973</v>
          </cell>
          <cell r="AD158">
            <v>0.63538497168914765</v>
          </cell>
          <cell r="AE158">
            <v>0.66723874381012527</v>
          </cell>
          <cell r="AF158">
            <v>0.6325593653322632</v>
          </cell>
          <cell r="AG158">
            <v>0.64152083547857375</v>
          </cell>
          <cell r="AH158">
            <v>0.63704615456412172</v>
          </cell>
          <cell r="AI158">
            <v>0.64807365597258371</v>
          </cell>
          <cell r="AJ158">
            <v>0.66306546132384658</v>
          </cell>
          <cell r="AK158">
            <v>0.69032362015045223</v>
          </cell>
          <cell r="AL158">
            <v>0.64154831008831448</v>
          </cell>
          <cell r="AM158">
            <v>0.62261364935411345</v>
          </cell>
          <cell r="AN158">
            <v>0.61046412719033705</v>
          </cell>
          <cell r="AO158">
            <v>0.61216419265888411</v>
          </cell>
          <cell r="AP158">
            <v>0.63419919612078213</v>
          </cell>
          <cell r="AQ158">
            <v>0.67587650753398398</v>
          </cell>
          <cell r="AR158">
            <v>0.66421186455153503</v>
          </cell>
          <cell r="AS158">
            <v>0.66999793809118791</v>
          </cell>
          <cell r="AT158">
            <v>0.68439509721469749</v>
          </cell>
          <cell r="AU158">
            <v>0.71098340927241488</v>
          </cell>
          <cell r="AV158">
            <v>0.75056197816313419</v>
          </cell>
          <cell r="AW158">
            <v>0.75759814331349296</v>
          </cell>
          <cell r="AX158">
            <v>0.74355099909736111</v>
          </cell>
          <cell r="AY158">
            <v>0.8333940904657281</v>
          </cell>
          <cell r="AZ158">
            <v>0.9252178381040056</v>
          </cell>
          <cell r="BA158">
            <v>0.91415372573495368</v>
          </cell>
          <cell r="BB158">
            <v>0.7944328139273239</v>
          </cell>
          <cell r="BC158">
            <v>0.7881425016827901</v>
          </cell>
          <cell r="BD158">
            <v>0.75824759088149163</v>
          </cell>
          <cell r="BE158">
            <v>0.7882883947779501</v>
          </cell>
          <cell r="BF158">
            <v>0.79689101069165291</v>
          </cell>
          <cell r="BG158">
            <v>0.81837282758428764</v>
          </cell>
          <cell r="BH158">
            <v>0.84881655569863479</v>
          </cell>
          <cell r="BI158">
            <v>0.85253054714342924</v>
          </cell>
          <cell r="BJ158">
            <v>0.83480508558424849</v>
          </cell>
          <cell r="BK158">
            <v>0.81799909120915071</v>
          </cell>
          <cell r="BL158">
            <v>0.85066052883859111</v>
          </cell>
          <cell r="BM158">
            <v>0.81980498059361251</v>
          </cell>
          <cell r="BN158">
            <v>0.82835202293636967</v>
          </cell>
          <cell r="BO158">
            <v>0.82653291168716059</v>
          </cell>
          <cell r="BP158">
            <v>0.7911635101000648</v>
          </cell>
          <cell r="BQ158">
            <v>0.80698881672182121</v>
          </cell>
          <cell r="BR158">
            <v>0.78931724467680786</v>
          </cell>
          <cell r="BS158">
            <v>0.79208802600577</v>
          </cell>
          <cell r="BT158">
            <v>0.8101830809970797</v>
          </cell>
          <cell r="BU158">
            <v>0.82254752284094568</v>
          </cell>
          <cell r="BV158">
            <v>0.80470290628627039</v>
          </cell>
          <cell r="BW158">
            <v>0.79481652487787458</v>
          </cell>
          <cell r="BX158">
            <v>0.80165842983944335</v>
          </cell>
          <cell r="BY158">
            <v>0.79086762869525151</v>
          </cell>
          <cell r="BZ158">
            <v>0.80646148414052843</v>
          </cell>
          <cell r="CA158">
            <v>0.81312604352362527</v>
          </cell>
          <cell r="CB158">
            <v>0.80251486578608122</v>
          </cell>
          <cell r="CC158">
            <v>0.81585204484842133</v>
          </cell>
          <cell r="CD158">
            <v>0.81442123288927026</v>
          </cell>
          <cell r="CE158">
            <v>0.82240913873440558</v>
          </cell>
          <cell r="CF158">
            <v>0.84263516259338977</v>
          </cell>
          <cell r="CG158">
            <v>0.83709744230844996</v>
          </cell>
          <cell r="CH158">
            <v>0.82031102138666334</v>
          </cell>
          <cell r="CI158">
            <v>0.820161538101016</v>
          </cell>
          <cell r="CJ158">
            <v>0.81716033327975746</v>
          </cell>
          <cell r="CK158">
            <v>0.80771950851152363</v>
          </cell>
          <cell r="CL158">
            <v>0.80716727868556604</v>
          </cell>
          <cell r="CM158">
            <v>0.81450479698888489</v>
          </cell>
          <cell r="CN158">
            <v>0.81386807714302878</v>
          </cell>
          <cell r="CO158">
            <v>0.82184848514435793</v>
          </cell>
          <cell r="CP158">
            <v>0.81709963073887104</v>
          </cell>
          <cell r="CQ158">
            <v>0.82410910821307748</v>
          </cell>
          <cell r="CR158">
            <v>0.83582041463042511</v>
          </cell>
          <cell r="CS158">
            <v>0.86099286825703547</v>
          </cell>
        </row>
        <row r="159">
          <cell r="B159" t="str">
            <v xml:space="preserve">   % Change</v>
          </cell>
          <cell r="X159">
            <v>0.3544596664488695</v>
          </cell>
          <cell r="Y159">
            <v>-7.711790196914925E-2</v>
          </cell>
          <cell r="Z159">
            <v>0.12471934724275768</v>
          </cell>
          <cell r="AA159">
            <v>7.4944166113357857E-2</v>
          </cell>
          <cell r="AB159">
            <v>4.4388734599541513E-2</v>
          </cell>
          <cell r="AC159">
            <v>0.11842200882429266</v>
          </cell>
          <cell r="AD159">
            <v>-5.2529414566760302E-2</v>
          </cell>
          <cell r="AE159">
            <v>0.13064282224479817</v>
          </cell>
          <cell r="AF159">
            <v>2.6556242466658997E-2</v>
          </cell>
          <cell r="AG159">
            <v>9.4486951295624344E-2</v>
          </cell>
          <cell r="AH159">
            <v>0.10604702510267439</v>
          </cell>
          <cell r="AI159">
            <v>8.1575876435952877E-2</v>
          </cell>
          <cell r="AJ159">
            <v>-0.13921202679298705</v>
          </cell>
          <cell r="AK159">
            <v>0.2717067616489548</v>
          </cell>
          <cell r="AL159">
            <v>9.9106555980232214E-2</v>
          </cell>
          <cell r="AM159">
            <v>-2.1341748743116673E-2</v>
          </cell>
          <cell r="AN159">
            <v>5.6672466871904748E-2</v>
          </cell>
          <cell r="AO159">
            <v>3.2409126350573692E-2</v>
          </cell>
          <cell r="AP159">
            <v>0.11455361295106892</v>
          </cell>
          <cell r="AQ159">
            <v>0.10051237027840854</v>
          </cell>
          <cell r="AR159">
            <v>0.28872812665707137</v>
          </cell>
          <cell r="AS159">
            <v>0.3176440274897252</v>
          </cell>
          <cell r="AT159">
            <v>0.38231765944782747</v>
          </cell>
          <cell r="AU159">
            <v>0.32575751359955363</v>
          </cell>
          <cell r="AV159">
            <v>0.50308918440938011</v>
          </cell>
          <cell r="AW159">
            <v>0.44010927832684787</v>
          </cell>
          <cell r="AX159">
            <v>0.24070095389976665</v>
          </cell>
          <cell r="AY159">
            <v>-2.9327386507948638E-2</v>
          </cell>
          <cell r="AZ159">
            <v>9.4852047020672847E-2</v>
          </cell>
          <cell r="BA159">
            <v>0.60659393023956265</v>
          </cell>
          <cell r="BB159">
            <v>0.46783948876985249</v>
          </cell>
          <cell r="BC159">
            <v>0.38290525843424938</v>
          </cell>
          <cell r="BD159">
            <v>0.34880602498163116</v>
          </cell>
          <cell r="BE159">
            <v>0.38960964022273292</v>
          </cell>
          <cell r="BF159">
            <v>0.46568536527199988</v>
          </cell>
          <cell r="BG159">
            <v>0.45595425233008635</v>
          </cell>
          <cell r="BH159">
            <v>0.6780557126048623</v>
          </cell>
          <cell r="BI159">
            <v>0.28949396079431633</v>
          </cell>
          <cell r="BJ159">
            <v>0.60668390406169759</v>
          </cell>
          <cell r="BK159">
            <v>1.1778720922442769</v>
          </cell>
          <cell r="BL159">
            <v>1.2106820004936445</v>
          </cell>
          <cell r="BM159">
            <v>0.5124236811031333</v>
          </cell>
          <cell r="BN159">
            <v>0.55085253609641427</v>
          </cell>
          <cell r="BO159">
            <v>0.48775030083422344</v>
          </cell>
          <cell r="BP159">
            <v>0.43919160004902702</v>
          </cell>
          <cell r="BQ159">
            <v>0.46208697537827659</v>
          </cell>
          <cell r="BR159">
            <v>0.30943847342872899</v>
          </cell>
          <cell r="BS159">
            <v>0.27966343047573705</v>
          </cell>
          <cell r="BT159">
            <v>8.4305708587923522E-2</v>
          </cell>
          <cell r="BU159">
            <v>0.35100920606924735</v>
          </cell>
          <cell r="BV159">
            <v>0.21589579104875622</v>
          </cell>
          <cell r="BW159">
            <v>0.12756690834673812</v>
          </cell>
          <cell r="BX159">
            <v>0.13758044454058727</v>
          </cell>
          <cell r="BY159">
            <v>9.5577719684817986E-2</v>
          </cell>
          <cell r="BZ159">
            <v>0.13149377456322875</v>
          </cell>
          <cell r="CA159">
            <v>8.9512021120456531E-2</v>
          </cell>
          <cell r="CB159">
            <v>0.12510976699117315</v>
          </cell>
          <cell r="CC159">
            <v>0.13042771669843356</v>
          </cell>
          <cell r="CD159">
            <v>0.14990930851844109</v>
          </cell>
          <cell r="CE159">
            <v>0.13592328146461452</v>
          </cell>
          <cell r="CF159">
            <v>0.22242078955147671</v>
          </cell>
          <cell r="CG159">
            <v>0.19890710215834351</v>
          </cell>
          <cell r="CH159">
            <v>0.18823620795218821</v>
          </cell>
          <cell r="CI159">
            <v>0.2636786700044933</v>
          </cell>
          <cell r="CJ159">
            <v>0.11493133563875868</v>
          </cell>
          <cell r="CK159">
            <v>0.12440937967556831</v>
          </cell>
          <cell r="CL159">
            <v>7.0483501408327376E-2</v>
          </cell>
          <cell r="CM159">
            <v>0.10319194783890118</v>
          </cell>
          <cell r="CN159">
            <v>0.23045286871802984</v>
          </cell>
          <cell r="CO159">
            <v>0.17486569139098918</v>
          </cell>
          <cell r="CP159">
            <v>0.23043824103256783</v>
          </cell>
          <cell r="CQ159">
            <v>0.29899581247368179</v>
          </cell>
          <cell r="CR159">
            <v>0.21187414124759552</v>
          </cell>
          <cell r="CS159">
            <v>0.2571666270199171</v>
          </cell>
        </row>
        <row r="161">
          <cell r="B161" t="str">
            <v>FIT Visitors</v>
          </cell>
          <cell r="BT161">
            <v>401381</v>
          </cell>
          <cell r="BU161">
            <v>463550</v>
          </cell>
          <cell r="BV161">
            <v>422359</v>
          </cell>
          <cell r="BW161">
            <v>398109</v>
          </cell>
          <cell r="BX161">
            <v>446792</v>
          </cell>
          <cell r="BY161">
            <v>402763</v>
          </cell>
          <cell r="BZ161">
            <v>479900</v>
          </cell>
          <cell r="CA161">
            <v>520133</v>
          </cell>
          <cell r="CB161">
            <v>386029</v>
          </cell>
          <cell r="CC161">
            <v>491989</v>
          </cell>
          <cell r="CD161">
            <v>461242</v>
          </cell>
          <cell r="CE161">
            <v>457262</v>
          </cell>
          <cell r="CF161">
            <v>502423</v>
          </cell>
          <cell r="CG161">
            <v>565315</v>
          </cell>
          <cell r="CH161">
            <v>525880</v>
          </cell>
          <cell r="CI161">
            <v>451048</v>
          </cell>
          <cell r="CJ161">
            <v>335978</v>
          </cell>
          <cell r="CK161">
            <v>397465</v>
          </cell>
          <cell r="CL161">
            <v>460039</v>
          </cell>
          <cell r="CM161">
            <v>526649</v>
          </cell>
          <cell r="CN161">
            <v>427097</v>
          </cell>
          <cell r="CO161">
            <v>515673</v>
          </cell>
          <cell r="CP161">
            <v>513119</v>
          </cell>
          <cell r="CQ161">
            <v>554164</v>
          </cell>
          <cell r="CR161">
            <v>565587</v>
          </cell>
          <cell r="CS161">
            <v>766863</v>
          </cell>
          <cell r="CU161">
            <v>0.24791849685971656</v>
          </cell>
        </row>
        <row r="162">
          <cell r="B162" t="str">
            <v>Share of Mainland China</v>
          </cell>
          <cell r="BT162">
            <v>0.48628016830403276</v>
          </cell>
          <cell r="BU162">
            <v>0.55692586055888416</v>
          </cell>
          <cell r="BV162">
            <v>0.51054738071263572</v>
          </cell>
          <cell r="BW162">
            <v>0.47926136910838452</v>
          </cell>
          <cell r="BX162">
            <v>0.51244137728541128</v>
          </cell>
          <cell r="BY162">
            <v>0.50156910409137667</v>
          </cell>
          <cell r="BZ162">
            <v>0.52546691441754634</v>
          </cell>
          <cell r="CA162">
            <v>0.55326882308328074</v>
          </cell>
          <cell r="CB162">
            <v>0.48427297395283836</v>
          </cell>
          <cell r="CC162">
            <v>0.51105014843638008</v>
          </cell>
          <cell r="CD162">
            <v>0.49376533509182857</v>
          </cell>
          <cell r="CE162">
            <v>0.49432286841357065</v>
          </cell>
          <cell r="CF162">
            <v>0.54156341251251716</v>
          </cell>
          <cell r="CG162">
            <v>0.56178976919828083</v>
          </cell>
          <cell r="CH162">
            <v>0.50383181590421566</v>
          </cell>
          <cell r="CI162">
            <v>0.45557366882611866</v>
          </cell>
          <cell r="CJ162">
            <v>0.34258649345882064</v>
          </cell>
          <cell r="CK162">
            <v>0.45325321923650613</v>
          </cell>
          <cell r="CL162">
            <v>0.48407934861070484</v>
          </cell>
          <cell r="CM162">
            <v>0.51685206903150782</v>
          </cell>
          <cell r="CN162">
            <v>0.46556018587656411</v>
          </cell>
          <cell r="CO162">
            <v>0.48570637385242682</v>
          </cell>
          <cell r="CP162">
            <v>0.47990299416206672</v>
          </cell>
          <cell r="CQ162">
            <v>0.4850132376430431</v>
          </cell>
          <cell r="CR162">
            <v>0.48935947463595697</v>
          </cell>
          <cell r="CS162">
            <v>0.61931993468116686</v>
          </cell>
        </row>
        <row r="163">
          <cell r="B163" t="str">
            <v xml:space="preserve">   % Change</v>
          </cell>
          <cell r="CF163">
            <v>0.25173588186785123</v>
          </cell>
          <cell r="CG163">
            <v>0.21953403084888357</v>
          </cell>
          <cell r="CH163">
            <v>0.24510191566889783</v>
          </cell>
          <cell r="CI163">
            <v>0.13297614472418351</v>
          </cell>
          <cell r="CJ163">
            <v>-0.24802145069741621</v>
          </cell>
          <cell r="CK163">
            <v>-1.3154137793193521E-2</v>
          </cell>
          <cell r="CL163">
            <v>-4.1385705355282298E-2</v>
          </cell>
          <cell r="CM163">
            <v>1.2527565065089119E-2</v>
          </cell>
          <cell r="CN163">
            <v>0.10638578966865175</v>
          </cell>
          <cell r="CO163">
            <v>4.8139287667000596E-2</v>
          </cell>
          <cell r="CP163">
            <v>0.11247241144561859</v>
          </cell>
          <cell r="CQ163">
            <v>0.21191789389890259</v>
          </cell>
          <cell r="CR163">
            <v>0.12571876685581662</v>
          </cell>
          <cell r="CS163">
            <v>0.3565233542361339</v>
          </cell>
        </row>
        <row r="165">
          <cell r="B165" t="str">
            <v>Visitor Arrival Stats</v>
          </cell>
        </row>
        <row r="166">
          <cell r="B166" t="str">
            <v>Total % Change</v>
          </cell>
          <cell r="D166">
            <v>2.8122746574793744E-2</v>
          </cell>
          <cell r="E166">
            <v>1.6897859517871927E-2</v>
          </cell>
          <cell r="F166">
            <v>5.7476402743539268E-4</v>
          </cell>
          <cell r="G166">
            <v>-1.0378105134162263E-2</v>
          </cell>
          <cell r="H166">
            <v>5.1415672363753551E-2</v>
          </cell>
          <cell r="I166">
            <v>-0.1411711302768951</v>
          </cell>
          <cell r="J166">
            <v>-7.4138620650248122E-3</v>
          </cell>
          <cell r="K166">
            <v>7.1295963157516073E-2</v>
          </cell>
          <cell r="X166">
            <v>0.37942409649062703</v>
          </cell>
          <cell r="Y166">
            <v>-0.12631393844594963</v>
          </cell>
          <cell r="Z166">
            <v>0.18934339656160692</v>
          </cell>
          <cell r="AA166">
            <v>0.16094820577245605</v>
          </cell>
          <cell r="AB166">
            <v>0.11502212485358543</v>
          </cell>
          <cell r="AC166">
            <v>0.23509964382109705</v>
          </cell>
          <cell r="AD166">
            <v>2.927268633190705E-3</v>
          </cell>
          <cell r="AE166">
            <v>0.17154213107148486</v>
          </cell>
          <cell r="AF166">
            <v>7.9181880962522211E-2</v>
          </cell>
          <cell r="AG166">
            <v>9.7173570140937304E-2</v>
          </cell>
          <cell r="AH166">
            <v>0.12354881888794855</v>
          </cell>
          <cell r="AI166">
            <v>0.11364487135929835</v>
          </cell>
          <cell r="AJ166">
            <v>-0.12144249160514964</v>
          </cell>
          <cell r="AK166">
            <v>0.31582932785350848</v>
          </cell>
          <cell r="AL166">
            <v>0.12023549043976489</v>
          </cell>
          <cell r="AM166">
            <v>7.0171788431468096E-2</v>
          </cell>
          <cell r="AN166">
            <v>0.14696599049698711</v>
          </cell>
          <cell r="AO166">
            <v>7.6026732591759183E-2</v>
          </cell>
          <cell r="AP166">
            <v>0.1944190409467812</v>
          </cell>
          <cell r="AQ166">
            <v>5.4171889166474863E-2</v>
          </cell>
          <cell r="AR166">
            <v>0.12975260341825967</v>
          </cell>
          <cell r="AS166">
            <v>0.13316934164494243</v>
          </cell>
          <cell r="AT166">
            <v>0.22080708342815147</v>
          </cell>
          <cell r="AU166">
            <v>0.18306057607398163</v>
          </cell>
          <cell r="AV166">
            <v>0.26874008006631489</v>
          </cell>
          <cell r="AW166">
            <v>0.12038054203922011</v>
          </cell>
          <cell r="AX166">
            <v>1.028158200941931E-3</v>
          </cell>
          <cell r="AY166">
            <v>-0.337914488663695</v>
          </cell>
          <cell r="AZ166">
            <v>-0.36754467049415274</v>
          </cell>
          <cell r="BA166">
            <v>-5.4355663231594908E-2</v>
          </cell>
          <cell r="BB166">
            <v>3.0212309899823708E-2</v>
          </cell>
          <cell r="BC166">
            <v>0.14440612954510113</v>
          </cell>
          <cell r="BD166">
            <v>0.13176965917390437</v>
          </cell>
          <cell r="BE166">
            <v>0.14835841552754991</v>
          </cell>
          <cell r="BF166">
            <v>0.15593049022275784</v>
          </cell>
          <cell r="BG166">
            <v>0.14701174484844226</v>
          </cell>
          <cell r="BH166">
            <v>0.35116839020555846</v>
          </cell>
          <cell r="BI166">
            <v>6.0292070596457137E-2</v>
          </cell>
          <cell r="BJ166">
            <v>0.36009036834152663</v>
          </cell>
          <cell r="BK166">
            <v>1.0513572667580897</v>
          </cell>
          <cell r="BL166">
            <v>1.2248570298410399</v>
          </cell>
          <cell r="BM166">
            <v>0.59450660043957981</v>
          </cell>
          <cell r="BN166">
            <v>0.45582857601393956</v>
          </cell>
          <cell r="BO166">
            <v>0.27061758721398221</v>
          </cell>
          <cell r="BP166">
            <v>0.31188614332179876</v>
          </cell>
          <cell r="BQ166">
            <v>0.35355349682237502</v>
          </cell>
          <cell r="BR166">
            <v>0.25440271259871716</v>
          </cell>
          <cell r="BS166">
            <v>0.24133381076878546</v>
          </cell>
          <cell r="BT166">
            <v>5.0639819895328841E-2</v>
          </cell>
          <cell r="BU166">
            <v>0.37099991085650696</v>
          </cell>
          <cell r="BV166">
            <v>0.17292138330373596</v>
          </cell>
          <cell r="BW166">
            <v>0.1021426115393187</v>
          </cell>
          <cell r="BX166">
            <v>0.15980117702717767</v>
          </cell>
          <cell r="BY166">
            <v>0.1017170664954854</v>
          </cell>
          <cell r="BZ166">
            <v>9.3014115079466553E-2</v>
          </cell>
          <cell r="CA166">
            <v>7.0513284050054637E-2</v>
          </cell>
          <cell r="CB166">
            <v>0.1066535898043115</v>
          </cell>
          <cell r="CC166">
            <v>0.10217284582049979</v>
          </cell>
          <cell r="CD166">
            <v>0.1037722099931393</v>
          </cell>
          <cell r="CE166">
            <v>9.8207194142262644E-2</v>
          </cell>
          <cell r="CF166">
            <v>0.18549077055797647</v>
          </cell>
          <cell r="CG166">
            <v>0.16507135867173695</v>
          </cell>
          <cell r="CH166">
            <v>0.18245745414362613</v>
          </cell>
          <cell r="CI166">
            <v>0.25214167311601043</v>
          </cell>
          <cell r="CJ166">
            <v>0.10887775131955513</v>
          </cell>
          <cell r="CK166">
            <v>0.11438201071123277</v>
          </cell>
          <cell r="CL166">
            <v>8.1960757004161611E-2</v>
          </cell>
          <cell r="CM166">
            <v>0.10978688665612446</v>
          </cell>
          <cell r="CN166">
            <v>0.2033254777837028</v>
          </cell>
          <cell r="CO166">
            <v>0.19608108327427543</v>
          </cell>
          <cell r="CP166">
            <v>0.21424785545989655</v>
          </cell>
          <cell r="CQ166">
            <v>0.29708609192093638</v>
          </cell>
          <cell r="CR166">
            <v>0.22714372818472217</v>
          </cell>
          <cell r="CS166">
            <v>0.22298731739655442</v>
          </cell>
        </row>
        <row r="167">
          <cell r="B167" t="str">
            <v>Mainland China % Change</v>
          </cell>
          <cell r="D167">
            <v>0.75657894736842102</v>
          </cell>
          <cell r="E167">
            <v>9.191011235955056</v>
          </cell>
          <cell r="F167">
            <v>-9.8493201029033473E-2</v>
          </cell>
          <cell r="G167">
            <v>1.214431308601712</v>
          </cell>
          <cell r="H167">
            <v>0.11229749631811492</v>
          </cell>
          <cell r="I167">
            <v>-0.1231380337636544</v>
          </cell>
          <cell r="J167">
            <v>0.54171385428463581</v>
          </cell>
          <cell r="K167">
            <v>1.0142017629774731</v>
          </cell>
          <cell r="X167">
            <v>0.26761113771334544</v>
          </cell>
          <cell r="Y167">
            <v>-5.2580391830535644E-3</v>
          </cell>
          <cell r="Z167">
            <v>0.13187893370109016</v>
          </cell>
          <cell r="AA167">
            <v>0.35617942997632479</v>
          </cell>
          <cell r="AB167">
            <v>0.14013749818603971</v>
          </cell>
          <cell r="AC167">
            <v>0.42209067812148038</v>
          </cell>
          <cell r="AD167">
            <v>0.17806850137949004</v>
          </cell>
          <cell r="AE167">
            <v>0.65748970522281569</v>
          </cell>
          <cell r="AF167">
            <v>0.47018698290459238</v>
          </cell>
          <cell r="AG167">
            <v>0.44148445581333728</v>
          </cell>
          <cell r="AH167">
            <v>0.45878099543346296</v>
          </cell>
          <cell r="AI167">
            <v>0.39754146284422442</v>
          </cell>
          <cell r="AJ167">
            <v>0.17431212577775268</v>
          </cell>
          <cell r="AK167">
            <v>0.56601800633672483</v>
          </cell>
          <cell r="AL167">
            <v>0.31084467487578316</v>
          </cell>
          <cell r="AM167">
            <v>0.49406413005619032</v>
          </cell>
          <cell r="AN167">
            <v>0.41977375961561414</v>
          </cell>
          <cell r="AO167">
            <v>0.30837661620068513</v>
          </cell>
          <cell r="AP167">
            <v>0.57459049681873564</v>
          </cell>
          <cell r="AQ167">
            <v>0.19188195285739762</v>
          </cell>
          <cell r="AR167">
            <v>0.38418060570786827</v>
          </cell>
          <cell r="AS167">
            <v>0.34912526910038277</v>
          </cell>
          <cell r="AT167">
            <v>0.56006436030553619</v>
          </cell>
          <cell r="AU167">
            <v>0.63494597977248413</v>
          </cell>
          <cell r="AV167">
            <v>0.72862968974735365</v>
          </cell>
          <cell r="AW167">
            <v>0.38904802921950021</v>
          </cell>
          <cell r="AX167">
            <v>0.49873926729181428</v>
          </cell>
          <cell r="AY167">
            <v>-0.16138201448750245</v>
          </cell>
          <cell r="AZ167">
            <v>-0.2420892503452855</v>
          </cell>
          <cell r="BA167">
            <v>0.29456128496417366</v>
          </cell>
          <cell r="BB167">
            <v>0.28713407557064863</v>
          </cell>
          <cell r="BC167">
            <v>0.51355283762134607</v>
          </cell>
          <cell r="BD167">
            <v>0.47632147013274673</v>
          </cell>
          <cell r="BE167">
            <v>0.54925979300406125</v>
          </cell>
          <cell r="BF167">
            <v>0.48465299592394362</v>
          </cell>
          <cell r="BG167">
            <v>0.45082021396144256</v>
          </cell>
          <cell r="BH167">
            <v>0.57845225872689943</v>
          </cell>
          <cell r="BI167">
            <v>0.58578172169131082</v>
          </cell>
          <cell r="BJ167">
            <v>0.74130544742803095</v>
          </cell>
          <cell r="BK167">
            <v>1.4453837239679275</v>
          </cell>
          <cell r="BL167">
            <v>2.003511534466635</v>
          </cell>
          <cell r="BM167">
            <v>0.99465810513610275</v>
          </cell>
          <cell r="BN167">
            <v>0.92231580869174135</v>
          </cell>
          <cell r="BO167">
            <v>0.5248866541673769</v>
          </cell>
          <cell r="BP167">
            <v>0.47526124716689733</v>
          </cell>
          <cell r="BQ167">
            <v>0.48279903598156526</v>
          </cell>
          <cell r="BR167">
            <v>0.29292582261660272</v>
          </cell>
          <cell r="BS167">
            <v>0.23346771882224804</v>
          </cell>
          <cell r="BT167">
            <v>0.11850674428626018</v>
          </cell>
          <cell r="BU167">
            <v>0.2615486515079406</v>
          </cell>
          <cell r="BV167">
            <v>4.4807391868288082E-2</v>
          </cell>
          <cell r="BW167">
            <v>0.13770736090110236</v>
          </cell>
          <cell r="BX167">
            <v>7.3013595286999911E-2</v>
          </cell>
          <cell r="BY167">
            <v>9.4417693726157825E-2</v>
          </cell>
          <cell r="BZ167">
            <v>5.7791002180945572E-2</v>
          </cell>
          <cell r="CA167">
            <v>5.0810874855111043E-2</v>
          </cell>
          <cell r="CB167">
            <v>8.3763753856110235E-2</v>
          </cell>
          <cell r="CC167">
            <v>9.8044806796069972E-2</v>
          </cell>
          <cell r="CD167">
            <v>9.3484386102302475E-2</v>
          </cell>
          <cell r="CE167">
            <v>0.10223562607539316</v>
          </cell>
          <cell r="CF167">
            <v>0.12395764049667379</v>
          </cell>
          <cell r="CG167">
            <v>0.20897545104927451</v>
          </cell>
          <cell r="CH167">
            <v>0.26169785571042969</v>
          </cell>
          <cell r="CI167">
            <v>0.1918856058709093</v>
          </cell>
          <cell r="CJ167">
            <v>0.12481061236005964</v>
          </cell>
          <cell r="CK167">
            <v>9.2041653487022534E-2</v>
          </cell>
          <cell r="CL167">
            <v>4.0573403862767643E-2</v>
          </cell>
          <cell r="CM167">
            <v>8.386899816936122E-2</v>
          </cell>
          <cell r="CN167">
            <v>0.15085600735638183</v>
          </cell>
          <cell r="CO167">
            <v>0.10283036702946502</v>
          </cell>
          <cell r="CP167">
            <v>0.14460697203393091</v>
          </cell>
          <cell r="CQ167">
            <v>0.23518016230877592</v>
          </cell>
          <cell r="CR167">
            <v>0.24580830352032446</v>
          </cell>
          <cell r="CS167">
            <v>0.23051253385009063</v>
          </cell>
        </row>
        <row r="168">
          <cell r="B168" t="str">
            <v>Hong Kong % Change</v>
          </cell>
          <cell r="D168">
            <v>3.0837147401574505E-4</v>
          </cell>
          <cell r="E168">
            <v>-1.5494945889377498E-2</v>
          </cell>
          <cell r="F168">
            <v>3.3949701704076851E-3</v>
          </cell>
          <cell r="G168">
            <v>-7.7343801327113826E-2</v>
          </cell>
          <cell r="H168">
            <v>-7.3324432576769016E-2</v>
          </cell>
          <cell r="I168">
            <v>-9.6645919778699851E-2</v>
          </cell>
          <cell r="J168">
            <v>4.1041998936734991E-3</v>
          </cell>
          <cell r="K168">
            <v>-0.10419755178110046</v>
          </cell>
          <cell r="X168">
            <v>0.48969517535452778</v>
          </cell>
          <cell r="Y168">
            <v>-0.22783636261791596</v>
          </cell>
          <cell r="Z168">
            <v>0.18700061790211575</v>
          </cell>
          <cell r="AA168">
            <v>7.5226645347170829E-2</v>
          </cell>
          <cell r="AB168">
            <v>8.1007679868377203E-2</v>
          </cell>
          <cell r="AC168">
            <v>0.17406055425615685</v>
          </cell>
          <cell r="AD168">
            <v>-6.6915116281486609E-2</v>
          </cell>
          <cell r="AE168">
            <v>2.1966454051500106E-2</v>
          </cell>
          <cell r="AF168">
            <v>-2.4177353664737278E-2</v>
          </cell>
          <cell r="AG168">
            <v>9.6543063418130792E-4</v>
          </cell>
          <cell r="AH168">
            <v>4.4782000621586882E-2</v>
          </cell>
          <cell r="AI168">
            <v>1.2427035188833813E-2</v>
          </cell>
          <cell r="AJ168">
            <v>-0.28488741525214034</v>
          </cell>
          <cell r="AK168">
            <v>0.2947774828316263</v>
          </cell>
          <cell r="AL168">
            <v>4.1462856424846706E-2</v>
          </cell>
          <cell r="AM168">
            <v>-0.11734808401475072</v>
          </cell>
          <cell r="AN168">
            <v>3.5266400492040884E-2</v>
          </cell>
          <cell r="AO168">
            <v>3.4183388518769231E-3</v>
          </cell>
          <cell r="AP168">
            <v>5.3806554798929929E-2</v>
          </cell>
          <cell r="AQ168">
            <v>-2.6790667741720675E-2</v>
          </cell>
          <cell r="AR168">
            <v>-2.0621106897649732E-2</v>
          </cell>
          <cell r="AS168">
            <v>-2.9906922081335274E-2</v>
          </cell>
          <cell r="AT168">
            <v>-7.665216490573834E-3</v>
          </cell>
          <cell r="AU168">
            <v>-5.0493912766707227E-2</v>
          </cell>
          <cell r="AV168">
            <v>2.4154549254408852E-2</v>
          </cell>
          <cell r="AW168">
            <v>-1.9926915965811087E-2</v>
          </cell>
          <cell r="AX168">
            <v>-0.23369348601221573</v>
          </cell>
          <cell r="AY168">
            <v>-0.32958983488038363</v>
          </cell>
          <cell r="AZ168">
            <v>-0.26721629241768197</v>
          </cell>
          <cell r="BA168">
            <v>-1.935180882758547E-2</v>
          </cell>
          <cell r="BB168">
            <v>-2.1271333691272876E-2</v>
          </cell>
          <cell r="BC168">
            <v>4.3248502169075387E-3</v>
          </cell>
          <cell r="BD168">
            <v>-6.1744450684243168E-2</v>
          </cell>
          <cell r="BE168">
            <v>-6.3273151082667067E-2</v>
          </cell>
          <cell r="BF168">
            <v>-8.4888389272522846E-2</v>
          </cell>
          <cell r="BG168">
            <v>-5.4110548432281025E-2</v>
          </cell>
          <cell r="BH168">
            <v>0.23712170559187862</v>
          </cell>
          <cell r="BI168">
            <v>-0.2947335213462402</v>
          </cell>
          <cell r="BJ168">
            <v>3.1522273922150124E-2</v>
          </cell>
          <cell r="BK168">
            <v>0.53990123757849173</v>
          </cell>
          <cell r="BL168">
            <v>0.27826349835618425</v>
          </cell>
          <cell r="BM168">
            <v>1.5322243478481212E-2</v>
          </cell>
          <cell r="BN168">
            <v>3.5530166409295516E-2</v>
          </cell>
          <cell r="BO168">
            <v>-9.2708741299074582E-5</v>
          </cell>
          <cell r="BP168">
            <v>0.11990812866568912</v>
          </cell>
          <cell r="BQ168">
            <v>0.15415552523874498</v>
          </cell>
          <cell r="BR168">
            <v>0.13162759137067725</v>
          </cell>
          <cell r="BS168">
            <v>0.15676655376842197</v>
          </cell>
          <cell r="BT168">
            <v>-0.17643987293375341</v>
          </cell>
          <cell r="BU168">
            <v>0.48734175315142769</v>
          </cell>
          <cell r="BV168">
            <v>0.32387836368245049</v>
          </cell>
          <cell r="BW168">
            <v>-3.3013535329541543E-2</v>
          </cell>
          <cell r="BX168">
            <v>0.18823889854901088</v>
          </cell>
          <cell r="BY168">
            <v>3.2782466770817198E-2</v>
          </cell>
          <cell r="BZ168">
            <v>8.5841331814977551E-2</v>
          </cell>
          <cell r="CA168">
            <v>6.3717624619669788E-2</v>
          </cell>
          <cell r="CB168">
            <v>0.14444040976438033</v>
          </cell>
          <cell r="CC168">
            <v>0.10936458328408172</v>
          </cell>
          <cell r="CD168">
            <v>0.15061461639459517</v>
          </cell>
          <cell r="CE168">
            <v>0.13000245089457652</v>
          </cell>
          <cell r="CF168">
            <v>0.40328421164329953</v>
          </cell>
          <cell r="CG168">
            <v>0.10360933154097984</v>
          </cell>
          <cell r="CH168">
            <v>7.0924614032161992E-2</v>
          </cell>
          <cell r="CI168">
            <v>0.41746881624557597</v>
          </cell>
          <cell r="CJ168">
            <v>0.1004652446209624</v>
          </cell>
          <cell r="CK168">
            <v>0.17388929967765154</v>
          </cell>
          <cell r="CL168">
            <v>0.13442522818771319</v>
          </cell>
          <cell r="CM168">
            <v>0.13093556661602879</v>
          </cell>
          <cell r="CN168">
            <v>0.29359071185016683</v>
          </cell>
          <cell r="CO168">
            <v>0.36701906622994973</v>
          </cell>
          <cell r="CP168">
            <v>0.33896923056188255</v>
          </cell>
          <cell r="CQ168">
            <v>0.36779799529032653</v>
          </cell>
          <cell r="CR168">
            <v>0.14240370527907742</v>
          </cell>
          <cell r="CS168">
            <v>0.2414854509208626</v>
          </cell>
        </row>
        <row r="169">
          <cell r="B169" t="str">
            <v>Other % Change</v>
          </cell>
          <cell r="D169">
            <v>0.15030487804878057</v>
          </cell>
          <cell r="E169">
            <v>-1.3119533527696792E-2</v>
          </cell>
          <cell r="F169">
            <v>7.184100980260455E-3</v>
          </cell>
          <cell r="G169">
            <v>6.1129258049463342E-2</v>
          </cell>
          <cell r="H169">
            <v>0.47085060937303691</v>
          </cell>
          <cell r="I169">
            <v>-0.24482125314995939</v>
          </cell>
          <cell r="J169">
            <v>-0.20259035122447822</v>
          </cell>
          <cell r="K169">
            <v>0.11277395559968784</v>
          </cell>
          <cell r="X169">
            <v>0.23856494845360832</v>
          </cell>
          <cell r="Y169">
            <v>5.8404722482182647E-2</v>
          </cell>
          <cell r="Z169">
            <v>0.27919666486440331</v>
          </cell>
          <cell r="AA169">
            <v>0.19445396460133657</v>
          </cell>
          <cell r="AB169">
            <v>0.15532232403833102</v>
          </cell>
          <cell r="AC169">
            <v>0.18532157508802527</v>
          </cell>
          <cell r="AD169">
            <v>6.5921419433410122E-3</v>
          </cell>
          <cell r="AE169">
            <v>7.9267563612760661E-2</v>
          </cell>
          <cell r="AF169">
            <v>-6.5659831632413068E-2</v>
          </cell>
          <cell r="AG169">
            <v>-6.1199692104684456E-2</v>
          </cell>
          <cell r="AH169">
            <v>-8.8290609006873133E-2</v>
          </cell>
          <cell r="AI169">
            <v>2.9429960229783392E-2</v>
          </cell>
          <cell r="AJ169">
            <v>-2.5203760920519902E-2</v>
          </cell>
          <cell r="AK169">
            <v>4.3646232222169346E-2</v>
          </cell>
          <cell r="AL169">
            <v>7.012997124726783E-2</v>
          </cell>
          <cell r="AM169">
            <v>3.2013280797667631E-2</v>
          </cell>
          <cell r="AN169">
            <v>9.6448434514342374E-3</v>
          </cell>
          <cell r="AO169">
            <v>-4.0284515179593416E-2</v>
          </cell>
          <cell r="AP169">
            <v>7.7172398865585246E-2</v>
          </cell>
          <cell r="AQ169">
            <v>4.8861807918546107E-2</v>
          </cell>
          <cell r="AR169">
            <v>9.8713310472834825E-2</v>
          </cell>
          <cell r="AS169">
            <v>0.16058073546550777</v>
          </cell>
          <cell r="AT169">
            <v>0.15355620288296845</v>
          </cell>
          <cell r="AU169">
            <v>2.9172390109890145E-2</v>
          </cell>
          <cell r="AV169">
            <v>2.2672158807576892E-2</v>
          </cell>
          <cell r="AW169">
            <v>3.6587591240875961E-2</v>
          </cell>
          <cell r="AX169">
            <v>-0.21753569034242981</v>
          </cell>
          <cell r="AY169">
            <v>-0.66816107875700659</v>
          </cell>
          <cell r="AZ169">
            <v>-0.81497243089220295</v>
          </cell>
          <cell r="BA169">
            <v>-0.69742558737839266</v>
          </cell>
          <cell r="BB169">
            <v>-0.30621477077171977</v>
          </cell>
          <cell r="BC169">
            <v>-0.20452476397893538</v>
          </cell>
          <cell r="BD169">
            <v>-0.12214815832875203</v>
          </cell>
          <cell r="BE169">
            <v>-0.20589600742804082</v>
          </cell>
          <cell r="BF169">
            <v>-0.1492584223389094</v>
          </cell>
          <cell r="BG169">
            <v>-0.17819227325558762</v>
          </cell>
          <cell r="BH169">
            <v>-7.6755059782245727E-2</v>
          </cell>
          <cell r="BI169">
            <v>-0.26005004589636227</v>
          </cell>
          <cell r="BJ169">
            <v>-1.5010527294584963E-2</v>
          </cell>
          <cell r="BK169">
            <v>1.5505251503635655</v>
          </cell>
          <cell r="BL169">
            <v>3.0788571428571432</v>
          </cell>
          <cell r="BM169">
            <v>2.1220601760609643</v>
          </cell>
          <cell r="BN169">
            <v>0.34507701219421638</v>
          </cell>
          <cell r="BO169">
            <v>0.23205230345106664</v>
          </cell>
          <cell r="BP169">
            <v>0.21782979112033085</v>
          </cell>
          <cell r="BQ169">
            <v>0.3323271863045385</v>
          </cell>
          <cell r="BR169">
            <v>0.35965476607535263</v>
          </cell>
          <cell r="BS169">
            <v>0.50362375232617151</v>
          </cell>
          <cell r="BT169">
            <v>0.44027232146087014</v>
          </cell>
          <cell r="BU169">
            <v>0.65529517724229347</v>
          </cell>
          <cell r="BV169">
            <v>0.48346268737230358</v>
          </cell>
          <cell r="BW169">
            <v>0.31029142615796146</v>
          </cell>
          <cell r="BX169">
            <v>0.57965816755393673</v>
          </cell>
          <cell r="BY169">
            <v>0.29998076160015397</v>
          </cell>
          <cell r="BZ169">
            <v>0.27990834805653719</v>
          </cell>
          <cell r="CA169">
            <v>0.17940611945353968</v>
          </cell>
          <cell r="CB169">
            <v>0.11768423984658738</v>
          </cell>
          <cell r="CC169">
            <v>0.10492552333983585</v>
          </cell>
          <cell r="CD169">
            <v>6.0039632903742701E-2</v>
          </cell>
          <cell r="CE169">
            <v>1.7601418554622494E-2</v>
          </cell>
          <cell r="CF169">
            <v>2.8220803423869567E-2</v>
          </cell>
          <cell r="CG169">
            <v>0.13379873213048277</v>
          </cell>
          <cell r="CH169">
            <v>0.13073695789526307</v>
          </cell>
          <cell r="CI169">
            <v>0.15081390351348456</v>
          </cell>
          <cell r="CJ169">
            <v>6.3770442371137603E-2</v>
          </cell>
          <cell r="CK169">
            <v>8.3457043624642235E-2</v>
          </cell>
          <cell r="CL169">
            <v>0.12718653075486275</v>
          </cell>
          <cell r="CM169">
            <v>0.16407759385932841</v>
          </cell>
          <cell r="CN169">
            <v>0.21016889042251363</v>
          </cell>
          <cell r="CO169">
            <v>0.23734147162676655</v>
          </cell>
          <cell r="CP169">
            <v>0.25636504253673631</v>
          </cell>
          <cell r="CQ169">
            <v>0.38885670185618437</v>
          </cell>
          <cell r="CR169">
            <v>0.3615400774826445</v>
          </cell>
          <cell r="CS169">
            <v>0.14291405779582678</v>
          </cell>
        </row>
        <row r="171">
          <cell r="B171" t="str">
            <v>Mainland China % of Total</v>
          </cell>
          <cell r="C171">
            <v>2.0297518895387658E-3</v>
          </cell>
          <cell r="D171">
            <v>3.4678927680798005E-3</v>
          </cell>
          <cell r="E171">
            <v>3.4754064858927361E-2</v>
          </cell>
          <cell r="F171">
            <v>3.1313028160024507E-2</v>
          </cell>
          <cell r="G171">
            <v>7.0067720090293453E-2</v>
          </cell>
          <cell r="H171">
            <v>7.4124964728686932E-2</v>
          </cell>
          <cell r="I171">
            <v>7.5681389634878013E-2</v>
          </cell>
          <cell r="J171">
            <v>0.11755055047852055</v>
          </cell>
          <cell r="K171">
            <v>0.22101317857574659</v>
          </cell>
          <cell r="L171">
            <v>0.28298175225682654</v>
          </cell>
          <cell r="M171">
            <v>0.23644374597272025</v>
          </cell>
          <cell r="N171">
            <v>0.28380274555142115</v>
          </cell>
          <cell r="O171">
            <v>0.21877610784415041</v>
          </cell>
          <cell r="P171">
            <v>0.29894581579974838</v>
          </cell>
          <cell r="Q171">
            <v>0.23526910610187457</v>
          </cell>
          <cell r="R171">
            <v>0.22177095626073559</v>
          </cell>
          <cell r="S171">
            <v>0.21778208916128544</v>
          </cell>
          <cell r="T171">
            <v>0.22874995347837054</v>
          </cell>
          <cell r="U171">
            <v>0.25125855252376272</v>
          </cell>
          <cell r="V171">
            <v>0.26737281357202136</v>
          </cell>
          <cell r="W171">
            <v>0.25356765605213577</v>
          </cell>
          <cell r="X171">
            <v>0.26004389936567224</v>
          </cell>
          <cell r="Y171">
            <v>0.26920483894804254</v>
          </cell>
          <cell r="Z171">
            <v>0.2700904969455093</v>
          </cell>
          <cell r="AA171">
            <v>0.25556666159030317</v>
          </cell>
          <cell r="AB171">
            <v>0.30567943623886895</v>
          </cell>
          <cell r="AC171">
            <v>0.27088826744566047</v>
          </cell>
          <cell r="AD171">
            <v>0.26049882804326718</v>
          </cell>
          <cell r="AE171">
            <v>0.30811659367009336</v>
          </cell>
          <cell r="AF171">
            <v>0.31162977240127576</v>
          </cell>
          <cell r="AG171">
            <v>0.33010756703393646</v>
          </cell>
          <cell r="AH171">
            <v>0.34714858186623898</v>
          </cell>
          <cell r="AI171">
            <v>0.31820854392885828</v>
          </cell>
          <cell r="AJ171">
            <v>0.34758419493513087</v>
          </cell>
          <cell r="AK171">
            <v>0.320390810769759</v>
          </cell>
          <cell r="AL171">
            <v>0.31604666400685855</v>
          </cell>
          <cell r="AM171">
            <v>0.35679597056088252</v>
          </cell>
          <cell r="AN171">
            <v>0.37838579872624428</v>
          </cell>
          <cell r="AO171">
            <v>0.32938203484530587</v>
          </cell>
          <cell r="AP171">
            <v>0.34341296061741405</v>
          </cell>
          <cell r="AQ171">
            <v>0.34836691354163579</v>
          </cell>
          <cell r="AR171">
            <v>0.38181092551933415</v>
          </cell>
          <cell r="AS171">
            <v>0.39301845173488326</v>
          </cell>
          <cell r="AT171">
            <v>0.44361974766670953</v>
          </cell>
          <cell r="AU171">
            <v>0.43975244391307405</v>
          </cell>
          <cell r="AV171">
            <v>0.47357561134223314</v>
          </cell>
          <cell r="AW171">
            <v>0.39722059387942543</v>
          </cell>
          <cell r="AX171">
            <v>0.47318503656775129</v>
          </cell>
          <cell r="AY171">
            <v>0.45192881122988016</v>
          </cell>
          <cell r="AZ171">
            <v>0.45344335163619542</v>
          </cell>
          <cell r="BA171">
            <v>0.45091501497341807</v>
          </cell>
          <cell r="BB171">
            <v>0.42905575807597957</v>
          </cell>
          <cell r="BC171">
            <v>0.46073829640699521</v>
          </cell>
          <cell r="BD171">
            <v>0.49804804564816074</v>
          </cell>
          <cell r="BE171">
            <v>0.53022442901839317</v>
          </cell>
          <cell r="BF171">
            <v>0.56977594500295781</v>
          </cell>
          <cell r="BG171">
            <v>0.55622946986679223</v>
          </cell>
          <cell r="BH171">
            <v>0.55323710857933672</v>
          </cell>
          <cell r="BI171">
            <v>0.59408645478128774</v>
          </cell>
          <cell r="BJ171">
            <v>0.60581245261046968</v>
          </cell>
          <cell r="BK171">
            <v>0.53873568358000146</v>
          </cell>
          <cell r="BL171">
            <v>0.61213926045568368</v>
          </cell>
          <cell r="BM171">
            <v>0.5640749866424758</v>
          </cell>
          <cell r="BN171">
            <v>0.56653693995891008</v>
          </cell>
          <cell r="BO171">
            <v>0.55293873335669563</v>
          </cell>
          <cell r="BP171">
            <v>0.560072217175413</v>
          </cell>
          <cell r="BQ171">
            <v>0.58085348975720863</v>
          </cell>
          <cell r="BR171">
            <v>0.58727394719510972</v>
          </cell>
          <cell r="BS171">
            <v>0.55270475144263509</v>
          </cell>
          <cell r="BT171">
            <v>0.58897390467940458</v>
          </cell>
          <cell r="BU171">
            <v>0.54665865400403257</v>
          </cell>
          <cell r="BV171">
            <v>0.53964173352389733</v>
          </cell>
          <cell r="BW171">
            <v>0.55612000332063105</v>
          </cell>
          <cell r="BX171">
            <v>0.56633305922441468</v>
          </cell>
          <cell r="BY171">
            <v>0.56033773528949982</v>
          </cell>
          <cell r="BZ171">
            <v>0.54827990711546448</v>
          </cell>
          <cell r="CA171">
            <v>0.54276209627367744</v>
          </cell>
          <cell r="CB171">
            <v>0.54848777802625015</v>
          </cell>
          <cell r="CC171">
            <v>0.57867798173023577</v>
          </cell>
          <cell r="CD171">
            <v>0.58180019917924197</v>
          </cell>
          <cell r="CE171">
            <v>0.55473217712531186</v>
          </cell>
          <cell r="CF171">
            <v>0.55840309908612829</v>
          </cell>
          <cell r="CG171">
            <v>0.56725872443382641</v>
          </cell>
          <cell r="CH171">
            <v>0.57580491852204918</v>
          </cell>
          <cell r="CI171">
            <v>0.5293581719433208</v>
          </cell>
          <cell r="CJ171">
            <v>0.57447039079638351</v>
          </cell>
          <cell r="CK171">
            <v>0.54910447321935663</v>
          </cell>
          <cell r="CL171">
            <v>0.52730700769261496</v>
          </cell>
          <cell r="CM171">
            <v>0.53008646669541781</v>
          </cell>
          <cell r="CN171">
            <v>0.52457166905970476</v>
          </cell>
          <cell r="CO171">
            <v>0.53356219733564914</v>
          </cell>
          <cell r="CP171">
            <v>0.54843215190120143</v>
          </cell>
          <cell r="CQ171">
            <v>0.52825651654686701</v>
          </cell>
          <cell r="CR171">
            <v>0.56689628246078028</v>
          </cell>
          <cell r="CS171">
            <v>0.57074914876268101</v>
          </cell>
        </row>
        <row r="172">
          <cell r="B172" t="str">
            <v>Hong Kong % of Total</v>
          </cell>
          <cell r="C172">
            <v>0.82277061132922047</v>
          </cell>
          <cell r="D172">
            <v>0.80051174147963422</v>
          </cell>
          <cell r="E172">
            <v>0.77501181459389723</v>
          </cell>
          <cell r="F172">
            <v>0.77719625213817045</v>
          </cell>
          <cell r="G172">
            <v>0.72460496613995484</v>
          </cell>
          <cell r="H172">
            <v>0.63863772987694911</v>
          </cell>
          <cell r="I172">
            <v>0.67174732872407295</v>
          </cell>
          <cell r="J172">
            <v>0.67954234726919482</v>
          </cell>
          <cell r="K172">
            <v>0.56822364620696142</v>
          </cell>
          <cell r="L172">
            <v>0.52817061546416799</v>
          </cell>
          <cell r="M172">
            <v>0.59273810753513267</v>
          </cell>
          <cell r="N172">
            <v>0.52110793589549642</v>
          </cell>
          <cell r="O172">
            <v>0.57778223240977189</v>
          </cell>
          <cell r="P172">
            <v>0.4812074313478808</v>
          </cell>
          <cell r="Q172">
            <v>0.52627435635144626</v>
          </cell>
          <cell r="R172">
            <v>0.56720044421861493</v>
          </cell>
          <cell r="S172">
            <v>0.58728109801170736</v>
          </cell>
          <cell r="T172">
            <v>0.53677552038750109</v>
          </cell>
          <cell r="U172">
            <v>0.51587722263192393</v>
          </cell>
          <cell r="V172">
            <v>0.49271862912521003</v>
          </cell>
          <cell r="W172">
            <v>0.53674645581740121</v>
          </cell>
          <cell r="X172">
            <v>0.57039254252751048</v>
          </cell>
          <cell r="Y172">
            <v>0.52386186900497544</v>
          </cell>
          <cell r="Z172">
            <v>0.52008145308570664</v>
          </cell>
          <cell r="AA172">
            <v>0.53512021329306558</v>
          </cell>
          <cell r="AB172">
            <v>0.46652789868640543</v>
          </cell>
          <cell r="AC172">
            <v>0.50026567945337386</v>
          </cell>
          <cell r="AD172">
            <v>0.52770143667554548</v>
          </cell>
          <cell r="AE172">
            <v>0.51230046734859958</v>
          </cell>
          <cell r="AF172">
            <v>0.48536555147251353</v>
          </cell>
          <cell r="AG172">
            <v>0.47064136464734396</v>
          </cell>
          <cell r="AH172">
            <v>0.4581764017966557</v>
          </cell>
          <cell r="AI172">
            <v>0.4879622192737616</v>
          </cell>
          <cell r="AJ172">
            <v>0.46427795734508837</v>
          </cell>
          <cell r="AK172">
            <v>0.51548064611708277</v>
          </cell>
          <cell r="AL172">
            <v>0.48351040502349557</v>
          </cell>
          <cell r="AM172">
            <v>0.44135426354103197</v>
          </cell>
          <cell r="AN172">
            <v>0.42109414089332509</v>
          </cell>
          <cell r="AO172">
            <v>0.4665086301830364</v>
          </cell>
          <cell r="AP172">
            <v>0.46557800393461723</v>
          </cell>
          <cell r="AQ172">
            <v>0.4729547437829657</v>
          </cell>
          <cell r="AR172">
            <v>0.42076183326587513</v>
          </cell>
          <cell r="AS172">
            <v>0.40291059177776362</v>
          </cell>
          <cell r="AT172">
            <v>0.37242934338918476</v>
          </cell>
          <cell r="AU172">
            <v>0.39163091637949221</v>
          </cell>
          <cell r="AV172">
            <v>0.37477525113627963</v>
          </cell>
          <cell r="AW172">
            <v>0.45092599134252037</v>
          </cell>
          <cell r="AX172">
            <v>0.37013661395526953</v>
          </cell>
          <cell r="AY172">
            <v>0.44690357911561968</v>
          </cell>
          <cell r="AZ172">
            <v>0.48789362886086474</v>
          </cell>
          <cell r="BA172">
            <v>0.48377685623189615</v>
          </cell>
          <cell r="BB172">
            <v>0.4423112929973787</v>
          </cell>
          <cell r="BC172">
            <v>0.41506261627418445</v>
          </cell>
          <cell r="BD172">
            <v>0.34881843827668602</v>
          </cell>
          <cell r="BE172">
            <v>0.32865799033485449</v>
          </cell>
          <cell r="BF172">
            <v>0.29483988803286576</v>
          </cell>
          <cell r="BG172">
            <v>0.32296055761844733</v>
          </cell>
          <cell r="BH172">
            <v>0.3431419808665026</v>
          </cell>
          <cell r="BI172">
            <v>0.29993904025774176</v>
          </cell>
          <cell r="BJ172">
            <v>0.28071970111408912</v>
          </cell>
          <cell r="BK172">
            <v>0.33547904390442584</v>
          </cell>
          <cell r="BL172">
            <v>0.28031312056844448</v>
          </cell>
          <cell r="BM172">
            <v>0.30805103150838159</v>
          </cell>
          <cell r="BN172">
            <v>0.3146158101226203</v>
          </cell>
          <cell r="BO172">
            <v>0.32663182102765587</v>
          </cell>
          <cell r="BP172">
            <v>0.29777325299388319</v>
          </cell>
          <cell r="BQ172">
            <v>0.28024192346245502</v>
          </cell>
          <cell r="BR172">
            <v>0.26598232687445261</v>
          </cell>
          <cell r="BS172">
            <v>0.30095850769427335</v>
          </cell>
          <cell r="BT172">
            <v>0.26897710139363895</v>
          </cell>
          <cell r="BU172">
            <v>0.32539160246684923</v>
          </cell>
          <cell r="BV172">
            <v>0.31684880491952672</v>
          </cell>
          <cell r="BW172">
            <v>0.29433912747741836</v>
          </cell>
          <cell r="BX172">
            <v>0.28718625246340773</v>
          </cell>
          <cell r="BY172">
            <v>0.2887762329257017</v>
          </cell>
          <cell r="BZ172">
            <v>0.31255117894681234</v>
          </cell>
          <cell r="CA172">
            <v>0.32455834968647579</v>
          </cell>
          <cell r="CB172">
            <v>0.3079407565410352</v>
          </cell>
          <cell r="CC172">
            <v>0.28207051717847131</v>
          </cell>
          <cell r="CD172">
            <v>0.27727021049596129</v>
          </cell>
          <cell r="CE172">
            <v>0.30967184801381692</v>
          </cell>
          <cell r="CF172">
            <v>0.31839245741374861</v>
          </cell>
          <cell r="CG172">
            <v>0.30822593501645501</v>
          </cell>
          <cell r="CH172">
            <v>0.28696270037110411</v>
          </cell>
          <cell r="CI172">
            <v>0.33320233928634441</v>
          </cell>
          <cell r="CJ172">
            <v>0.28500751249886508</v>
          </cell>
          <cell r="CK172">
            <v>0.30419669967244689</v>
          </cell>
          <cell r="CL172">
            <v>0.3277068416777269</v>
          </cell>
          <cell r="CM172">
            <v>0.33074330352614106</v>
          </cell>
          <cell r="CN172">
            <v>0.33104036257528635</v>
          </cell>
          <cell r="CO172">
            <v>0.32238263809736317</v>
          </cell>
          <cell r="CP172">
            <v>0.30574999884590703</v>
          </cell>
          <cell r="CQ172">
            <v>0.32655390844863674</v>
          </cell>
          <cell r="CR172">
            <v>0.2964059667406983</v>
          </cell>
          <cell r="CS172">
            <v>0.31288796578364769</v>
          </cell>
        </row>
        <row r="174">
          <cell r="B174" t="str">
            <v>Total Package %</v>
          </cell>
          <cell r="L174">
            <v>0.16545388847009276</v>
          </cell>
          <cell r="M174">
            <v>0.15976925839026862</v>
          </cell>
          <cell r="N174">
            <v>0.19897822517629848</v>
          </cell>
          <cell r="O174">
            <v>0.17202695854743583</v>
          </cell>
          <cell r="P174">
            <v>0.21456227495553337</v>
          </cell>
          <cell r="Q174">
            <v>0.18501121532185508</v>
          </cell>
          <cell r="R174">
            <v>0.16039970243954771</v>
          </cell>
          <cell r="S174">
            <v>0.14623729430594001</v>
          </cell>
          <cell r="T174">
            <v>0.14787813125026708</v>
          </cell>
          <cell r="U174">
            <v>0.13545379588659456</v>
          </cell>
          <cell r="V174">
            <v>0.14702202800979508</v>
          </cell>
          <cell r="W174">
            <v>0.13492293912345182</v>
          </cell>
          <cell r="X174">
            <v>0.12430814464208693</v>
          </cell>
          <cell r="Y174">
            <v>0.13623510700437025</v>
          </cell>
          <cell r="Z174">
            <v>0.15367093186764458</v>
          </cell>
          <cell r="AA174">
            <v>0.14122943804655813</v>
          </cell>
          <cell r="AB174">
            <v>0.17712006186198745</v>
          </cell>
          <cell r="AC174">
            <v>0.15738077478614676</v>
          </cell>
          <cell r="AD174">
            <v>0.14607611958895705</v>
          </cell>
          <cell r="AE174">
            <v>0.13796683937627482</v>
          </cell>
          <cell r="AF174">
            <v>0.1566623622292643</v>
          </cell>
          <cell r="AG174">
            <v>0.16135055090471601</v>
          </cell>
          <cell r="AH174">
            <v>0.20307539163418514</v>
          </cell>
          <cell r="AI174">
            <v>0.19948369890793555</v>
          </cell>
          <cell r="AJ174">
            <v>0.18664833152338053</v>
          </cell>
          <cell r="AK174">
            <v>0.19635524245435496</v>
          </cell>
          <cell r="AL174">
            <v>0.19700011146193264</v>
          </cell>
          <cell r="AM174">
            <v>0.2066630856556457</v>
          </cell>
          <cell r="AN174">
            <v>0.22633015035744874</v>
          </cell>
          <cell r="AO174">
            <v>0.15937148619982147</v>
          </cell>
          <cell r="AP174">
            <v>0.17245886022070467</v>
          </cell>
          <cell r="AQ174">
            <v>0.17304075009728509</v>
          </cell>
          <cell r="AR174">
            <v>0.1701213569731079</v>
          </cell>
          <cell r="AS174">
            <v>0.14862204116267144</v>
          </cell>
          <cell r="AT174">
            <v>0.18545908729790858</v>
          </cell>
          <cell r="AU174">
            <v>0.16769111751881285</v>
          </cell>
          <cell r="AV174">
            <v>0.14826587575325689</v>
          </cell>
          <cell r="AW174">
            <v>0.15801236946472183</v>
          </cell>
          <cell r="AX174">
            <v>0.18634151823808789</v>
          </cell>
          <cell r="AY174">
            <v>9.1354784414515056E-2</v>
          </cell>
          <cell r="AZ174">
            <v>7.8558163545794021E-3</v>
          </cell>
          <cell r="BA174">
            <v>3.1021882151906339E-2</v>
          </cell>
          <cell r="BB174">
            <v>9.2176406752718737E-2</v>
          </cell>
          <cell r="BC174">
            <v>0.17115559949771908</v>
          </cell>
          <cell r="BD174">
            <v>0.14208909063301658</v>
          </cell>
          <cell r="BE174">
            <v>0.11694395596610653</v>
          </cell>
          <cell r="BF174">
            <v>0.15466365880033736</v>
          </cell>
          <cell r="BG174">
            <v>0.15473323294108413</v>
          </cell>
          <cell r="BH174">
            <v>0.11903371414905715</v>
          </cell>
          <cell r="BI174">
            <v>0.1096392930110601</v>
          </cell>
          <cell r="BJ174">
            <v>0.20144653313307631</v>
          </cell>
          <cell r="BK174">
            <v>0.17534469349837892</v>
          </cell>
          <cell r="BL174">
            <v>0.14233862583734364</v>
          </cell>
          <cell r="BM174">
            <v>0.14459798656944184</v>
          </cell>
          <cell r="BN174">
            <v>0.15618386939926102</v>
          </cell>
          <cell r="BO174">
            <v>0.14033311639790777</v>
          </cell>
          <cell r="BP174">
            <v>0.13831142476628788</v>
          </cell>
          <cell r="BQ174">
            <v>0.13493745540455399</v>
          </cell>
          <cell r="BR174">
            <v>0.18651100823710093</v>
          </cell>
          <cell r="BS174">
            <v>0.14518355481618175</v>
          </cell>
          <cell r="BT174">
            <v>0.1304302220788775</v>
          </cell>
          <cell r="BU174">
            <v>0.12457128971029627</v>
          </cell>
          <cell r="BV174">
            <v>0.13771034831861595</v>
          </cell>
          <cell r="BW174">
            <v>0.15514510354209568</v>
          </cell>
          <cell r="BX174">
            <v>0.1398734941872021</v>
          </cell>
          <cell r="BY174">
            <v>0.14997958934459119</v>
          </cell>
          <cell r="BZ174">
            <v>0.14602239026393329</v>
          </cell>
          <cell r="CA174">
            <v>0.1473584118082101</v>
          </cell>
          <cell r="CB174">
            <v>0.13372026215746649</v>
          </cell>
          <cell r="CC174">
            <v>0.12954257064250735</v>
          </cell>
          <cell r="CD174">
            <v>0.18011396440807703</v>
          </cell>
          <cell r="CE174">
            <v>0.1446129581654193</v>
          </cell>
          <cell r="CF174">
            <v>0.12101892809226956</v>
          </cell>
          <cell r="CG174">
            <v>0.13536359464825479</v>
          </cell>
          <cell r="CH174">
            <v>0.16174169015374312</v>
          </cell>
          <cell r="CI174">
            <v>0.14596586455536342</v>
          </cell>
          <cell r="CJ174">
            <v>0.13993164065360206</v>
          </cell>
          <cell r="CK174">
            <v>0.13023789083609008</v>
          </cell>
          <cell r="CL174">
            <v>0.12608642095871378</v>
          </cell>
          <cell r="CM174">
            <v>0.12172914662714339</v>
          </cell>
          <cell r="CN174">
            <v>0.10504036143166004</v>
          </cell>
          <cell r="CO174">
            <v>0.10856817775204691</v>
          </cell>
          <cell r="CP174">
            <v>0.14855792238647958</v>
          </cell>
          <cell r="CQ174">
            <v>0.14938668474102335</v>
          </cell>
          <cell r="CR174">
            <v>0.1606906720136867</v>
          </cell>
          <cell r="CS174">
            <v>0.18073057756918795</v>
          </cell>
        </row>
        <row r="175">
          <cell r="B175" t="str">
            <v>Mainland China Package %</v>
          </cell>
          <cell r="L175">
            <v>0.39365619272493108</v>
          </cell>
          <cell r="M175">
            <v>0.4576990487681834</v>
          </cell>
          <cell r="N175">
            <v>0.49698996982634253</v>
          </cell>
          <cell r="O175">
            <v>0.51544003824439988</v>
          </cell>
          <cell r="P175">
            <v>0.50270280075460749</v>
          </cell>
          <cell r="Q175">
            <v>0.46564210691741531</v>
          </cell>
          <cell r="R175">
            <v>0.44569487488902948</v>
          </cell>
          <cell r="S175">
            <v>0.40467138255799728</v>
          </cell>
          <cell r="T175">
            <v>0.34930190236877151</v>
          </cell>
          <cell r="U175">
            <v>0.30182372214607101</v>
          </cell>
          <cell r="V175">
            <v>0.32366161603248222</v>
          </cell>
          <cell r="W175">
            <v>0.33619496794059756</v>
          </cell>
          <cell r="X175">
            <v>0.31226906226797679</v>
          </cell>
          <cell r="Y175">
            <v>0.30702790877625924</v>
          </cell>
          <cell r="Z175">
            <v>0.33727802981205446</v>
          </cell>
          <cell r="AA175">
            <v>0.32758700277384944</v>
          </cell>
          <cell r="AB175">
            <v>0.32914237075103214</v>
          </cell>
          <cell r="AC175">
            <v>0.31235035178841125</v>
          </cell>
          <cell r="AD175">
            <v>0.31682234556202338</v>
          </cell>
          <cell r="AE175">
            <v>0.26828728330453283</v>
          </cell>
          <cell r="AF175">
            <v>0.29279569143245937</v>
          </cell>
          <cell r="AG175">
            <v>0.32414356262394523</v>
          </cell>
          <cell r="AH175">
            <v>0.39506220444562851</v>
          </cell>
          <cell r="AI175">
            <v>0.41111850981567927</v>
          </cell>
          <cell r="AJ175">
            <v>0.37325711665810091</v>
          </cell>
          <cell r="AK175">
            <v>0.4403490848874555</v>
          </cell>
          <cell r="AL175">
            <v>0.36887555826562729</v>
          </cell>
          <cell r="AM175">
            <v>0.37913552471554446</v>
          </cell>
          <cell r="AN175">
            <v>0.40868074329529824</v>
          </cell>
          <cell r="AO175">
            <v>0.2979644410659234</v>
          </cell>
          <cell r="AP175">
            <v>0.3448451761738956</v>
          </cell>
          <cell r="AQ175">
            <v>0.35683162595354861</v>
          </cell>
          <cell r="AR175">
            <v>0.29127567654000019</v>
          </cell>
          <cell r="AS175">
            <v>0.23754749115681909</v>
          </cell>
          <cell r="AT175">
            <v>0.29753863715008605</v>
          </cell>
          <cell r="AU175">
            <v>0.28748749901378146</v>
          </cell>
          <cell r="AV175">
            <v>0.23708076659822039</v>
          </cell>
          <cell r="AW175">
            <v>0.3092107793181687</v>
          </cell>
          <cell r="AX175">
            <v>0.32466407160607857</v>
          </cell>
          <cell r="AY175">
            <v>0.18984238413257684</v>
          </cell>
          <cell r="AZ175">
            <v>5.6923821880186442E-3</v>
          </cell>
          <cell r="BA175">
            <v>5.2385910446462798E-2</v>
          </cell>
          <cell r="BB175">
            <v>0.17334945306464145</v>
          </cell>
          <cell r="BC175">
            <v>0.31524799727288222</v>
          </cell>
          <cell r="BD175">
            <v>0.23636400104298294</v>
          </cell>
          <cell r="BE175">
            <v>0.17629360280749229</v>
          </cell>
          <cell r="BF175">
            <v>0.22496734657430376</v>
          </cell>
          <cell r="BG175">
            <v>0.23526230156338876</v>
          </cell>
          <cell r="BH175">
            <v>0.17764967653985728</v>
          </cell>
          <cell r="BI175">
            <v>0.15245068765971378</v>
          </cell>
          <cell r="BJ175">
            <v>0.30128228606358515</v>
          </cell>
          <cell r="BK175">
            <v>0.28860282032739465</v>
          </cell>
          <cell r="BL175">
            <v>0.19965270299706731</v>
          </cell>
          <cell r="BM175">
            <v>0.21002304665619051</v>
          </cell>
          <cell r="BN175">
            <v>0.23370053058477833</v>
          </cell>
          <cell r="BO175">
            <v>0.20225764013006189</v>
          </cell>
          <cell r="BP175">
            <v>0.18081060907846275</v>
          </cell>
          <cell r="BQ175">
            <v>0.17858617472414917</v>
          </cell>
          <cell r="BR175">
            <v>0.25848471972008885</v>
          </cell>
          <cell r="BS175">
            <v>0.21193525478177563</v>
          </cell>
          <cell r="BT175">
            <v>0.17587238357618204</v>
          </cell>
          <cell r="BU175">
            <v>0.1729059263255148</v>
          </cell>
          <cell r="BV175">
            <v>0.19214473682620001</v>
          </cell>
          <cell r="BW175">
            <v>0.21431443457826915</v>
          </cell>
          <cell r="BX175">
            <v>0.17992198548209692</v>
          </cell>
          <cell r="BY175">
            <v>0.20850404604697848</v>
          </cell>
          <cell r="BZ175">
            <v>0.2123919967852243</v>
          </cell>
          <cell r="CA175">
            <v>0.21182650096956843</v>
          </cell>
          <cell r="CB175">
            <v>0.18898148485004346</v>
          </cell>
          <cell r="CC175">
            <v>0.17513934737852418</v>
          </cell>
          <cell r="CD175">
            <v>0.25692193394509555</v>
          </cell>
          <cell r="CE175">
            <v>0.21514723354021018</v>
          </cell>
          <cell r="CF175">
            <v>0.17448559759498214</v>
          </cell>
          <cell r="CG175">
            <v>0.19464659263123898</v>
          </cell>
          <cell r="CH175">
            <v>0.24110308777584141</v>
          </cell>
          <cell r="CI175">
            <v>0.22953823280468172</v>
          </cell>
          <cell r="CJ175">
            <v>0.19725403024339508</v>
          </cell>
          <cell r="CK175">
            <v>0.18585018405411693</v>
          </cell>
          <cell r="CL175">
            <v>0.19475597103346387</v>
          </cell>
          <cell r="CM175">
            <v>0.17499791453008229</v>
          </cell>
          <cell r="CN175">
            <v>0.15284782909646244</v>
          </cell>
          <cell r="CO175">
            <v>0.14569505235486208</v>
          </cell>
          <cell r="CP175">
            <v>0.2006183981878277</v>
          </cell>
          <cell r="CQ175">
            <v>0.19976369166137889</v>
          </cell>
          <cell r="CR175">
            <v>0.20739680040146397</v>
          </cell>
          <cell r="CS175">
            <v>0.22951719949541041</v>
          </cell>
        </row>
        <row r="177">
          <cell r="B177" t="str">
            <v>Total Package % Change</v>
          </cell>
          <cell r="X177">
            <v>3.6383319213028287E-2</v>
          </cell>
          <cell r="Y177">
            <v>-0.25500865884163937</v>
          </cell>
          <cell r="Z177">
            <v>-8.1469804556170922E-2</v>
          </cell>
          <cell r="AA177">
            <v>-4.6893207396952907E-2</v>
          </cell>
          <cell r="AB177">
            <v>-7.9554932140420087E-2</v>
          </cell>
          <cell r="AC177">
            <v>5.0644084168103065E-2</v>
          </cell>
          <cell r="AD177">
            <v>-8.6633445052037406E-2</v>
          </cell>
          <cell r="AE177">
            <v>0.10528552779380074</v>
          </cell>
          <cell r="AF177">
            <v>0.14328725496593053</v>
          </cell>
          <cell r="AG177">
            <v>0.3069368696654915</v>
          </cell>
          <cell r="AH177">
            <v>0.55191109457825727</v>
          </cell>
          <cell r="AI177">
            <v>0.6465250434941856</v>
          </cell>
          <cell r="AJ177">
            <v>0.31915164176393107</v>
          </cell>
          <cell r="AK177">
            <v>0.89650078001508371</v>
          </cell>
          <cell r="AL177">
            <v>0.43609799067478705</v>
          </cell>
          <cell r="AM177">
            <v>0.56599790410521988</v>
          </cell>
          <cell r="AN177">
            <v>0.46563287272527587</v>
          </cell>
          <cell r="AO177">
            <v>8.9637408361402882E-2</v>
          </cell>
          <cell r="AP177">
            <v>0.4101425134184713</v>
          </cell>
          <cell r="AQ177">
            <v>0.32216332024061312</v>
          </cell>
          <cell r="AR177">
            <v>0.2268105957457216</v>
          </cell>
          <cell r="AS177">
            <v>4.3776668836334798E-2</v>
          </cell>
          <cell r="AT177">
            <v>0.11490498990274278</v>
          </cell>
          <cell r="AU177">
            <v>-5.4889137289577672E-3</v>
          </cell>
          <cell r="AV177">
            <v>7.835738680180615E-3</v>
          </cell>
          <cell r="AW177">
            <v>-9.8399503181382353E-2</v>
          </cell>
          <cell r="AX177">
            <v>-5.3131973307105729E-2</v>
          </cell>
          <cell r="AY177">
            <v>-0.70732712636989625</v>
          </cell>
          <cell r="AZ177">
            <v>-0.97804776379450042</v>
          </cell>
          <cell r="BA177">
            <v>-0.81592901043750232</v>
          </cell>
          <cell r="BB177">
            <v>-0.44936856942312409</v>
          </cell>
          <cell r="BC177">
            <v>0.13193867375768664</v>
          </cell>
          <cell r="BD177">
            <v>-5.4721144133127786E-2</v>
          </cell>
          <cell r="BE177">
            <v>-9.6408749818116313E-2</v>
          </cell>
          <cell r="BF177">
            <v>-3.6011437662588963E-2</v>
          </cell>
          <cell r="BG177">
            <v>5.8379466532461066E-2</v>
          </cell>
          <cell r="BH177">
            <v>8.4771469563435176E-2</v>
          </cell>
          <cell r="BI177">
            <v>-0.26430017220023561</v>
          </cell>
          <cell r="BJ177">
            <v>0.47034054482704701</v>
          </cell>
          <cell r="BK177">
            <v>2.9373374202634412</v>
          </cell>
          <cell r="BL177">
            <v>39.311926605504588</v>
          </cell>
          <cell r="BM177">
            <v>6.4322519461018688</v>
          </cell>
          <cell r="BN177">
            <v>1.4667585577929549</v>
          </cell>
          <cell r="BO177">
            <v>4.1798961220107511E-2</v>
          </cell>
          <cell r="BP177">
            <v>0.27700755072484151</v>
          </cell>
          <cell r="BQ177">
            <v>0.5618170525040449</v>
          </cell>
          <cell r="BR177">
            <v>0.5127012801641464</v>
          </cell>
          <cell r="BS177">
            <v>0.16472235430865956</v>
          </cell>
          <cell r="BT177">
            <v>0.15123001927219137</v>
          </cell>
          <cell r="BU177">
            <v>0.5577191570440696</v>
          </cell>
          <cell r="BV177">
            <v>-0.19818221871106922</v>
          </cell>
          <cell r="BW177">
            <v>-2.4823470993696306E-2</v>
          </cell>
          <cell r="BX177">
            <v>0.13971483312339239</v>
          </cell>
          <cell r="BY177">
            <v>0.14272042873548552</v>
          </cell>
          <cell r="BZ177">
            <v>2.190152088059838E-2</v>
          </cell>
          <cell r="CA177">
            <v>0.12410485426631079</v>
          </cell>
          <cell r="CB177">
            <v>6.9918905080957217E-2</v>
          </cell>
          <cell r="CC177">
            <v>5.8107278752915104E-2</v>
          </cell>
          <cell r="CD177">
            <v>6.591450244373509E-2</v>
          </cell>
          <cell r="CE177">
            <v>9.3891048642077202E-2</v>
          </cell>
          <cell r="CF177">
            <v>9.9950763170851831E-2</v>
          </cell>
          <cell r="CG177">
            <v>0.26600798224293642</v>
          </cell>
          <cell r="CH177">
            <v>0.38880388803888044</v>
          </cell>
          <cell r="CI177">
            <v>0.17805807395388773</v>
          </cell>
          <cell r="CJ177">
            <v>0.10933872016346236</v>
          </cell>
          <cell r="CK177">
            <v>-3.2303240094541552E-2</v>
          </cell>
          <cell r="CL177">
            <v>-6.5755880164286906E-2</v>
          </cell>
          <cell r="CM177">
            <v>-8.3232446706394403E-2</v>
          </cell>
          <cell r="CN177">
            <v>-5.4759981269842939E-2</v>
          </cell>
          <cell r="CO177">
            <v>2.4221613846224788E-3</v>
          </cell>
          <cell r="CP177">
            <v>1.5111224839119419E-3</v>
          </cell>
          <cell r="CQ177">
            <v>0.3399033776358622</v>
          </cell>
          <cell r="CR177">
            <v>0.62941907888192583</v>
          </cell>
          <cell r="CS177">
            <v>0.63287038001041118</v>
          </cell>
        </row>
        <row r="178">
          <cell r="B178" t="str">
            <v>Mainland China Package % Change</v>
          </cell>
          <cell r="X178">
            <v>5.5366805083678639E-3</v>
          </cell>
          <cell r="Y178">
            <v>-0.33271973183341852</v>
          </cell>
          <cell r="Z178">
            <v>-0.23185995709759311</v>
          </cell>
          <cell r="AA178">
            <v>-0.13808256688270826</v>
          </cell>
          <cell r="AB178">
            <v>-0.25350016237866702</v>
          </cell>
          <cell r="AC178">
            <v>-4.6068821982534369E-2</v>
          </cell>
          <cell r="AD178">
            <v>-0.1625696258393865</v>
          </cell>
          <cell r="AE178">
            <v>9.8875357354256233E-2</v>
          </cell>
          <cell r="AF178">
            <v>0.23235634067659183</v>
          </cell>
          <cell r="AG178">
            <v>0.54808211777417615</v>
          </cell>
          <cell r="AH178">
            <v>0.78059185059959235</v>
          </cell>
          <cell r="AI178">
            <v>0.70899394220457368</v>
          </cell>
          <cell r="AJ178">
            <v>0.40366245359362618</v>
          </cell>
          <cell r="AK178">
            <v>1.2460322866289761</v>
          </cell>
          <cell r="AL178">
            <v>0.4336497444371854</v>
          </cell>
          <cell r="AM178">
            <v>0.72916746730205095</v>
          </cell>
          <cell r="AN178">
            <v>0.76286691399499706</v>
          </cell>
          <cell r="AO178">
            <v>0.24811675388811083</v>
          </cell>
          <cell r="AP178">
            <v>0.71386250017803476</v>
          </cell>
          <cell r="AQ178">
            <v>0.58524537557017453</v>
          </cell>
          <cell r="AR178">
            <v>0.37699479254157575</v>
          </cell>
          <cell r="AS178">
            <v>-1.1298202756935938E-2</v>
          </cell>
          <cell r="AT178">
            <v>0.17495275024623114</v>
          </cell>
          <cell r="AU178">
            <v>0.14328720192666466</v>
          </cell>
          <cell r="AV178">
            <v>9.79692917285786E-2</v>
          </cell>
          <cell r="AW178">
            <v>-2.4617880754533861E-2</v>
          </cell>
          <cell r="AX178">
            <v>0.31910825179823976</v>
          </cell>
          <cell r="AY178">
            <v>-0.58008356545961004</v>
          </cell>
          <cell r="AZ178">
            <v>-0.98944330575339834</v>
          </cell>
          <cell r="BA178">
            <v>-0.77239978267545417</v>
          </cell>
          <cell r="BB178">
            <v>-0.35297344014892129</v>
          </cell>
          <cell r="BC178">
            <v>0.33716987543287624</v>
          </cell>
          <cell r="BD178">
            <v>0.19800339544766032</v>
          </cell>
          <cell r="BE178">
            <v>0.14976836532097959</v>
          </cell>
          <cell r="BF178">
            <v>0.12253806186563554</v>
          </cell>
          <cell r="BG178">
            <v>0.18726311182975941</v>
          </cell>
          <cell r="BH178">
            <v>0.18276795380728972</v>
          </cell>
          <cell r="BI178">
            <v>-0.21815948821988507</v>
          </cell>
          <cell r="BJ178">
            <v>0.61589942287370958</v>
          </cell>
          <cell r="BK178">
            <v>2.717529374404573</v>
          </cell>
          <cell r="BL178">
            <v>104.34415584415585</v>
          </cell>
          <cell r="BM178">
            <v>6.9968863518422415</v>
          </cell>
          <cell r="BN178">
            <v>1.5915641295692158</v>
          </cell>
          <cell r="BO178">
            <v>-2.1659205432643436E-2</v>
          </cell>
          <cell r="BP178">
            <v>0.12852584773089837</v>
          </cell>
          <cell r="BQ178">
            <v>0.5020817744008903</v>
          </cell>
          <cell r="BR178">
            <v>0.48555589940931898</v>
          </cell>
          <cell r="BS178">
            <v>0.11116525476672412</v>
          </cell>
          <cell r="BT178">
            <v>0.1073166638697769</v>
          </cell>
          <cell r="BU178">
            <v>0.4308183291411074</v>
          </cell>
          <cell r="BV178">
            <v>-0.33366729266575001</v>
          </cell>
          <cell r="BW178">
            <v>-0.15514647607929122</v>
          </cell>
          <cell r="BX178">
            <v>-3.3027183628182244E-2</v>
          </cell>
          <cell r="BY178">
            <v>8.6502271252433482E-2</v>
          </cell>
          <cell r="BZ178">
            <v>-3.8657111421689594E-2</v>
          </cell>
          <cell r="CA178">
            <v>0.10052500690798571</v>
          </cell>
          <cell r="CB178">
            <v>0.13273930370704567</v>
          </cell>
          <cell r="CC178">
            <v>7.6851840024525053E-2</v>
          </cell>
          <cell r="CD178">
            <v>8.6873233823635987E-2</v>
          </cell>
          <cell r="CE178">
            <v>0.11894052692536916</v>
          </cell>
          <cell r="CF178">
            <v>0.1150950284844352</v>
          </cell>
          <cell r="CG178">
            <v>0.36098835431779652</v>
          </cell>
          <cell r="CH178">
            <v>0.58317762888867919</v>
          </cell>
          <cell r="CI178">
            <v>0.27655104620137627</v>
          </cell>
          <cell r="CJ178">
            <v>0.23316461828752111</v>
          </cell>
          <cell r="CK178">
            <v>-2.6608134742877598E-2</v>
          </cell>
          <cell r="CL178">
            <v>-4.5830884551537832E-2</v>
          </cell>
          <cell r="CM178">
            <v>-0.10457467108566842</v>
          </cell>
          <cell r="CN178">
            <v>-6.919007189182369E-2</v>
          </cell>
          <cell r="CO178">
            <v>-8.2576642725391003E-2</v>
          </cell>
          <cell r="CP178">
            <v>-0.10622960929003866</v>
          </cell>
          <cell r="CQ178">
            <v>0.14686182587417163</v>
          </cell>
          <cell r="CR178">
            <v>0.48079073359073354</v>
          </cell>
          <cell r="CS178">
            <v>0.45095676680213215</v>
          </cell>
        </row>
        <row r="180">
          <cell r="B180" t="str">
            <v>Overnight % Change</v>
          </cell>
          <cell r="X180">
            <v>0.17479395604395598</v>
          </cell>
          <cell r="Y180">
            <v>-0.21562443528470254</v>
          </cell>
          <cell r="Z180">
            <v>3.7296145723828111E-2</v>
          </cell>
          <cell r="AA180">
            <v>4.9111347811160222E-2</v>
          </cell>
          <cell r="AB180">
            <v>-4.0084838346249652E-2</v>
          </cell>
          <cell r="AC180">
            <v>8.1559851210439627E-2</v>
          </cell>
          <cell r="AD180">
            <v>-2.3449145970531826E-2</v>
          </cell>
          <cell r="AE180">
            <v>1.0115725388794017E-2</v>
          </cell>
          <cell r="AF180">
            <v>3.2942314669246464E-3</v>
          </cell>
          <cell r="AG180">
            <v>2.7107624404790753E-2</v>
          </cell>
          <cell r="AH180">
            <v>9.4943138989938669E-2</v>
          </cell>
          <cell r="AI180">
            <v>0.1924826771828978</v>
          </cell>
          <cell r="AJ180">
            <v>1.1221297778863715E-2</v>
          </cell>
          <cell r="AK180">
            <v>0.29064250176903283</v>
          </cell>
          <cell r="AL180">
            <v>0.14156053811659186</v>
          </cell>
          <cell r="AM180">
            <v>0.15575861316685957</v>
          </cell>
          <cell r="AN180">
            <v>0.21505323760197381</v>
          </cell>
          <cell r="AO180">
            <v>7.7669401140773697E-2</v>
          </cell>
          <cell r="AP180">
            <v>0.12273136852326538</v>
          </cell>
          <cell r="AQ180">
            <v>0.13712934649900954</v>
          </cell>
          <cell r="AR180">
            <v>0.15092620271351831</v>
          </cell>
          <cell r="AS180">
            <v>5.9221614667095634E-2</v>
          </cell>
          <cell r="AT180">
            <v>0.22187540086372781</v>
          </cell>
          <cell r="AU180">
            <v>0.12998344612142243</v>
          </cell>
          <cell r="AV180">
            <v>4.7532347624245519E-2</v>
          </cell>
          <cell r="AW180">
            <v>5.4184658801128771E-2</v>
          </cell>
          <cell r="AX180">
            <v>6.8904968417083046E-2</v>
          </cell>
          <cell r="AY180">
            <v>-0.40900312906106384</v>
          </cell>
          <cell r="AZ180">
            <v>-0.56680741141861923</v>
          </cell>
          <cell r="BA180">
            <v>-0.17596972563859981</v>
          </cell>
          <cell r="BB180">
            <v>-2.9427717024832156E-2</v>
          </cell>
          <cell r="BC180">
            <v>0.13695399726228241</v>
          </cell>
          <cell r="BD180">
            <v>0.11293667184731193</v>
          </cell>
          <cell r="BE180">
            <v>0.13725585463025936</v>
          </cell>
          <cell r="BF180">
            <v>0.11807460806270997</v>
          </cell>
          <cell r="BG180">
            <v>8.7041495257873747E-2</v>
          </cell>
          <cell r="BH180">
            <v>0.20339709056162381</v>
          </cell>
          <cell r="BI180">
            <v>6.6909372392022215E-2</v>
          </cell>
          <cell r="BJ180">
            <v>0.29366540614239156</v>
          </cell>
          <cell r="BK180">
            <v>1.0429153179492534</v>
          </cell>
          <cell r="BL180">
            <v>1.6568689556146796</v>
          </cell>
          <cell r="BM180">
            <v>0.68349320395540913</v>
          </cell>
          <cell r="BN180">
            <v>0.4194500872218152</v>
          </cell>
          <cell r="BO180">
            <v>7.5333730852736203E-2</v>
          </cell>
          <cell r="BP180">
            <v>0.11856527696222363</v>
          </cell>
          <cell r="BQ180">
            <v>0.18246322325230335</v>
          </cell>
          <cell r="BR180">
            <v>0.10163661459588536</v>
          </cell>
          <cell r="BS180">
            <v>5.8198997922224827E-2</v>
          </cell>
          <cell r="BT180">
            <v>3.6258470805667686E-2</v>
          </cell>
          <cell r="BU180">
            <v>8.9240570903855509E-2</v>
          </cell>
          <cell r="BV180">
            <v>-9.4688339800805599E-2</v>
          </cell>
          <cell r="BW180">
            <v>-5.3697328663129262E-3</v>
          </cell>
          <cell r="BX180">
            <v>4.6490335707019437E-2</v>
          </cell>
          <cell r="BY180">
            <v>5.3499145170211593E-2</v>
          </cell>
          <cell r="BZ180">
            <v>9.4405873433884846E-3</v>
          </cell>
          <cell r="CA180">
            <v>2.0946533938956513E-2</v>
          </cell>
          <cell r="CB180">
            <v>9.6080654985243985E-2</v>
          </cell>
          <cell r="CC180">
            <v>5.8882683246270329E-2</v>
          </cell>
          <cell r="CD180">
            <v>0.10218368402211531</v>
          </cell>
          <cell r="CE180">
            <v>0.11118649525079927</v>
          </cell>
          <cell r="CF180">
            <v>8.1106700046899682E-2</v>
          </cell>
          <cell r="CG180">
            <v>0.17993470922709176</v>
          </cell>
          <cell r="CH180">
            <v>0.25330889966926695</v>
          </cell>
          <cell r="CI180">
            <v>0.21584310453752664</v>
          </cell>
          <cell r="CJ180">
            <v>4.201905317390886E-2</v>
          </cell>
          <cell r="CK180">
            <v>3.506704652238124E-2</v>
          </cell>
          <cell r="CL180">
            <v>5.2047675892473722E-2</v>
          </cell>
          <cell r="CM180">
            <v>9.0855935572897506E-2</v>
          </cell>
          <cell r="CN180">
            <v>0.12088640822303898</v>
          </cell>
          <cell r="CO180">
            <v>0.1727534319802555</v>
          </cell>
          <cell r="CP180">
            <v>0.14290096406660835</v>
          </cell>
          <cell r="CQ180">
            <v>0.2466703231882108</v>
          </cell>
          <cell r="CR180">
            <v>0.3126437764831318</v>
          </cell>
          <cell r="CS180">
            <v>0.25306440468665015</v>
          </cell>
        </row>
        <row r="181">
          <cell r="B181" t="str">
            <v>Overnight % of Total</v>
          </cell>
          <cell r="L181">
            <v>0.30387569854155116</v>
          </cell>
          <cell r="M181">
            <v>0.28580528379102904</v>
          </cell>
          <cell r="N181">
            <v>0.29837434820564851</v>
          </cell>
          <cell r="O181">
            <v>0.28288047572149477</v>
          </cell>
          <cell r="P181">
            <v>0.31767602273220252</v>
          </cell>
          <cell r="Q181">
            <v>0.30316493917844689</v>
          </cell>
          <cell r="R181">
            <v>0.29340946039463306</v>
          </cell>
          <cell r="S181">
            <v>0.29789316894827156</v>
          </cell>
          <cell r="T181">
            <v>0.28495359553612903</v>
          </cell>
          <cell r="U181">
            <v>0.29065905645689938</v>
          </cell>
          <cell r="V181">
            <v>0.29203554342639398</v>
          </cell>
          <cell r="W181">
            <v>0.2772523705099299</v>
          </cell>
          <cell r="X181">
            <v>0.25879737416757181</v>
          </cell>
          <cell r="Y181">
            <v>0.25658951279759601</v>
          </cell>
          <cell r="Z181">
            <v>0.26022977238647038</v>
          </cell>
          <cell r="AA181">
            <v>0.25562993738913331</v>
          </cell>
          <cell r="AB181">
            <v>0.27348518376220099</v>
          </cell>
          <cell r="AC181">
            <v>0.26547738731075016</v>
          </cell>
          <cell r="AD181">
            <v>0.28569295909083431</v>
          </cell>
          <cell r="AE181">
            <v>0.25684656698205355</v>
          </cell>
          <cell r="AF181">
            <v>0.26491576969599434</v>
          </cell>
          <cell r="AG181">
            <v>0.27209745213862119</v>
          </cell>
          <cell r="AH181">
            <v>0.28460028548863459</v>
          </cell>
          <cell r="AI181">
            <v>0.29687978416084987</v>
          </cell>
          <cell r="AJ181">
            <v>0.29787625063455447</v>
          </cell>
          <cell r="AK181">
            <v>0.251678028232591</v>
          </cell>
          <cell r="AL181">
            <v>0.26518356321922898</v>
          </cell>
          <cell r="AM181">
            <v>0.27607390244684604</v>
          </cell>
          <cell r="AN181">
            <v>0.28972006207651013</v>
          </cell>
          <cell r="AO181">
            <v>0.26588266660484311</v>
          </cell>
          <cell r="AP181">
            <v>0.26854599260512407</v>
          </cell>
          <cell r="AQ181">
            <v>0.27705896150745613</v>
          </cell>
          <cell r="AR181">
            <v>0.26988076852632792</v>
          </cell>
          <cell r="AS181">
            <v>0.25434106978458904</v>
          </cell>
          <cell r="AT181">
            <v>0.28484933667066387</v>
          </cell>
          <cell r="AU181">
            <v>0.28356049417446139</v>
          </cell>
          <cell r="AV181">
            <v>0.24594084559259247</v>
          </cell>
          <cell r="AW181">
            <v>0.23680803652410021</v>
          </cell>
          <cell r="AX181">
            <v>0.28316488996374445</v>
          </cell>
          <cell r="AY181">
            <v>0.24643163111163582</v>
          </cell>
          <cell r="AZ181">
            <v>0.19844023411573042</v>
          </cell>
          <cell r="BA181">
            <v>0.2316889745874802</v>
          </cell>
          <cell r="BB181">
            <v>0.25299959495915203</v>
          </cell>
          <cell r="BC181">
            <v>0.27525481175852506</v>
          </cell>
          <cell r="BD181">
            <v>0.26538987141475734</v>
          </cell>
          <cell r="BE181">
            <v>0.25188204899649463</v>
          </cell>
          <cell r="BF181">
            <v>0.27552072823479296</v>
          </cell>
          <cell r="BG181">
            <v>0.26873484510326179</v>
          </cell>
          <cell r="BH181">
            <v>0.21904338510418017</v>
          </cell>
          <cell r="BI181">
            <v>0.23828595971974725</v>
          </cell>
          <cell r="BJ181">
            <v>0.26933550218938673</v>
          </cell>
          <cell r="BK181">
            <v>0.24541749123047796</v>
          </cell>
          <cell r="BL181">
            <v>0.23697239440354614</v>
          </cell>
          <cell r="BM181">
            <v>0.24461912797469182</v>
          </cell>
          <cell r="BN181">
            <v>0.24667759861887317</v>
          </cell>
          <cell r="BO181">
            <v>0.23295032796804435</v>
          </cell>
          <cell r="BP181">
            <v>0.22628175206604018</v>
          </cell>
          <cell r="BQ181">
            <v>0.22004395115154798</v>
          </cell>
          <cell r="BR181">
            <v>0.24196672986681222</v>
          </cell>
          <cell r="BS181">
            <v>0.22908821247601097</v>
          </cell>
          <cell r="BT181">
            <v>0.2160450793791239</v>
          </cell>
          <cell r="BU181">
            <v>0.1893149173447875</v>
          </cell>
          <cell r="BV181">
            <v>0.20788483704752728</v>
          </cell>
          <cell r="BW181">
            <v>0.22147738623491323</v>
          </cell>
          <cell r="BX181">
            <v>0.21382054569759421</v>
          </cell>
          <cell r="BY181">
            <v>0.23391308898696858</v>
          </cell>
          <cell r="BZ181">
            <v>0.22781625287262475</v>
          </cell>
          <cell r="CA181">
            <v>0.22216429582185149</v>
          </cell>
          <cell r="CB181">
            <v>0.22411986307260937</v>
          </cell>
          <cell r="CC181">
            <v>0.21140126098280682</v>
          </cell>
          <cell r="CD181">
            <v>0.24161849638979838</v>
          </cell>
          <cell r="CE181">
            <v>0.23179572059105738</v>
          </cell>
          <cell r="CF181">
            <v>0.19702201706640152</v>
          </cell>
          <cell r="CG181">
            <v>0.19173009471646507</v>
          </cell>
          <cell r="CH181">
            <v>0.22034104945167399</v>
          </cell>
          <cell r="CI181">
            <v>0.2150569369635259</v>
          </cell>
          <cell r="CJ181">
            <v>0.2009284452788411</v>
          </cell>
          <cell r="CK181">
            <v>0.21726457160425874</v>
          </cell>
          <cell r="CL181">
            <v>0.22151779333365884</v>
          </cell>
          <cell r="CM181">
            <v>0.21837457595111545</v>
          </cell>
          <cell r="CN181">
            <v>0.20876555260309362</v>
          </cell>
          <cell r="CO181">
            <v>0.20727821701172161</v>
          </cell>
          <cell r="CP181">
            <v>0.22742145371599978</v>
          </cell>
          <cell r="CQ181">
            <v>0.22278617256233132</v>
          </cell>
          <cell r="CR181">
            <v>0.21074933489244485</v>
          </cell>
          <cell r="CS181">
            <v>0.19644533804965134</v>
          </cell>
        </row>
        <row r="183">
          <cell r="B183" t="str">
            <v>Visitor Arrivals</v>
          </cell>
        </row>
        <row r="184">
          <cell r="B184" t="str">
            <v>Grand Total (units)</v>
          </cell>
          <cell r="C184">
            <v>7488600</v>
          </cell>
          <cell r="D184">
            <v>7699200</v>
          </cell>
          <cell r="E184">
            <v>7829300</v>
          </cell>
          <cell r="F184">
            <v>7833800</v>
          </cell>
          <cell r="G184">
            <v>7752500</v>
          </cell>
          <cell r="H184">
            <v>8151100</v>
          </cell>
          <cell r="I184">
            <v>7000400</v>
          </cell>
          <cell r="J184">
            <v>6948500</v>
          </cell>
          <cell r="K184">
            <v>7443900</v>
          </cell>
          <cell r="L184">
            <v>642052</v>
          </cell>
          <cell r="M184">
            <v>813204</v>
          </cell>
          <cell r="N184">
            <v>720511</v>
          </cell>
          <cell r="O184">
            <v>803159</v>
          </cell>
          <cell r="P184">
            <v>737632</v>
          </cell>
          <cell r="Q184">
            <v>649112</v>
          </cell>
          <cell r="R184">
            <v>848231</v>
          </cell>
          <cell r="S184">
            <v>900974</v>
          </cell>
          <cell r="T184">
            <v>725469</v>
          </cell>
          <cell r="U184">
            <v>781056</v>
          </cell>
          <cell r="V184">
            <v>731387</v>
          </cell>
          <cell r="W184">
            <v>809425</v>
          </cell>
          <cell r="X184">
            <v>885662</v>
          </cell>
          <cell r="Y184">
            <v>710485</v>
          </cell>
          <cell r="Z184">
            <v>856935</v>
          </cell>
          <cell r="AA184">
            <v>932426</v>
          </cell>
          <cell r="AB184">
            <v>822476</v>
          </cell>
          <cell r="AC184">
            <v>801718</v>
          </cell>
          <cell r="AD184">
            <v>850714</v>
          </cell>
          <cell r="AE184">
            <v>1055529</v>
          </cell>
          <cell r="AF184">
            <v>782913</v>
          </cell>
          <cell r="AG184">
            <v>856954</v>
          </cell>
          <cell r="AH184">
            <v>821749</v>
          </cell>
          <cell r="AI184">
            <v>901412</v>
          </cell>
          <cell r="AJ184">
            <v>778105</v>
          </cell>
          <cell r="AK184">
            <v>934877</v>
          </cell>
          <cell r="AL184">
            <v>959969</v>
          </cell>
          <cell r="AM184">
            <v>997856</v>
          </cell>
          <cell r="AN184">
            <v>943352</v>
          </cell>
          <cell r="AO184">
            <v>862670</v>
          </cell>
          <cell r="AP184">
            <v>1016109</v>
          </cell>
          <cell r="AQ184">
            <v>1112709</v>
          </cell>
          <cell r="AR184">
            <v>884498</v>
          </cell>
          <cell r="AS184">
            <v>971074</v>
          </cell>
          <cell r="AT184">
            <v>1003197</v>
          </cell>
          <cell r="AU184">
            <v>1066425</v>
          </cell>
          <cell r="AV184">
            <v>987213</v>
          </cell>
          <cell r="AW184">
            <v>1047418</v>
          </cell>
          <cell r="AX184">
            <v>960956</v>
          </cell>
          <cell r="AY184">
            <v>660666</v>
          </cell>
          <cell r="AZ184">
            <v>596628</v>
          </cell>
          <cell r="BA184">
            <v>815779</v>
          </cell>
          <cell r="BB184">
            <v>1046808</v>
          </cell>
          <cell r="BC184">
            <v>1273391</v>
          </cell>
          <cell r="BD184">
            <v>1001048</v>
          </cell>
          <cell r="BE184">
            <v>1115141</v>
          </cell>
          <cell r="BF184">
            <v>1159626</v>
          </cell>
          <cell r="BG184">
            <v>1223202</v>
          </cell>
          <cell r="BH184">
            <v>1333891</v>
          </cell>
          <cell r="BI184">
            <v>1110569</v>
          </cell>
          <cell r="BJ184">
            <v>1306987</v>
          </cell>
          <cell r="BK184">
            <v>1355262</v>
          </cell>
          <cell r="BL184">
            <v>1327412</v>
          </cell>
          <cell r="BM184">
            <v>1300765</v>
          </cell>
          <cell r="BN184">
            <v>1523973</v>
          </cell>
          <cell r="BO184">
            <v>1617993</v>
          </cell>
          <cell r="BP184">
            <v>1313261</v>
          </cell>
          <cell r="BQ184">
            <v>1509403</v>
          </cell>
          <cell r="BR184">
            <v>1454638</v>
          </cell>
          <cell r="BS184">
            <v>1518402</v>
          </cell>
          <cell r="BT184">
            <v>1401439</v>
          </cell>
          <cell r="BU184">
            <v>1522590</v>
          </cell>
          <cell r="BV184">
            <v>1532993</v>
          </cell>
          <cell r="BW184">
            <v>1493692</v>
          </cell>
          <cell r="BX184">
            <v>1539534</v>
          </cell>
          <cell r="BY184">
            <v>1433075</v>
          </cell>
          <cell r="BZ184">
            <v>1665724</v>
          </cell>
          <cell r="CA184">
            <v>1732083</v>
          </cell>
          <cell r="CB184">
            <v>1453325</v>
          </cell>
          <cell r="CC184">
            <v>1663623</v>
          </cell>
          <cell r="CD184">
            <v>1605589</v>
          </cell>
          <cell r="CE184">
            <v>1667520</v>
          </cell>
          <cell r="CF184">
            <v>1661393</v>
          </cell>
          <cell r="CG184">
            <v>1773926</v>
          </cell>
          <cell r="CH184">
            <v>1812699</v>
          </cell>
          <cell r="CI184">
            <v>1870314</v>
          </cell>
          <cell r="CJ184">
            <v>1707155</v>
          </cell>
          <cell r="CK184">
            <v>1596993</v>
          </cell>
          <cell r="CL184">
            <v>1802248</v>
          </cell>
          <cell r="CM184">
            <v>1922243</v>
          </cell>
          <cell r="CN184">
            <v>1748823</v>
          </cell>
          <cell r="CO184">
            <v>1989828</v>
          </cell>
          <cell r="CP184">
            <v>1949583</v>
          </cell>
          <cell r="CQ184">
            <v>2162917</v>
          </cell>
          <cell r="CR184">
            <v>2038768</v>
          </cell>
          <cell r="CS184">
            <v>2169489</v>
          </cell>
          <cell r="CU184">
            <v>0.22499744565206314</v>
          </cell>
          <cell r="CW184">
            <v>0.29708609192093638</v>
          </cell>
        </row>
        <row r="185">
          <cell r="CO185">
            <v>0.19608108327427543</v>
          </cell>
          <cell r="CP185">
            <v>0.21424785545989655</v>
          </cell>
          <cell r="CQ185">
            <v>0.29708609192093638</v>
          </cell>
          <cell r="CR185">
            <v>0.22714372818472217</v>
          </cell>
          <cell r="CS185">
            <v>0.22298731739655442</v>
          </cell>
        </row>
        <row r="186">
          <cell r="B186" t="str">
            <v>Total on Package Tours</v>
          </cell>
          <cell r="L186">
            <v>106230</v>
          </cell>
          <cell r="M186">
            <v>129925</v>
          </cell>
          <cell r="N186">
            <v>143366</v>
          </cell>
          <cell r="O186">
            <v>138165</v>
          </cell>
          <cell r="P186">
            <v>158268</v>
          </cell>
          <cell r="Q186">
            <v>120093</v>
          </cell>
          <cell r="R186">
            <v>136056</v>
          </cell>
          <cell r="S186">
            <v>131756</v>
          </cell>
          <cell r="T186">
            <v>107281</v>
          </cell>
          <cell r="U186">
            <v>105797</v>
          </cell>
          <cell r="V186">
            <v>107530</v>
          </cell>
          <cell r="W186">
            <v>109210</v>
          </cell>
          <cell r="X186">
            <v>110095</v>
          </cell>
          <cell r="Y186">
            <v>96793</v>
          </cell>
          <cell r="Z186">
            <v>131686</v>
          </cell>
          <cell r="AA186">
            <v>131686</v>
          </cell>
          <cell r="AB186">
            <v>145677</v>
          </cell>
          <cell r="AC186">
            <v>126175</v>
          </cell>
          <cell r="AD186">
            <v>124269</v>
          </cell>
          <cell r="AE186">
            <v>145628</v>
          </cell>
          <cell r="AF186">
            <v>122653</v>
          </cell>
          <cell r="AG186">
            <v>138270</v>
          </cell>
          <cell r="AH186">
            <v>166877</v>
          </cell>
          <cell r="AI186">
            <v>179817</v>
          </cell>
          <cell r="AJ186">
            <v>145232</v>
          </cell>
          <cell r="AK186">
            <v>183568</v>
          </cell>
          <cell r="AL186">
            <v>189114</v>
          </cell>
          <cell r="AM186">
            <v>206220</v>
          </cell>
          <cell r="AN186">
            <v>213509</v>
          </cell>
          <cell r="AO186">
            <v>137485</v>
          </cell>
          <cell r="AP186">
            <v>175237</v>
          </cell>
          <cell r="AQ186">
            <v>192544</v>
          </cell>
          <cell r="AR186">
            <v>150472</v>
          </cell>
          <cell r="AS186">
            <v>144323</v>
          </cell>
          <cell r="AT186">
            <v>186052</v>
          </cell>
          <cell r="AU186">
            <v>178830</v>
          </cell>
          <cell r="AV186">
            <v>146370</v>
          </cell>
          <cell r="AW186">
            <v>165505</v>
          </cell>
          <cell r="AX186">
            <v>179066</v>
          </cell>
          <cell r="AY186">
            <v>60355</v>
          </cell>
          <cell r="AZ186">
            <v>4687</v>
          </cell>
          <cell r="BA186">
            <v>25307</v>
          </cell>
          <cell r="BB186">
            <v>96491</v>
          </cell>
          <cell r="BC186">
            <v>217948</v>
          </cell>
          <cell r="BD186">
            <v>142238</v>
          </cell>
          <cell r="BE186">
            <v>130409</v>
          </cell>
          <cell r="BF186">
            <v>179352</v>
          </cell>
          <cell r="BG186">
            <v>189270</v>
          </cell>
          <cell r="BH186">
            <v>158778</v>
          </cell>
          <cell r="BI186">
            <v>121762</v>
          </cell>
          <cell r="BJ186">
            <v>263288</v>
          </cell>
          <cell r="BK186">
            <v>237638</v>
          </cell>
          <cell r="BL186">
            <v>188942</v>
          </cell>
          <cell r="BM186">
            <v>188088</v>
          </cell>
          <cell r="BN186">
            <v>238020</v>
          </cell>
          <cell r="BO186">
            <v>227058</v>
          </cell>
          <cell r="BP186">
            <v>181639</v>
          </cell>
          <cell r="BQ186">
            <v>203675</v>
          </cell>
          <cell r="BR186">
            <v>271306</v>
          </cell>
          <cell r="BS186">
            <v>220447</v>
          </cell>
          <cell r="BT186">
            <v>182790</v>
          </cell>
          <cell r="BU186">
            <v>189671</v>
          </cell>
          <cell r="BV186">
            <v>211109</v>
          </cell>
          <cell r="BW186">
            <v>231739</v>
          </cell>
          <cell r="BX186">
            <v>215340</v>
          </cell>
          <cell r="BY186">
            <v>214932</v>
          </cell>
          <cell r="BZ186">
            <v>243233</v>
          </cell>
          <cell r="CA186">
            <v>255237</v>
          </cell>
          <cell r="CB186">
            <v>194339</v>
          </cell>
          <cell r="CC186">
            <v>215510</v>
          </cell>
          <cell r="CD186">
            <v>289189</v>
          </cell>
          <cell r="CE186">
            <v>241145</v>
          </cell>
          <cell r="CF186">
            <v>201060</v>
          </cell>
          <cell r="CG186">
            <v>240125</v>
          </cell>
          <cell r="CH186">
            <v>293189</v>
          </cell>
          <cell r="CI186">
            <v>273002</v>
          </cell>
          <cell r="CJ186">
            <v>238885</v>
          </cell>
          <cell r="CK186">
            <v>207989</v>
          </cell>
          <cell r="CL186">
            <v>227239</v>
          </cell>
          <cell r="CM186">
            <v>233993</v>
          </cell>
          <cell r="CN186">
            <v>183697</v>
          </cell>
          <cell r="CO186">
            <v>216032</v>
          </cell>
          <cell r="CP186">
            <v>289626</v>
          </cell>
          <cell r="CQ186">
            <v>323111</v>
          </cell>
          <cell r="CR186">
            <v>327611</v>
          </cell>
          <cell r="CS186">
            <v>392093</v>
          </cell>
          <cell r="CW186">
            <v>0.3399033776358622</v>
          </cell>
          <cell r="CX186">
            <v>0.62941907888192583</v>
          </cell>
        </row>
        <row r="187">
          <cell r="B187" t="str">
            <v>China on Package Tours</v>
          </cell>
          <cell r="L187">
            <v>71523</v>
          </cell>
          <cell r="M187">
            <v>88005</v>
          </cell>
          <cell r="N187">
            <v>101626</v>
          </cell>
          <cell r="O187">
            <v>90569</v>
          </cell>
          <cell r="P187">
            <v>110852</v>
          </cell>
          <cell r="Q187">
            <v>71111</v>
          </cell>
          <cell r="R187">
            <v>83841</v>
          </cell>
          <cell r="S187">
            <v>79403</v>
          </cell>
          <cell r="T187">
            <v>57967</v>
          </cell>
          <cell r="U187">
            <v>59232</v>
          </cell>
          <cell r="V187">
            <v>63293</v>
          </cell>
          <cell r="W187">
            <v>69002</v>
          </cell>
          <cell r="X187">
            <v>71919</v>
          </cell>
          <cell r="Y187">
            <v>58724</v>
          </cell>
          <cell r="Z187">
            <v>78063</v>
          </cell>
          <cell r="AA187">
            <v>78063</v>
          </cell>
          <cell r="AB187">
            <v>82751</v>
          </cell>
          <cell r="AC187">
            <v>67835</v>
          </cell>
          <cell r="AD187">
            <v>70211</v>
          </cell>
          <cell r="AE187">
            <v>87254</v>
          </cell>
          <cell r="AF187">
            <v>71436</v>
          </cell>
          <cell r="AG187">
            <v>91696</v>
          </cell>
          <cell r="AH187">
            <v>112699</v>
          </cell>
          <cell r="AI187">
            <v>117924</v>
          </cell>
          <cell r="AJ187">
            <v>100950</v>
          </cell>
          <cell r="AK187">
            <v>131896</v>
          </cell>
          <cell r="AL187">
            <v>111915</v>
          </cell>
          <cell r="AM187">
            <v>134984</v>
          </cell>
          <cell r="AN187">
            <v>145879</v>
          </cell>
          <cell r="AO187">
            <v>84666</v>
          </cell>
          <cell r="AP187">
            <v>120332</v>
          </cell>
          <cell r="AQ187">
            <v>138319</v>
          </cell>
          <cell r="AR187">
            <v>98367</v>
          </cell>
          <cell r="AS187">
            <v>90660</v>
          </cell>
          <cell r="AT187">
            <v>132416</v>
          </cell>
          <cell r="AU187">
            <v>134821</v>
          </cell>
          <cell r="AV187">
            <v>110840</v>
          </cell>
          <cell r="AW187">
            <v>128649</v>
          </cell>
          <cell r="AX187">
            <v>147628</v>
          </cell>
          <cell r="AY187">
            <v>56682</v>
          </cell>
          <cell r="AZ187">
            <v>1540</v>
          </cell>
          <cell r="BA187">
            <v>19270</v>
          </cell>
          <cell r="BB187">
            <v>77858</v>
          </cell>
          <cell r="BC187">
            <v>184956</v>
          </cell>
          <cell r="BD187">
            <v>117844</v>
          </cell>
          <cell r="BE187">
            <v>104238</v>
          </cell>
          <cell r="BF187">
            <v>148642</v>
          </cell>
          <cell r="BG187">
            <v>160068</v>
          </cell>
          <cell r="BH187">
            <v>131098</v>
          </cell>
          <cell r="BI187">
            <v>100583</v>
          </cell>
          <cell r="BJ187">
            <v>238552</v>
          </cell>
          <cell r="BK187">
            <v>210717</v>
          </cell>
          <cell r="BL187">
            <v>162230</v>
          </cell>
          <cell r="BM187">
            <v>154100</v>
          </cell>
          <cell r="BN187">
            <v>201774</v>
          </cell>
          <cell r="BO187">
            <v>180950</v>
          </cell>
          <cell r="BP187">
            <v>132990</v>
          </cell>
          <cell r="BQ187">
            <v>156574</v>
          </cell>
          <cell r="BR187">
            <v>220816</v>
          </cell>
          <cell r="BS187">
            <v>177862</v>
          </cell>
          <cell r="BT187">
            <v>145167</v>
          </cell>
          <cell r="BU187">
            <v>143916</v>
          </cell>
          <cell r="BV187">
            <v>158955</v>
          </cell>
          <cell r="BW187">
            <v>178025</v>
          </cell>
          <cell r="BX187">
            <v>156872</v>
          </cell>
          <cell r="BY187">
            <v>167430</v>
          </cell>
          <cell r="BZ187">
            <v>193974</v>
          </cell>
          <cell r="CA187">
            <v>199140</v>
          </cell>
          <cell r="CB187">
            <v>150643</v>
          </cell>
          <cell r="CC187">
            <v>168607</v>
          </cell>
          <cell r="CD187">
            <v>239999</v>
          </cell>
          <cell r="CE187">
            <v>199017</v>
          </cell>
          <cell r="CF187">
            <v>161875</v>
          </cell>
          <cell r="CG187">
            <v>195868</v>
          </cell>
          <cell r="CH187">
            <v>251654</v>
          </cell>
          <cell r="CI187">
            <v>227258</v>
          </cell>
          <cell r="CJ187">
            <v>193449</v>
          </cell>
          <cell r="CK187">
            <v>162975</v>
          </cell>
          <cell r="CL187">
            <v>185084</v>
          </cell>
          <cell r="CM187">
            <v>178315</v>
          </cell>
          <cell r="CN187">
            <v>140220</v>
          </cell>
          <cell r="CO187">
            <v>154684</v>
          </cell>
          <cell r="CP187">
            <v>214504</v>
          </cell>
          <cell r="CQ187">
            <v>228245</v>
          </cell>
          <cell r="CR187">
            <v>239703</v>
          </cell>
          <cell r="CS187">
            <v>284196</v>
          </cell>
          <cell r="CW187">
            <v>0.14686182587417163</v>
          </cell>
          <cell r="CX187">
            <v>0.48079073359073354</v>
          </cell>
        </row>
        <row r="189">
          <cell r="B189" t="str">
            <v>Republic of Korea</v>
          </cell>
          <cell r="L189">
            <v>3804</v>
          </cell>
          <cell r="M189">
            <v>3801</v>
          </cell>
          <cell r="N189">
            <v>3006</v>
          </cell>
          <cell r="O189">
            <v>3451</v>
          </cell>
          <cell r="P189">
            <v>3091</v>
          </cell>
          <cell r="Q189">
            <v>3057</v>
          </cell>
          <cell r="R189">
            <v>4597</v>
          </cell>
          <cell r="S189">
            <v>4969</v>
          </cell>
          <cell r="T189">
            <v>3792</v>
          </cell>
          <cell r="U189">
            <v>3448</v>
          </cell>
          <cell r="V189">
            <v>3801</v>
          </cell>
          <cell r="W189">
            <v>4548</v>
          </cell>
          <cell r="X189">
            <v>4363</v>
          </cell>
          <cell r="Y189">
            <v>3715</v>
          </cell>
          <cell r="Z189">
            <v>3622</v>
          </cell>
          <cell r="AA189">
            <v>3312</v>
          </cell>
          <cell r="AB189">
            <v>3503</v>
          </cell>
          <cell r="AC189">
            <v>3439</v>
          </cell>
          <cell r="AD189">
            <v>4788</v>
          </cell>
          <cell r="AE189">
            <v>6820</v>
          </cell>
          <cell r="AF189">
            <v>3090</v>
          </cell>
          <cell r="AG189">
            <v>3763</v>
          </cell>
          <cell r="AH189">
            <v>2803</v>
          </cell>
          <cell r="AI189">
            <v>5056</v>
          </cell>
          <cell r="AJ189">
            <v>6075</v>
          </cell>
          <cell r="AK189">
            <v>4913</v>
          </cell>
          <cell r="AL189">
            <v>4234</v>
          </cell>
          <cell r="AM189">
            <v>3408</v>
          </cell>
          <cell r="AN189">
            <v>3107</v>
          </cell>
          <cell r="AO189">
            <v>2461</v>
          </cell>
          <cell r="AP189">
            <v>3727</v>
          </cell>
          <cell r="AQ189">
            <v>5691</v>
          </cell>
          <cell r="AR189">
            <v>3103</v>
          </cell>
          <cell r="AS189">
            <v>3978</v>
          </cell>
          <cell r="AT189">
            <v>4945</v>
          </cell>
          <cell r="AU189">
            <v>4805</v>
          </cell>
          <cell r="AV189">
            <v>5880</v>
          </cell>
          <cell r="AW189">
            <v>5194</v>
          </cell>
          <cell r="AX189">
            <v>2583</v>
          </cell>
          <cell r="AY189">
            <v>711</v>
          </cell>
          <cell r="AZ189">
            <v>798</v>
          </cell>
          <cell r="BA189">
            <v>1314</v>
          </cell>
          <cell r="BB189">
            <v>2565</v>
          </cell>
          <cell r="BC189">
            <v>4581</v>
          </cell>
          <cell r="BD189">
            <v>3283</v>
          </cell>
          <cell r="BE189">
            <v>2979</v>
          </cell>
          <cell r="BF189">
            <v>4000</v>
          </cell>
          <cell r="BG189">
            <v>4393</v>
          </cell>
          <cell r="BH189">
            <v>5677</v>
          </cell>
          <cell r="BI189">
            <v>3770</v>
          </cell>
          <cell r="BJ189">
            <v>3098</v>
          </cell>
          <cell r="BK189">
            <v>4163</v>
          </cell>
          <cell r="BL189">
            <v>3729</v>
          </cell>
          <cell r="BM189">
            <v>4082</v>
          </cell>
          <cell r="BN189">
            <v>5738</v>
          </cell>
          <cell r="BO189">
            <v>7230</v>
          </cell>
          <cell r="BP189">
            <v>6322</v>
          </cell>
          <cell r="BQ189">
            <v>6688</v>
          </cell>
          <cell r="BR189">
            <v>7453</v>
          </cell>
          <cell r="BS189">
            <v>7681</v>
          </cell>
          <cell r="BT189">
            <v>12988</v>
          </cell>
          <cell r="BU189">
            <v>9682</v>
          </cell>
          <cell r="BV189">
            <v>7067</v>
          </cell>
          <cell r="BW189">
            <v>8225</v>
          </cell>
          <cell r="BX189">
            <v>9092</v>
          </cell>
          <cell r="BY189">
            <v>9246</v>
          </cell>
          <cell r="BZ189">
            <v>10235</v>
          </cell>
          <cell r="CA189">
            <v>11708</v>
          </cell>
          <cell r="CB189">
            <v>7553</v>
          </cell>
          <cell r="CC189">
            <v>9594</v>
          </cell>
          <cell r="CD189">
            <v>10870</v>
          </cell>
          <cell r="CE189">
            <v>14479</v>
          </cell>
          <cell r="CF189">
            <v>18451</v>
          </cell>
          <cell r="CG189">
            <v>18200</v>
          </cell>
          <cell r="CH189">
            <v>12279</v>
          </cell>
          <cell r="CI189">
            <v>10509</v>
          </cell>
          <cell r="CJ189">
            <v>10705</v>
          </cell>
          <cell r="CK189">
            <v>10482</v>
          </cell>
          <cell r="CL189">
            <v>13314</v>
          </cell>
          <cell r="CM189">
            <v>15697</v>
          </cell>
          <cell r="CN189">
            <v>9321</v>
          </cell>
          <cell r="CO189">
            <v>11394</v>
          </cell>
          <cell r="CP189">
            <v>13406</v>
          </cell>
          <cell r="CQ189">
            <v>18951</v>
          </cell>
          <cell r="CR189">
            <v>25627</v>
          </cell>
          <cell r="CS189">
            <v>16886</v>
          </cell>
          <cell r="CW189">
            <v>0.30886110919262388</v>
          </cell>
          <cell r="CX189">
            <v>8.6829543273843797E-3</v>
          </cell>
          <cell r="CY189">
            <v>2.6818269046248329E-3</v>
          </cell>
          <cell r="CZ189">
            <v>9.0271035149587162E-3</v>
          </cell>
        </row>
        <row r="190">
          <cell r="B190" t="str">
            <v>Mainland China</v>
          </cell>
          <cell r="C190">
            <v>15200</v>
          </cell>
          <cell r="D190">
            <v>26700</v>
          </cell>
          <cell r="E190">
            <v>272100</v>
          </cell>
          <cell r="F190">
            <v>245300</v>
          </cell>
          <cell r="G190">
            <v>543200</v>
          </cell>
          <cell r="H190">
            <v>604200</v>
          </cell>
          <cell r="I190">
            <v>529800</v>
          </cell>
          <cell r="J190">
            <v>816800</v>
          </cell>
          <cell r="K190">
            <v>1645200</v>
          </cell>
          <cell r="L190">
            <v>181689</v>
          </cell>
          <cell r="M190">
            <v>192277</v>
          </cell>
          <cell r="N190">
            <v>204483</v>
          </cell>
          <cell r="O190">
            <v>175712</v>
          </cell>
          <cell r="P190">
            <v>220512</v>
          </cell>
          <cell r="Q190">
            <v>152716</v>
          </cell>
          <cell r="R190">
            <v>188113</v>
          </cell>
          <cell r="S190">
            <v>196216</v>
          </cell>
          <cell r="T190">
            <v>165951</v>
          </cell>
          <cell r="U190">
            <v>196247</v>
          </cell>
          <cell r="V190">
            <v>195553</v>
          </cell>
          <cell r="W190">
            <v>205244</v>
          </cell>
          <cell r="X190">
            <v>230311</v>
          </cell>
          <cell r="Y190">
            <v>191266</v>
          </cell>
          <cell r="Z190">
            <v>231450</v>
          </cell>
          <cell r="AA190">
            <v>238297</v>
          </cell>
          <cell r="AB190">
            <v>251414</v>
          </cell>
          <cell r="AC190">
            <v>217176</v>
          </cell>
          <cell r="AD190">
            <v>221610</v>
          </cell>
          <cell r="AE190">
            <v>325226</v>
          </cell>
          <cell r="AF190">
            <v>243979</v>
          </cell>
          <cell r="AG190">
            <v>282887</v>
          </cell>
          <cell r="AH190">
            <v>285269</v>
          </cell>
          <cell r="AI190">
            <v>286837</v>
          </cell>
          <cell r="AJ190">
            <v>270457</v>
          </cell>
          <cell r="AK190">
            <v>299526</v>
          </cell>
          <cell r="AL190">
            <v>303395</v>
          </cell>
          <cell r="AM190">
            <v>356031</v>
          </cell>
          <cell r="AN190">
            <v>356951</v>
          </cell>
          <cell r="AO190">
            <v>284148</v>
          </cell>
          <cell r="AP190">
            <v>348945</v>
          </cell>
          <cell r="AQ190">
            <v>387631</v>
          </cell>
          <cell r="AR190">
            <v>337711</v>
          </cell>
          <cell r="AS190">
            <v>381650</v>
          </cell>
          <cell r="AT190">
            <v>445038</v>
          </cell>
          <cell r="AU190">
            <v>468963</v>
          </cell>
          <cell r="AV190">
            <v>467520</v>
          </cell>
          <cell r="AW190">
            <v>416056</v>
          </cell>
          <cell r="AX190">
            <v>454710</v>
          </cell>
          <cell r="AY190">
            <v>298574</v>
          </cell>
          <cell r="AZ190">
            <v>270537</v>
          </cell>
          <cell r="BA190">
            <v>367847</v>
          </cell>
          <cell r="BB190">
            <v>449139</v>
          </cell>
          <cell r="BC190">
            <v>586700</v>
          </cell>
          <cell r="BD190">
            <v>498570</v>
          </cell>
          <cell r="BE190">
            <v>591275</v>
          </cell>
          <cell r="BF190">
            <v>660727</v>
          </cell>
          <cell r="BG190">
            <v>680381</v>
          </cell>
          <cell r="BH190">
            <v>737958</v>
          </cell>
          <cell r="BI190">
            <v>659774</v>
          </cell>
          <cell r="BJ190">
            <v>791789</v>
          </cell>
          <cell r="BK190">
            <v>730128</v>
          </cell>
          <cell r="BL190">
            <v>812561</v>
          </cell>
          <cell r="BM190">
            <v>733729</v>
          </cell>
          <cell r="BN190">
            <v>863387</v>
          </cell>
          <cell r="BO190">
            <v>894651</v>
          </cell>
          <cell r="BP190">
            <v>735521</v>
          </cell>
          <cell r="BQ190">
            <v>876742</v>
          </cell>
          <cell r="BR190">
            <v>854271</v>
          </cell>
          <cell r="BS190">
            <v>839228</v>
          </cell>
          <cell r="BT190">
            <v>825411</v>
          </cell>
          <cell r="BU190">
            <v>832337</v>
          </cell>
          <cell r="BV190">
            <v>827267</v>
          </cell>
          <cell r="BW190">
            <v>830672</v>
          </cell>
          <cell r="BX190">
            <v>871889</v>
          </cell>
          <cell r="BY190">
            <v>803006</v>
          </cell>
          <cell r="BZ190">
            <v>913283</v>
          </cell>
          <cell r="CA190">
            <v>940109</v>
          </cell>
          <cell r="CB190">
            <v>797131</v>
          </cell>
          <cell r="CC190">
            <v>962702</v>
          </cell>
          <cell r="CD190">
            <v>934132</v>
          </cell>
          <cell r="CE190">
            <v>925027</v>
          </cell>
          <cell r="CF190">
            <v>927727</v>
          </cell>
          <cell r="CG190">
            <v>1006275</v>
          </cell>
          <cell r="CH190">
            <v>1043761</v>
          </cell>
          <cell r="CI190">
            <v>990066</v>
          </cell>
          <cell r="CJ190">
            <v>980710</v>
          </cell>
          <cell r="CK190">
            <v>876916</v>
          </cell>
          <cell r="CL190">
            <v>950338</v>
          </cell>
          <cell r="CM190">
            <v>1018955</v>
          </cell>
          <cell r="CN190">
            <v>917383</v>
          </cell>
          <cell r="CO190">
            <v>1061697</v>
          </cell>
          <cell r="CP190">
            <v>1069214</v>
          </cell>
          <cell r="CQ190">
            <v>1142575</v>
          </cell>
          <cell r="CR190">
            <v>1155770</v>
          </cell>
          <cell r="CS190">
            <v>1238234</v>
          </cell>
          <cell r="CU190">
            <v>0.23784980573960102</v>
          </cell>
          <cell r="CW190">
            <v>0.23518016230877592</v>
          </cell>
          <cell r="CX190">
            <v>0.55473217712531186</v>
          </cell>
          <cell r="CY190">
            <v>0.13046200345423148</v>
          </cell>
          <cell r="CZ190">
            <v>0.43913871097321977</v>
          </cell>
        </row>
        <row r="191">
          <cell r="B191" t="str">
            <v>Hong Kong</v>
          </cell>
          <cell r="C191">
            <v>6161400</v>
          </cell>
          <cell r="D191">
            <v>6163300</v>
          </cell>
          <cell r="E191">
            <v>6067800</v>
          </cell>
          <cell r="F191">
            <v>6088400</v>
          </cell>
          <cell r="G191">
            <v>5617500</v>
          </cell>
          <cell r="H191">
            <v>5205600</v>
          </cell>
          <cell r="I191">
            <v>4702500</v>
          </cell>
          <cell r="J191">
            <v>4721800</v>
          </cell>
          <cell r="K191">
            <v>4229800</v>
          </cell>
          <cell r="L191">
            <v>339113</v>
          </cell>
          <cell r="M191">
            <v>482017</v>
          </cell>
          <cell r="N191">
            <v>375464</v>
          </cell>
          <cell r="O191">
            <v>464051</v>
          </cell>
          <cell r="P191">
            <v>354954</v>
          </cell>
          <cell r="Q191">
            <v>341611</v>
          </cell>
          <cell r="R191">
            <v>481117</v>
          </cell>
          <cell r="S191">
            <v>529125</v>
          </cell>
          <cell r="T191">
            <v>389414</v>
          </cell>
          <cell r="U191">
            <v>402929</v>
          </cell>
          <cell r="V191">
            <v>360368</v>
          </cell>
          <cell r="W191">
            <v>434456</v>
          </cell>
          <cell r="X191">
            <v>505175</v>
          </cell>
          <cell r="Y191">
            <v>372196</v>
          </cell>
          <cell r="Z191">
            <v>445676</v>
          </cell>
          <cell r="AA191">
            <v>498960</v>
          </cell>
          <cell r="AB191">
            <v>383708</v>
          </cell>
          <cell r="AC191">
            <v>401072</v>
          </cell>
          <cell r="AD191">
            <v>448923</v>
          </cell>
          <cell r="AE191">
            <v>540748</v>
          </cell>
          <cell r="AF191">
            <v>379999</v>
          </cell>
          <cell r="AG191">
            <v>403318</v>
          </cell>
          <cell r="AH191">
            <v>376506</v>
          </cell>
          <cell r="AI191">
            <v>439855</v>
          </cell>
          <cell r="AJ191">
            <v>361257</v>
          </cell>
          <cell r="AK191">
            <v>481911</v>
          </cell>
          <cell r="AL191">
            <v>464155</v>
          </cell>
          <cell r="AM191">
            <v>440408</v>
          </cell>
          <cell r="AN191">
            <v>397240</v>
          </cell>
          <cell r="AO191">
            <v>402443</v>
          </cell>
          <cell r="AP191">
            <v>473078</v>
          </cell>
          <cell r="AQ191">
            <v>526261</v>
          </cell>
          <cell r="AR191">
            <v>372163</v>
          </cell>
          <cell r="AS191">
            <v>391256</v>
          </cell>
          <cell r="AT191">
            <v>373620</v>
          </cell>
          <cell r="AU191">
            <v>417645</v>
          </cell>
          <cell r="AV191">
            <v>369983</v>
          </cell>
          <cell r="AW191">
            <v>472308</v>
          </cell>
          <cell r="AX191">
            <v>355685</v>
          </cell>
          <cell r="AY191">
            <v>295254</v>
          </cell>
          <cell r="AZ191">
            <v>291091</v>
          </cell>
          <cell r="BA191">
            <v>394655</v>
          </cell>
          <cell r="BB191">
            <v>463015</v>
          </cell>
          <cell r="BC191">
            <v>528537</v>
          </cell>
          <cell r="BD191">
            <v>349184</v>
          </cell>
          <cell r="BE191">
            <v>366500</v>
          </cell>
          <cell r="BF191">
            <v>341904</v>
          </cell>
          <cell r="BG191">
            <v>395046</v>
          </cell>
          <cell r="BH191">
            <v>457714</v>
          </cell>
          <cell r="BI191">
            <v>333103</v>
          </cell>
          <cell r="BJ191">
            <v>366897</v>
          </cell>
          <cell r="BK191">
            <v>454662</v>
          </cell>
          <cell r="BL191">
            <v>372091</v>
          </cell>
          <cell r="BM191">
            <v>400702</v>
          </cell>
          <cell r="BN191">
            <v>479466</v>
          </cell>
          <cell r="BO191">
            <v>528488</v>
          </cell>
          <cell r="BP191">
            <v>391054</v>
          </cell>
          <cell r="BQ191">
            <v>422998</v>
          </cell>
          <cell r="BR191">
            <v>386908</v>
          </cell>
          <cell r="BS191">
            <v>456976</v>
          </cell>
          <cell r="BT191">
            <v>376955</v>
          </cell>
          <cell r="BU191">
            <v>495438</v>
          </cell>
          <cell r="BV191">
            <v>485727</v>
          </cell>
          <cell r="BW191">
            <v>439652</v>
          </cell>
          <cell r="BX191">
            <v>442133</v>
          </cell>
          <cell r="BY191">
            <v>413838</v>
          </cell>
          <cell r="BZ191">
            <v>520624</v>
          </cell>
          <cell r="CA191">
            <v>562162</v>
          </cell>
          <cell r="CB191">
            <v>447538</v>
          </cell>
          <cell r="CC191">
            <v>469259</v>
          </cell>
          <cell r="CD191">
            <v>445182</v>
          </cell>
          <cell r="CE191">
            <v>516384</v>
          </cell>
          <cell r="CF191">
            <v>528975</v>
          </cell>
          <cell r="CG191">
            <v>546770</v>
          </cell>
          <cell r="CH191">
            <v>520177</v>
          </cell>
          <cell r="CI191">
            <v>623193</v>
          </cell>
          <cell r="CJ191">
            <v>486552</v>
          </cell>
          <cell r="CK191">
            <v>485800</v>
          </cell>
          <cell r="CL191">
            <v>590609</v>
          </cell>
          <cell r="CM191">
            <v>635769</v>
          </cell>
          <cell r="CN191">
            <v>578931</v>
          </cell>
          <cell r="CO191">
            <v>641486</v>
          </cell>
          <cell r="CP191">
            <v>596085</v>
          </cell>
          <cell r="CQ191">
            <v>706309</v>
          </cell>
          <cell r="CR191">
            <v>604303</v>
          </cell>
          <cell r="CS191">
            <v>678807</v>
          </cell>
          <cell r="CW191">
            <v>0.36779799529032653</v>
          </cell>
          <cell r="CX191">
            <v>0.30967184801381692</v>
          </cell>
          <cell r="CY191">
            <v>0.11389668489733255</v>
          </cell>
          <cell r="CZ191">
            <v>0.38337939067051285</v>
          </cell>
        </row>
        <row r="192">
          <cell r="B192" t="str">
            <v>Taiwan</v>
          </cell>
          <cell r="C192">
            <v>161900</v>
          </cell>
          <cell r="D192">
            <v>236500</v>
          </cell>
          <cell r="E192">
            <v>272300</v>
          </cell>
          <cell r="F192">
            <v>244300</v>
          </cell>
          <cell r="G192">
            <v>280100</v>
          </cell>
          <cell r="H192">
            <v>758800</v>
          </cell>
          <cell r="I192">
            <v>908900</v>
          </cell>
          <cell r="J192">
            <v>816600</v>
          </cell>
          <cell r="K192">
            <v>984800</v>
          </cell>
          <cell r="L192">
            <v>73126</v>
          </cell>
          <cell r="M192">
            <v>91788</v>
          </cell>
          <cell r="N192">
            <v>91370</v>
          </cell>
          <cell r="O192">
            <v>108905</v>
          </cell>
          <cell r="P192">
            <v>110809</v>
          </cell>
          <cell r="Q192">
            <v>107213</v>
          </cell>
          <cell r="R192">
            <v>129022</v>
          </cell>
          <cell r="S192">
            <v>124100</v>
          </cell>
          <cell r="T192">
            <v>119717</v>
          </cell>
          <cell r="U192">
            <v>127422</v>
          </cell>
          <cell r="V192">
            <v>117695</v>
          </cell>
          <cell r="W192">
            <v>109868</v>
          </cell>
          <cell r="X192">
            <v>98405</v>
          </cell>
          <cell r="Y192">
            <v>100867</v>
          </cell>
          <cell r="Z192">
            <v>123738</v>
          </cell>
          <cell r="AA192">
            <v>138147</v>
          </cell>
          <cell r="AB192">
            <v>135248</v>
          </cell>
          <cell r="AC192">
            <v>133391</v>
          </cell>
          <cell r="AD192">
            <v>130060</v>
          </cell>
          <cell r="AE192">
            <v>132809</v>
          </cell>
          <cell r="AF192">
            <v>111193</v>
          </cell>
          <cell r="AG192">
            <v>121583</v>
          </cell>
          <cell r="AH192">
            <v>112185</v>
          </cell>
          <cell r="AI192">
            <v>114200</v>
          </cell>
          <cell r="AJ192">
            <v>97392</v>
          </cell>
          <cell r="AK192">
            <v>105777</v>
          </cell>
          <cell r="AL192">
            <v>135883</v>
          </cell>
          <cell r="AM192">
            <v>147181</v>
          </cell>
          <cell r="AN192">
            <v>135796</v>
          </cell>
          <cell r="AO192">
            <v>127147</v>
          </cell>
          <cell r="AP192">
            <v>142311</v>
          </cell>
          <cell r="AQ192">
            <v>141267</v>
          </cell>
          <cell r="AR192">
            <v>125243</v>
          </cell>
          <cell r="AS192">
            <v>140361</v>
          </cell>
          <cell r="AT192">
            <v>121524</v>
          </cell>
          <cell r="AU192">
            <v>113047</v>
          </cell>
          <cell r="AV192">
            <v>94753</v>
          </cell>
          <cell r="AW192">
            <v>107583</v>
          </cell>
          <cell r="AX192">
            <v>105408</v>
          </cell>
          <cell r="AY192">
            <v>48361</v>
          </cell>
          <cell r="AZ192">
            <v>17427</v>
          </cell>
          <cell r="BA192">
            <v>31266</v>
          </cell>
          <cell r="BB192">
            <v>99667</v>
          </cell>
          <cell r="BC192">
            <v>112606</v>
          </cell>
          <cell r="BD192">
            <v>108704</v>
          </cell>
          <cell r="BE192">
            <v>108066</v>
          </cell>
          <cell r="BF192">
            <v>97818</v>
          </cell>
          <cell r="BG192">
            <v>91171</v>
          </cell>
          <cell r="BH192">
            <v>86715</v>
          </cell>
          <cell r="BI192">
            <v>74072</v>
          </cell>
          <cell r="BJ192">
            <v>96686</v>
          </cell>
          <cell r="BK192">
            <v>110708</v>
          </cell>
          <cell r="BL192">
            <v>86782</v>
          </cell>
          <cell r="BM192">
            <v>107939</v>
          </cell>
          <cell r="BN192">
            <v>114510</v>
          </cell>
          <cell r="BO192">
            <v>121062</v>
          </cell>
          <cell r="BP192">
            <v>117460</v>
          </cell>
          <cell r="BQ192">
            <v>125957</v>
          </cell>
          <cell r="BR192">
            <v>122138</v>
          </cell>
          <cell r="BS192">
            <v>122920</v>
          </cell>
          <cell r="BT192">
            <v>104506</v>
          </cell>
          <cell r="BU192">
            <v>121826</v>
          </cell>
          <cell r="BV192">
            <v>128586</v>
          </cell>
          <cell r="BW192">
            <v>131840</v>
          </cell>
          <cell r="BX192">
            <v>128237</v>
          </cell>
          <cell r="BY192">
            <v>129840</v>
          </cell>
          <cell r="BZ192">
            <v>138761</v>
          </cell>
          <cell r="CA192">
            <v>138181</v>
          </cell>
          <cell r="CB192">
            <v>120265</v>
          </cell>
          <cell r="CC192">
            <v>129603</v>
          </cell>
          <cell r="CD192">
            <v>108291</v>
          </cell>
          <cell r="CE192">
            <v>102547</v>
          </cell>
          <cell r="CF192">
            <v>93254</v>
          </cell>
          <cell r="CG192">
            <v>111968</v>
          </cell>
          <cell r="CH192">
            <v>123817</v>
          </cell>
          <cell r="CI192">
            <v>126528</v>
          </cell>
          <cell r="CJ192">
            <v>112296</v>
          </cell>
          <cell r="CK192">
            <v>116410</v>
          </cell>
          <cell r="CL192">
            <v>133479</v>
          </cell>
          <cell r="CM192">
            <v>133595</v>
          </cell>
          <cell r="CN192">
            <v>121916</v>
          </cell>
          <cell r="CO192">
            <v>128214</v>
          </cell>
          <cell r="CP192">
            <v>118113</v>
          </cell>
          <cell r="CQ192">
            <v>118234</v>
          </cell>
          <cell r="CR192">
            <v>104751</v>
          </cell>
          <cell r="CS192">
            <v>109970</v>
          </cell>
          <cell r="CW192">
            <v>0.15297375837420879</v>
          </cell>
          <cell r="CX192">
            <v>6.149671368259451E-2</v>
          </cell>
          <cell r="CY192">
            <v>9.4073834196891117E-3</v>
          </cell>
          <cell r="CZ192">
            <v>3.1665512710008323E-2</v>
          </cell>
        </row>
        <row r="193">
          <cell r="B193" t="str">
            <v>Japan</v>
          </cell>
          <cell r="L193">
            <v>11543</v>
          </cell>
          <cell r="M193">
            <v>11713</v>
          </cell>
          <cell r="N193">
            <v>12574</v>
          </cell>
          <cell r="O193">
            <v>9369</v>
          </cell>
          <cell r="P193">
            <v>12630</v>
          </cell>
          <cell r="Q193">
            <v>11991</v>
          </cell>
          <cell r="R193">
            <v>10705</v>
          </cell>
          <cell r="S193">
            <v>12370</v>
          </cell>
          <cell r="T193">
            <v>14466</v>
          </cell>
          <cell r="U193">
            <v>11380</v>
          </cell>
          <cell r="V193">
            <v>13278</v>
          </cell>
          <cell r="W193">
            <v>12869</v>
          </cell>
          <cell r="X193">
            <v>12426</v>
          </cell>
          <cell r="Y193">
            <v>12958</v>
          </cell>
          <cell r="Z193">
            <v>13211</v>
          </cell>
          <cell r="AA193">
            <v>10910</v>
          </cell>
          <cell r="AB193">
            <v>12192</v>
          </cell>
          <cell r="AC193">
            <v>12623</v>
          </cell>
          <cell r="AD193">
            <v>10626</v>
          </cell>
          <cell r="AE193">
            <v>13393</v>
          </cell>
          <cell r="AF193">
            <v>11912</v>
          </cell>
          <cell r="AG193">
            <v>8936</v>
          </cell>
          <cell r="AH193">
            <v>10280</v>
          </cell>
          <cell r="AI193">
            <v>11470</v>
          </cell>
          <cell r="AJ193">
            <v>11116</v>
          </cell>
          <cell r="AK193">
            <v>10075</v>
          </cell>
          <cell r="AL193">
            <v>12602</v>
          </cell>
          <cell r="AM193">
            <v>10843</v>
          </cell>
          <cell r="AN193">
            <v>13169</v>
          </cell>
          <cell r="AO193">
            <v>11337</v>
          </cell>
          <cell r="AP193">
            <v>10738</v>
          </cell>
          <cell r="AQ193">
            <v>12698</v>
          </cell>
          <cell r="AR193">
            <v>13082</v>
          </cell>
          <cell r="AS193">
            <v>11152</v>
          </cell>
          <cell r="AT193">
            <v>13522</v>
          </cell>
          <cell r="AU193">
            <v>12254</v>
          </cell>
          <cell r="AV193">
            <v>13285</v>
          </cell>
          <cell r="AW193">
            <v>10124</v>
          </cell>
          <cell r="AX193">
            <v>10235</v>
          </cell>
          <cell r="AY193">
            <v>2515</v>
          </cell>
          <cell r="AZ193">
            <v>2306</v>
          </cell>
          <cell r="BA193">
            <v>2556</v>
          </cell>
          <cell r="BB193">
            <v>4525</v>
          </cell>
          <cell r="BC193">
            <v>7383</v>
          </cell>
          <cell r="BD193">
            <v>7970</v>
          </cell>
          <cell r="BE193">
            <v>6756</v>
          </cell>
          <cell r="BF193">
            <v>8824</v>
          </cell>
          <cell r="BG193">
            <v>9134</v>
          </cell>
          <cell r="BH193">
            <v>8158</v>
          </cell>
          <cell r="BI193">
            <v>6751</v>
          </cell>
          <cell r="BJ193">
            <v>7289</v>
          </cell>
          <cell r="BK193">
            <v>7343</v>
          </cell>
          <cell r="BL193">
            <v>9028</v>
          </cell>
          <cell r="BM193">
            <v>7819</v>
          </cell>
          <cell r="BN193">
            <v>9207</v>
          </cell>
          <cell r="BO193">
            <v>11568</v>
          </cell>
          <cell r="BP193">
            <v>14206</v>
          </cell>
          <cell r="BQ193">
            <v>11900</v>
          </cell>
          <cell r="BR193">
            <v>13974</v>
          </cell>
          <cell r="BS193">
            <v>14941</v>
          </cell>
          <cell r="BT193">
            <v>16031</v>
          </cell>
          <cell r="BU193">
            <v>12207</v>
          </cell>
          <cell r="BV193">
            <v>14527</v>
          </cell>
          <cell r="BW193">
            <v>10214</v>
          </cell>
          <cell r="BX193">
            <v>15228</v>
          </cell>
          <cell r="BY193">
            <v>11832</v>
          </cell>
          <cell r="BZ193">
            <v>12066</v>
          </cell>
          <cell r="CA193">
            <v>13701</v>
          </cell>
          <cell r="CB193">
            <v>16774</v>
          </cell>
          <cell r="CC193">
            <v>12991</v>
          </cell>
          <cell r="CD193">
            <v>17202</v>
          </cell>
          <cell r="CE193">
            <v>16342</v>
          </cell>
          <cell r="CF193">
            <v>16696</v>
          </cell>
          <cell r="CG193">
            <v>14856</v>
          </cell>
          <cell r="CH193">
            <v>18563</v>
          </cell>
          <cell r="CI193">
            <v>12718</v>
          </cell>
          <cell r="CJ193">
            <v>18618</v>
          </cell>
          <cell r="CK193">
            <v>16000</v>
          </cell>
          <cell r="CL193">
            <v>15522</v>
          </cell>
          <cell r="CM193">
            <v>21669</v>
          </cell>
          <cell r="CN193">
            <v>20151</v>
          </cell>
          <cell r="CO193">
            <v>18184</v>
          </cell>
          <cell r="CP193">
            <v>25187</v>
          </cell>
          <cell r="CQ193">
            <v>22026</v>
          </cell>
          <cell r="CR193">
            <v>24074</v>
          </cell>
          <cell r="CS193">
            <v>19258</v>
          </cell>
          <cell r="CW193">
            <v>0.34781544486598936</v>
          </cell>
          <cell r="CX193">
            <v>9.8001823066589909E-3</v>
          </cell>
          <cell r="CY193">
            <v>3.4086547687583947E-3</v>
          </cell>
          <cell r="CZ193">
            <v>1.1473626202823191E-2</v>
          </cell>
        </row>
        <row r="194">
          <cell r="B194" t="str">
            <v>Other East Asia</v>
          </cell>
          <cell r="L194">
            <v>156</v>
          </cell>
          <cell r="M194">
            <v>171</v>
          </cell>
          <cell r="N194">
            <v>189</v>
          </cell>
          <cell r="O194">
            <v>191</v>
          </cell>
          <cell r="P194">
            <v>175</v>
          </cell>
          <cell r="Q194">
            <v>173</v>
          </cell>
          <cell r="R194">
            <v>181</v>
          </cell>
          <cell r="S194">
            <v>233</v>
          </cell>
          <cell r="T194">
            <v>135</v>
          </cell>
          <cell r="U194">
            <v>112</v>
          </cell>
          <cell r="V194">
            <v>141</v>
          </cell>
          <cell r="W194">
            <v>135</v>
          </cell>
          <cell r="X194">
            <v>130</v>
          </cell>
          <cell r="Y194">
            <v>123</v>
          </cell>
          <cell r="Z194">
            <v>177</v>
          </cell>
          <cell r="AA194">
            <v>132</v>
          </cell>
          <cell r="AB194">
            <v>151</v>
          </cell>
          <cell r="AC194">
            <v>166</v>
          </cell>
          <cell r="AD194">
            <v>223</v>
          </cell>
          <cell r="AE194">
            <v>101</v>
          </cell>
          <cell r="AF194">
            <v>119</v>
          </cell>
          <cell r="AG194">
            <v>152</v>
          </cell>
          <cell r="AH194">
            <v>242</v>
          </cell>
          <cell r="AI194">
            <v>175</v>
          </cell>
          <cell r="AJ194">
            <v>204</v>
          </cell>
          <cell r="AK194">
            <v>190</v>
          </cell>
          <cell r="AL194">
            <v>248</v>
          </cell>
          <cell r="AM194">
            <v>221</v>
          </cell>
          <cell r="AN194">
            <v>192</v>
          </cell>
          <cell r="AO194">
            <v>204</v>
          </cell>
          <cell r="AP194">
            <v>166</v>
          </cell>
          <cell r="AQ194">
            <v>307</v>
          </cell>
          <cell r="AR194">
            <v>239</v>
          </cell>
          <cell r="AS194">
            <v>220</v>
          </cell>
          <cell r="AT194">
            <v>218</v>
          </cell>
          <cell r="AU194">
            <v>296</v>
          </cell>
          <cell r="AV194">
            <v>281</v>
          </cell>
          <cell r="AW194">
            <v>167</v>
          </cell>
          <cell r="AX194">
            <v>243</v>
          </cell>
          <cell r="AY194">
            <v>188</v>
          </cell>
          <cell r="AZ194">
            <v>197</v>
          </cell>
          <cell r="BA194">
            <v>158</v>
          </cell>
          <cell r="BB194">
            <v>210</v>
          </cell>
          <cell r="BC194">
            <v>294</v>
          </cell>
          <cell r="BD194">
            <v>266</v>
          </cell>
          <cell r="BE194">
            <v>217</v>
          </cell>
          <cell r="BF194">
            <v>204</v>
          </cell>
          <cell r="BG194">
            <v>242</v>
          </cell>
          <cell r="BH194">
            <v>240</v>
          </cell>
          <cell r="BI194">
            <v>216</v>
          </cell>
          <cell r="BJ194">
            <v>204</v>
          </cell>
          <cell r="BK194">
            <v>253</v>
          </cell>
          <cell r="BL194">
            <v>288</v>
          </cell>
          <cell r="BM194">
            <v>270</v>
          </cell>
          <cell r="BN194">
            <v>407</v>
          </cell>
          <cell r="BO194">
            <v>265</v>
          </cell>
          <cell r="BP194">
            <v>254</v>
          </cell>
          <cell r="BQ194">
            <v>390</v>
          </cell>
          <cell r="BR194">
            <v>371</v>
          </cell>
          <cell r="BS194">
            <v>397</v>
          </cell>
          <cell r="BT194">
            <v>370</v>
          </cell>
          <cell r="BU194">
            <v>309</v>
          </cell>
          <cell r="BV194">
            <v>440</v>
          </cell>
          <cell r="BW194">
            <v>400</v>
          </cell>
          <cell r="BX194">
            <v>387</v>
          </cell>
          <cell r="BY194">
            <v>327</v>
          </cell>
          <cell r="BZ194">
            <v>436</v>
          </cell>
          <cell r="CA194">
            <v>441</v>
          </cell>
          <cell r="CB194">
            <v>390</v>
          </cell>
          <cell r="CC194">
            <v>896</v>
          </cell>
          <cell r="CD194">
            <v>512</v>
          </cell>
          <cell r="CE194">
            <v>393</v>
          </cell>
          <cell r="CF194">
            <v>407</v>
          </cell>
          <cell r="CG194">
            <v>313</v>
          </cell>
          <cell r="CH194">
            <v>409</v>
          </cell>
          <cell r="CI194">
            <v>353</v>
          </cell>
          <cell r="CJ194">
            <v>352</v>
          </cell>
          <cell r="CK194">
            <v>286</v>
          </cell>
          <cell r="CL194">
            <v>214</v>
          </cell>
          <cell r="CM194">
            <v>300</v>
          </cell>
          <cell r="CN194">
            <v>282</v>
          </cell>
          <cell r="CO194">
            <v>293</v>
          </cell>
          <cell r="CP194">
            <v>343</v>
          </cell>
          <cell r="CQ194">
            <v>382</v>
          </cell>
          <cell r="CR194">
            <v>385</v>
          </cell>
          <cell r="CS194">
            <v>290</v>
          </cell>
          <cell r="CW194">
            <v>-2.7989821882951627E-2</v>
          </cell>
          <cell r="CX194">
            <v>2.3567933218192284E-4</v>
          </cell>
          <cell r="CY194">
            <v>-6.5966225292650099E-6</v>
          </cell>
          <cell r="CZ194">
            <v>-2.220441383375352E-5</v>
          </cell>
        </row>
        <row r="195">
          <cell r="CX195">
            <v>0.23518016230877592</v>
          </cell>
          <cell r="CY195">
            <v>0.24580830352032446</v>
          </cell>
          <cell r="CZ195">
            <v>0.8273975463844383</v>
          </cell>
        </row>
        <row r="196">
          <cell r="B196" t="str">
            <v>India</v>
          </cell>
          <cell r="L196">
            <v>408</v>
          </cell>
          <cell r="M196">
            <v>534</v>
          </cell>
          <cell r="N196">
            <v>386</v>
          </cell>
          <cell r="O196">
            <v>836</v>
          </cell>
          <cell r="P196">
            <v>735</v>
          </cell>
          <cell r="Q196">
            <v>726</v>
          </cell>
          <cell r="R196">
            <v>558</v>
          </cell>
          <cell r="S196">
            <v>624</v>
          </cell>
          <cell r="T196">
            <v>634</v>
          </cell>
          <cell r="U196">
            <v>688</v>
          </cell>
          <cell r="V196">
            <v>593</v>
          </cell>
          <cell r="W196">
            <v>808</v>
          </cell>
          <cell r="X196">
            <v>478</v>
          </cell>
          <cell r="Y196">
            <v>410</v>
          </cell>
          <cell r="Z196">
            <v>632</v>
          </cell>
          <cell r="AA196">
            <v>910</v>
          </cell>
          <cell r="AB196">
            <v>731</v>
          </cell>
          <cell r="AC196">
            <v>874</v>
          </cell>
          <cell r="AD196">
            <v>942</v>
          </cell>
          <cell r="AE196">
            <v>875</v>
          </cell>
          <cell r="AF196">
            <v>779</v>
          </cell>
          <cell r="AG196">
            <v>798</v>
          </cell>
          <cell r="AH196">
            <v>521</v>
          </cell>
          <cell r="AI196">
            <v>709</v>
          </cell>
          <cell r="AJ196">
            <v>655</v>
          </cell>
          <cell r="AK196">
            <v>1225</v>
          </cell>
          <cell r="AL196">
            <v>750</v>
          </cell>
          <cell r="AM196">
            <v>786</v>
          </cell>
          <cell r="AN196">
            <v>813</v>
          </cell>
          <cell r="AO196">
            <v>869</v>
          </cell>
          <cell r="AP196">
            <v>1150</v>
          </cell>
          <cell r="AQ196">
            <v>706</v>
          </cell>
          <cell r="AR196">
            <v>735</v>
          </cell>
          <cell r="AS196">
            <v>1004</v>
          </cell>
          <cell r="AT196">
            <v>976</v>
          </cell>
          <cell r="AU196">
            <v>905</v>
          </cell>
          <cell r="AV196">
            <v>707</v>
          </cell>
          <cell r="AW196">
            <v>1149</v>
          </cell>
          <cell r="AX196">
            <v>728</v>
          </cell>
          <cell r="AY196">
            <v>361</v>
          </cell>
          <cell r="AZ196">
            <v>297</v>
          </cell>
          <cell r="BA196">
            <v>488</v>
          </cell>
          <cell r="BB196">
            <v>903</v>
          </cell>
          <cell r="BC196">
            <v>972</v>
          </cell>
          <cell r="BD196">
            <v>1035</v>
          </cell>
          <cell r="BE196">
            <v>962</v>
          </cell>
          <cell r="BF196">
            <v>1145</v>
          </cell>
          <cell r="BG196">
            <v>1073</v>
          </cell>
          <cell r="BH196">
            <v>1028</v>
          </cell>
          <cell r="BI196">
            <v>1051</v>
          </cell>
          <cell r="BJ196">
            <v>962</v>
          </cell>
          <cell r="BK196">
            <v>1393</v>
          </cell>
          <cell r="BL196">
            <v>1364</v>
          </cell>
          <cell r="BM196">
            <v>1725</v>
          </cell>
          <cell r="BN196">
            <v>1329</v>
          </cell>
          <cell r="BO196">
            <v>1222</v>
          </cell>
          <cell r="BP196">
            <v>1245</v>
          </cell>
          <cell r="BQ196">
            <v>1440</v>
          </cell>
          <cell r="BR196">
            <v>1004</v>
          </cell>
          <cell r="BS196">
            <v>1515</v>
          </cell>
          <cell r="BT196">
            <v>1421</v>
          </cell>
          <cell r="BU196">
            <v>970</v>
          </cell>
          <cell r="BV196">
            <v>1512</v>
          </cell>
          <cell r="BW196">
            <v>1525</v>
          </cell>
          <cell r="BX196">
            <v>1862</v>
          </cell>
          <cell r="BY196">
            <v>2505</v>
          </cell>
          <cell r="BZ196">
            <v>1844</v>
          </cell>
          <cell r="CA196">
            <v>1703</v>
          </cell>
          <cell r="CB196">
            <v>1802</v>
          </cell>
          <cell r="CC196">
            <v>1839</v>
          </cell>
          <cell r="CD196">
            <v>1498</v>
          </cell>
          <cell r="CE196">
            <v>2365</v>
          </cell>
          <cell r="CF196">
            <v>1673</v>
          </cell>
          <cell r="CG196">
            <v>1497</v>
          </cell>
          <cell r="CH196">
            <v>1685</v>
          </cell>
          <cell r="CI196">
            <v>2559</v>
          </cell>
          <cell r="CJ196">
            <v>3108</v>
          </cell>
          <cell r="CK196">
            <v>2745</v>
          </cell>
          <cell r="CL196">
            <v>2318</v>
          </cell>
          <cell r="CM196">
            <v>2263</v>
          </cell>
          <cell r="CN196">
            <v>2721</v>
          </cell>
          <cell r="CO196">
            <v>2913</v>
          </cell>
          <cell r="CP196">
            <v>2151</v>
          </cell>
          <cell r="CQ196">
            <v>3270</v>
          </cell>
          <cell r="CR196">
            <v>2693</v>
          </cell>
          <cell r="CS196">
            <v>2445</v>
          </cell>
          <cell r="CW196">
            <v>0.38266384778012674</v>
          </cell>
          <cell r="CX196">
            <v>1.4182738437919784E-3</v>
          </cell>
          <cell r="CY196">
            <v>5.4272212627134889E-4</v>
          </cell>
          <cell r="CZ196">
            <v>1.8268176835951771E-3</v>
          </cell>
        </row>
        <row r="197">
          <cell r="B197" t="str">
            <v>Other South Asia</v>
          </cell>
          <cell r="L197">
            <v>535</v>
          </cell>
          <cell r="M197">
            <v>706</v>
          </cell>
          <cell r="N197">
            <v>573</v>
          </cell>
          <cell r="O197">
            <v>630</v>
          </cell>
          <cell r="P197">
            <v>739</v>
          </cell>
          <cell r="Q197">
            <v>790</v>
          </cell>
          <cell r="R197">
            <v>893</v>
          </cell>
          <cell r="S197">
            <v>774</v>
          </cell>
          <cell r="T197">
            <v>752</v>
          </cell>
          <cell r="U197">
            <v>891</v>
          </cell>
          <cell r="V197">
            <v>1038</v>
          </cell>
          <cell r="W197">
            <v>785</v>
          </cell>
          <cell r="X197">
            <v>919</v>
          </cell>
          <cell r="Y197">
            <v>887</v>
          </cell>
          <cell r="Z197">
            <v>686</v>
          </cell>
          <cell r="AA197">
            <v>906</v>
          </cell>
          <cell r="AB197">
            <v>888</v>
          </cell>
          <cell r="AC197">
            <v>763</v>
          </cell>
          <cell r="AD197">
            <v>753</v>
          </cell>
          <cell r="AE197">
            <v>690</v>
          </cell>
          <cell r="AF197">
            <v>979</v>
          </cell>
          <cell r="AG197">
            <v>738</v>
          </cell>
          <cell r="AH197">
            <v>395</v>
          </cell>
          <cell r="AI197">
            <v>575</v>
          </cell>
          <cell r="AJ197">
            <v>457</v>
          </cell>
          <cell r="AK197">
            <v>425</v>
          </cell>
          <cell r="AL197">
            <v>591</v>
          </cell>
          <cell r="AM197">
            <v>651</v>
          </cell>
          <cell r="AN197">
            <v>588</v>
          </cell>
          <cell r="AO197">
            <v>774</v>
          </cell>
          <cell r="AP197">
            <v>591</v>
          </cell>
          <cell r="AQ197">
            <v>865</v>
          </cell>
          <cell r="AR197">
            <v>578</v>
          </cell>
          <cell r="AS197">
            <v>724</v>
          </cell>
          <cell r="AT197">
            <v>451</v>
          </cell>
          <cell r="AU197">
            <v>840</v>
          </cell>
          <cell r="AV197">
            <v>573</v>
          </cell>
          <cell r="AW197">
            <v>549</v>
          </cell>
          <cell r="AX197">
            <v>589</v>
          </cell>
          <cell r="AY197">
            <v>390</v>
          </cell>
          <cell r="AZ197">
            <v>534</v>
          </cell>
          <cell r="BA197">
            <v>672</v>
          </cell>
          <cell r="BB197">
            <v>902</v>
          </cell>
          <cell r="BC197">
            <v>866</v>
          </cell>
          <cell r="BD197">
            <v>789</v>
          </cell>
          <cell r="BE197">
            <v>763</v>
          </cell>
          <cell r="BF197">
            <v>986</v>
          </cell>
          <cell r="BG197">
            <v>617</v>
          </cell>
          <cell r="BH197">
            <v>950</v>
          </cell>
          <cell r="BI197">
            <v>649</v>
          </cell>
          <cell r="BJ197">
            <v>956</v>
          </cell>
          <cell r="BK197">
            <v>1857</v>
          </cell>
          <cell r="BL197">
            <v>780</v>
          </cell>
          <cell r="BM197">
            <v>841</v>
          </cell>
          <cell r="BN197">
            <v>870</v>
          </cell>
          <cell r="BO197">
            <v>896</v>
          </cell>
          <cell r="BP197">
            <v>787</v>
          </cell>
          <cell r="BQ197">
            <v>849</v>
          </cell>
          <cell r="BR197">
            <v>914</v>
          </cell>
          <cell r="BS197">
            <v>796</v>
          </cell>
          <cell r="BT197">
            <v>711</v>
          </cell>
          <cell r="BU197">
            <v>659</v>
          </cell>
          <cell r="BV197">
            <v>894</v>
          </cell>
          <cell r="BW197">
            <v>1137</v>
          </cell>
          <cell r="BX197">
            <v>1082</v>
          </cell>
          <cell r="BY197">
            <v>1023</v>
          </cell>
          <cell r="BZ197">
            <v>912</v>
          </cell>
          <cell r="CA197">
            <v>848</v>
          </cell>
          <cell r="CB197">
            <v>926</v>
          </cell>
          <cell r="CC197">
            <v>1026</v>
          </cell>
          <cell r="CD197">
            <v>917</v>
          </cell>
          <cell r="CE197">
            <v>873</v>
          </cell>
          <cell r="CF197">
            <v>871</v>
          </cell>
          <cell r="CG197">
            <v>621</v>
          </cell>
          <cell r="CH197">
            <v>1053</v>
          </cell>
          <cell r="CI197">
            <v>1039</v>
          </cell>
          <cell r="CJ197">
            <v>1157</v>
          </cell>
          <cell r="CK197">
            <v>1103</v>
          </cell>
          <cell r="CL197">
            <v>1432</v>
          </cell>
          <cell r="CM197">
            <v>1200</v>
          </cell>
          <cell r="CN197">
            <v>978</v>
          </cell>
          <cell r="CO197">
            <v>1114</v>
          </cell>
          <cell r="CP197">
            <v>1164</v>
          </cell>
          <cell r="CQ197">
            <v>1079</v>
          </cell>
          <cell r="CR197">
            <v>1103</v>
          </cell>
          <cell r="CS197">
            <v>1130</v>
          </cell>
          <cell r="CW197">
            <v>0.23596792668957622</v>
          </cell>
          <cell r="CX197">
            <v>5.2353195164075994E-4</v>
          </cell>
          <cell r="CY197">
            <v>1.2353674918441762E-4</v>
          </cell>
          <cell r="CZ197">
            <v>4.1582811361393014E-4</v>
          </cell>
        </row>
        <row r="199">
          <cell r="B199" t="str">
            <v>Philippines</v>
          </cell>
          <cell r="L199">
            <v>2907</v>
          </cell>
          <cell r="M199">
            <v>3423</v>
          </cell>
          <cell r="N199">
            <v>2825</v>
          </cell>
          <cell r="O199">
            <v>4048</v>
          </cell>
          <cell r="P199">
            <v>3802</v>
          </cell>
          <cell r="Q199">
            <v>3531</v>
          </cell>
          <cell r="R199">
            <v>3469</v>
          </cell>
          <cell r="S199">
            <v>3575</v>
          </cell>
          <cell r="T199">
            <v>3300</v>
          </cell>
          <cell r="U199">
            <v>4328</v>
          </cell>
          <cell r="V199">
            <v>3171</v>
          </cell>
          <cell r="W199">
            <v>3732</v>
          </cell>
          <cell r="X199">
            <v>3845</v>
          </cell>
          <cell r="Y199">
            <v>3365</v>
          </cell>
          <cell r="Z199">
            <v>4105</v>
          </cell>
          <cell r="AA199">
            <v>5467</v>
          </cell>
          <cell r="AB199">
            <v>4839</v>
          </cell>
          <cell r="AC199">
            <v>3994</v>
          </cell>
          <cell r="AD199">
            <v>4019</v>
          </cell>
          <cell r="AE199">
            <v>4301</v>
          </cell>
          <cell r="AF199">
            <v>4406</v>
          </cell>
          <cell r="AG199">
            <v>4276</v>
          </cell>
          <cell r="AH199">
            <v>3496</v>
          </cell>
          <cell r="AI199">
            <v>4592</v>
          </cell>
          <cell r="AJ199">
            <v>3310</v>
          </cell>
          <cell r="AK199">
            <v>4610</v>
          </cell>
          <cell r="AL199">
            <v>4458</v>
          </cell>
          <cell r="AM199">
            <v>4809</v>
          </cell>
          <cell r="AN199">
            <v>4911</v>
          </cell>
          <cell r="AO199">
            <v>4907</v>
          </cell>
          <cell r="AP199">
            <v>4695</v>
          </cell>
          <cell r="AQ199">
            <v>4959</v>
          </cell>
          <cell r="AR199">
            <v>4102</v>
          </cell>
          <cell r="AS199">
            <v>4631</v>
          </cell>
          <cell r="AT199">
            <v>4286</v>
          </cell>
          <cell r="AU199">
            <v>5061</v>
          </cell>
          <cell r="AV199">
            <v>4056</v>
          </cell>
          <cell r="AW199">
            <v>4484</v>
          </cell>
          <cell r="AX199">
            <v>4148</v>
          </cell>
          <cell r="AY199">
            <v>2829</v>
          </cell>
          <cell r="AZ199">
            <v>2727</v>
          </cell>
          <cell r="BA199">
            <v>3118</v>
          </cell>
          <cell r="BB199">
            <v>4430</v>
          </cell>
          <cell r="BC199">
            <v>5215</v>
          </cell>
          <cell r="BD199">
            <v>4868</v>
          </cell>
          <cell r="BE199">
            <v>5097</v>
          </cell>
          <cell r="BF199">
            <v>5742</v>
          </cell>
          <cell r="BG199">
            <v>5448</v>
          </cell>
          <cell r="BH199">
            <v>4973</v>
          </cell>
          <cell r="BI199">
            <v>4462</v>
          </cell>
          <cell r="BJ199">
            <v>5697</v>
          </cell>
          <cell r="BK199">
            <v>6853</v>
          </cell>
          <cell r="BL199">
            <v>6572</v>
          </cell>
          <cell r="BM199">
            <v>5901</v>
          </cell>
          <cell r="BN199">
            <v>7361</v>
          </cell>
          <cell r="BO199">
            <v>8361</v>
          </cell>
          <cell r="BP199">
            <v>5536</v>
          </cell>
          <cell r="BQ199">
            <v>6862</v>
          </cell>
          <cell r="BR199">
            <v>6581</v>
          </cell>
          <cell r="BS199">
            <v>7719</v>
          </cell>
          <cell r="BT199">
            <v>6263</v>
          </cell>
          <cell r="BU199">
            <v>6505</v>
          </cell>
          <cell r="BV199">
            <v>7302</v>
          </cell>
          <cell r="BW199">
            <v>7349</v>
          </cell>
          <cell r="BX199">
            <v>7894</v>
          </cell>
          <cell r="BY199">
            <v>7008</v>
          </cell>
          <cell r="BZ199">
            <v>7337</v>
          </cell>
          <cell r="CA199">
            <v>7398</v>
          </cell>
          <cell r="CB199">
            <v>7450</v>
          </cell>
          <cell r="CC199">
            <v>8583</v>
          </cell>
          <cell r="CD199">
            <v>9549</v>
          </cell>
          <cell r="CE199">
            <v>11240</v>
          </cell>
          <cell r="CF199">
            <v>10672</v>
          </cell>
          <cell r="CG199">
            <v>11065</v>
          </cell>
          <cell r="CH199">
            <v>12283</v>
          </cell>
          <cell r="CI199">
            <v>16668</v>
          </cell>
          <cell r="CJ199">
            <v>16348</v>
          </cell>
          <cell r="CK199">
            <v>13002</v>
          </cell>
          <cell r="CL199">
            <v>13565</v>
          </cell>
          <cell r="CM199">
            <v>14102</v>
          </cell>
          <cell r="CN199">
            <v>14225</v>
          </cell>
          <cell r="CO199">
            <v>17464</v>
          </cell>
          <cell r="CP199">
            <v>16340</v>
          </cell>
          <cell r="CQ199">
            <v>20512</v>
          </cell>
          <cell r="CR199">
            <v>16889</v>
          </cell>
          <cell r="CS199">
            <v>16803</v>
          </cell>
          <cell r="CW199">
            <v>0.82491103202846983</v>
          </cell>
          <cell r="CX199">
            <v>6.7405488389944345E-3</v>
          </cell>
          <cell r="CY199">
            <v>5.5603530992132033E-3</v>
          </cell>
          <cell r="CZ199">
            <v>1.8716302278778442E-2</v>
          </cell>
        </row>
        <row r="200">
          <cell r="B200" t="str">
            <v>Indonesia</v>
          </cell>
          <cell r="L200">
            <v>2719</v>
          </cell>
          <cell r="M200">
            <v>838</v>
          </cell>
          <cell r="N200">
            <v>774</v>
          </cell>
          <cell r="O200">
            <v>1774</v>
          </cell>
          <cell r="P200">
            <v>970</v>
          </cell>
          <cell r="Q200">
            <v>954</v>
          </cell>
          <cell r="R200">
            <v>1437</v>
          </cell>
          <cell r="S200">
            <v>1056</v>
          </cell>
          <cell r="T200">
            <v>1019</v>
          </cell>
          <cell r="U200">
            <v>1486</v>
          </cell>
          <cell r="V200">
            <v>953</v>
          </cell>
          <cell r="W200">
            <v>2940</v>
          </cell>
          <cell r="X200">
            <v>1838</v>
          </cell>
          <cell r="Y200">
            <v>850</v>
          </cell>
          <cell r="Z200">
            <v>890</v>
          </cell>
          <cell r="AA200">
            <v>1219</v>
          </cell>
          <cell r="AB200">
            <v>935</v>
          </cell>
          <cell r="AC200">
            <v>847</v>
          </cell>
          <cell r="AD200">
            <v>1177</v>
          </cell>
          <cell r="AE200">
            <v>1085</v>
          </cell>
          <cell r="AF200">
            <v>1114</v>
          </cell>
          <cell r="AG200">
            <v>1389</v>
          </cell>
          <cell r="AH200">
            <v>1185</v>
          </cell>
          <cell r="AI200">
            <v>4242</v>
          </cell>
          <cell r="AJ200">
            <v>1093</v>
          </cell>
          <cell r="AK200">
            <v>995</v>
          </cell>
          <cell r="AL200">
            <v>1087</v>
          </cell>
          <cell r="AM200">
            <v>1480</v>
          </cell>
          <cell r="AN200">
            <v>1197</v>
          </cell>
          <cell r="AO200">
            <v>1378</v>
          </cell>
          <cell r="AP200">
            <v>1779</v>
          </cell>
          <cell r="AQ200">
            <v>1359</v>
          </cell>
          <cell r="AR200">
            <v>1415</v>
          </cell>
          <cell r="AS200">
            <v>1610</v>
          </cell>
          <cell r="AT200">
            <v>1115</v>
          </cell>
          <cell r="AU200">
            <v>4915</v>
          </cell>
          <cell r="AV200">
            <v>1615</v>
          </cell>
          <cell r="AW200">
            <v>1139</v>
          </cell>
          <cell r="AX200">
            <v>700</v>
          </cell>
          <cell r="AY200">
            <v>354</v>
          </cell>
          <cell r="AZ200">
            <v>312</v>
          </cell>
          <cell r="BA200">
            <v>604</v>
          </cell>
          <cell r="BB200">
            <v>947</v>
          </cell>
          <cell r="BC200">
            <v>1650</v>
          </cell>
          <cell r="BD200">
            <v>1434</v>
          </cell>
          <cell r="BE200">
            <v>1699</v>
          </cell>
          <cell r="BF200">
            <v>3794</v>
          </cell>
          <cell r="BG200">
            <v>3457</v>
          </cell>
          <cell r="BH200">
            <v>2156</v>
          </cell>
          <cell r="BI200">
            <v>1478</v>
          </cell>
          <cell r="BJ200">
            <v>1518</v>
          </cell>
          <cell r="BK200">
            <v>2138</v>
          </cell>
          <cell r="BL200">
            <v>2142</v>
          </cell>
          <cell r="BM200">
            <v>2527</v>
          </cell>
          <cell r="BN200">
            <v>3175</v>
          </cell>
          <cell r="BO200">
            <v>3218</v>
          </cell>
          <cell r="BP200">
            <v>2155</v>
          </cell>
          <cell r="BQ200">
            <v>2485</v>
          </cell>
          <cell r="BR200">
            <v>5818</v>
          </cell>
          <cell r="BS200">
            <v>4129</v>
          </cell>
          <cell r="BT200">
            <v>2712</v>
          </cell>
          <cell r="BU200">
            <v>2583</v>
          </cell>
          <cell r="BV200">
            <v>3029</v>
          </cell>
          <cell r="BW200">
            <v>3266</v>
          </cell>
          <cell r="BX200">
            <v>2967</v>
          </cell>
          <cell r="BY200">
            <v>2922</v>
          </cell>
          <cell r="BZ200">
            <v>3999</v>
          </cell>
          <cell r="CA200">
            <v>3237</v>
          </cell>
          <cell r="CB200">
            <v>3474</v>
          </cell>
          <cell r="CC200">
            <v>3860</v>
          </cell>
          <cell r="CD200">
            <v>8297</v>
          </cell>
          <cell r="CE200">
            <v>5808</v>
          </cell>
          <cell r="CF200">
            <v>4154</v>
          </cell>
          <cell r="CG200">
            <v>3614</v>
          </cell>
          <cell r="CH200">
            <v>3715</v>
          </cell>
          <cell r="CI200">
            <v>5431</v>
          </cell>
          <cell r="CJ200">
            <v>4637</v>
          </cell>
          <cell r="CK200">
            <v>4950</v>
          </cell>
          <cell r="CL200">
            <v>6195</v>
          </cell>
          <cell r="CM200">
            <v>5472</v>
          </cell>
          <cell r="CN200">
            <v>4351</v>
          </cell>
          <cell r="CO200">
            <v>10591</v>
          </cell>
          <cell r="CP200">
            <v>5188</v>
          </cell>
          <cell r="CQ200">
            <v>9816</v>
          </cell>
          <cell r="CR200">
            <v>6961</v>
          </cell>
          <cell r="CS200">
            <v>4992</v>
          </cell>
          <cell r="CW200">
            <v>0.69008264462809921</v>
          </cell>
          <cell r="CX200">
            <v>3.4830166954519285E-3</v>
          </cell>
          <cell r="CY200">
            <v>2.4035693724812897E-3</v>
          </cell>
          <cell r="CZ200">
            <v>8.0904809677894724E-3</v>
          </cell>
        </row>
        <row r="201">
          <cell r="B201" t="str">
            <v>Malaysia</v>
          </cell>
          <cell r="L201">
            <v>1619</v>
          </cell>
          <cell r="M201">
            <v>1715</v>
          </cell>
          <cell r="N201">
            <v>1942</v>
          </cell>
          <cell r="O201">
            <v>2259</v>
          </cell>
          <cell r="P201">
            <v>2410</v>
          </cell>
          <cell r="Q201">
            <v>1752</v>
          </cell>
          <cell r="R201">
            <v>1575</v>
          </cell>
          <cell r="S201">
            <v>1841</v>
          </cell>
          <cell r="T201">
            <v>2533</v>
          </cell>
          <cell r="U201">
            <v>2046</v>
          </cell>
          <cell r="V201">
            <v>2702</v>
          </cell>
          <cell r="W201">
            <v>3359</v>
          </cell>
          <cell r="X201">
            <v>2197</v>
          </cell>
          <cell r="Y201">
            <v>1572</v>
          </cell>
          <cell r="Z201">
            <v>2385</v>
          </cell>
          <cell r="AA201">
            <v>2006</v>
          </cell>
          <cell r="AB201">
            <v>2813</v>
          </cell>
          <cell r="AC201">
            <v>1985</v>
          </cell>
          <cell r="AD201">
            <v>1584</v>
          </cell>
          <cell r="AE201">
            <v>1966</v>
          </cell>
          <cell r="AF201">
            <v>2624</v>
          </cell>
          <cell r="AG201">
            <v>2039</v>
          </cell>
          <cell r="AH201">
            <v>2141</v>
          </cell>
          <cell r="AI201">
            <v>3942</v>
          </cell>
          <cell r="AJ201">
            <v>1647</v>
          </cell>
          <cell r="AK201">
            <v>3089</v>
          </cell>
          <cell r="AL201">
            <v>2650</v>
          </cell>
          <cell r="AM201">
            <v>2321</v>
          </cell>
          <cell r="AN201">
            <v>2419</v>
          </cell>
          <cell r="AO201">
            <v>2000</v>
          </cell>
          <cell r="AP201">
            <v>1978</v>
          </cell>
          <cell r="AQ201">
            <v>2358</v>
          </cell>
          <cell r="AR201">
            <v>2538</v>
          </cell>
          <cell r="AS201">
            <v>2301</v>
          </cell>
          <cell r="AT201">
            <v>3364</v>
          </cell>
          <cell r="AU201">
            <v>4658</v>
          </cell>
          <cell r="AV201">
            <v>1748</v>
          </cell>
          <cell r="AW201">
            <v>2467</v>
          </cell>
          <cell r="AX201">
            <v>2174</v>
          </cell>
          <cell r="AY201">
            <v>627</v>
          </cell>
          <cell r="AZ201">
            <v>624</v>
          </cell>
          <cell r="BA201">
            <v>1027</v>
          </cell>
          <cell r="BB201">
            <v>1455</v>
          </cell>
          <cell r="BC201">
            <v>1947</v>
          </cell>
          <cell r="BD201">
            <v>2571</v>
          </cell>
          <cell r="BE201">
            <v>2658</v>
          </cell>
          <cell r="BF201">
            <v>4025</v>
          </cell>
          <cell r="BG201">
            <v>3232</v>
          </cell>
          <cell r="BH201">
            <v>1959</v>
          </cell>
          <cell r="BI201">
            <v>1732</v>
          </cell>
          <cell r="BJ201">
            <v>2722</v>
          </cell>
          <cell r="BK201">
            <v>3150</v>
          </cell>
          <cell r="BL201">
            <v>3342</v>
          </cell>
          <cell r="BM201">
            <v>3275</v>
          </cell>
          <cell r="BN201">
            <v>3128</v>
          </cell>
          <cell r="BO201">
            <v>4363</v>
          </cell>
          <cell r="BP201">
            <v>3711</v>
          </cell>
          <cell r="BQ201">
            <v>4498</v>
          </cell>
          <cell r="BR201">
            <v>6718</v>
          </cell>
          <cell r="BS201">
            <v>9793</v>
          </cell>
          <cell r="BT201">
            <v>8567</v>
          </cell>
          <cell r="BU201">
            <v>5591</v>
          </cell>
          <cell r="BV201">
            <v>8329</v>
          </cell>
          <cell r="BW201">
            <v>7886</v>
          </cell>
          <cell r="BX201">
            <v>8676</v>
          </cell>
          <cell r="BY201">
            <v>7280</v>
          </cell>
          <cell r="BZ201">
            <v>6510</v>
          </cell>
          <cell r="CA201">
            <v>5656</v>
          </cell>
          <cell r="CB201">
            <v>7299</v>
          </cell>
          <cell r="CC201">
            <v>8111</v>
          </cell>
          <cell r="CD201">
            <v>11474</v>
          </cell>
          <cell r="CE201">
            <v>13071</v>
          </cell>
          <cell r="CF201">
            <v>9529</v>
          </cell>
          <cell r="CG201">
            <v>11641</v>
          </cell>
          <cell r="CH201">
            <v>16959</v>
          </cell>
          <cell r="CI201">
            <v>15864</v>
          </cell>
          <cell r="CJ201">
            <v>15912</v>
          </cell>
          <cell r="CK201">
            <v>14921</v>
          </cell>
          <cell r="CL201">
            <v>13736</v>
          </cell>
          <cell r="CM201">
            <v>12965</v>
          </cell>
          <cell r="CN201">
            <v>18213</v>
          </cell>
          <cell r="CO201">
            <v>19745</v>
          </cell>
          <cell r="CP201">
            <v>23215</v>
          </cell>
          <cell r="CQ201">
            <v>30121</v>
          </cell>
          <cell r="CR201">
            <v>22358</v>
          </cell>
          <cell r="CS201">
            <v>18592</v>
          </cell>
          <cell r="CW201">
            <v>1.3044143523831382</v>
          </cell>
          <cell r="CX201">
            <v>7.8385866436384566E-3</v>
          </cell>
          <cell r="CY201">
            <v>1.0224764920360774E-2</v>
          </cell>
          <cell r="CZ201">
            <v>3.4416841442317991E-2</v>
          </cell>
        </row>
        <row r="202">
          <cell r="B202" t="str">
            <v>Singapore</v>
          </cell>
          <cell r="L202">
            <v>1493</v>
          </cell>
          <cell r="M202">
            <v>1787</v>
          </cell>
          <cell r="N202">
            <v>1993</v>
          </cell>
          <cell r="O202">
            <v>2139</v>
          </cell>
          <cell r="P202">
            <v>1983</v>
          </cell>
          <cell r="Q202">
            <v>2494</v>
          </cell>
          <cell r="R202">
            <v>1804</v>
          </cell>
          <cell r="S202">
            <v>1729</v>
          </cell>
          <cell r="T202">
            <v>2039</v>
          </cell>
          <cell r="U202">
            <v>1935</v>
          </cell>
          <cell r="V202">
            <v>2396</v>
          </cell>
          <cell r="W202">
            <v>4234</v>
          </cell>
          <cell r="X202">
            <v>1787</v>
          </cell>
          <cell r="Y202">
            <v>1448</v>
          </cell>
          <cell r="Z202">
            <v>2836</v>
          </cell>
          <cell r="AA202">
            <v>1942</v>
          </cell>
          <cell r="AB202">
            <v>2336</v>
          </cell>
          <cell r="AC202">
            <v>2693</v>
          </cell>
          <cell r="AD202">
            <v>1900</v>
          </cell>
          <cell r="AE202">
            <v>2136</v>
          </cell>
          <cell r="AF202">
            <v>1686</v>
          </cell>
          <cell r="AG202">
            <v>1543</v>
          </cell>
          <cell r="AH202">
            <v>1920</v>
          </cell>
          <cell r="AI202">
            <v>3475</v>
          </cell>
          <cell r="AJ202">
            <v>1527</v>
          </cell>
          <cell r="AK202">
            <v>1707</v>
          </cell>
          <cell r="AL202">
            <v>2478</v>
          </cell>
          <cell r="AM202">
            <v>1895</v>
          </cell>
          <cell r="AN202">
            <v>2257</v>
          </cell>
          <cell r="AO202">
            <v>2431</v>
          </cell>
          <cell r="AP202">
            <v>2223</v>
          </cell>
          <cell r="AQ202">
            <v>2401</v>
          </cell>
          <cell r="AR202">
            <v>1951</v>
          </cell>
          <cell r="AS202">
            <v>2418</v>
          </cell>
          <cell r="AT202">
            <v>3893</v>
          </cell>
          <cell r="AU202">
            <v>5759</v>
          </cell>
          <cell r="AV202">
            <v>2025</v>
          </cell>
          <cell r="AW202">
            <v>2225</v>
          </cell>
          <cell r="AX202">
            <v>2480</v>
          </cell>
          <cell r="AY202">
            <v>674</v>
          </cell>
          <cell r="AZ202">
            <v>806</v>
          </cell>
          <cell r="BA202">
            <v>1343</v>
          </cell>
          <cell r="BB202">
            <v>2013</v>
          </cell>
          <cell r="BC202">
            <v>2520</v>
          </cell>
          <cell r="BD202">
            <v>2181</v>
          </cell>
          <cell r="BE202">
            <v>2792</v>
          </cell>
          <cell r="BF202">
            <v>3004</v>
          </cell>
          <cell r="BG202">
            <v>3704</v>
          </cell>
          <cell r="BH202">
            <v>2109</v>
          </cell>
          <cell r="BI202">
            <v>2117</v>
          </cell>
          <cell r="BJ202">
            <v>2788</v>
          </cell>
          <cell r="BK202">
            <v>2796</v>
          </cell>
          <cell r="BL202">
            <v>3036</v>
          </cell>
          <cell r="BM202">
            <v>4783</v>
          </cell>
          <cell r="BN202">
            <v>3267</v>
          </cell>
          <cell r="BO202">
            <v>3730</v>
          </cell>
          <cell r="BP202">
            <v>3505</v>
          </cell>
          <cell r="BQ202">
            <v>3811</v>
          </cell>
          <cell r="BR202">
            <v>5791</v>
          </cell>
          <cell r="BS202">
            <v>8027</v>
          </cell>
          <cell r="BT202">
            <v>4934</v>
          </cell>
          <cell r="BU202">
            <v>3261</v>
          </cell>
          <cell r="BV202">
            <v>5666</v>
          </cell>
          <cell r="BW202">
            <v>6233</v>
          </cell>
          <cell r="BX202">
            <v>8526</v>
          </cell>
          <cell r="BY202">
            <v>7221</v>
          </cell>
          <cell r="BZ202">
            <v>5767</v>
          </cell>
          <cell r="CA202">
            <v>5633</v>
          </cell>
          <cell r="CB202">
            <v>5884</v>
          </cell>
          <cell r="CC202">
            <v>6851</v>
          </cell>
          <cell r="CD202">
            <v>10418</v>
          </cell>
          <cell r="CE202">
            <v>11904</v>
          </cell>
          <cell r="CF202">
            <v>6050</v>
          </cell>
          <cell r="CG202">
            <v>7572</v>
          </cell>
          <cell r="CH202">
            <v>10268</v>
          </cell>
          <cell r="CI202">
            <v>8614</v>
          </cell>
          <cell r="CJ202">
            <v>9656</v>
          </cell>
          <cell r="CK202">
            <v>10703</v>
          </cell>
          <cell r="CL202">
            <v>8909</v>
          </cell>
          <cell r="CM202">
            <v>9053</v>
          </cell>
          <cell r="CN202">
            <v>10005</v>
          </cell>
          <cell r="CO202">
            <v>10538</v>
          </cell>
          <cell r="CP202">
            <v>14573</v>
          </cell>
          <cell r="CQ202">
            <v>20350</v>
          </cell>
          <cell r="CR202">
            <v>11364</v>
          </cell>
          <cell r="CS202">
            <v>8413</v>
          </cell>
          <cell r="CW202">
            <v>0.7095094086021505</v>
          </cell>
          <cell r="CX202">
            <v>7.1387449625791594E-3</v>
          </cell>
          <cell r="CY202">
            <v>5.0650067165611207E-3</v>
          </cell>
          <cell r="CZ202">
            <v>1.7048952658171128E-2</v>
          </cell>
        </row>
        <row r="203">
          <cell r="B203" t="str">
            <v>Thailand</v>
          </cell>
          <cell r="L203">
            <v>1898</v>
          </cell>
          <cell r="M203">
            <v>1768</v>
          </cell>
          <cell r="N203">
            <v>1708</v>
          </cell>
          <cell r="O203">
            <v>2915</v>
          </cell>
          <cell r="P203">
            <v>2507</v>
          </cell>
          <cell r="Q203">
            <v>1523</v>
          </cell>
          <cell r="R203">
            <v>1836</v>
          </cell>
          <cell r="S203">
            <v>1726</v>
          </cell>
          <cell r="T203">
            <v>1756</v>
          </cell>
          <cell r="U203">
            <v>2415</v>
          </cell>
          <cell r="V203">
            <v>2060</v>
          </cell>
          <cell r="W203">
            <v>2284</v>
          </cell>
          <cell r="X203">
            <v>1691</v>
          </cell>
          <cell r="Y203">
            <v>1631</v>
          </cell>
          <cell r="Z203">
            <v>2099</v>
          </cell>
          <cell r="AA203">
            <v>2237</v>
          </cell>
          <cell r="AB203">
            <v>1854</v>
          </cell>
          <cell r="AC203">
            <v>1903</v>
          </cell>
          <cell r="AD203">
            <v>1621</v>
          </cell>
          <cell r="AE203">
            <v>1631</v>
          </cell>
          <cell r="AF203">
            <v>1530</v>
          </cell>
          <cell r="AG203">
            <v>1604</v>
          </cell>
          <cell r="AH203">
            <v>1579</v>
          </cell>
          <cell r="AI203">
            <v>2192</v>
          </cell>
          <cell r="AJ203">
            <v>1493</v>
          </cell>
          <cell r="AK203">
            <v>1447</v>
          </cell>
          <cell r="AL203">
            <v>1973</v>
          </cell>
          <cell r="AM203">
            <v>3161</v>
          </cell>
          <cell r="AN203">
            <v>1891</v>
          </cell>
          <cell r="AO203">
            <v>1478</v>
          </cell>
          <cell r="AP203">
            <v>1872</v>
          </cell>
          <cell r="AQ203">
            <v>2168</v>
          </cell>
          <cell r="AR203">
            <v>1846</v>
          </cell>
          <cell r="AS203">
            <v>2621</v>
          </cell>
          <cell r="AT203">
            <v>1956</v>
          </cell>
          <cell r="AU203">
            <v>2719</v>
          </cell>
          <cell r="AV203">
            <v>1876</v>
          </cell>
          <cell r="AW203">
            <v>1891</v>
          </cell>
          <cell r="AX203">
            <v>1628</v>
          </cell>
          <cell r="AY203">
            <v>874</v>
          </cell>
          <cell r="AZ203">
            <v>563</v>
          </cell>
          <cell r="BA203">
            <v>690</v>
          </cell>
          <cell r="BB203">
            <v>1129</v>
          </cell>
          <cell r="BC203">
            <v>1463</v>
          </cell>
          <cell r="BD203">
            <v>1547</v>
          </cell>
          <cell r="BE203">
            <v>1932</v>
          </cell>
          <cell r="BF203">
            <v>2003</v>
          </cell>
          <cell r="BG203">
            <v>2500</v>
          </cell>
          <cell r="BH203">
            <v>2388</v>
          </cell>
          <cell r="BI203">
            <v>1471</v>
          </cell>
          <cell r="BJ203">
            <v>2251</v>
          </cell>
          <cell r="BK203">
            <v>3160</v>
          </cell>
          <cell r="BL203">
            <v>2118</v>
          </cell>
          <cell r="BM203">
            <v>1948</v>
          </cell>
          <cell r="BN203">
            <v>3630</v>
          </cell>
          <cell r="BO203">
            <v>2805</v>
          </cell>
          <cell r="BP203">
            <v>3537</v>
          </cell>
          <cell r="BQ203">
            <v>6601</v>
          </cell>
          <cell r="BR203">
            <v>4773</v>
          </cell>
          <cell r="BS203">
            <v>7159</v>
          </cell>
          <cell r="BT203">
            <v>6923</v>
          </cell>
          <cell r="BU203">
            <v>3129</v>
          </cell>
          <cell r="BV203">
            <v>5395</v>
          </cell>
          <cell r="BW203">
            <v>8349</v>
          </cell>
          <cell r="BX203">
            <v>5525</v>
          </cell>
          <cell r="BY203">
            <v>3785</v>
          </cell>
          <cell r="BZ203">
            <v>4768</v>
          </cell>
          <cell r="CA203">
            <v>3298</v>
          </cell>
          <cell r="CB203">
            <v>2823</v>
          </cell>
          <cell r="CC203">
            <v>4954</v>
          </cell>
          <cell r="CD203">
            <v>3398</v>
          </cell>
          <cell r="CE203">
            <v>5529</v>
          </cell>
          <cell r="CF203">
            <v>3808</v>
          </cell>
          <cell r="CG203">
            <v>5191</v>
          </cell>
          <cell r="CH203">
            <v>7243</v>
          </cell>
          <cell r="CI203">
            <v>9519</v>
          </cell>
          <cell r="CJ203">
            <v>8064</v>
          </cell>
          <cell r="CK203">
            <v>6228</v>
          </cell>
          <cell r="CL203">
            <v>7252</v>
          </cell>
          <cell r="CM203">
            <v>6508</v>
          </cell>
          <cell r="CN203">
            <v>6211</v>
          </cell>
          <cell r="CO203">
            <v>9403</v>
          </cell>
          <cell r="CP203">
            <v>7771</v>
          </cell>
          <cell r="CQ203">
            <v>12250</v>
          </cell>
          <cell r="CR203">
            <v>9370</v>
          </cell>
          <cell r="CS203">
            <v>5469</v>
          </cell>
          <cell r="CW203">
            <v>1.2155905226984989</v>
          </cell>
          <cell r="CX203">
            <v>3.3157023603914795E-3</v>
          </cell>
          <cell r="CY203">
            <v>4.0305363653809247E-3</v>
          </cell>
          <cell r="CZ203">
            <v>1.3566896852423413E-2</v>
          </cell>
        </row>
        <row r="204">
          <cell r="B204" t="str">
            <v>Other Southeast Asia</v>
          </cell>
          <cell r="L204">
            <v>329</v>
          </cell>
          <cell r="M204">
            <v>712</v>
          </cell>
          <cell r="N204">
            <v>479</v>
          </cell>
          <cell r="O204">
            <v>796</v>
          </cell>
          <cell r="P204">
            <v>589</v>
          </cell>
          <cell r="Q204">
            <v>562</v>
          </cell>
          <cell r="R204">
            <v>637</v>
          </cell>
          <cell r="S204">
            <v>653</v>
          </cell>
          <cell r="T204">
            <v>406</v>
          </cell>
          <cell r="U204">
            <v>495</v>
          </cell>
          <cell r="V204">
            <v>538</v>
          </cell>
          <cell r="W204">
            <v>444</v>
          </cell>
          <cell r="X204">
            <v>529</v>
          </cell>
          <cell r="Y204">
            <v>623</v>
          </cell>
          <cell r="Z204">
            <v>668</v>
          </cell>
          <cell r="AA204">
            <v>960</v>
          </cell>
          <cell r="AB204">
            <v>685</v>
          </cell>
          <cell r="AC204">
            <v>886</v>
          </cell>
          <cell r="AD204">
            <v>1000</v>
          </cell>
          <cell r="AE204">
            <v>877</v>
          </cell>
          <cell r="AF204">
            <v>551</v>
          </cell>
          <cell r="AG204">
            <v>450</v>
          </cell>
          <cell r="AH204">
            <v>415</v>
          </cell>
          <cell r="AI204">
            <v>377</v>
          </cell>
          <cell r="AJ204">
            <v>408</v>
          </cell>
          <cell r="AK204">
            <v>393</v>
          </cell>
          <cell r="AL204">
            <v>493</v>
          </cell>
          <cell r="AM204">
            <v>1098</v>
          </cell>
          <cell r="AN204">
            <v>576</v>
          </cell>
          <cell r="AO204">
            <v>836</v>
          </cell>
          <cell r="AP204">
            <v>896</v>
          </cell>
          <cell r="AQ204">
            <v>1053</v>
          </cell>
          <cell r="AR204">
            <v>814</v>
          </cell>
          <cell r="AS204">
            <v>841</v>
          </cell>
          <cell r="AT204">
            <v>701</v>
          </cell>
          <cell r="AU204">
            <v>739</v>
          </cell>
          <cell r="AV204">
            <v>631</v>
          </cell>
          <cell r="AW204">
            <v>1215</v>
          </cell>
          <cell r="AX204">
            <v>857</v>
          </cell>
          <cell r="AY204">
            <v>262</v>
          </cell>
          <cell r="AZ204">
            <v>193</v>
          </cell>
          <cell r="BA204">
            <v>323</v>
          </cell>
          <cell r="BB204">
            <v>413</v>
          </cell>
          <cell r="BC204">
            <v>785</v>
          </cell>
          <cell r="BD204">
            <v>1050</v>
          </cell>
          <cell r="BE204">
            <v>728</v>
          </cell>
          <cell r="BF204">
            <v>1047</v>
          </cell>
          <cell r="BG204">
            <v>753</v>
          </cell>
          <cell r="BH204">
            <v>865</v>
          </cell>
          <cell r="BI204">
            <v>549</v>
          </cell>
          <cell r="BJ204">
            <v>920</v>
          </cell>
          <cell r="BK204">
            <v>1522</v>
          </cell>
          <cell r="BL204">
            <v>1074</v>
          </cell>
          <cell r="BM204">
            <v>1410</v>
          </cell>
          <cell r="BN204">
            <v>1747</v>
          </cell>
          <cell r="BO204">
            <v>1436</v>
          </cell>
          <cell r="BP204">
            <v>1186</v>
          </cell>
          <cell r="BQ204">
            <v>1312</v>
          </cell>
          <cell r="BR204">
            <v>1359</v>
          </cell>
          <cell r="BS204">
            <v>1334</v>
          </cell>
          <cell r="BT204">
            <v>1028</v>
          </cell>
          <cell r="BU204">
            <v>1124</v>
          </cell>
          <cell r="BV204">
            <v>937</v>
          </cell>
          <cell r="BW204">
            <v>1764</v>
          </cell>
          <cell r="BX204">
            <v>1343</v>
          </cell>
          <cell r="BY204">
            <v>1541</v>
          </cell>
          <cell r="BZ204">
            <v>1884</v>
          </cell>
          <cell r="CA204">
            <v>1799</v>
          </cell>
          <cell r="CB204">
            <v>1279</v>
          </cell>
          <cell r="CC204">
            <v>1410</v>
          </cell>
          <cell r="CD204">
            <v>1567</v>
          </cell>
          <cell r="CE204">
            <v>1768</v>
          </cell>
          <cell r="CF204">
            <v>1383</v>
          </cell>
          <cell r="CG204">
            <v>2090</v>
          </cell>
          <cell r="CH204">
            <v>1692</v>
          </cell>
          <cell r="CI204">
            <v>2514</v>
          </cell>
          <cell r="CJ204">
            <v>2103</v>
          </cell>
          <cell r="CK204">
            <v>2608</v>
          </cell>
          <cell r="CL204">
            <v>3292</v>
          </cell>
          <cell r="CM204">
            <v>3694</v>
          </cell>
          <cell r="CN204">
            <v>2571</v>
          </cell>
          <cell r="CO204">
            <v>2626</v>
          </cell>
          <cell r="CP204">
            <v>2769</v>
          </cell>
          <cell r="CQ204">
            <v>3112</v>
          </cell>
          <cell r="CR204">
            <v>2411</v>
          </cell>
          <cell r="CS204">
            <v>3237</v>
          </cell>
          <cell r="CW204">
            <v>0.76018099547511309</v>
          </cell>
          <cell r="CX204">
            <v>1.0602571483400499E-3</v>
          </cell>
          <cell r="CY204">
            <v>8.0598733448474381E-4</v>
          </cell>
          <cell r="CZ204">
            <v>2.7129756538695239E-3</v>
          </cell>
        </row>
        <row r="206">
          <cell r="B206" t="str">
            <v>Canada</v>
          </cell>
          <cell r="L206">
            <v>1827</v>
          </cell>
          <cell r="M206">
            <v>2067</v>
          </cell>
          <cell r="N206">
            <v>2184</v>
          </cell>
          <cell r="O206">
            <v>2350</v>
          </cell>
          <cell r="P206">
            <v>1812</v>
          </cell>
          <cell r="Q206">
            <v>1595</v>
          </cell>
          <cell r="R206">
            <v>2550</v>
          </cell>
          <cell r="S206">
            <v>2444</v>
          </cell>
          <cell r="T206">
            <v>1616</v>
          </cell>
          <cell r="U206">
            <v>2318</v>
          </cell>
          <cell r="V206">
            <v>2328</v>
          </cell>
          <cell r="W206">
            <v>2391</v>
          </cell>
          <cell r="X206">
            <v>2490</v>
          </cell>
          <cell r="Y206">
            <v>1998</v>
          </cell>
          <cell r="Z206">
            <v>2562</v>
          </cell>
          <cell r="AA206">
            <v>2391</v>
          </cell>
          <cell r="AB206">
            <v>2021</v>
          </cell>
          <cell r="AC206">
            <v>1886</v>
          </cell>
          <cell r="AD206">
            <v>2395</v>
          </cell>
          <cell r="AE206">
            <v>2471</v>
          </cell>
          <cell r="AF206">
            <v>1694</v>
          </cell>
          <cell r="AG206">
            <v>2042</v>
          </cell>
          <cell r="AH206">
            <v>2092</v>
          </cell>
          <cell r="AI206">
            <v>2406</v>
          </cell>
          <cell r="AJ206">
            <v>2116</v>
          </cell>
          <cell r="AK206">
            <v>1937</v>
          </cell>
          <cell r="AL206">
            <v>2640</v>
          </cell>
          <cell r="AM206">
            <v>2484</v>
          </cell>
          <cell r="AN206">
            <v>2345</v>
          </cell>
          <cell r="AO206">
            <v>1900</v>
          </cell>
          <cell r="AP206">
            <v>2610</v>
          </cell>
          <cell r="AQ206">
            <v>2785</v>
          </cell>
          <cell r="AR206">
            <v>1695</v>
          </cell>
          <cell r="AS206">
            <v>2540</v>
          </cell>
          <cell r="AT206">
            <v>2705</v>
          </cell>
          <cell r="AU206">
            <v>2795</v>
          </cell>
          <cell r="AV206">
            <v>2432</v>
          </cell>
          <cell r="AW206">
            <v>2273</v>
          </cell>
          <cell r="AX206">
            <v>2149</v>
          </cell>
          <cell r="AY206">
            <v>1046</v>
          </cell>
          <cell r="AZ206">
            <v>992</v>
          </cell>
          <cell r="BA206">
            <v>1200</v>
          </cell>
          <cell r="BB206">
            <v>1853</v>
          </cell>
          <cell r="BC206">
            <v>2103</v>
          </cell>
          <cell r="BD206">
            <v>1639</v>
          </cell>
          <cell r="BE206">
            <v>2273</v>
          </cell>
          <cell r="BF206">
            <v>2464</v>
          </cell>
          <cell r="BG206">
            <v>2778</v>
          </cell>
          <cell r="BH206">
            <v>2914</v>
          </cell>
          <cell r="BI206">
            <v>2016</v>
          </cell>
          <cell r="BJ206">
            <v>2633</v>
          </cell>
          <cell r="BK206">
            <v>2780</v>
          </cell>
          <cell r="BL206">
            <v>2659</v>
          </cell>
          <cell r="BM206">
            <v>2612</v>
          </cell>
          <cell r="BN206">
            <v>3502</v>
          </cell>
          <cell r="BO206">
            <v>3885</v>
          </cell>
          <cell r="BP206">
            <v>2488</v>
          </cell>
          <cell r="BQ206">
            <v>3819</v>
          </cell>
          <cell r="BR206">
            <v>4027</v>
          </cell>
          <cell r="BS206">
            <v>4447</v>
          </cell>
          <cell r="BT206">
            <v>3799</v>
          </cell>
          <cell r="BU206">
            <v>3317</v>
          </cell>
          <cell r="BV206">
            <v>4244</v>
          </cell>
          <cell r="BW206">
            <v>3695</v>
          </cell>
          <cell r="BX206">
            <v>3808</v>
          </cell>
          <cell r="BY206">
            <v>2906</v>
          </cell>
          <cell r="BZ206">
            <v>3889</v>
          </cell>
          <cell r="CA206">
            <v>4075</v>
          </cell>
          <cell r="CB206">
            <v>2807</v>
          </cell>
          <cell r="CC206">
            <v>4305</v>
          </cell>
          <cell r="CD206">
            <v>4823</v>
          </cell>
          <cell r="CE206">
            <v>4779</v>
          </cell>
          <cell r="CF206">
            <v>4406</v>
          </cell>
          <cell r="CG206">
            <v>3685</v>
          </cell>
          <cell r="CH206">
            <v>4457</v>
          </cell>
          <cell r="CI206">
            <v>4711</v>
          </cell>
          <cell r="CJ206">
            <v>4097</v>
          </cell>
          <cell r="CK206">
            <v>3276</v>
          </cell>
          <cell r="CL206">
            <v>4737</v>
          </cell>
          <cell r="CM206">
            <v>4363</v>
          </cell>
          <cell r="CN206">
            <v>3339</v>
          </cell>
          <cell r="CO206">
            <v>5108</v>
          </cell>
          <cell r="CP206">
            <v>6364</v>
          </cell>
          <cell r="CQ206">
            <v>6699</v>
          </cell>
          <cell r="CR206">
            <v>5818</v>
          </cell>
          <cell r="CS206">
            <v>5322</v>
          </cell>
          <cell r="CW206">
            <v>0.40175768989328309</v>
          </cell>
          <cell r="CX206">
            <v>2.8659326424870465E-3</v>
          </cell>
          <cell r="CY206">
            <v>1.1514104778353482E-3</v>
          </cell>
          <cell r="CZ206">
            <v>3.8756795055278907E-3</v>
          </cell>
        </row>
        <row r="207">
          <cell r="B207" t="str">
            <v>United States of America</v>
          </cell>
          <cell r="L207">
            <v>5258</v>
          </cell>
          <cell r="M207">
            <v>5209</v>
          </cell>
          <cell r="N207">
            <v>5973</v>
          </cell>
          <cell r="O207">
            <v>6795</v>
          </cell>
          <cell r="P207">
            <v>6171</v>
          </cell>
          <cell r="Q207">
            <v>6412</v>
          </cell>
          <cell r="R207">
            <v>6832</v>
          </cell>
          <cell r="S207">
            <v>5566</v>
          </cell>
          <cell r="T207">
            <v>4960</v>
          </cell>
          <cell r="U207">
            <v>7200</v>
          </cell>
          <cell r="V207">
            <v>7164</v>
          </cell>
          <cell r="W207">
            <v>6813</v>
          </cell>
          <cell r="X207">
            <v>5417</v>
          </cell>
          <cell r="Y207">
            <v>4908</v>
          </cell>
          <cell r="Z207">
            <v>7418</v>
          </cell>
          <cell r="AA207">
            <v>7222</v>
          </cell>
          <cell r="AB207">
            <v>6554</v>
          </cell>
          <cell r="AC207">
            <v>5910</v>
          </cell>
          <cell r="AD207">
            <v>6458</v>
          </cell>
          <cell r="AE207">
            <v>6106</v>
          </cell>
          <cell r="AF207">
            <v>4618</v>
          </cell>
          <cell r="AG207">
            <v>6172</v>
          </cell>
          <cell r="AH207">
            <v>6133</v>
          </cell>
          <cell r="AI207">
            <v>6691</v>
          </cell>
          <cell r="AJ207">
            <v>6174</v>
          </cell>
          <cell r="AK207">
            <v>4925</v>
          </cell>
          <cell r="AL207">
            <v>6957</v>
          </cell>
          <cell r="AM207">
            <v>6642</v>
          </cell>
          <cell r="AN207">
            <v>6160</v>
          </cell>
          <cell r="AO207">
            <v>6685</v>
          </cell>
          <cell r="AP207">
            <v>6612</v>
          </cell>
          <cell r="AQ207">
            <v>6329</v>
          </cell>
          <cell r="AR207">
            <v>4965</v>
          </cell>
          <cell r="AS207">
            <v>7144</v>
          </cell>
          <cell r="AT207">
            <v>7649</v>
          </cell>
          <cell r="AU207">
            <v>6662</v>
          </cell>
          <cell r="AV207">
            <v>6418</v>
          </cell>
          <cell r="AW207">
            <v>5563</v>
          </cell>
          <cell r="AX207">
            <v>5217</v>
          </cell>
          <cell r="AY207">
            <v>1896</v>
          </cell>
          <cell r="AZ207">
            <v>1569</v>
          </cell>
          <cell r="BA207">
            <v>2228</v>
          </cell>
          <cell r="BB207">
            <v>4231</v>
          </cell>
          <cell r="BC207">
            <v>5841</v>
          </cell>
          <cell r="BD207">
            <v>5112</v>
          </cell>
          <cell r="BE207">
            <v>6256</v>
          </cell>
          <cell r="BF207">
            <v>6451</v>
          </cell>
          <cell r="BG207">
            <v>5860</v>
          </cell>
          <cell r="BH207">
            <v>5713</v>
          </cell>
          <cell r="BI207">
            <v>5334</v>
          </cell>
          <cell r="BJ207">
            <v>6487</v>
          </cell>
          <cell r="BK207">
            <v>6768</v>
          </cell>
          <cell r="BL207">
            <v>6570</v>
          </cell>
          <cell r="BM207">
            <v>8683</v>
          </cell>
          <cell r="BN207">
            <v>8537</v>
          </cell>
          <cell r="BO207">
            <v>7664</v>
          </cell>
          <cell r="BP207">
            <v>7550</v>
          </cell>
          <cell r="BQ207">
            <v>10763</v>
          </cell>
          <cell r="BR207">
            <v>10613</v>
          </cell>
          <cell r="BS207">
            <v>10408</v>
          </cell>
          <cell r="BT207">
            <v>8964</v>
          </cell>
          <cell r="BU207">
            <v>7533</v>
          </cell>
          <cell r="BV207">
            <v>10241</v>
          </cell>
          <cell r="BW207">
            <v>9688</v>
          </cell>
          <cell r="BX207">
            <v>9629</v>
          </cell>
          <cell r="BY207">
            <v>9969</v>
          </cell>
          <cell r="BZ207">
            <v>11526</v>
          </cell>
          <cell r="CA207">
            <v>9785</v>
          </cell>
          <cell r="CB207">
            <v>8768</v>
          </cell>
          <cell r="CC207">
            <v>11704</v>
          </cell>
          <cell r="CD207">
            <v>12618</v>
          </cell>
          <cell r="CE207">
            <v>11464</v>
          </cell>
          <cell r="CF207">
            <v>10206</v>
          </cell>
          <cell r="CG207">
            <v>8933</v>
          </cell>
          <cell r="CH207">
            <v>11421</v>
          </cell>
          <cell r="CI207">
            <v>12027</v>
          </cell>
          <cell r="CJ207">
            <v>10928</v>
          </cell>
          <cell r="CK207">
            <v>11243</v>
          </cell>
          <cell r="CL207">
            <v>13488</v>
          </cell>
          <cell r="CM207">
            <v>10919</v>
          </cell>
          <cell r="CN207">
            <v>11818</v>
          </cell>
          <cell r="CO207">
            <v>15154</v>
          </cell>
          <cell r="CP207">
            <v>15807</v>
          </cell>
          <cell r="CQ207">
            <v>14524</v>
          </cell>
          <cell r="CR207">
            <v>13753</v>
          </cell>
          <cell r="CS207">
            <v>11966</v>
          </cell>
          <cell r="CW207">
            <v>0.26692254012561056</v>
          </cell>
          <cell r="CX207">
            <v>6.8748800614085587E-3</v>
          </cell>
          <cell r="CY207">
            <v>1.8350604490500861E-3</v>
          </cell>
          <cell r="CZ207">
            <v>6.1768642119350752E-3</v>
          </cell>
        </row>
        <row r="208">
          <cell r="B208" t="str">
            <v>Other Americas</v>
          </cell>
          <cell r="L208">
            <v>681</v>
          </cell>
          <cell r="M208">
            <v>704</v>
          </cell>
          <cell r="N208">
            <v>657</v>
          </cell>
          <cell r="O208">
            <v>894</v>
          </cell>
          <cell r="P208">
            <v>681</v>
          </cell>
          <cell r="Q208">
            <v>652</v>
          </cell>
          <cell r="R208">
            <v>765</v>
          </cell>
          <cell r="S208">
            <v>841</v>
          </cell>
          <cell r="T208">
            <v>738</v>
          </cell>
          <cell r="U208">
            <v>950</v>
          </cell>
          <cell r="V208">
            <v>661</v>
          </cell>
          <cell r="W208">
            <v>567</v>
          </cell>
          <cell r="X208">
            <v>778</v>
          </cell>
          <cell r="Y208">
            <v>657</v>
          </cell>
          <cell r="Z208">
            <v>759</v>
          </cell>
          <cell r="AA208">
            <v>1033</v>
          </cell>
          <cell r="AB208">
            <v>797</v>
          </cell>
          <cell r="AC208">
            <v>724</v>
          </cell>
          <cell r="AD208">
            <v>789</v>
          </cell>
          <cell r="AE208">
            <v>726</v>
          </cell>
          <cell r="AF208">
            <v>728</v>
          </cell>
          <cell r="AG208">
            <v>725</v>
          </cell>
          <cell r="AH208">
            <v>685</v>
          </cell>
          <cell r="AI208">
            <v>588</v>
          </cell>
          <cell r="AJ208">
            <v>772</v>
          </cell>
          <cell r="AK208">
            <v>686</v>
          </cell>
          <cell r="AL208">
            <v>982</v>
          </cell>
          <cell r="AM208">
            <v>1019</v>
          </cell>
          <cell r="AN208">
            <v>825</v>
          </cell>
          <cell r="AO208">
            <v>824</v>
          </cell>
          <cell r="AP208">
            <v>884</v>
          </cell>
          <cell r="AQ208">
            <v>814</v>
          </cell>
          <cell r="AR208">
            <v>807</v>
          </cell>
          <cell r="AS208">
            <v>999</v>
          </cell>
          <cell r="AT208">
            <v>764</v>
          </cell>
          <cell r="AU208">
            <v>553</v>
          </cell>
          <cell r="AV208">
            <v>765</v>
          </cell>
          <cell r="AW208">
            <v>698</v>
          </cell>
          <cell r="AX208">
            <v>627</v>
          </cell>
          <cell r="AY208">
            <v>387</v>
          </cell>
          <cell r="AZ208">
            <v>255</v>
          </cell>
          <cell r="BA208">
            <v>316</v>
          </cell>
          <cell r="BB208">
            <v>451</v>
          </cell>
          <cell r="BC208">
            <v>528</v>
          </cell>
          <cell r="BD208">
            <v>656</v>
          </cell>
          <cell r="BE208">
            <v>851</v>
          </cell>
          <cell r="BF208">
            <v>706</v>
          </cell>
          <cell r="BG208">
            <v>590</v>
          </cell>
          <cell r="BH208">
            <v>664</v>
          </cell>
          <cell r="BI208">
            <v>710</v>
          </cell>
          <cell r="BJ208">
            <v>620</v>
          </cell>
          <cell r="BK208">
            <v>1063</v>
          </cell>
          <cell r="BL208">
            <v>915</v>
          </cell>
          <cell r="BM208">
            <v>763</v>
          </cell>
          <cell r="BN208">
            <v>929</v>
          </cell>
          <cell r="BO208">
            <v>893</v>
          </cell>
          <cell r="BP208">
            <v>831</v>
          </cell>
          <cell r="BQ208">
            <v>1425</v>
          </cell>
          <cell r="BR208">
            <v>999</v>
          </cell>
          <cell r="BS208">
            <v>868</v>
          </cell>
          <cell r="BT208">
            <v>951</v>
          </cell>
          <cell r="BU208">
            <v>863</v>
          </cell>
          <cell r="BV208">
            <v>1127</v>
          </cell>
          <cell r="BW208">
            <v>1385</v>
          </cell>
          <cell r="BX208">
            <v>1154</v>
          </cell>
          <cell r="BY208">
            <v>1010</v>
          </cell>
          <cell r="BZ208">
            <v>1406</v>
          </cell>
          <cell r="CA208">
            <v>993</v>
          </cell>
          <cell r="CB208">
            <v>1355</v>
          </cell>
          <cell r="CC208">
            <v>1706</v>
          </cell>
          <cell r="CD208">
            <v>1327</v>
          </cell>
          <cell r="CE208">
            <v>1156</v>
          </cell>
          <cell r="CF208">
            <v>1280</v>
          </cell>
          <cell r="CG208">
            <v>1132</v>
          </cell>
          <cell r="CH208">
            <v>1214</v>
          </cell>
          <cell r="CI208">
            <v>1797</v>
          </cell>
          <cell r="CJ208">
            <v>1382</v>
          </cell>
          <cell r="CK208">
            <v>1246</v>
          </cell>
          <cell r="CL208">
            <v>1518</v>
          </cell>
          <cell r="CM208">
            <v>1374</v>
          </cell>
          <cell r="CN208">
            <v>1623</v>
          </cell>
          <cell r="CO208">
            <v>2461</v>
          </cell>
          <cell r="CP208">
            <v>1480</v>
          </cell>
          <cell r="CQ208">
            <v>1393</v>
          </cell>
          <cell r="CR208">
            <v>1705</v>
          </cell>
          <cell r="CS208">
            <v>1490</v>
          </cell>
          <cell r="CW208">
            <v>0.20501730103806226</v>
          </cell>
          <cell r="CX208">
            <v>6.9324505853003259E-4</v>
          </cell>
          <cell r="CY208">
            <v>1.4212723085780079E-4</v>
          </cell>
          <cell r="CZ208">
            <v>4.7840418896359898E-4</v>
          </cell>
        </row>
        <row r="210">
          <cell r="B210" t="str">
            <v>Germany</v>
          </cell>
          <cell r="L210">
            <v>1399</v>
          </cell>
          <cell r="M210">
            <v>1236</v>
          </cell>
          <cell r="N210">
            <v>1493</v>
          </cell>
          <cell r="O210">
            <v>1369</v>
          </cell>
          <cell r="P210">
            <v>1025</v>
          </cell>
          <cell r="Q210">
            <v>959</v>
          </cell>
          <cell r="R210">
            <v>878</v>
          </cell>
          <cell r="S210">
            <v>904</v>
          </cell>
          <cell r="T210">
            <v>969</v>
          </cell>
          <cell r="U210">
            <v>1417</v>
          </cell>
          <cell r="V210">
            <v>1765</v>
          </cell>
          <cell r="W210">
            <v>982</v>
          </cell>
          <cell r="X210">
            <v>964</v>
          </cell>
          <cell r="Y210">
            <v>1082</v>
          </cell>
          <cell r="Z210">
            <v>1321</v>
          </cell>
          <cell r="AA210">
            <v>1166</v>
          </cell>
          <cell r="AB210">
            <v>935</v>
          </cell>
          <cell r="AC210">
            <v>868</v>
          </cell>
          <cell r="AD210">
            <v>738</v>
          </cell>
          <cell r="AE210">
            <v>819</v>
          </cell>
          <cell r="AF210">
            <v>775</v>
          </cell>
          <cell r="AG210">
            <v>1064</v>
          </cell>
          <cell r="AH210">
            <v>1250</v>
          </cell>
          <cell r="AI210">
            <v>1194</v>
          </cell>
          <cell r="AJ210">
            <v>739</v>
          </cell>
          <cell r="AK210">
            <v>798</v>
          </cell>
          <cell r="AL210">
            <v>1005</v>
          </cell>
          <cell r="AM210">
            <v>1004</v>
          </cell>
          <cell r="AN210">
            <v>863</v>
          </cell>
          <cell r="AO210">
            <v>642</v>
          </cell>
          <cell r="AP210">
            <v>716</v>
          </cell>
          <cell r="AQ210">
            <v>777</v>
          </cell>
          <cell r="AR210">
            <v>898</v>
          </cell>
          <cell r="AS210">
            <v>1120</v>
          </cell>
          <cell r="AT210">
            <v>1255</v>
          </cell>
          <cell r="AU210">
            <v>904</v>
          </cell>
          <cell r="AV210">
            <v>815</v>
          </cell>
          <cell r="AW210">
            <v>833</v>
          </cell>
          <cell r="AX210">
            <v>902</v>
          </cell>
          <cell r="AY210">
            <v>245</v>
          </cell>
          <cell r="AZ210">
            <v>240</v>
          </cell>
          <cell r="BA210">
            <v>196</v>
          </cell>
          <cell r="BB210">
            <v>375</v>
          </cell>
          <cell r="BC210">
            <v>488</v>
          </cell>
          <cell r="BD210">
            <v>756</v>
          </cell>
          <cell r="BE210">
            <v>1001</v>
          </cell>
          <cell r="BF210">
            <v>1034</v>
          </cell>
          <cell r="BG210">
            <v>758</v>
          </cell>
          <cell r="BH210">
            <v>652</v>
          </cell>
          <cell r="BI210">
            <v>752</v>
          </cell>
          <cell r="BJ210">
            <v>762</v>
          </cell>
          <cell r="BK210">
            <v>810</v>
          </cell>
          <cell r="BL210">
            <v>776</v>
          </cell>
          <cell r="BM210">
            <v>605</v>
          </cell>
          <cell r="BN210">
            <v>753</v>
          </cell>
          <cell r="BO210">
            <v>892</v>
          </cell>
          <cell r="BP210">
            <v>1277</v>
          </cell>
          <cell r="BQ210">
            <v>1620</v>
          </cell>
          <cell r="BR210">
            <v>1761</v>
          </cell>
          <cell r="BS210">
            <v>1221</v>
          </cell>
          <cell r="BT210">
            <v>1356</v>
          </cell>
          <cell r="BU210">
            <v>1140</v>
          </cell>
          <cell r="BV210">
            <v>1739</v>
          </cell>
          <cell r="BW210">
            <v>1360</v>
          </cell>
          <cell r="BX210">
            <v>1622</v>
          </cell>
          <cell r="BY210">
            <v>1226</v>
          </cell>
          <cell r="BZ210">
            <v>1243</v>
          </cell>
          <cell r="CA210">
            <v>1247</v>
          </cell>
          <cell r="CB210">
            <v>1418</v>
          </cell>
          <cell r="CC210">
            <v>2138</v>
          </cell>
          <cell r="CD210">
            <v>2106</v>
          </cell>
          <cell r="CE210">
            <v>1487</v>
          </cell>
          <cell r="CF210">
            <v>1557</v>
          </cell>
          <cell r="CG210">
            <v>1391</v>
          </cell>
          <cell r="CH210">
            <v>1666</v>
          </cell>
          <cell r="CI210">
            <v>1782</v>
          </cell>
          <cell r="CJ210">
            <v>1677</v>
          </cell>
          <cell r="CK210">
            <v>1235</v>
          </cell>
          <cell r="CL210">
            <v>1291</v>
          </cell>
          <cell r="CM210">
            <v>1516</v>
          </cell>
          <cell r="CN210">
            <v>1630</v>
          </cell>
          <cell r="CO210">
            <v>2544</v>
          </cell>
          <cell r="CP210">
            <v>2418</v>
          </cell>
          <cell r="CQ210">
            <v>2062</v>
          </cell>
          <cell r="CR210">
            <v>1818</v>
          </cell>
          <cell r="CS210">
            <v>1751</v>
          </cell>
          <cell r="CW210">
            <v>0.38668459986550108</v>
          </cell>
          <cell r="CX210">
            <v>8.9174342736518899E-4</v>
          </cell>
          <cell r="CY210">
            <v>3.4482345039339864E-4</v>
          </cell>
          <cell r="CZ210">
            <v>1.1606852685825718E-3</v>
          </cell>
        </row>
        <row r="211">
          <cell r="B211" t="str">
            <v>France</v>
          </cell>
          <cell r="L211">
            <v>1169</v>
          </cell>
          <cell r="M211">
            <v>1287</v>
          </cell>
          <cell r="N211">
            <v>1233</v>
          </cell>
          <cell r="O211">
            <v>1525</v>
          </cell>
          <cell r="P211">
            <v>1356</v>
          </cell>
          <cell r="Q211">
            <v>1031</v>
          </cell>
          <cell r="R211">
            <v>1142</v>
          </cell>
          <cell r="S211">
            <v>1611</v>
          </cell>
          <cell r="T211">
            <v>1279</v>
          </cell>
          <cell r="U211">
            <v>1459</v>
          </cell>
          <cell r="V211">
            <v>1698</v>
          </cell>
          <cell r="W211">
            <v>1396</v>
          </cell>
          <cell r="X211">
            <v>984</v>
          </cell>
          <cell r="Y211">
            <v>1132</v>
          </cell>
          <cell r="Z211">
            <v>1104</v>
          </cell>
          <cell r="AA211">
            <v>1735</v>
          </cell>
          <cell r="AB211">
            <v>1435</v>
          </cell>
          <cell r="AC211">
            <v>1028</v>
          </cell>
          <cell r="AD211">
            <v>1297</v>
          </cell>
          <cell r="AE211">
            <v>1560</v>
          </cell>
          <cell r="AF211">
            <v>1154</v>
          </cell>
          <cell r="AG211">
            <v>1565</v>
          </cell>
          <cell r="AH211">
            <v>1593</v>
          </cell>
          <cell r="AI211">
            <v>1399</v>
          </cell>
          <cell r="AJ211">
            <v>1191</v>
          </cell>
          <cell r="AK211">
            <v>1270</v>
          </cell>
          <cell r="AL211">
            <v>1322</v>
          </cell>
          <cell r="AM211">
            <v>1539</v>
          </cell>
          <cell r="AN211">
            <v>1455</v>
          </cell>
          <cell r="AO211">
            <v>1024</v>
          </cell>
          <cell r="AP211">
            <v>1275</v>
          </cell>
          <cell r="AQ211">
            <v>1698</v>
          </cell>
          <cell r="AR211">
            <v>992</v>
          </cell>
          <cell r="AS211">
            <v>1677</v>
          </cell>
          <cell r="AT211">
            <v>1698</v>
          </cell>
          <cell r="AU211">
            <v>1163</v>
          </cell>
          <cell r="AV211">
            <v>1027</v>
          </cell>
          <cell r="AW211">
            <v>1295</v>
          </cell>
          <cell r="AX211">
            <v>1069</v>
          </cell>
          <cell r="AY211">
            <v>335</v>
          </cell>
          <cell r="AZ211">
            <v>443</v>
          </cell>
          <cell r="BA211">
            <v>657</v>
          </cell>
          <cell r="BB211">
            <v>676</v>
          </cell>
          <cell r="BC211">
            <v>930</v>
          </cell>
          <cell r="BD211">
            <v>953</v>
          </cell>
          <cell r="BE211">
            <v>1401</v>
          </cell>
          <cell r="BF211">
            <v>1493</v>
          </cell>
          <cell r="BG211">
            <v>1397</v>
          </cell>
          <cell r="BH211">
            <v>1123</v>
          </cell>
          <cell r="BI211">
            <v>1389</v>
          </cell>
          <cell r="BJ211">
            <v>1742</v>
          </cell>
          <cell r="BK211">
            <v>1556</v>
          </cell>
          <cell r="BL211">
            <v>1524</v>
          </cell>
          <cell r="BM211">
            <v>1469</v>
          </cell>
          <cell r="BN211">
            <v>1747</v>
          </cell>
          <cell r="BO211">
            <v>2071</v>
          </cell>
          <cell r="BP211">
            <v>1341</v>
          </cell>
          <cell r="BQ211">
            <v>2230</v>
          </cell>
          <cell r="BR211">
            <v>2124</v>
          </cell>
          <cell r="BS211">
            <v>1992</v>
          </cell>
          <cell r="BT211">
            <v>1586</v>
          </cell>
          <cell r="BU211">
            <v>1488</v>
          </cell>
          <cell r="BV211">
            <v>1811</v>
          </cell>
          <cell r="BW211">
            <v>2390</v>
          </cell>
          <cell r="BX211">
            <v>2484</v>
          </cell>
          <cell r="BY211">
            <v>1878</v>
          </cell>
          <cell r="BZ211">
            <v>2135</v>
          </cell>
          <cell r="CA211">
            <v>2824</v>
          </cell>
          <cell r="CB211">
            <v>2202</v>
          </cell>
          <cell r="CC211">
            <v>2322</v>
          </cell>
          <cell r="CD211">
            <v>2595</v>
          </cell>
          <cell r="CE211">
            <v>2271</v>
          </cell>
          <cell r="CF211">
            <v>1867</v>
          </cell>
          <cell r="CG211">
            <v>1946</v>
          </cell>
          <cell r="CH211">
            <v>2365</v>
          </cell>
          <cell r="CI211">
            <v>2788</v>
          </cell>
          <cell r="CJ211">
            <v>2222</v>
          </cell>
          <cell r="CK211">
            <v>1759</v>
          </cell>
          <cell r="CL211">
            <v>2249</v>
          </cell>
          <cell r="CM211">
            <v>3066</v>
          </cell>
          <cell r="CN211">
            <v>2218</v>
          </cell>
          <cell r="CO211">
            <v>2822</v>
          </cell>
          <cell r="CP211">
            <v>2926</v>
          </cell>
          <cell r="CQ211">
            <v>2644</v>
          </cell>
          <cell r="CR211">
            <v>2069</v>
          </cell>
          <cell r="CS211">
            <v>2479</v>
          </cell>
          <cell r="CW211">
            <v>0.16424482606781154</v>
          </cell>
          <cell r="CX211">
            <v>1.361902705814623E-3</v>
          </cell>
          <cell r="CY211">
            <v>2.2368547303780467E-4</v>
          </cell>
          <cell r="CZ211">
            <v>7.5293148727182476E-4</v>
          </cell>
        </row>
        <row r="212">
          <cell r="B212" t="str">
            <v>Italy</v>
          </cell>
          <cell r="L212">
            <v>487</v>
          </cell>
          <cell r="M212">
            <v>392</v>
          </cell>
          <cell r="N212">
            <v>507</v>
          </cell>
          <cell r="O212">
            <v>403</v>
          </cell>
          <cell r="P212">
            <v>295</v>
          </cell>
          <cell r="Q212">
            <v>278</v>
          </cell>
          <cell r="R212">
            <v>240</v>
          </cell>
          <cell r="S212">
            <v>531</v>
          </cell>
          <cell r="T212">
            <v>279</v>
          </cell>
          <cell r="U212">
            <v>377</v>
          </cell>
          <cell r="V212">
            <v>380</v>
          </cell>
          <cell r="W212">
            <v>344</v>
          </cell>
          <cell r="X212">
            <v>367</v>
          </cell>
          <cell r="Y212">
            <v>254</v>
          </cell>
          <cell r="Z212">
            <v>366</v>
          </cell>
          <cell r="AA212">
            <v>368</v>
          </cell>
          <cell r="AB212">
            <v>322</v>
          </cell>
          <cell r="AC212">
            <v>295</v>
          </cell>
          <cell r="AD212">
            <v>301</v>
          </cell>
          <cell r="AE212">
            <v>553</v>
          </cell>
          <cell r="AF212">
            <v>441</v>
          </cell>
          <cell r="AG212">
            <v>364</v>
          </cell>
          <cell r="AH212">
            <v>320</v>
          </cell>
          <cell r="AI212">
            <v>364</v>
          </cell>
          <cell r="AJ212">
            <v>268</v>
          </cell>
          <cell r="AK212">
            <v>273</v>
          </cell>
          <cell r="AL212">
            <v>324</v>
          </cell>
          <cell r="AM212">
            <v>429</v>
          </cell>
          <cell r="AN212">
            <v>247</v>
          </cell>
          <cell r="AO212">
            <v>306</v>
          </cell>
          <cell r="AP212">
            <v>362</v>
          </cell>
          <cell r="AQ212">
            <v>598</v>
          </cell>
          <cell r="AR212">
            <v>337</v>
          </cell>
          <cell r="AS212">
            <v>364</v>
          </cell>
          <cell r="AT212">
            <v>427</v>
          </cell>
          <cell r="AU212">
            <v>392</v>
          </cell>
          <cell r="AV212">
            <v>333</v>
          </cell>
          <cell r="AW212">
            <v>777</v>
          </cell>
          <cell r="AX212">
            <v>252</v>
          </cell>
          <cell r="AY212">
            <v>86</v>
          </cell>
          <cell r="AZ212">
            <v>55</v>
          </cell>
          <cell r="BA212">
            <v>92</v>
          </cell>
          <cell r="BB212">
            <v>323</v>
          </cell>
          <cell r="BC212">
            <v>263</v>
          </cell>
          <cell r="BD212">
            <v>173</v>
          </cell>
          <cell r="BE212">
            <v>309</v>
          </cell>
          <cell r="BF212">
            <v>359</v>
          </cell>
          <cell r="BG212">
            <v>218</v>
          </cell>
          <cell r="BH212">
            <v>163</v>
          </cell>
          <cell r="BI212">
            <v>255</v>
          </cell>
          <cell r="BJ212">
            <v>411</v>
          </cell>
          <cell r="BK212">
            <v>341</v>
          </cell>
          <cell r="BL212">
            <v>283</v>
          </cell>
          <cell r="BM212">
            <v>275</v>
          </cell>
          <cell r="BN212">
            <v>297</v>
          </cell>
          <cell r="BO212">
            <v>702</v>
          </cell>
          <cell r="BP212">
            <v>336</v>
          </cell>
          <cell r="BQ212">
            <v>528</v>
          </cell>
          <cell r="BR212">
            <v>528</v>
          </cell>
          <cell r="BS212">
            <v>417</v>
          </cell>
          <cell r="BT212">
            <v>477</v>
          </cell>
          <cell r="BU212">
            <v>433</v>
          </cell>
          <cell r="BV212">
            <v>535</v>
          </cell>
          <cell r="BW212">
            <v>476</v>
          </cell>
          <cell r="BX212">
            <v>503</v>
          </cell>
          <cell r="BY212">
            <v>465</v>
          </cell>
          <cell r="BZ212">
            <v>521</v>
          </cell>
          <cell r="CA212">
            <v>927</v>
          </cell>
          <cell r="CB212">
            <v>428</v>
          </cell>
          <cell r="CC212">
            <v>657</v>
          </cell>
          <cell r="CD212">
            <v>810</v>
          </cell>
          <cell r="CE212">
            <v>539</v>
          </cell>
          <cell r="CF212">
            <v>561</v>
          </cell>
          <cell r="CG212">
            <v>421</v>
          </cell>
          <cell r="CH212">
            <v>585</v>
          </cell>
          <cell r="CI212">
            <v>636</v>
          </cell>
          <cell r="CJ212">
            <v>561</v>
          </cell>
          <cell r="CK212">
            <v>423</v>
          </cell>
          <cell r="CL212">
            <v>600</v>
          </cell>
          <cell r="CM212">
            <v>1279</v>
          </cell>
          <cell r="CN212">
            <v>744</v>
          </cell>
          <cell r="CO212">
            <v>870</v>
          </cell>
          <cell r="CP212">
            <v>1049</v>
          </cell>
          <cell r="CQ212">
            <v>963</v>
          </cell>
          <cell r="CR212">
            <v>826</v>
          </cell>
          <cell r="CS212">
            <v>741</v>
          </cell>
          <cell r="CW212">
            <v>0.7866419294990723</v>
          </cell>
          <cell r="CX212">
            <v>3.2323450393398578E-4</v>
          </cell>
          <cell r="CY212">
            <v>2.5426981385530607E-4</v>
          </cell>
          <cell r="CZ212">
            <v>8.5587922413740919E-4</v>
          </cell>
        </row>
        <row r="213">
          <cell r="B213" t="str">
            <v>Portugal</v>
          </cell>
          <cell r="L213">
            <v>1054</v>
          </cell>
          <cell r="M213">
            <v>1129</v>
          </cell>
          <cell r="N213">
            <v>1069</v>
          </cell>
          <cell r="O213">
            <v>1349</v>
          </cell>
          <cell r="P213">
            <v>1054</v>
          </cell>
          <cell r="Q213">
            <v>901</v>
          </cell>
          <cell r="R213">
            <v>1076</v>
          </cell>
          <cell r="S213">
            <v>1094</v>
          </cell>
          <cell r="T213">
            <v>808</v>
          </cell>
          <cell r="U213">
            <v>854</v>
          </cell>
          <cell r="V213">
            <v>947</v>
          </cell>
          <cell r="W213">
            <v>1029</v>
          </cell>
          <cell r="X213">
            <v>919</v>
          </cell>
          <cell r="Y213">
            <v>701</v>
          </cell>
          <cell r="Z213">
            <v>625</v>
          </cell>
          <cell r="AA213">
            <v>1088</v>
          </cell>
          <cell r="AB213">
            <v>619</v>
          </cell>
          <cell r="AC213">
            <v>661</v>
          </cell>
          <cell r="AD213">
            <v>825</v>
          </cell>
          <cell r="AE213">
            <v>1035</v>
          </cell>
          <cell r="AF213">
            <v>783</v>
          </cell>
          <cell r="AG213">
            <v>749</v>
          </cell>
          <cell r="AH213">
            <v>761</v>
          </cell>
          <cell r="AI213">
            <v>1058</v>
          </cell>
          <cell r="AJ213">
            <v>628</v>
          </cell>
          <cell r="AK213">
            <v>755</v>
          </cell>
          <cell r="AL213">
            <v>993</v>
          </cell>
          <cell r="AM213">
            <v>822</v>
          </cell>
          <cell r="AN213">
            <v>827</v>
          </cell>
          <cell r="AO213">
            <v>726</v>
          </cell>
          <cell r="AP213">
            <v>801</v>
          </cell>
          <cell r="AQ213">
            <v>935</v>
          </cell>
          <cell r="AR213">
            <v>678</v>
          </cell>
          <cell r="AS213">
            <v>783</v>
          </cell>
          <cell r="AT213">
            <v>1119</v>
          </cell>
          <cell r="AU213">
            <v>990</v>
          </cell>
          <cell r="AV213">
            <v>661</v>
          </cell>
          <cell r="AW213">
            <v>590</v>
          </cell>
          <cell r="AX213">
            <v>521</v>
          </cell>
          <cell r="AY213">
            <v>208</v>
          </cell>
          <cell r="AZ213">
            <v>197</v>
          </cell>
          <cell r="BA213">
            <v>345</v>
          </cell>
          <cell r="BB213">
            <v>452</v>
          </cell>
          <cell r="BC213">
            <v>633</v>
          </cell>
          <cell r="BD213">
            <v>457</v>
          </cell>
          <cell r="BE213">
            <v>897</v>
          </cell>
          <cell r="BF213">
            <v>820</v>
          </cell>
          <cell r="BG213">
            <v>795</v>
          </cell>
          <cell r="BH213">
            <v>581</v>
          </cell>
          <cell r="BI213">
            <v>425</v>
          </cell>
          <cell r="BJ213">
            <v>539</v>
          </cell>
          <cell r="BK213">
            <v>800</v>
          </cell>
          <cell r="BL213">
            <v>584</v>
          </cell>
          <cell r="BM213">
            <v>475</v>
          </cell>
          <cell r="BN213">
            <v>646</v>
          </cell>
          <cell r="BO213">
            <v>980</v>
          </cell>
          <cell r="BP213">
            <v>822</v>
          </cell>
          <cell r="BQ213">
            <v>1152</v>
          </cell>
          <cell r="BR213">
            <v>1099</v>
          </cell>
          <cell r="BS213">
            <v>1457</v>
          </cell>
          <cell r="BT213">
            <v>876</v>
          </cell>
          <cell r="BU213">
            <v>612</v>
          </cell>
          <cell r="BV213">
            <v>1204</v>
          </cell>
          <cell r="BW213">
            <v>900</v>
          </cell>
          <cell r="BX213">
            <v>802</v>
          </cell>
          <cell r="BY213">
            <v>757</v>
          </cell>
          <cell r="BZ213">
            <v>850</v>
          </cell>
          <cell r="CA213">
            <v>1447</v>
          </cell>
          <cell r="CB213">
            <v>922</v>
          </cell>
          <cell r="CC213">
            <v>1195</v>
          </cell>
          <cell r="CD213">
            <v>941</v>
          </cell>
          <cell r="CE213">
            <v>1337</v>
          </cell>
          <cell r="CF213">
            <v>760</v>
          </cell>
          <cell r="CG213">
            <v>775</v>
          </cell>
          <cell r="CH213">
            <v>856</v>
          </cell>
          <cell r="CI213">
            <v>1293</v>
          </cell>
          <cell r="CJ213">
            <v>716</v>
          </cell>
          <cell r="CK213">
            <v>783</v>
          </cell>
          <cell r="CL213">
            <v>884</v>
          </cell>
          <cell r="CM213">
            <v>1345</v>
          </cell>
          <cell r="CN213">
            <v>1230</v>
          </cell>
          <cell r="CO213">
            <v>1917</v>
          </cell>
          <cell r="CP213">
            <v>1246</v>
          </cell>
          <cell r="CQ213">
            <v>1320</v>
          </cell>
          <cell r="CR213">
            <v>745</v>
          </cell>
          <cell r="CS213">
            <v>973</v>
          </cell>
          <cell r="CW213">
            <v>-1.2715033657442087E-2</v>
          </cell>
          <cell r="CX213">
            <v>8.0178948378430246E-4</v>
          </cell>
          <cell r="CY213">
            <v>-1.0194780272500523E-5</v>
          </cell>
          <cell r="CZ213">
            <v>-3.4315912288528344E-5</v>
          </cell>
        </row>
        <row r="214">
          <cell r="B214" t="str">
            <v>United Kingdom</v>
          </cell>
          <cell r="L214">
            <v>2975</v>
          </cell>
          <cell r="M214">
            <v>3561</v>
          </cell>
          <cell r="N214">
            <v>3813</v>
          </cell>
          <cell r="O214">
            <v>4999</v>
          </cell>
          <cell r="P214">
            <v>3846</v>
          </cell>
          <cell r="Q214">
            <v>3232</v>
          </cell>
          <cell r="R214">
            <v>3457</v>
          </cell>
          <cell r="S214">
            <v>4015</v>
          </cell>
          <cell r="T214">
            <v>3493</v>
          </cell>
          <cell r="U214">
            <v>4270</v>
          </cell>
          <cell r="V214">
            <v>4103</v>
          </cell>
          <cell r="W214">
            <v>3794</v>
          </cell>
          <cell r="X214">
            <v>3570</v>
          </cell>
          <cell r="Y214">
            <v>2976</v>
          </cell>
          <cell r="Z214">
            <v>4385</v>
          </cell>
          <cell r="AA214">
            <v>5016</v>
          </cell>
          <cell r="AB214">
            <v>3155</v>
          </cell>
          <cell r="AC214">
            <v>3363</v>
          </cell>
          <cell r="AD214">
            <v>3033</v>
          </cell>
          <cell r="AE214">
            <v>4095</v>
          </cell>
          <cell r="AF214">
            <v>2989</v>
          </cell>
          <cell r="AG214">
            <v>4317</v>
          </cell>
          <cell r="AH214">
            <v>4060</v>
          </cell>
          <cell r="AI214">
            <v>3707</v>
          </cell>
          <cell r="AJ214">
            <v>3054</v>
          </cell>
          <cell r="AK214">
            <v>3154</v>
          </cell>
          <cell r="AL214">
            <v>3742</v>
          </cell>
          <cell r="AM214">
            <v>3361</v>
          </cell>
          <cell r="AN214">
            <v>3073</v>
          </cell>
          <cell r="AO214">
            <v>2865</v>
          </cell>
          <cell r="AP214">
            <v>3059</v>
          </cell>
          <cell r="AQ214">
            <v>3371</v>
          </cell>
          <cell r="AR214">
            <v>2773</v>
          </cell>
          <cell r="AS214">
            <v>4070</v>
          </cell>
          <cell r="AT214">
            <v>4509</v>
          </cell>
          <cell r="AU214">
            <v>3486</v>
          </cell>
          <cell r="AV214">
            <v>2814</v>
          </cell>
          <cell r="AW214">
            <v>3133</v>
          </cell>
          <cell r="AX214">
            <v>2521</v>
          </cell>
          <cell r="AY214">
            <v>1764</v>
          </cell>
          <cell r="AZ214">
            <v>1982</v>
          </cell>
          <cell r="BA214">
            <v>2044</v>
          </cell>
          <cell r="BB214">
            <v>2847</v>
          </cell>
          <cell r="BC214">
            <v>2893</v>
          </cell>
          <cell r="BD214">
            <v>2580</v>
          </cell>
          <cell r="BE214">
            <v>3152</v>
          </cell>
          <cell r="BF214">
            <v>4491</v>
          </cell>
          <cell r="BG214">
            <v>3607</v>
          </cell>
          <cell r="BH214">
            <v>3000</v>
          </cell>
          <cell r="BI214">
            <v>3204</v>
          </cell>
          <cell r="BJ214">
            <v>3443</v>
          </cell>
          <cell r="BK214">
            <v>3904</v>
          </cell>
          <cell r="BL214">
            <v>2959</v>
          </cell>
          <cell r="BM214">
            <v>3067</v>
          </cell>
          <cell r="BN214">
            <v>3380</v>
          </cell>
          <cell r="BO214">
            <v>4195</v>
          </cell>
          <cell r="BP214">
            <v>3291</v>
          </cell>
          <cell r="BQ214">
            <v>4700</v>
          </cell>
          <cell r="BR214">
            <v>4953</v>
          </cell>
          <cell r="BS214">
            <v>3913</v>
          </cell>
          <cell r="BT214">
            <v>3537</v>
          </cell>
          <cell r="BU214">
            <v>3341</v>
          </cell>
          <cell r="BV214">
            <v>4641</v>
          </cell>
          <cell r="BW214">
            <v>4439</v>
          </cell>
          <cell r="BX214">
            <v>3804</v>
          </cell>
          <cell r="BY214">
            <v>3435</v>
          </cell>
          <cell r="BZ214">
            <v>4182</v>
          </cell>
          <cell r="CA214">
            <v>4195</v>
          </cell>
          <cell r="CB214">
            <v>3622</v>
          </cell>
          <cell r="CC214">
            <v>4925</v>
          </cell>
          <cell r="CD214">
            <v>5089</v>
          </cell>
          <cell r="CE214">
            <v>4153</v>
          </cell>
          <cell r="CF214">
            <v>4127</v>
          </cell>
          <cell r="CG214">
            <v>3819</v>
          </cell>
          <cell r="CH214">
            <v>4557</v>
          </cell>
          <cell r="CI214">
            <v>5414</v>
          </cell>
          <cell r="CJ214">
            <v>3863</v>
          </cell>
          <cell r="CK214">
            <v>3602</v>
          </cell>
          <cell r="CL214">
            <v>4545</v>
          </cell>
          <cell r="CM214">
            <v>4682</v>
          </cell>
          <cell r="CN214">
            <v>4469</v>
          </cell>
          <cell r="CO214">
            <v>5716</v>
          </cell>
          <cell r="CP214">
            <v>6623</v>
          </cell>
          <cell r="CQ214">
            <v>5689</v>
          </cell>
          <cell r="CR214">
            <v>5207</v>
          </cell>
          <cell r="CS214">
            <v>5284</v>
          </cell>
          <cell r="CW214">
            <v>0.3698531182277871</v>
          </cell>
          <cell r="CX214">
            <v>2.4905248512761464E-3</v>
          </cell>
          <cell r="CY214">
            <v>9.2112838226827845E-4</v>
          </cell>
          <cell r="CZ214">
            <v>3.1005436044223124E-3</v>
          </cell>
        </row>
        <row r="215">
          <cell r="B215" t="str">
            <v>Other Europe</v>
          </cell>
          <cell r="L215">
            <v>2179</v>
          </cell>
          <cell r="M215">
            <v>1697</v>
          </cell>
          <cell r="N215">
            <v>2268</v>
          </cell>
          <cell r="O215">
            <v>2556</v>
          </cell>
          <cell r="P215">
            <v>2139</v>
          </cell>
          <cell r="Q215">
            <v>1792</v>
          </cell>
          <cell r="R215">
            <v>2078</v>
          </cell>
          <cell r="S215">
            <v>1962</v>
          </cell>
          <cell r="T215">
            <v>2026</v>
          </cell>
          <cell r="U215">
            <v>2816</v>
          </cell>
          <cell r="V215">
            <v>4157</v>
          </cell>
          <cell r="W215">
            <v>2220</v>
          </cell>
          <cell r="X215">
            <v>2153</v>
          </cell>
          <cell r="Y215">
            <v>1892</v>
          </cell>
          <cell r="Z215">
            <v>2455</v>
          </cell>
          <cell r="AA215">
            <v>2479</v>
          </cell>
          <cell r="AB215">
            <v>2156</v>
          </cell>
          <cell r="AC215">
            <v>1968</v>
          </cell>
          <cell r="AD215">
            <v>2363</v>
          </cell>
          <cell r="AE215">
            <v>2178</v>
          </cell>
          <cell r="AF215">
            <v>2280</v>
          </cell>
          <cell r="AG215">
            <v>2724</v>
          </cell>
          <cell r="AH215">
            <v>2518</v>
          </cell>
          <cell r="AI215">
            <v>2462</v>
          </cell>
          <cell r="AJ215">
            <v>2103</v>
          </cell>
          <cell r="AK215">
            <v>2011</v>
          </cell>
          <cell r="AL215">
            <v>3161</v>
          </cell>
          <cell r="AM215">
            <v>2643</v>
          </cell>
          <cell r="AN215">
            <v>2511</v>
          </cell>
          <cell r="AO215">
            <v>2253</v>
          </cell>
          <cell r="AP215">
            <v>2254</v>
          </cell>
          <cell r="AQ215">
            <v>2399</v>
          </cell>
          <cell r="AR215">
            <v>2311</v>
          </cell>
          <cell r="AS215">
            <v>3475</v>
          </cell>
          <cell r="AT215">
            <v>3301</v>
          </cell>
          <cell r="AU215">
            <v>2808</v>
          </cell>
          <cell r="AV215">
            <v>2359</v>
          </cell>
          <cell r="AW215">
            <v>2463</v>
          </cell>
          <cell r="AX215">
            <v>2221</v>
          </cell>
          <cell r="AY215">
            <v>1109</v>
          </cell>
          <cell r="AZ215">
            <v>814</v>
          </cell>
          <cell r="BA215">
            <v>858</v>
          </cell>
          <cell r="BB215">
            <v>1380</v>
          </cell>
          <cell r="BC215">
            <v>1489</v>
          </cell>
          <cell r="BD215">
            <v>1942</v>
          </cell>
          <cell r="BE215">
            <v>2681</v>
          </cell>
          <cell r="BF215">
            <v>2734</v>
          </cell>
          <cell r="BG215">
            <v>2198</v>
          </cell>
          <cell r="BH215">
            <v>2037</v>
          </cell>
          <cell r="BI215">
            <v>1954</v>
          </cell>
          <cell r="BJ215">
            <v>2492</v>
          </cell>
          <cell r="BK215">
            <v>2488</v>
          </cell>
          <cell r="BL215">
            <v>2537</v>
          </cell>
          <cell r="BM215">
            <v>2234</v>
          </cell>
          <cell r="BN215">
            <v>2777</v>
          </cell>
          <cell r="BO215">
            <v>2850</v>
          </cell>
          <cell r="BP215">
            <v>3318</v>
          </cell>
          <cell r="BQ215">
            <v>4486</v>
          </cell>
          <cell r="BR215">
            <v>4314</v>
          </cell>
          <cell r="BS215">
            <v>3499</v>
          </cell>
          <cell r="BT215">
            <v>3719</v>
          </cell>
          <cell r="BU215">
            <v>3066</v>
          </cell>
          <cell r="BV215">
            <v>4006</v>
          </cell>
          <cell r="BW215">
            <v>4071</v>
          </cell>
          <cell r="BX215">
            <v>4296</v>
          </cell>
          <cell r="BY215">
            <v>3350</v>
          </cell>
          <cell r="BZ215">
            <v>4506</v>
          </cell>
          <cell r="CA215">
            <v>4227</v>
          </cell>
          <cell r="CB215">
            <v>4002</v>
          </cell>
          <cell r="CC215">
            <v>5824</v>
          </cell>
          <cell r="CD215">
            <v>5186</v>
          </cell>
          <cell r="CE215">
            <v>4266</v>
          </cell>
          <cell r="CF215">
            <v>4274</v>
          </cell>
          <cell r="CG215">
            <v>3831</v>
          </cell>
          <cell r="CH215">
            <v>4684</v>
          </cell>
          <cell r="CI215">
            <v>5105</v>
          </cell>
          <cell r="CJ215">
            <v>4891</v>
          </cell>
          <cell r="CK215">
            <v>3709</v>
          </cell>
          <cell r="CL215">
            <v>5104</v>
          </cell>
          <cell r="CM215">
            <v>5328</v>
          </cell>
          <cell r="CN215">
            <v>5415</v>
          </cell>
          <cell r="CO215">
            <v>7089</v>
          </cell>
          <cell r="CP215">
            <v>6606</v>
          </cell>
          <cell r="CQ215">
            <v>6402</v>
          </cell>
          <cell r="CR215">
            <v>6072</v>
          </cell>
          <cell r="CS215">
            <v>5938</v>
          </cell>
          <cell r="CW215">
            <v>0.5007032348804501</v>
          </cell>
          <cell r="CX215">
            <v>2.5582901554404144E-3</v>
          </cell>
          <cell r="CY215">
            <v>1.280944156591825E-3</v>
          </cell>
          <cell r="CZ215">
            <v>4.311693449899779E-3</v>
          </cell>
        </row>
        <row r="217">
          <cell r="B217" t="str">
            <v>Australia</v>
          </cell>
          <cell r="L217">
            <v>2739</v>
          </cell>
          <cell r="M217">
            <v>1885</v>
          </cell>
          <cell r="N217">
            <v>2487</v>
          </cell>
          <cell r="O217">
            <v>2624</v>
          </cell>
          <cell r="P217">
            <v>2311</v>
          </cell>
          <cell r="Q217">
            <v>2146</v>
          </cell>
          <cell r="R217">
            <v>2181</v>
          </cell>
          <cell r="S217">
            <v>1920</v>
          </cell>
          <cell r="T217">
            <v>2450</v>
          </cell>
          <cell r="U217">
            <v>2359</v>
          </cell>
          <cell r="V217">
            <v>2671</v>
          </cell>
          <cell r="W217">
            <v>3036</v>
          </cell>
          <cell r="X217">
            <v>2915</v>
          </cell>
          <cell r="Y217">
            <v>2215</v>
          </cell>
          <cell r="Z217">
            <v>2604</v>
          </cell>
          <cell r="AA217">
            <v>2884</v>
          </cell>
          <cell r="AB217">
            <v>2144</v>
          </cell>
          <cell r="AC217">
            <v>2126</v>
          </cell>
          <cell r="AD217">
            <v>2121</v>
          </cell>
          <cell r="AE217">
            <v>2114</v>
          </cell>
          <cell r="AF217">
            <v>2520</v>
          </cell>
          <cell r="AG217">
            <v>2528</v>
          </cell>
          <cell r="AH217">
            <v>2372</v>
          </cell>
          <cell r="AI217">
            <v>2791</v>
          </cell>
          <cell r="AJ217">
            <v>2963</v>
          </cell>
          <cell r="AK217">
            <v>2004</v>
          </cell>
          <cell r="AL217">
            <v>2791</v>
          </cell>
          <cell r="AM217">
            <v>2540</v>
          </cell>
          <cell r="AN217">
            <v>2768</v>
          </cell>
          <cell r="AO217">
            <v>2126</v>
          </cell>
          <cell r="AP217">
            <v>2410</v>
          </cell>
          <cell r="AQ217">
            <v>2196</v>
          </cell>
          <cell r="AR217">
            <v>2525</v>
          </cell>
          <cell r="AS217">
            <v>2867</v>
          </cell>
          <cell r="AT217">
            <v>2957</v>
          </cell>
          <cell r="AU217">
            <v>2881</v>
          </cell>
          <cell r="AV217">
            <v>3588</v>
          </cell>
          <cell r="AW217">
            <v>2378</v>
          </cell>
          <cell r="AX217">
            <v>2277</v>
          </cell>
          <cell r="AY217">
            <v>1024</v>
          </cell>
          <cell r="AZ217">
            <v>1079</v>
          </cell>
          <cell r="BA217">
            <v>1153</v>
          </cell>
          <cell r="BB217">
            <v>2030</v>
          </cell>
          <cell r="BC217">
            <v>1652</v>
          </cell>
          <cell r="BD217">
            <v>2245</v>
          </cell>
          <cell r="BE217">
            <v>2433</v>
          </cell>
          <cell r="BF217">
            <v>2677</v>
          </cell>
          <cell r="BG217">
            <v>2849</v>
          </cell>
          <cell r="BH217">
            <v>3143</v>
          </cell>
          <cell r="BI217">
            <v>2462</v>
          </cell>
          <cell r="BJ217">
            <v>2866</v>
          </cell>
          <cell r="BK217">
            <v>3316</v>
          </cell>
          <cell r="BL217">
            <v>2586</v>
          </cell>
          <cell r="BM217">
            <v>2455</v>
          </cell>
          <cell r="BN217">
            <v>3108</v>
          </cell>
          <cell r="BO217">
            <v>3157</v>
          </cell>
          <cell r="BP217">
            <v>4089</v>
          </cell>
          <cell r="BQ217">
            <v>4297</v>
          </cell>
          <cell r="BR217">
            <v>4777</v>
          </cell>
          <cell r="BS217">
            <v>5803</v>
          </cell>
          <cell r="BT217">
            <v>5702</v>
          </cell>
          <cell r="BU217">
            <v>3991</v>
          </cell>
          <cell r="BV217">
            <v>5129</v>
          </cell>
          <cell r="BW217">
            <v>4974</v>
          </cell>
          <cell r="BX217">
            <v>4746</v>
          </cell>
          <cell r="BY217">
            <v>5164</v>
          </cell>
          <cell r="BZ217">
            <v>5220</v>
          </cell>
          <cell r="CA217">
            <v>4582</v>
          </cell>
          <cell r="CB217">
            <v>5402</v>
          </cell>
          <cell r="CC217">
            <v>5185</v>
          </cell>
          <cell r="CD217">
            <v>5142</v>
          </cell>
          <cell r="CE217">
            <v>6409</v>
          </cell>
          <cell r="CF217">
            <v>6819</v>
          </cell>
          <cell r="CG217">
            <v>4857</v>
          </cell>
          <cell r="CH217">
            <v>5356</v>
          </cell>
          <cell r="CI217">
            <v>6868</v>
          </cell>
          <cell r="CJ217">
            <v>4680</v>
          </cell>
          <cell r="CK217">
            <v>5610</v>
          </cell>
          <cell r="CL217">
            <v>5451</v>
          </cell>
          <cell r="CM217">
            <v>4744</v>
          </cell>
          <cell r="CN217">
            <v>6260</v>
          </cell>
          <cell r="CO217">
            <v>6945</v>
          </cell>
          <cell r="CP217">
            <v>6644</v>
          </cell>
          <cell r="CQ217">
            <v>8576</v>
          </cell>
          <cell r="CR217">
            <v>9116</v>
          </cell>
          <cell r="CS217">
            <v>6023</v>
          </cell>
          <cell r="CW217">
            <v>0.33811827118115145</v>
          </cell>
          <cell r="CX217">
            <v>3.843432162732681E-3</v>
          </cell>
          <cell r="CY217">
            <v>1.299534638265208E-3</v>
          </cell>
          <cell r="CZ217">
            <v>4.3742695252494473E-3</v>
          </cell>
        </row>
        <row r="218">
          <cell r="B218" t="str">
            <v>New Zealand</v>
          </cell>
          <cell r="L218">
            <v>311</v>
          </cell>
          <cell r="M218">
            <v>271</v>
          </cell>
          <cell r="N218">
            <v>467</v>
          </cell>
          <cell r="O218">
            <v>515</v>
          </cell>
          <cell r="P218">
            <v>410</v>
          </cell>
          <cell r="Q218">
            <v>442</v>
          </cell>
          <cell r="R218">
            <v>451</v>
          </cell>
          <cell r="S218">
            <v>357</v>
          </cell>
          <cell r="T218">
            <v>406</v>
          </cell>
          <cell r="U218">
            <v>486</v>
          </cell>
          <cell r="V218">
            <v>503</v>
          </cell>
          <cell r="W218">
            <v>503</v>
          </cell>
          <cell r="X218">
            <v>437</v>
          </cell>
          <cell r="Y218">
            <v>305</v>
          </cell>
          <cell r="Z218">
            <v>524</v>
          </cell>
          <cell r="AA218">
            <v>713</v>
          </cell>
          <cell r="AB218">
            <v>404</v>
          </cell>
          <cell r="AC218">
            <v>527</v>
          </cell>
          <cell r="AD218">
            <v>506</v>
          </cell>
          <cell r="AE218">
            <v>570</v>
          </cell>
          <cell r="AF218">
            <v>483</v>
          </cell>
          <cell r="AG218">
            <v>551</v>
          </cell>
          <cell r="AH218">
            <v>555</v>
          </cell>
          <cell r="AI218">
            <v>486</v>
          </cell>
          <cell r="AJ218">
            <v>418</v>
          </cell>
          <cell r="AK218">
            <v>311</v>
          </cell>
          <cell r="AL218">
            <v>570</v>
          </cell>
          <cell r="AM218">
            <v>496</v>
          </cell>
          <cell r="AN218">
            <v>575</v>
          </cell>
          <cell r="AO218">
            <v>360</v>
          </cell>
          <cell r="AP218">
            <v>412</v>
          </cell>
          <cell r="AQ218">
            <v>498</v>
          </cell>
          <cell r="AR218">
            <v>420</v>
          </cell>
          <cell r="AS218">
            <v>511</v>
          </cell>
          <cell r="AT218">
            <v>444</v>
          </cell>
          <cell r="AU218">
            <v>474</v>
          </cell>
          <cell r="AV218">
            <v>403</v>
          </cell>
          <cell r="AW218">
            <v>337</v>
          </cell>
          <cell r="AX218">
            <v>389</v>
          </cell>
          <cell r="AY218">
            <v>215</v>
          </cell>
          <cell r="AZ218">
            <v>234</v>
          </cell>
          <cell r="BA218">
            <v>216</v>
          </cell>
          <cell r="BB218">
            <v>285</v>
          </cell>
          <cell r="BC218">
            <v>420</v>
          </cell>
          <cell r="BD218">
            <v>413</v>
          </cell>
          <cell r="BE218">
            <v>458</v>
          </cell>
          <cell r="BF218">
            <v>541</v>
          </cell>
          <cell r="BG218">
            <v>447</v>
          </cell>
          <cell r="BH218">
            <v>406</v>
          </cell>
          <cell r="BI218">
            <v>385</v>
          </cell>
          <cell r="BJ218">
            <v>581</v>
          </cell>
          <cell r="BK218">
            <v>477</v>
          </cell>
          <cell r="BL218">
            <v>430</v>
          </cell>
          <cell r="BM218">
            <v>448</v>
          </cell>
          <cell r="BN218">
            <v>405</v>
          </cell>
          <cell r="BO218">
            <v>520</v>
          </cell>
          <cell r="BP218">
            <v>702</v>
          </cell>
          <cell r="BQ218">
            <v>865</v>
          </cell>
          <cell r="BR218">
            <v>635</v>
          </cell>
          <cell r="BS218">
            <v>847</v>
          </cell>
          <cell r="BT218">
            <v>817</v>
          </cell>
          <cell r="BU218">
            <v>549</v>
          </cell>
          <cell r="BV218">
            <v>738</v>
          </cell>
          <cell r="BW218">
            <v>769</v>
          </cell>
          <cell r="BX218">
            <v>759</v>
          </cell>
          <cell r="BY218">
            <v>696</v>
          </cell>
          <cell r="BZ218">
            <v>803</v>
          </cell>
          <cell r="CA218">
            <v>750</v>
          </cell>
          <cell r="CB218">
            <v>762</v>
          </cell>
          <cell r="CC218">
            <v>828</v>
          </cell>
          <cell r="CD218">
            <v>776</v>
          </cell>
          <cell r="CE218">
            <v>847</v>
          </cell>
          <cell r="CF218">
            <v>909</v>
          </cell>
          <cell r="CG218">
            <v>636</v>
          </cell>
          <cell r="CH218">
            <v>649</v>
          </cell>
          <cell r="CI218">
            <v>981</v>
          </cell>
          <cell r="CJ218">
            <v>736</v>
          </cell>
          <cell r="CK218">
            <v>783</v>
          </cell>
          <cell r="CL218">
            <v>882</v>
          </cell>
          <cell r="CM218">
            <v>806</v>
          </cell>
          <cell r="CN218">
            <v>938</v>
          </cell>
          <cell r="CO218">
            <v>1135</v>
          </cell>
          <cell r="CP218">
            <v>1000</v>
          </cell>
          <cell r="CQ218">
            <v>1192</v>
          </cell>
          <cell r="CR218">
            <v>1457</v>
          </cell>
          <cell r="CS218">
            <v>896</v>
          </cell>
          <cell r="CW218">
            <v>0.40731995277449817</v>
          </cell>
          <cell r="CX218">
            <v>5.079399347534063E-4</v>
          </cell>
          <cell r="CY218">
            <v>2.0689407023603913E-4</v>
          </cell>
          <cell r="CZ218">
            <v>6.964111611495429E-4</v>
          </cell>
        </row>
        <row r="219">
          <cell r="B219" t="str">
            <v>Other Oceania</v>
          </cell>
          <cell r="L219">
            <v>223</v>
          </cell>
          <cell r="M219">
            <v>159</v>
          </cell>
          <cell r="N219">
            <v>161</v>
          </cell>
          <cell r="O219">
            <v>164</v>
          </cell>
          <cell r="P219">
            <v>173</v>
          </cell>
          <cell r="Q219">
            <v>192</v>
          </cell>
          <cell r="R219">
            <v>224</v>
          </cell>
          <cell r="S219">
            <v>256</v>
          </cell>
          <cell r="T219">
            <v>199</v>
          </cell>
          <cell r="U219">
            <v>206</v>
          </cell>
          <cell r="V219">
            <v>242</v>
          </cell>
          <cell r="W219">
            <v>217</v>
          </cell>
          <cell r="X219">
            <v>212</v>
          </cell>
          <cell r="Y219">
            <v>160</v>
          </cell>
          <cell r="Z219">
            <v>186</v>
          </cell>
          <cell r="AA219">
            <v>188</v>
          </cell>
          <cell r="AB219">
            <v>234</v>
          </cell>
          <cell r="AC219">
            <v>159</v>
          </cell>
          <cell r="AD219">
            <v>211</v>
          </cell>
          <cell r="AE219">
            <v>177</v>
          </cell>
          <cell r="AF219">
            <v>171</v>
          </cell>
          <cell r="AG219">
            <v>165</v>
          </cell>
          <cell r="AH219">
            <v>152</v>
          </cell>
          <cell r="AI219">
            <v>167</v>
          </cell>
          <cell r="AJ219">
            <v>163</v>
          </cell>
          <cell r="AK219">
            <v>134</v>
          </cell>
          <cell r="AL219">
            <v>150</v>
          </cell>
          <cell r="AM219">
            <v>137</v>
          </cell>
          <cell r="AN219">
            <v>181</v>
          </cell>
          <cell r="AO219">
            <v>208</v>
          </cell>
          <cell r="AP219">
            <v>143</v>
          </cell>
          <cell r="AQ219">
            <v>132</v>
          </cell>
          <cell r="AR219">
            <v>172</v>
          </cell>
          <cell r="AS219">
            <v>160</v>
          </cell>
          <cell r="AT219">
            <v>148</v>
          </cell>
          <cell r="AU219">
            <v>155</v>
          </cell>
          <cell r="AV219">
            <v>145</v>
          </cell>
          <cell r="AW219">
            <v>110</v>
          </cell>
          <cell r="AX219">
            <v>127</v>
          </cell>
          <cell r="AY219">
            <v>79</v>
          </cell>
          <cell r="AZ219">
            <v>89</v>
          </cell>
          <cell r="BA219">
            <v>97</v>
          </cell>
          <cell r="BB219">
            <v>145</v>
          </cell>
          <cell r="BC219">
            <v>133</v>
          </cell>
          <cell r="BD219">
            <v>123</v>
          </cell>
          <cell r="BE219">
            <v>88</v>
          </cell>
          <cell r="BF219">
            <v>93</v>
          </cell>
          <cell r="BG219">
            <v>95</v>
          </cell>
          <cell r="BH219">
            <v>129</v>
          </cell>
          <cell r="BI219">
            <v>77</v>
          </cell>
          <cell r="BJ219">
            <v>131</v>
          </cell>
          <cell r="BK219">
            <v>102</v>
          </cell>
          <cell r="BL219">
            <v>77</v>
          </cell>
          <cell r="BM219">
            <v>115</v>
          </cell>
          <cell r="BN219">
            <v>103</v>
          </cell>
          <cell r="BO219">
            <v>127</v>
          </cell>
          <cell r="BP219">
            <v>93</v>
          </cell>
          <cell r="BQ219">
            <v>103</v>
          </cell>
          <cell r="BR219">
            <v>88</v>
          </cell>
          <cell r="BS219">
            <v>91</v>
          </cell>
          <cell r="BT219">
            <v>79</v>
          </cell>
          <cell r="BU219">
            <v>84</v>
          </cell>
          <cell r="BV219">
            <v>81</v>
          </cell>
          <cell r="BW219">
            <v>112</v>
          </cell>
          <cell r="BX219">
            <v>86</v>
          </cell>
          <cell r="BY219">
            <v>78</v>
          </cell>
          <cell r="BZ219">
            <v>67</v>
          </cell>
          <cell r="CA219">
            <v>62</v>
          </cell>
          <cell r="CB219">
            <v>84</v>
          </cell>
          <cell r="CC219">
            <v>77</v>
          </cell>
          <cell r="CD219">
            <v>62</v>
          </cell>
          <cell r="CE219">
            <v>68</v>
          </cell>
          <cell r="CF219">
            <v>72</v>
          </cell>
          <cell r="CG219">
            <v>61</v>
          </cell>
          <cell r="CH219">
            <v>53</v>
          </cell>
          <cell r="CI219">
            <v>63</v>
          </cell>
          <cell r="CJ219">
            <v>65</v>
          </cell>
          <cell r="CK219">
            <v>71</v>
          </cell>
          <cell r="CL219">
            <v>51</v>
          </cell>
          <cell r="CM219">
            <v>59</v>
          </cell>
          <cell r="CN219">
            <v>55</v>
          </cell>
          <cell r="CO219">
            <v>52</v>
          </cell>
          <cell r="CP219">
            <v>74</v>
          </cell>
          <cell r="CQ219">
            <v>89</v>
          </cell>
          <cell r="CR219">
            <v>70</v>
          </cell>
          <cell r="CS219">
            <v>86</v>
          </cell>
          <cell r="CW219">
            <v>0.30882352941176472</v>
          </cell>
          <cell r="CX219">
            <v>4.0779121090001921E-5</v>
          </cell>
          <cell r="CY219">
            <v>1.2593552101324124E-5</v>
          </cell>
          <cell r="CZ219">
            <v>4.2390244591711311E-5</v>
          </cell>
        </row>
        <row r="221">
          <cell r="B221" t="str">
            <v>Africa</v>
          </cell>
          <cell r="L221">
            <v>344</v>
          </cell>
          <cell r="M221">
            <v>299</v>
          </cell>
          <cell r="N221">
            <v>372</v>
          </cell>
          <cell r="O221">
            <v>417</v>
          </cell>
          <cell r="P221">
            <v>386</v>
          </cell>
          <cell r="Q221">
            <v>309</v>
          </cell>
          <cell r="R221">
            <v>342</v>
          </cell>
          <cell r="S221">
            <v>283</v>
          </cell>
          <cell r="T221">
            <v>277</v>
          </cell>
          <cell r="U221">
            <v>395</v>
          </cell>
          <cell r="V221">
            <v>403</v>
          </cell>
          <cell r="W221">
            <v>355</v>
          </cell>
          <cell r="X221">
            <v>312</v>
          </cell>
          <cell r="Y221">
            <v>221</v>
          </cell>
          <cell r="Z221">
            <v>358</v>
          </cell>
          <cell r="AA221">
            <v>417</v>
          </cell>
          <cell r="AB221">
            <v>292</v>
          </cell>
          <cell r="AC221">
            <v>304</v>
          </cell>
          <cell r="AD221">
            <v>305</v>
          </cell>
          <cell r="AE221">
            <v>317</v>
          </cell>
          <cell r="AF221">
            <v>266</v>
          </cell>
          <cell r="AG221">
            <v>403</v>
          </cell>
          <cell r="AH221">
            <v>277</v>
          </cell>
          <cell r="AI221">
            <v>351</v>
          </cell>
          <cell r="AJ221">
            <v>356</v>
          </cell>
          <cell r="AK221">
            <v>274</v>
          </cell>
          <cell r="AL221">
            <v>274</v>
          </cell>
          <cell r="AM221">
            <v>325</v>
          </cell>
          <cell r="AN221">
            <v>321</v>
          </cell>
          <cell r="AO221">
            <v>269</v>
          </cell>
          <cell r="AP221">
            <v>322</v>
          </cell>
          <cell r="AQ221">
            <v>340</v>
          </cell>
          <cell r="AR221">
            <v>314</v>
          </cell>
          <cell r="AS221">
            <v>501</v>
          </cell>
          <cell r="AT221">
            <v>397</v>
          </cell>
          <cell r="AU221">
            <v>432</v>
          </cell>
          <cell r="AV221">
            <v>408</v>
          </cell>
          <cell r="AW221">
            <v>323</v>
          </cell>
          <cell r="AX221">
            <v>439</v>
          </cell>
          <cell r="AY221">
            <v>227</v>
          </cell>
          <cell r="AZ221">
            <v>199</v>
          </cell>
          <cell r="BA221">
            <v>237</v>
          </cell>
          <cell r="BB221">
            <v>356</v>
          </cell>
          <cell r="BC221">
            <v>344</v>
          </cell>
          <cell r="BD221">
            <v>374</v>
          </cell>
          <cell r="BE221">
            <v>699</v>
          </cell>
          <cell r="BF221">
            <v>371</v>
          </cell>
          <cell r="BG221">
            <v>331</v>
          </cell>
          <cell r="BH221">
            <v>377</v>
          </cell>
          <cell r="BI221">
            <v>318</v>
          </cell>
          <cell r="BJ221">
            <v>368</v>
          </cell>
          <cell r="BK221">
            <v>446</v>
          </cell>
          <cell r="BL221">
            <v>410</v>
          </cell>
          <cell r="BM221">
            <v>468</v>
          </cell>
          <cell r="BN221">
            <v>447</v>
          </cell>
          <cell r="BO221">
            <v>423</v>
          </cell>
          <cell r="BP221">
            <v>453</v>
          </cell>
          <cell r="BQ221">
            <v>705</v>
          </cell>
          <cell r="BR221">
            <v>510</v>
          </cell>
          <cell r="BS221">
            <v>624</v>
          </cell>
          <cell r="BT221">
            <v>591</v>
          </cell>
          <cell r="BU221">
            <v>436</v>
          </cell>
          <cell r="BV221">
            <v>655</v>
          </cell>
          <cell r="BW221">
            <v>631</v>
          </cell>
          <cell r="BX221">
            <v>663</v>
          </cell>
          <cell r="BY221">
            <v>530</v>
          </cell>
          <cell r="BZ221">
            <v>706</v>
          </cell>
          <cell r="CA221">
            <v>708</v>
          </cell>
          <cell r="CB221">
            <v>723</v>
          </cell>
          <cell r="CC221">
            <v>872</v>
          </cell>
          <cell r="CD221">
            <v>603</v>
          </cell>
          <cell r="CE221">
            <v>817</v>
          </cell>
          <cell r="CF221">
            <v>676</v>
          </cell>
          <cell r="CG221">
            <v>624</v>
          </cell>
          <cell r="CH221">
            <v>720</v>
          </cell>
          <cell r="CI221">
            <v>885</v>
          </cell>
          <cell r="CJ221">
            <v>787</v>
          </cell>
          <cell r="CK221">
            <v>755</v>
          </cell>
          <cell r="CL221">
            <v>897</v>
          </cell>
          <cell r="CM221">
            <v>1157</v>
          </cell>
          <cell r="CN221">
            <v>1553</v>
          </cell>
          <cell r="CO221">
            <v>1973</v>
          </cell>
          <cell r="CP221">
            <v>1474</v>
          </cell>
          <cell r="CQ221">
            <v>1968</v>
          </cell>
          <cell r="CR221">
            <v>1742</v>
          </cell>
          <cell r="CS221">
            <v>1696</v>
          </cell>
          <cell r="CW221">
            <v>1.4088127294981638</v>
          </cell>
          <cell r="CX221">
            <v>4.8994914603722891E-4</v>
          </cell>
          <cell r="CY221">
            <v>6.902465937440029E-4</v>
          </cell>
          <cell r="CZ221">
            <v>2.3233891202409382E-3</v>
          </cell>
        </row>
        <row r="222">
          <cell r="B222" t="str">
            <v>Middle East</v>
          </cell>
          <cell r="L222">
            <v>59</v>
          </cell>
          <cell r="M222">
            <v>49</v>
          </cell>
          <cell r="N222">
            <v>50</v>
          </cell>
          <cell r="O222">
            <v>111</v>
          </cell>
          <cell r="P222">
            <v>53</v>
          </cell>
          <cell r="Q222">
            <v>72</v>
          </cell>
          <cell r="R222">
            <v>60</v>
          </cell>
          <cell r="S222">
            <v>166</v>
          </cell>
          <cell r="T222">
            <v>47</v>
          </cell>
          <cell r="U222">
            <v>93</v>
          </cell>
          <cell r="V222">
            <v>61</v>
          </cell>
          <cell r="W222">
            <v>50</v>
          </cell>
          <cell r="X222">
            <v>38</v>
          </cell>
          <cell r="Y222">
            <v>58</v>
          </cell>
          <cell r="Z222">
            <v>85</v>
          </cell>
          <cell r="AA222">
            <v>306</v>
          </cell>
          <cell r="AB222">
            <v>77</v>
          </cell>
          <cell r="AC222">
            <v>68</v>
          </cell>
          <cell r="AD222">
            <v>121</v>
          </cell>
          <cell r="AE222">
            <v>120</v>
          </cell>
          <cell r="AF222">
            <v>39</v>
          </cell>
          <cell r="AG222">
            <v>84</v>
          </cell>
          <cell r="AH222">
            <v>23</v>
          </cell>
          <cell r="AI222">
            <v>40</v>
          </cell>
          <cell r="AJ222">
            <v>67</v>
          </cell>
          <cell r="AK222">
            <v>52</v>
          </cell>
          <cell r="AL222">
            <v>52</v>
          </cell>
          <cell r="AM222">
            <v>109</v>
          </cell>
          <cell r="AN222">
            <v>72</v>
          </cell>
          <cell r="AO222">
            <v>64</v>
          </cell>
          <cell r="AP222">
            <v>92</v>
          </cell>
          <cell r="AQ222">
            <v>105</v>
          </cell>
          <cell r="AR222">
            <v>90</v>
          </cell>
          <cell r="AS222">
            <v>92</v>
          </cell>
          <cell r="AT222">
            <v>200</v>
          </cell>
          <cell r="AU222">
            <v>110</v>
          </cell>
          <cell r="AV222">
            <v>101</v>
          </cell>
          <cell r="AW222">
            <v>77</v>
          </cell>
          <cell r="AX222">
            <v>71</v>
          </cell>
          <cell r="AY222">
            <v>70</v>
          </cell>
          <cell r="AZ222">
            <v>63</v>
          </cell>
          <cell r="BA222">
            <v>75</v>
          </cell>
          <cell r="BB222">
            <v>84</v>
          </cell>
          <cell r="BC222">
            <v>147</v>
          </cell>
          <cell r="BD222">
            <v>169</v>
          </cell>
          <cell r="BE222">
            <v>213</v>
          </cell>
          <cell r="BF222">
            <v>161</v>
          </cell>
          <cell r="BG222">
            <v>103</v>
          </cell>
          <cell r="BH222">
            <v>92</v>
          </cell>
          <cell r="BI222">
            <v>85</v>
          </cell>
          <cell r="BJ222">
            <v>133</v>
          </cell>
          <cell r="BK222">
            <v>267</v>
          </cell>
          <cell r="BL222">
            <v>190</v>
          </cell>
          <cell r="BM222">
            <v>140</v>
          </cell>
          <cell r="BN222">
            <v>117</v>
          </cell>
          <cell r="BO222">
            <v>336</v>
          </cell>
          <cell r="BP222">
            <v>182</v>
          </cell>
          <cell r="BQ222">
            <v>172</v>
          </cell>
          <cell r="BR222">
            <v>135</v>
          </cell>
          <cell r="BS222">
            <v>192</v>
          </cell>
          <cell r="BT222">
            <v>163</v>
          </cell>
          <cell r="BU222">
            <v>115</v>
          </cell>
          <cell r="BV222">
            <v>157</v>
          </cell>
          <cell r="BW222">
            <v>269</v>
          </cell>
          <cell r="BX222">
            <v>325</v>
          </cell>
          <cell r="BY222">
            <v>225</v>
          </cell>
          <cell r="BZ222">
            <v>239</v>
          </cell>
          <cell r="CA222">
            <v>349</v>
          </cell>
          <cell r="CB222">
            <v>239</v>
          </cell>
          <cell r="CC222">
            <v>191</v>
          </cell>
          <cell r="CD222">
            <v>203</v>
          </cell>
          <cell r="CE222">
            <v>191</v>
          </cell>
          <cell r="CF222">
            <v>223</v>
          </cell>
          <cell r="CG222">
            <v>138</v>
          </cell>
          <cell r="CH222">
            <v>209</v>
          </cell>
          <cell r="CI222">
            <v>370</v>
          </cell>
          <cell r="CJ222">
            <v>327</v>
          </cell>
          <cell r="CK222">
            <v>337</v>
          </cell>
          <cell r="CL222">
            <v>373</v>
          </cell>
          <cell r="CM222">
            <v>360</v>
          </cell>
          <cell r="CN222">
            <v>268</v>
          </cell>
          <cell r="CO222">
            <v>376</v>
          </cell>
          <cell r="CP222">
            <v>352</v>
          </cell>
          <cell r="CQ222">
            <v>402</v>
          </cell>
          <cell r="CR222">
            <v>311</v>
          </cell>
          <cell r="CS222">
            <v>316</v>
          </cell>
          <cell r="CW222">
            <v>1.1047120418848166</v>
          </cell>
          <cell r="CX222">
            <v>1.1454135482632892E-4</v>
          </cell>
          <cell r="CY222">
            <v>1.2653521397044712E-4</v>
          </cell>
          <cell r="CZ222">
            <v>4.2592102899290883E-4</v>
          </cell>
        </row>
        <row r="223">
          <cell r="B223" t="str">
            <v>Other</v>
          </cell>
          <cell r="L223">
            <v>8</v>
          </cell>
          <cell r="M223">
            <v>9</v>
          </cell>
          <cell r="N223">
            <v>11</v>
          </cell>
          <cell r="O223">
            <v>12</v>
          </cell>
          <cell r="P223">
            <v>14</v>
          </cell>
          <cell r="Q223">
            <v>6</v>
          </cell>
          <cell r="R223">
            <v>11</v>
          </cell>
          <cell r="S223">
            <v>33</v>
          </cell>
          <cell r="T223">
            <v>8</v>
          </cell>
          <cell r="U223">
            <v>34</v>
          </cell>
          <cell r="V223">
            <v>17</v>
          </cell>
          <cell r="W223">
            <v>22</v>
          </cell>
          <cell r="X223">
            <v>12</v>
          </cell>
          <cell r="Y223">
            <v>15</v>
          </cell>
          <cell r="Z223">
            <v>8</v>
          </cell>
          <cell r="AA223">
            <v>15</v>
          </cell>
          <cell r="AB223">
            <v>34</v>
          </cell>
          <cell r="AC223">
            <v>19</v>
          </cell>
          <cell r="AD223">
            <v>25</v>
          </cell>
          <cell r="AE223">
            <v>30</v>
          </cell>
          <cell r="AF223">
            <v>11</v>
          </cell>
          <cell r="AG223">
            <v>25</v>
          </cell>
          <cell r="AH223">
            <v>21</v>
          </cell>
          <cell r="AI223">
            <v>11</v>
          </cell>
          <cell r="AJ223">
            <v>2</v>
          </cell>
          <cell r="AK223">
            <v>10</v>
          </cell>
          <cell r="AL223">
            <v>9</v>
          </cell>
          <cell r="AM223">
            <v>13</v>
          </cell>
          <cell r="AN223">
            <v>22</v>
          </cell>
          <cell r="AO223">
            <v>5</v>
          </cell>
          <cell r="AP223">
            <v>8</v>
          </cell>
          <cell r="AQ223">
            <v>8</v>
          </cell>
          <cell r="AR223">
            <v>1</v>
          </cell>
          <cell r="AS223">
            <v>4</v>
          </cell>
          <cell r="AT223">
            <v>15</v>
          </cell>
          <cell r="AU223">
            <v>14</v>
          </cell>
          <cell r="AV223">
            <v>11</v>
          </cell>
          <cell r="AW223">
            <v>17</v>
          </cell>
          <cell r="AX223">
            <v>6</v>
          </cell>
          <cell r="AY223">
            <v>1</v>
          </cell>
          <cell r="AZ223">
            <v>5</v>
          </cell>
          <cell r="BA223">
            <v>4</v>
          </cell>
          <cell r="BB223">
            <v>7</v>
          </cell>
          <cell r="BC223">
            <v>8</v>
          </cell>
          <cell r="BD223">
            <v>4</v>
          </cell>
          <cell r="BE223">
            <v>5</v>
          </cell>
          <cell r="BF223">
            <v>8</v>
          </cell>
          <cell r="BG223">
            <v>25</v>
          </cell>
          <cell r="BH223">
            <v>7</v>
          </cell>
          <cell r="BI223">
            <v>8</v>
          </cell>
          <cell r="BJ223">
            <v>2</v>
          </cell>
          <cell r="BK223">
            <v>18</v>
          </cell>
          <cell r="BL223">
            <v>5</v>
          </cell>
          <cell r="BM223">
            <v>5</v>
          </cell>
          <cell r="BN223">
            <v>3</v>
          </cell>
          <cell r="BO223">
            <v>3</v>
          </cell>
          <cell r="BP223">
            <v>9</v>
          </cell>
          <cell r="BQ223">
            <v>5</v>
          </cell>
          <cell r="BR223">
            <v>2</v>
          </cell>
          <cell r="BS223">
            <v>8</v>
          </cell>
          <cell r="BT223">
            <v>2</v>
          </cell>
          <cell r="BU223">
            <v>1</v>
          </cell>
          <cell r="BV223">
            <v>7</v>
          </cell>
          <cell r="BW223">
            <v>21</v>
          </cell>
          <cell r="BX223">
            <v>12</v>
          </cell>
          <cell r="BY223">
            <v>12</v>
          </cell>
          <cell r="BZ223">
            <v>5</v>
          </cell>
          <cell r="CA223">
            <v>38</v>
          </cell>
          <cell r="CB223">
            <v>3</v>
          </cell>
          <cell r="CC223">
            <v>15</v>
          </cell>
          <cell r="CD223">
            <v>1</v>
          </cell>
          <cell r="CE223">
            <v>6</v>
          </cell>
          <cell r="CF223">
            <v>6</v>
          </cell>
          <cell r="CG223">
            <v>4</v>
          </cell>
          <cell r="CH223">
            <v>3</v>
          </cell>
          <cell r="CI223">
            <v>19</v>
          </cell>
          <cell r="CJ223">
            <v>5</v>
          </cell>
          <cell r="CK223">
            <v>7</v>
          </cell>
          <cell r="CL223">
            <v>3</v>
          </cell>
          <cell r="CM223">
            <v>3</v>
          </cell>
          <cell r="CN223">
            <v>4</v>
          </cell>
          <cell r="CO223">
            <v>4</v>
          </cell>
          <cell r="CP223">
            <v>1</v>
          </cell>
          <cell r="CQ223">
            <v>7</v>
          </cell>
          <cell r="CR223">
            <v>0</v>
          </cell>
          <cell r="CS223">
            <v>2</v>
          </cell>
          <cell r="CW223">
            <v>0.16666666666666674</v>
          </cell>
          <cell r="CX223">
            <v>3.5981577432354636E-6</v>
          </cell>
          <cell r="CY223">
            <v>5.9969295720591088E-7</v>
          </cell>
          <cell r="CZ223">
            <v>2.0185830757957774E-6</v>
          </cell>
        </row>
        <row r="225">
          <cell r="B225" t="str">
            <v>Visitor Arrivals by Method</v>
          </cell>
        </row>
        <row r="226">
          <cell r="B226" t="str">
            <v>Outer Harbour</v>
          </cell>
          <cell r="AV226">
            <v>418700</v>
          </cell>
          <cell r="AW226">
            <v>497704</v>
          </cell>
          <cell r="AX226">
            <v>422558</v>
          </cell>
          <cell r="AY226">
            <v>274974</v>
          </cell>
          <cell r="AZ226">
            <v>242932</v>
          </cell>
          <cell r="BA226">
            <v>352148</v>
          </cell>
          <cell r="BB226">
            <v>462398</v>
          </cell>
          <cell r="BC226">
            <v>610206</v>
          </cell>
          <cell r="BD226">
            <v>404074</v>
          </cell>
          <cell r="BE226">
            <v>431526</v>
          </cell>
          <cell r="BF226">
            <v>464783</v>
          </cell>
          <cell r="BG226">
            <v>504280</v>
          </cell>
          <cell r="BH226">
            <v>525727</v>
          </cell>
          <cell r="BI226">
            <v>393174</v>
          </cell>
          <cell r="BJ226">
            <v>495507</v>
          </cell>
          <cell r="BK226">
            <v>535072</v>
          </cell>
          <cell r="BL226">
            <v>466744</v>
          </cell>
          <cell r="BM226">
            <v>480947</v>
          </cell>
          <cell r="BN226">
            <v>599271</v>
          </cell>
          <cell r="BO226">
            <v>623527</v>
          </cell>
          <cell r="BP226">
            <v>457573</v>
          </cell>
          <cell r="BQ226">
            <v>506637</v>
          </cell>
          <cell r="BR226">
            <v>528097</v>
          </cell>
          <cell r="BS226">
            <v>555728</v>
          </cell>
          <cell r="BT226">
            <v>461140</v>
          </cell>
          <cell r="BU226">
            <v>556152</v>
          </cell>
          <cell r="BV226">
            <v>532147</v>
          </cell>
          <cell r="BW226">
            <v>523626</v>
          </cell>
          <cell r="BX226">
            <v>517613</v>
          </cell>
          <cell r="BY226">
            <v>487793</v>
          </cell>
          <cell r="BZ226">
            <v>597980</v>
          </cell>
          <cell r="CA226">
            <v>627549</v>
          </cell>
          <cell r="CB226">
            <v>491528</v>
          </cell>
          <cell r="CC226">
            <v>543620</v>
          </cell>
          <cell r="CD226">
            <v>567260</v>
          </cell>
          <cell r="CE226">
            <v>596787</v>
          </cell>
          <cell r="CF226">
            <v>576738</v>
          </cell>
          <cell r="CG226">
            <v>615970</v>
          </cell>
          <cell r="CH226">
            <v>596647</v>
          </cell>
          <cell r="CI226">
            <v>656641</v>
          </cell>
          <cell r="CJ226">
            <v>537279</v>
          </cell>
          <cell r="CK226">
            <v>518984</v>
          </cell>
          <cell r="CL226">
            <v>623401</v>
          </cell>
          <cell r="CM226">
            <v>646629</v>
          </cell>
          <cell r="CN226">
            <v>550668</v>
          </cell>
          <cell r="CO226">
            <v>623235</v>
          </cell>
          <cell r="CP226">
            <v>616083</v>
          </cell>
          <cell r="CQ226">
            <v>721827</v>
          </cell>
          <cell r="CR226">
            <v>615279</v>
          </cell>
          <cell r="CS226">
            <v>716057</v>
          </cell>
        </row>
        <row r="227">
          <cell r="B227" t="str">
            <v>Inner Harbour</v>
          </cell>
          <cell r="AV227">
            <v>12751</v>
          </cell>
          <cell r="AW227">
            <v>10373</v>
          </cell>
          <cell r="AX227">
            <v>13092</v>
          </cell>
          <cell r="AY227">
            <v>5235</v>
          </cell>
          <cell r="AZ227">
            <v>1778</v>
          </cell>
          <cell r="BA227">
            <v>4710</v>
          </cell>
          <cell r="BB227">
            <v>5558</v>
          </cell>
          <cell r="BC227">
            <v>5883</v>
          </cell>
          <cell r="BD227">
            <v>5445</v>
          </cell>
          <cell r="BE227">
            <v>7848</v>
          </cell>
          <cell r="BF227">
            <v>7922</v>
          </cell>
          <cell r="BG227">
            <v>7709</v>
          </cell>
          <cell r="BH227">
            <v>14264</v>
          </cell>
          <cell r="BI227">
            <v>9663</v>
          </cell>
          <cell r="BJ227">
            <v>10096</v>
          </cell>
          <cell r="BK227">
            <v>9975</v>
          </cell>
          <cell r="BL227">
            <v>11463</v>
          </cell>
          <cell r="BM227">
            <v>9014</v>
          </cell>
          <cell r="BN227">
            <v>9712</v>
          </cell>
          <cell r="BO227">
            <v>11515</v>
          </cell>
          <cell r="BP227">
            <v>11031</v>
          </cell>
          <cell r="BQ227">
            <v>15085</v>
          </cell>
          <cell r="BR227">
            <v>12623</v>
          </cell>
          <cell r="BS227">
            <v>12118</v>
          </cell>
          <cell r="BT227">
            <v>14149</v>
          </cell>
          <cell r="BU227">
            <v>16455</v>
          </cell>
          <cell r="BV227">
            <v>13108</v>
          </cell>
          <cell r="BW227">
            <v>12856</v>
          </cell>
          <cell r="BX227">
            <v>14510</v>
          </cell>
          <cell r="BY227">
            <v>11893</v>
          </cell>
          <cell r="BZ227">
            <v>13959</v>
          </cell>
          <cell r="CA227">
            <v>16046</v>
          </cell>
          <cell r="CB227">
            <v>16441</v>
          </cell>
          <cell r="CC227">
            <v>32097</v>
          </cell>
          <cell r="CD227">
            <v>27629</v>
          </cell>
          <cell r="CE227">
            <v>27557</v>
          </cell>
          <cell r="CF227">
            <v>34902</v>
          </cell>
          <cell r="CG227">
            <v>35573</v>
          </cell>
          <cell r="CH227">
            <v>30832</v>
          </cell>
          <cell r="CI227">
            <v>31179</v>
          </cell>
          <cell r="CJ227">
            <v>32615</v>
          </cell>
          <cell r="CK227">
            <v>25987</v>
          </cell>
          <cell r="CL227">
            <v>28481</v>
          </cell>
          <cell r="CM227">
            <v>28986</v>
          </cell>
          <cell r="CN227">
            <v>25508</v>
          </cell>
          <cell r="CO227">
            <v>33649</v>
          </cell>
          <cell r="CP227">
            <v>30244</v>
          </cell>
          <cell r="CQ227">
            <v>33797</v>
          </cell>
          <cell r="CR227">
            <v>40000</v>
          </cell>
          <cell r="CS227">
            <v>69087</v>
          </cell>
        </row>
        <row r="228">
          <cell r="B228" t="str">
            <v>Border Gate</v>
          </cell>
          <cell r="AV228">
            <v>481686</v>
          </cell>
          <cell r="AW228">
            <v>442682</v>
          </cell>
          <cell r="AX228">
            <v>441409</v>
          </cell>
          <cell r="AY228">
            <v>336629</v>
          </cell>
          <cell r="AZ228">
            <v>333555</v>
          </cell>
          <cell r="BA228">
            <v>425541</v>
          </cell>
          <cell r="BB228">
            <v>494710</v>
          </cell>
          <cell r="BC228">
            <v>557189</v>
          </cell>
          <cell r="BD228">
            <v>496125</v>
          </cell>
          <cell r="BE228">
            <v>574508</v>
          </cell>
          <cell r="BF228">
            <v>590685</v>
          </cell>
          <cell r="BG228">
            <v>615964</v>
          </cell>
          <cell r="BH228">
            <v>692180</v>
          </cell>
          <cell r="BI228">
            <v>626338</v>
          </cell>
          <cell r="BJ228">
            <v>687375</v>
          </cell>
          <cell r="BK228">
            <v>690010</v>
          </cell>
          <cell r="BL228">
            <v>742707</v>
          </cell>
          <cell r="BM228">
            <v>687420</v>
          </cell>
          <cell r="BN228">
            <v>770073</v>
          </cell>
          <cell r="BO228">
            <v>826519</v>
          </cell>
          <cell r="BP228">
            <v>706374</v>
          </cell>
          <cell r="BQ228">
            <v>821958</v>
          </cell>
          <cell r="BR228">
            <v>762312</v>
          </cell>
          <cell r="BS228">
            <v>797648</v>
          </cell>
          <cell r="BT228">
            <v>788281</v>
          </cell>
          <cell r="BU228">
            <v>799722</v>
          </cell>
          <cell r="BV228">
            <v>831479</v>
          </cell>
          <cell r="BW228">
            <v>801009</v>
          </cell>
          <cell r="BX228">
            <v>846354</v>
          </cell>
          <cell r="BY228">
            <v>779027</v>
          </cell>
          <cell r="BZ228">
            <v>881652</v>
          </cell>
          <cell r="CA228">
            <v>907290</v>
          </cell>
          <cell r="CB228">
            <v>823692</v>
          </cell>
          <cell r="CC228">
            <v>996220</v>
          </cell>
          <cell r="CD228">
            <v>929452</v>
          </cell>
          <cell r="CE228">
            <v>957636</v>
          </cell>
          <cell r="CF228">
            <v>971957</v>
          </cell>
          <cell r="CG228">
            <v>1020194</v>
          </cell>
          <cell r="CH228">
            <v>1080086</v>
          </cell>
          <cell r="CI228">
            <v>1074850</v>
          </cell>
          <cell r="CJ228">
            <v>1038715</v>
          </cell>
          <cell r="CK228">
            <v>954221</v>
          </cell>
          <cell r="CL228">
            <v>1046279</v>
          </cell>
          <cell r="CM228">
            <v>1138397</v>
          </cell>
          <cell r="CN228">
            <v>1074543</v>
          </cell>
          <cell r="CO228">
            <v>1221707</v>
          </cell>
          <cell r="CP228">
            <v>1195621</v>
          </cell>
          <cell r="CQ228">
            <v>1289519</v>
          </cell>
          <cell r="CR228">
            <v>1275615</v>
          </cell>
          <cell r="CS228">
            <v>1277422</v>
          </cell>
        </row>
        <row r="229">
          <cell r="B229" t="str">
            <v>Cotai Checkpoint</v>
          </cell>
          <cell r="AV229">
            <v>23104</v>
          </cell>
          <cell r="AW229">
            <v>19194</v>
          </cell>
          <cell r="AX229">
            <v>22595</v>
          </cell>
          <cell r="AY229">
            <v>13672</v>
          </cell>
          <cell r="AZ229">
            <v>6904</v>
          </cell>
          <cell r="BA229">
            <v>11730</v>
          </cell>
          <cell r="BB229">
            <v>20511</v>
          </cell>
          <cell r="BC229">
            <v>26423</v>
          </cell>
          <cell r="BD229">
            <v>26501</v>
          </cell>
          <cell r="BE229">
            <v>30446</v>
          </cell>
          <cell r="BF229">
            <v>31807</v>
          </cell>
          <cell r="BG229">
            <v>35116</v>
          </cell>
          <cell r="BH229">
            <v>44062</v>
          </cell>
          <cell r="BI229">
            <v>28988</v>
          </cell>
          <cell r="BJ229">
            <v>53268</v>
          </cell>
          <cell r="BK229">
            <v>48613</v>
          </cell>
          <cell r="BL229">
            <v>47569</v>
          </cell>
          <cell r="BM229">
            <v>51895</v>
          </cell>
          <cell r="BN229">
            <v>64435</v>
          </cell>
          <cell r="BO229">
            <v>75768</v>
          </cell>
          <cell r="BP229">
            <v>64390</v>
          </cell>
          <cell r="BQ229">
            <v>78685</v>
          </cell>
          <cell r="BR229">
            <v>70279</v>
          </cell>
          <cell r="BS229">
            <v>67344</v>
          </cell>
          <cell r="BT229">
            <v>64248</v>
          </cell>
          <cell r="BU229">
            <v>63305</v>
          </cell>
          <cell r="BV229">
            <v>72726</v>
          </cell>
          <cell r="BW229">
            <v>64896</v>
          </cell>
          <cell r="BX229">
            <v>70658</v>
          </cell>
          <cell r="BY229">
            <v>66765</v>
          </cell>
          <cell r="BZ229">
            <v>78911</v>
          </cell>
          <cell r="CA229">
            <v>89983</v>
          </cell>
          <cell r="CB229">
            <v>37885</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row>
        <row r="230">
          <cell r="B230" t="str">
            <v>Airport</v>
          </cell>
          <cell r="AV230">
            <v>49811</v>
          </cell>
          <cell r="AW230">
            <v>76713</v>
          </cell>
          <cell r="AX230">
            <v>60316</v>
          </cell>
          <cell r="AY230">
            <v>29502</v>
          </cell>
          <cell r="AZ230">
            <v>10677</v>
          </cell>
          <cell r="BA230">
            <v>20645</v>
          </cell>
          <cell r="BB230">
            <v>62214</v>
          </cell>
          <cell r="BC230">
            <v>72238</v>
          </cell>
          <cell r="BD230">
            <v>67665</v>
          </cell>
          <cell r="BE230">
            <v>69068</v>
          </cell>
          <cell r="BF230">
            <v>63212</v>
          </cell>
          <cell r="BG230">
            <v>58574</v>
          </cell>
          <cell r="BH230">
            <v>56360</v>
          </cell>
          <cell r="BI230">
            <v>51514</v>
          </cell>
          <cell r="BJ230">
            <v>59600</v>
          </cell>
          <cell r="BK230">
            <v>70135</v>
          </cell>
          <cell r="BL230">
            <v>57060</v>
          </cell>
          <cell r="BM230">
            <v>69898</v>
          </cell>
          <cell r="BN230">
            <v>79215</v>
          </cell>
          <cell r="BO230">
            <v>78848</v>
          </cell>
          <cell r="BP230">
            <v>72540</v>
          </cell>
          <cell r="BQ230">
            <v>85414</v>
          </cell>
          <cell r="BR230">
            <v>79480</v>
          </cell>
          <cell r="BS230">
            <v>84083</v>
          </cell>
          <cell r="BT230">
            <v>72658</v>
          </cell>
          <cell r="BU230">
            <v>86324</v>
          </cell>
          <cell r="BV230">
            <v>82463</v>
          </cell>
          <cell r="BW230">
            <v>90204</v>
          </cell>
          <cell r="BX230">
            <v>89374</v>
          </cell>
          <cell r="BY230">
            <v>86674</v>
          </cell>
          <cell r="BZ230">
            <v>91990</v>
          </cell>
          <cell r="CA230">
            <v>90482</v>
          </cell>
          <cell r="CB230">
            <v>83220</v>
          </cell>
          <cell r="CC230">
            <v>91064</v>
          </cell>
          <cell r="CD230">
            <v>80249</v>
          </cell>
          <cell r="CE230">
            <v>84838</v>
          </cell>
          <cell r="CF230">
            <v>76877</v>
          </cell>
          <cell r="CG230">
            <v>101133</v>
          </cell>
          <cell r="CH230">
            <v>104082</v>
          </cell>
          <cell r="CI230">
            <v>106776</v>
          </cell>
          <cell r="CJ230">
            <v>97630</v>
          </cell>
          <cell r="CK230">
            <v>97546</v>
          </cell>
          <cell r="CL230">
            <v>103416</v>
          </cell>
          <cell r="CM230">
            <v>107508</v>
          </cell>
          <cell r="CN230">
            <v>97500</v>
          </cell>
          <cell r="CO230">
            <v>111237</v>
          </cell>
          <cell r="CP230">
            <v>107635</v>
          </cell>
          <cell r="CQ230">
            <v>117774</v>
          </cell>
          <cell r="CR230">
            <v>106631</v>
          </cell>
          <cell r="CS230">
            <v>106686</v>
          </cell>
        </row>
        <row r="231">
          <cell r="B231" t="str">
            <v>Helicopter</v>
          </cell>
          <cell r="AV231">
            <v>1161</v>
          </cell>
          <cell r="AW231">
            <v>752</v>
          </cell>
          <cell r="AX231">
            <v>986</v>
          </cell>
          <cell r="AY231">
            <v>654</v>
          </cell>
          <cell r="AZ231">
            <v>782</v>
          </cell>
          <cell r="BA231">
            <v>1005</v>
          </cell>
          <cell r="BB231">
            <v>1417</v>
          </cell>
          <cell r="BC231">
            <v>1452</v>
          </cell>
          <cell r="BD231">
            <v>1238</v>
          </cell>
          <cell r="BE231">
            <v>1745</v>
          </cell>
          <cell r="BF231">
            <v>1217</v>
          </cell>
          <cell r="BG231">
            <v>1559</v>
          </cell>
          <cell r="BH231">
            <v>1298</v>
          </cell>
          <cell r="BI231">
            <v>892</v>
          </cell>
          <cell r="BJ231">
            <v>1141</v>
          </cell>
          <cell r="BK231">
            <v>1457</v>
          </cell>
          <cell r="BL231">
            <v>1869</v>
          </cell>
          <cell r="BM231">
            <v>1591</v>
          </cell>
          <cell r="BN231">
            <v>1267</v>
          </cell>
          <cell r="BO231">
            <v>1816</v>
          </cell>
          <cell r="BP231">
            <v>1353</v>
          </cell>
          <cell r="BQ231">
            <v>1624</v>
          </cell>
          <cell r="BR231">
            <v>1847</v>
          </cell>
          <cell r="BS231">
            <v>1481</v>
          </cell>
          <cell r="BT231">
            <v>963</v>
          </cell>
          <cell r="BU231">
            <v>632</v>
          </cell>
          <cell r="BV231">
            <v>1070</v>
          </cell>
          <cell r="BW231">
            <v>1101</v>
          </cell>
          <cell r="BX231">
            <v>1025</v>
          </cell>
          <cell r="BY231">
            <v>923</v>
          </cell>
          <cell r="BZ231">
            <v>1232</v>
          </cell>
          <cell r="CA231">
            <v>733</v>
          </cell>
          <cell r="CB231">
            <v>559</v>
          </cell>
          <cell r="CC231">
            <v>622</v>
          </cell>
          <cell r="CD231">
            <v>999</v>
          </cell>
          <cell r="CE231">
            <v>702</v>
          </cell>
          <cell r="CF231">
            <v>919</v>
          </cell>
          <cell r="CG231">
            <v>1056</v>
          </cell>
          <cell r="CH231">
            <v>1052</v>
          </cell>
          <cell r="CI231">
            <v>868</v>
          </cell>
          <cell r="CJ231">
            <v>916</v>
          </cell>
          <cell r="CK231">
            <v>255</v>
          </cell>
          <cell r="CL231">
            <v>671</v>
          </cell>
          <cell r="CM231">
            <v>723</v>
          </cell>
          <cell r="CN231">
            <v>604</v>
          </cell>
          <cell r="CO231">
            <v>1144</v>
          </cell>
          <cell r="CP231">
            <v>1049</v>
          </cell>
          <cell r="CQ231">
            <v>1281</v>
          </cell>
          <cell r="CR231">
            <v>1102</v>
          </cell>
          <cell r="CS231">
            <v>1212</v>
          </cell>
        </row>
        <row r="233">
          <cell r="B233" t="str">
            <v>Weather</v>
          </cell>
        </row>
        <row r="234">
          <cell r="B234" t="str">
            <v>Average Temperature</v>
          </cell>
          <cell r="AV234">
            <v>15.3</v>
          </cell>
          <cell r="AW234">
            <v>17.8</v>
          </cell>
          <cell r="AX234">
            <v>18.3</v>
          </cell>
          <cell r="AY234">
            <v>23.3</v>
          </cell>
          <cell r="AZ234">
            <v>26.4</v>
          </cell>
          <cell r="BA234">
            <v>27</v>
          </cell>
          <cell r="BB234">
            <v>29</v>
          </cell>
          <cell r="BC234">
            <v>28.4</v>
          </cell>
          <cell r="BD234">
            <v>27.2</v>
          </cell>
          <cell r="BE234">
            <v>24.9</v>
          </cell>
          <cell r="BF234">
            <v>21.5</v>
          </cell>
          <cell r="BG234">
            <v>16.8</v>
          </cell>
          <cell r="BH234">
            <v>14.6</v>
          </cell>
          <cell r="BI234">
            <v>16.399999999999999</v>
          </cell>
          <cell r="BJ234">
            <v>18.399999999999999</v>
          </cell>
          <cell r="BK234">
            <v>22.4</v>
          </cell>
          <cell r="BL234">
            <v>25.7</v>
          </cell>
          <cell r="BM234">
            <v>28.4</v>
          </cell>
          <cell r="BN234">
            <v>28</v>
          </cell>
          <cell r="BO234">
            <v>28.3</v>
          </cell>
          <cell r="BP234">
            <v>27.4</v>
          </cell>
          <cell r="BQ234">
            <v>24.4</v>
          </cell>
          <cell r="BR234">
            <v>21.9</v>
          </cell>
          <cell r="BS234">
            <v>18</v>
          </cell>
          <cell r="BT234">
            <v>14.4</v>
          </cell>
          <cell r="BU234">
            <v>14.8</v>
          </cell>
          <cell r="BV234">
            <v>16.2</v>
          </cell>
          <cell r="BW234">
            <v>22</v>
          </cell>
          <cell r="BX234">
            <v>26.5</v>
          </cell>
          <cell r="BY234">
            <v>27.1</v>
          </cell>
          <cell r="BZ234">
            <v>28.5</v>
          </cell>
          <cell r="CA234">
            <v>27.8</v>
          </cell>
          <cell r="CB234">
            <v>31.2</v>
          </cell>
          <cell r="CC234">
            <v>25.9</v>
          </cell>
          <cell r="CD234">
            <v>22.4</v>
          </cell>
          <cell r="CE234">
            <v>16.100000000000001</v>
          </cell>
          <cell r="CF234">
            <v>15.6</v>
          </cell>
          <cell r="CG234">
            <v>17.3</v>
          </cell>
          <cell r="CH234">
            <v>17.899999999999999</v>
          </cell>
          <cell r="CI234">
            <v>23.2</v>
          </cell>
          <cell r="CJ234">
            <v>25.3</v>
          </cell>
          <cell r="CK234">
            <v>27.4</v>
          </cell>
          <cell r="CL234">
            <v>31.4</v>
          </cell>
          <cell r="CM234">
            <v>31.3</v>
          </cell>
          <cell r="CN234">
            <v>26.3</v>
          </cell>
          <cell r="CO234">
            <v>26.4</v>
          </cell>
          <cell r="CP234">
            <v>22.8</v>
          </cell>
          <cell r="CQ234">
            <v>17.5</v>
          </cell>
          <cell r="CR234">
            <v>15.3</v>
          </cell>
          <cell r="CS234">
            <v>19.3</v>
          </cell>
        </row>
        <row r="235">
          <cell r="B235" t="str">
            <v>Average Windspeed</v>
          </cell>
          <cell r="AV235">
            <v>16.399999999999999</v>
          </cell>
          <cell r="AW235">
            <v>14.1</v>
          </cell>
          <cell r="AX235">
            <v>17</v>
          </cell>
          <cell r="AY235">
            <v>16.399999999999999</v>
          </cell>
          <cell r="AZ235">
            <v>17.600000000000001</v>
          </cell>
          <cell r="BA235">
            <v>15.6</v>
          </cell>
          <cell r="BB235">
            <v>16.600000000000001</v>
          </cell>
          <cell r="BC235">
            <v>14.1</v>
          </cell>
          <cell r="BD235">
            <v>16.600000000000001</v>
          </cell>
          <cell r="BE235">
            <v>15</v>
          </cell>
          <cell r="BF235">
            <v>17.5</v>
          </cell>
          <cell r="BG235">
            <v>16.7</v>
          </cell>
          <cell r="BH235">
            <v>17.7</v>
          </cell>
          <cell r="BI235">
            <v>14.8</v>
          </cell>
          <cell r="BJ235">
            <v>15.7</v>
          </cell>
          <cell r="BK235">
            <v>15.1</v>
          </cell>
          <cell r="BL235">
            <v>14.2</v>
          </cell>
          <cell r="BM235">
            <v>15.4</v>
          </cell>
          <cell r="BN235">
            <v>16.7</v>
          </cell>
          <cell r="BO235">
            <v>12.5</v>
          </cell>
          <cell r="BP235">
            <v>12.3</v>
          </cell>
          <cell r="BQ235">
            <v>15.2</v>
          </cell>
          <cell r="BR235">
            <v>15.4</v>
          </cell>
          <cell r="BS235">
            <v>16.3</v>
          </cell>
          <cell r="BT235">
            <v>14.3</v>
          </cell>
          <cell r="BU235">
            <v>16.100000000000001</v>
          </cell>
          <cell r="BV235">
            <v>15.4</v>
          </cell>
          <cell r="BW235">
            <v>14.1</v>
          </cell>
          <cell r="BX235">
            <v>16.600000000000001</v>
          </cell>
          <cell r="BY235">
            <v>15.7</v>
          </cell>
          <cell r="BZ235">
            <v>13.4</v>
          </cell>
          <cell r="CA235">
            <v>14.4</v>
          </cell>
          <cell r="CB235">
            <v>15.1</v>
          </cell>
          <cell r="CC235">
            <v>15.4</v>
          </cell>
          <cell r="CD235">
            <v>14.8</v>
          </cell>
          <cell r="CE235">
            <v>19.399999999999999</v>
          </cell>
          <cell r="CF235">
            <v>15.7</v>
          </cell>
          <cell r="CG235">
            <v>14</v>
          </cell>
          <cell r="CH235">
            <v>13.9</v>
          </cell>
          <cell r="CI235">
            <v>14.8</v>
          </cell>
          <cell r="CJ235">
            <v>16.899999999999999</v>
          </cell>
          <cell r="CK235">
            <v>14.8</v>
          </cell>
          <cell r="CL235">
            <v>15.4</v>
          </cell>
          <cell r="CM235">
            <v>14.7</v>
          </cell>
          <cell r="CN235">
            <v>14.3</v>
          </cell>
          <cell r="CO235">
            <v>12.1</v>
          </cell>
          <cell r="CP235">
            <v>14.3</v>
          </cell>
          <cell r="CQ235">
            <v>17.100000000000001</v>
          </cell>
          <cell r="CR235">
            <v>16.2</v>
          </cell>
          <cell r="CS235">
            <v>13</v>
          </cell>
        </row>
        <row r="236">
          <cell r="B236" t="str">
            <v>Sunshine %</v>
          </cell>
          <cell r="AV236">
            <v>53</v>
          </cell>
          <cell r="AW236">
            <v>30</v>
          </cell>
          <cell r="AX236">
            <v>19</v>
          </cell>
          <cell r="AY236">
            <v>28</v>
          </cell>
          <cell r="AZ236">
            <v>34</v>
          </cell>
          <cell r="BA236">
            <v>32</v>
          </cell>
          <cell r="BB236">
            <v>77</v>
          </cell>
          <cell r="BC236">
            <v>49</v>
          </cell>
          <cell r="BD236">
            <v>48</v>
          </cell>
          <cell r="BE236">
            <v>59</v>
          </cell>
          <cell r="BF236">
            <v>47</v>
          </cell>
          <cell r="BG236">
            <v>67</v>
          </cell>
          <cell r="BH236">
            <v>32</v>
          </cell>
          <cell r="BI236">
            <v>36</v>
          </cell>
          <cell r="BJ236">
            <v>17</v>
          </cell>
          <cell r="BK236">
            <v>26.1</v>
          </cell>
          <cell r="BL236">
            <v>37</v>
          </cell>
          <cell r="BM236">
            <v>55.5</v>
          </cell>
          <cell r="BN236">
            <v>40.6</v>
          </cell>
          <cell r="BO236">
            <v>42.3</v>
          </cell>
          <cell r="BP236">
            <v>56.3</v>
          </cell>
          <cell r="BQ236">
            <v>69.5</v>
          </cell>
          <cell r="BR236">
            <v>47</v>
          </cell>
          <cell r="BS236">
            <v>55.5</v>
          </cell>
          <cell r="BT236">
            <v>28.2</v>
          </cell>
          <cell r="BU236">
            <v>6.3</v>
          </cell>
          <cell r="BV236">
            <v>17.5</v>
          </cell>
          <cell r="BW236">
            <v>17.5</v>
          </cell>
          <cell r="BX236">
            <v>32.200000000000003</v>
          </cell>
          <cell r="BY236">
            <v>21.7</v>
          </cell>
          <cell r="BZ236">
            <v>53.2</v>
          </cell>
          <cell r="CA236">
            <v>48.8</v>
          </cell>
          <cell r="CB236">
            <v>47.9</v>
          </cell>
          <cell r="CC236">
            <v>53.6</v>
          </cell>
          <cell r="CD236">
            <v>57.6</v>
          </cell>
          <cell r="CE236">
            <v>43.4</v>
          </cell>
          <cell r="CF236">
            <v>26.4</v>
          </cell>
          <cell r="CG236">
            <v>26</v>
          </cell>
          <cell r="CH236">
            <v>15.1</v>
          </cell>
          <cell r="CI236">
            <v>21.4</v>
          </cell>
          <cell r="CJ236">
            <v>30.4</v>
          </cell>
          <cell r="CK236">
            <v>27.4</v>
          </cell>
          <cell r="CL236">
            <v>48</v>
          </cell>
          <cell r="CM236">
            <v>48.2</v>
          </cell>
          <cell r="CN236">
            <v>37.6</v>
          </cell>
          <cell r="CO236">
            <v>46</v>
          </cell>
          <cell r="CP236">
            <v>33.5</v>
          </cell>
          <cell r="CQ236">
            <v>56.6</v>
          </cell>
          <cell r="CR236">
            <v>40.799999999999997</v>
          </cell>
          <cell r="CS236">
            <v>33.799999999999997</v>
          </cell>
        </row>
        <row r="237">
          <cell r="B237" t="str">
            <v>Total Rainfall</v>
          </cell>
          <cell r="AV237">
            <v>8.6</v>
          </cell>
          <cell r="AW237">
            <v>3.6</v>
          </cell>
          <cell r="AX237">
            <v>34.6</v>
          </cell>
          <cell r="AY237">
            <v>70.2</v>
          </cell>
          <cell r="AZ237">
            <v>266.39999999999998</v>
          </cell>
          <cell r="BA237">
            <v>420.4</v>
          </cell>
          <cell r="BB237">
            <v>33</v>
          </cell>
          <cell r="BC237">
            <v>237.4</v>
          </cell>
          <cell r="BD237">
            <v>367.4</v>
          </cell>
          <cell r="BE237">
            <v>41.8</v>
          </cell>
          <cell r="BF237">
            <v>3.8</v>
          </cell>
          <cell r="BG237">
            <v>2.8</v>
          </cell>
          <cell r="BH237">
            <v>37.6</v>
          </cell>
          <cell r="BI237">
            <v>45</v>
          </cell>
          <cell r="BJ237">
            <v>56</v>
          </cell>
          <cell r="BK237">
            <v>71.599999999999994</v>
          </cell>
          <cell r="BL237">
            <v>357</v>
          </cell>
          <cell r="BM237">
            <v>74.2</v>
          </cell>
          <cell r="BN237">
            <v>165.2</v>
          </cell>
          <cell r="BO237">
            <v>519.4</v>
          </cell>
          <cell r="BP237">
            <v>188.4</v>
          </cell>
          <cell r="BQ237">
            <v>1.6</v>
          </cell>
          <cell r="BR237">
            <v>0</v>
          </cell>
          <cell r="BS237" t="str">
            <v>o</v>
          </cell>
          <cell r="BT237">
            <v>8</v>
          </cell>
          <cell r="BU237">
            <v>28</v>
          </cell>
          <cell r="BV237">
            <v>61.8</v>
          </cell>
          <cell r="BW237">
            <v>33.799999999999997</v>
          </cell>
          <cell r="BX237">
            <v>385.2</v>
          </cell>
          <cell r="BY237">
            <v>483.6</v>
          </cell>
          <cell r="BZ237">
            <v>192.4</v>
          </cell>
          <cell r="CA237">
            <v>416.4</v>
          </cell>
          <cell r="CB237">
            <v>187.6</v>
          </cell>
          <cell r="CC237">
            <v>1</v>
          </cell>
          <cell r="CD237">
            <v>99.4</v>
          </cell>
          <cell r="CE237">
            <v>1.6</v>
          </cell>
          <cell r="CF237">
            <v>14.2</v>
          </cell>
          <cell r="CG237">
            <v>61</v>
          </cell>
          <cell r="CH237">
            <v>69</v>
          </cell>
          <cell r="CI237">
            <v>96.8</v>
          </cell>
          <cell r="CJ237">
            <v>435</v>
          </cell>
          <cell r="CK237">
            <v>443.4</v>
          </cell>
          <cell r="CL237">
            <v>221.4</v>
          </cell>
          <cell r="CM237">
            <v>370.6</v>
          </cell>
          <cell r="CN237">
            <v>188.4</v>
          </cell>
          <cell r="CO237">
            <v>1</v>
          </cell>
          <cell r="CP237">
            <v>80.599999999999994</v>
          </cell>
          <cell r="CQ237">
            <v>16.399999999999999</v>
          </cell>
          <cell r="CR237">
            <v>16.8</v>
          </cell>
          <cell r="CS237">
            <v>14.2</v>
          </cell>
        </row>
        <row r="238">
          <cell r="B238" t="str">
            <v>Daily Max Rainfall</v>
          </cell>
          <cell r="AV238">
            <v>7.4</v>
          </cell>
          <cell r="AW238">
            <v>2</v>
          </cell>
          <cell r="AX238">
            <v>12</v>
          </cell>
          <cell r="AY238">
            <v>32.799999999999997</v>
          </cell>
          <cell r="AZ238">
            <v>142</v>
          </cell>
          <cell r="BA238">
            <v>94.8</v>
          </cell>
          <cell r="BB238">
            <v>11.8</v>
          </cell>
          <cell r="BC238">
            <v>30.4</v>
          </cell>
          <cell r="BD238">
            <v>95.6</v>
          </cell>
          <cell r="BE238">
            <v>40</v>
          </cell>
          <cell r="BF238">
            <v>2</v>
          </cell>
          <cell r="BG238">
            <v>1.4</v>
          </cell>
          <cell r="BH238">
            <v>14.4</v>
          </cell>
          <cell r="BI238">
            <v>16.399999999999999</v>
          </cell>
          <cell r="BJ238">
            <v>28.4</v>
          </cell>
          <cell r="BK238">
            <v>26.6</v>
          </cell>
          <cell r="BL238">
            <v>177.6</v>
          </cell>
          <cell r="BM238">
            <v>39</v>
          </cell>
          <cell r="BN238">
            <v>33.200000000000003</v>
          </cell>
          <cell r="BO238">
            <v>167.2</v>
          </cell>
          <cell r="BP238">
            <v>82.6</v>
          </cell>
          <cell r="BQ238">
            <v>1</v>
          </cell>
          <cell r="BR238">
            <v>0</v>
          </cell>
          <cell r="BS238" t="str">
            <v>o</v>
          </cell>
          <cell r="BT238">
            <v>3.6</v>
          </cell>
          <cell r="BU238">
            <v>7.4</v>
          </cell>
          <cell r="BV238">
            <v>13.6</v>
          </cell>
          <cell r="BW238">
            <v>10.199999999999999</v>
          </cell>
          <cell r="BX238">
            <v>87.8</v>
          </cell>
          <cell r="BY238">
            <v>81.2</v>
          </cell>
          <cell r="BZ238">
            <v>43.8</v>
          </cell>
          <cell r="CA238">
            <v>167.4</v>
          </cell>
          <cell r="CB238">
            <v>47.6</v>
          </cell>
          <cell r="CC238">
            <v>0.6</v>
          </cell>
          <cell r="CD238">
            <v>79</v>
          </cell>
          <cell r="CE238">
            <v>0.8</v>
          </cell>
          <cell r="CF238">
            <v>10</v>
          </cell>
          <cell r="CG238">
            <v>35.200000000000003</v>
          </cell>
          <cell r="CH238">
            <v>24.4</v>
          </cell>
          <cell r="CI238">
            <v>75.599999999999994</v>
          </cell>
          <cell r="CJ238">
            <v>130.19999999999999</v>
          </cell>
          <cell r="CK238">
            <v>123.2</v>
          </cell>
          <cell r="CL238">
            <v>67.400000000000006</v>
          </cell>
          <cell r="CM238">
            <v>113.2</v>
          </cell>
          <cell r="CN238">
            <v>52.8</v>
          </cell>
          <cell r="CO238">
            <v>0.6</v>
          </cell>
          <cell r="CP238">
            <v>59</v>
          </cell>
          <cell r="CQ238">
            <v>11.2</v>
          </cell>
          <cell r="CR238">
            <v>15.2</v>
          </cell>
          <cell r="CS238">
            <v>6.4</v>
          </cell>
        </row>
        <row r="240">
          <cell r="B240" t="str">
            <v>Total Airport Passengers</v>
          </cell>
          <cell r="L240">
            <v>184381</v>
          </cell>
          <cell r="M240">
            <v>264066</v>
          </cell>
          <cell r="N240">
            <v>226483</v>
          </cell>
          <cell r="O240">
            <v>296541</v>
          </cell>
          <cell r="P240">
            <v>288949</v>
          </cell>
          <cell r="Q240">
            <v>271181</v>
          </cell>
          <cell r="R240">
            <v>304276</v>
          </cell>
          <cell r="S240">
            <v>300418</v>
          </cell>
          <cell r="T240">
            <v>280803</v>
          </cell>
          <cell r="U240">
            <v>298873</v>
          </cell>
          <cell r="V240">
            <v>265528</v>
          </cell>
          <cell r="W240">
            <v>257929</v>
          </cell>
          <cell r="X240">
            <v>265603</v>
          </cell>
          <cell r="Y240">
            <v>249259</v>
          </cell>
          <cell r="Z240">
            <v>312319</v>
          </cell>
          <cell r="AA240">
            <v>351793</v>
          </cell>
          <cell r="AB240">
            <v>338692</v>
          </cell>
          <cell r="AC240">
            <v>332630</v>
          </cell>
          <cell r="AD240">
            <v>344658</v>
          </cell>
          <cell r="AE240">
            <v>360899</v>
          </cell>
          <cell r="AF240">
            <v>291817</v>
          </cell>
          <cell r="AG240">
            <v>327232</v>
          </cell>
          <cell r="AH240">
            <v>315538</v>
          </cell>
          <cell r="AI240">
            <v>314866</v>
          </cell>
          <cell r="AJ240">
            <v>268783</v>
          </cell>
          <cell r="AK240">
            <v>323654</v>
          </cell>
          <cell r="AL240">
            <v>360668</v>
          </cell>
          <cell r="AM240">
            <v>380648</v>
          </cell>
          <cell r="AN240">
            <v>359547</v>
          </cell>
          <cell r="AO240">
            <v>326508</v>
          </cell>
          <cell r="AP240">
            <v>388061</v>
          </cell>
          <cell r="AQ240">
            <v>384719</v>
          </cell>
          <cell r="AR240">
            <v>334029</v>
          </cell>
          <cell r="AS240">
            <v>372706</v>
          </cell>
          <cell r="AT240">
            <v>350324</v>
          </cell>
          <cell r="AU240">
            <v>322056</v>
          </cell>
          <cell r="AV240">
            <v>290140</v>
          </cell>
          <cell r="AW240">
            <v>323264</v>
          </cell>
          <cell r="AX240">
            <v>295052</v>
          </cell>
          <cell r="AY240">
            <v>144082</v>
          </cell>
          <cell r="AZ240">
            <v>47333</v>
          </cell>
          <cell r="BA240">
            <v>94294</v>
          </cell>
          <cell r="BB240">
            <v>272784</v>
          </cell>
          <cell r="BC240">
            <v>333840</v>
          </cell>
          <cell r="BD240">
            <v>295447</v>
          </cell>
          <cell r="BE240">
            <v>291193</v>
          </cell>
          <cell r="BF240">
            <v>268282</v>
          </cell>
          <cell r="BG240">
            <v>249855</v>
          </cell>
          <cell r="BH240">
            <v>288507</v>
          </cell>
          <cell r="BI240">
            <v>207710</v>
          </cell>
          <cell r="BJ240">
            <v>273910</v>
          </cell>
          <cell r="BK240">
            <v>324931</v>
          </cell>
          <cell r="BL240">
            <v>250601</v>
          </cell>
          <cell r="BM240">
            <v>296000</v>
          </cell>
          <cell r="BN240">
            <v>365454</v>
          </cell>
          <cell r="BO240">
            <v>372802</v>
          </cell>
          <cell r="BP240">
            <v>321456</v>
          </cell>
          <cell r="BQ240">
            <v>358362</v>
          </cell>
          <cell r="BR240">
            <v>327593</v>
          </cell>
          <cell r="BS240">
            <v>326933</v>
          </cell>
          <cell r="BT240">
            <v>289701</v>
          </cell>
          <cell r="BU240">
            <v>348723</v>
          </cell>
          <cell r="BV240">
            <v>321953</v>
          </cell>
          <cell r="BW240">
            <v>367976</v>
          </cell>
          <cell r="BX240">
            <v>359298</v>
          </cell>
          <cell r="BY240">
            <v>360147</v>
          </cell>
          <cell r="BZ240">
            <v>416131</v>
          </cell>
          <cell r="CA240">
            <v>409281</v>
          </cell>
          <cell r="CB240">
            <v>354751</v>
          </cell>
          <cell r="CC240">
            <v>390435</v>
          </cell>
          <cell r="CD240">
            <v>323347</v>
          </cell>
          <cell r="CE240">
            <v>308999</v>
          </cell>
          <cell r="CF240">
            <v>323282</v>
          </cell>
          <cell r="CG240">
            <v>360820</v>
          </cell>
          <cell r="CH240">
            <v>389125</v>
          </cell>
          <cell r="CI240">
            <v>431656</v>
          </cell>
          <cell r="CJ240">
            <v>399492</v>
          </cell>
          <cell r="CK240">
            <v>393601</v>
          </cell>
          <cell r="CL240">
            <v>465497</v>
          </cell>
          <cell r="CM240">
            <v>478474</v>
          </cell>
          <cell r="CN240">
            <v>412444</v>
          </cell>
          <cell r="CO240">
            <v>461215</v>
          </cell>
          <cell r="CP240">
            <v>425116</v>
          </cell>
          <cell r="CQ240">
            <v>435114</v>
          </cell>
        </row>
        <row r="241">
          <cell r="B241" t="str">
            <v>Growth</v>
          </cell>
          <cell r="X241">
            <v>0.4405117663967546</v>
          </cell>
          <cell r="Y241">
            <v>-5.607310293638712E-2</v>
          </cell>
          <cell r="Z241">
            <v>0.37899533298304955</v>
          </cell>
          <cell r="AA241">
            <v>0.18632162163073573</v>
          </cell>
          <cell r="AB241">
            <v>0.17215148694060201</v>
          </cell>
          <cell r="AC241">
            <v>0.22659773361703062</v>
          </cell>
          <cell r="AD241">
            <v>0.1327150350339823</v>
          </cell>
          <cell r="AE241">
            <v>0.2013228235325446</v>
          </cell>
          <cell r="AF241">
            <v>3.9223227672068983E-2</v>
          </cell>
          <cell r="AG241">
            <v>9.4886456789338602E-2</v>
          </cell>
          <cell r="AH241">
            <v>0.18834171914073083</v>
          </cell>
          <cell r="AI241">
            <v>0.22074679466054614</v>
          </cell>
          <cell r="AJ241">
            <v>1.1972756331818601E-2</v>
          </cell>
          <cell r="AK241">
            <v>0.29846464922028892</v>
          </cell>
          <cell r="AL241">
            <v>0.15480646390389308</v>
          </cell>
          <cell r="AM241">
            <v>8.2022666738678751E-2</v>
          </cell>
          <cell r="AN241">
            <v>6.1575118396655304E-2</v>
          </cell>
          <cell r="AO241">
            <v>-1.8404834200162368E-2</v>
          </cell>
          <cell r="AP241">
            <v>0.12593063268515459</v>
          </cell>
          <cell r="AQ241">
            <v>6.6001845391646885E-2</v>
          </cell>
          <cell r="AR241">
            <v>0.14465229921491884</v>
          </cell>
          <cell r="AS241">
            <v>0.13896562683356151</v>
          </cell>
          <cell r="AT241">
            <v>0.11024345720642215</v>
          </cell>
          <cell r="AU241">
            <v>2.2835110809042547E-2</v>
          </cell>
          <cell r="AV241">
            <v>7.945815025503844E-2</v>
          </cell>
          <cell r="AW241">
            <v>-1.204990514561799E-3</v>
          </cell>
          <cell r="AX241">
            <v>-0.18192908713831002</v>
          </cell>
          <cell r="AY241">
            <v>-0.621482314369181</v>
          </cell>
          <cell r="AZ241">
            <v>-0.86835378962972853</v>
          </cell>
          <cell r="BA241">
            <v>-0.71120462592034506</v>
          </cell>
          <cell r="BB241">
            <v>-0.29705896753345484</v>
          </cell>
          <cell r="BC241">
            <v>-0.13224977191144704</v>
          </cell>
          <cell r="BD241">
            <v>-0.11550494118774124</v>
          </cell>
          <cell r="BE241">
            <v>-0.21870589687313857</v>
          </cell>
          <cell r="BF241">
            <v>-0.23418892225482701</v>
          </cell>
          <cell r="BG241">
            <v>-0.22418771890602873</v>
          </cell>
          <cell r="BH241">
            <v>-5.6283173640311324E-3</v>
          </cell>
          <cell r="BI241">
            <v>-0.35746015640467232</v>
          </cell>
          <cell r="BJ241">
            <v>-7.1655165869067172E-2</v>
          </cell>
          <cell r="BK241">
            <v>1.2551810774420122</v>
          </cell>
          <cell r="BL241">
            <v>4.2944246086240048</v>
          </cell>
          <cell r="BM241">
            <v>2.13911807750228</v>
          </cell>
          <cell r="BN241">
            <v>0.33971933837761736</v>
          </cell>
          <cell r="BO241">
            <v>0.11670860292355623</v>
          </cell>
          <cell r="BP241">
            <v>8.8032709758433914E-2</v>
          </cell>
          <cell r="BQ241">
            <v>0.23066831963680445</v>
          </cell>
          <cell r="BR241">
            <v>0.22107707561446532</v>
          </cell>
          <cell r="BS241">
            <v>0.30849092473634698</v>
          </cell>
          <cell r="BT241">
            <v>4.1385477648723246E-3</v>
          </cell>
          <cell r="BU241">
            <v>0.67889364980020228</v>
          </cell>
          <cell r="BV241">
            <v>0.17539702822094849</v>
          </cell>
          <cell r="BW241">
            <v>0.13247427915465138</v>
          </cell>
          <cell r="BX241">
            <v>0.43374527635564109</v>
          </cell>
          <cell r="BY241">
            <v>0.21671283783783779</v>
          </cell>
          <cell r="BZ241">
            <v>0.13866861492828098</v>
          </cell>
          <cell r="CA241">
            <v>9.7850869898766568E-2</v>
          </cell>
          <cell r="CB241">
            <v>0.10357560599273308</v>
          </cell>
          <cell r="CC241">
            <v>8.9498886600699823E-2</v>
          </cell>
          <cell r="CD241">
            <v>-1.2961204909750834E-2</v>
          </cell>
          <cell r="CE241">
            <v>-5.4855276157500188E-2</v>
          </cell>
          <cell r="CF241">
            <v>0.11591606518444886</v>
          </cell>
          <cell r="CG241">
            <v>3.4689423984079149E-2</v>
          </cell>
          <cell r="CH241">
            <v>0.20863914919258408</v>
          </cell>
          <cell r="CI241">
            <v>0.1730547644411593</v>
          </cell>
          <cell r="CJ241">
            <v>0.11186814287861324</v>
          </cell>
          <cell r="CK241">
            <v>9.2889847756610466E-2</v>
          </cell>
          <cell r="CL241">
            <v>0.11863091190033903</v>
          </cell>
          <cell r="CM241">
            <v>0.16905988794984372</v>
          </cell>
          <cell r="CN241">
            <v>0.16262956270736373</v>
          </cell>
          <cell r="CO241">
            <v>0.18128497701281909</v>
          </cell>
          <cell r="CP241">
            <v>0.31473618125419445</v>
          </cell>
          <cell r="CQ241">
            <v>0.40814047941902731</v>
          </cell>
        </row>
        <row r="244">
          <cell r="B244" t="str">
            <v>Sources:</v>
          </cell>
        </row>
        <row r="245">
          <cell r="B245" t="str">
            <v>Gaming Data</v>
          </cell>
          <cell r="C245" t="str">
            <v>e_bme_pub_</v>
          </cell>
          <cell r="D245" t="str">
            <v>Monthly Bulletin of Statistics</v>
          </cell>
        </row>
        <row r="246">
          <cell r="B246" t="str">
            <v>Preliminary gaming tax</v>
          </cell>
          <cell r="C246" t="str">
            <v>DSF</v>
          </cell>
          <cell r="D246" t="str">
            <v>Public Finance Report</v>
          </cell>
        </row>
        <row r="247">
          <cell r="B247" t="str">
            <v>Hotel stats</v>
          </cell>
          <cell r="C247" t="str">
            <v>e_eoh_fr_</v>
          </cell>
          <cell r="D247" t="str">
            <v>Package Tour and Hotel Occupancy Rate</v>
          </cell>
        </row>
        <row r="248">
          <cell r="B248" t="str">
            <v>Non-Resident Workers</v>
          </cell>
          <cell r="C248" t="str">
            <v>e_bme_pub_</v>
          </cell>
          <cell r="D248" t="str">
            <v>Monthly Bulletin of Statistics</v>
          </cell>
        </row>
        <row r="249">
          <cell r="B249" t="str">
            <v>Construction Employment</v>
          </cell>
          <cell r="C249" t="str">
            <v>e_issc_pub</v>
          </cell>
          <cell r="D249" t="str">
            <v>Indices and Daily Wages of Construction Worker</v>
          </cell>
        </row>
        <row r="250">
          <cell r="B250" t="str">
            <v>Hotel Employment</v>
          </cell>
          <cell r="C250" t="str">
            <v>e_neci_fr_</v>
          </cell>
          <cell r="D250" t="str">
            <v>Manpower Needs and Wages Survey</v>
          </cell>
        </row>
        <row r="251">
          <cell r="B251" t="str">
            <v>Gaming Employment</v>
          </cell>
          <cell r="C251" t="str">
            <v>e_necJ_fr_</v>
          </cell>
          <cell r="D251" t="str">
            <v>Manpower Needs and Wages Survey</v>
          </cell>
        </row>
        <row r="252">
          <cell r="B252" t="str">
            <v>Non-Gaming Spend</v>
          </cell>
          <cell r="C252" t="str">
            <v>e_idv_fr</v>
          </cell>
          <cell r="D252" t="str">
            <v>Visitor Expenditure Report</v>
          </cell>
        </row>
        <row r="253">
          <cell r="B253" t="str">
            <v>Per-Diem Spend</v>
          </cell>
          <cell r="C253" t="str">
            <v>e_idv_fr</v>
          </cell>
          <cell r="D253" t="str">
            <v>Visitor Expenditure Report</v>
          </cell>
        </row>
        <row r="254">
          <cell r="B254" t="str">
            <v>Overnight Guests</v>
          </cell>
          <cell r="C254" t="str">
            <v>e_bme_pub_</v>
          </cell>
          <cell r="D254" t="str">
            <v>Monthly Bulletin of Statistics</v>
          </cell>
        </row>
        <row r="255">
          <cell r="B255" t="str">
            <v>Overnight Guests</v>
          </cell>
          <cell r="C255" t="str">
            <v>e_eoh_fr_</v>
          </cell>
          <cell r="D255" t="str">
            <v>Package Tour and Hotel Occupancy Rate</v>
          </cell>
        </row>
        <row r="256">
          <cell r="B256" t="str">
            <v>Same Day Visitors</v>
          </cell>
          <cell r="C256" t="str">
            <v>e_bme_pub_</v>
          </cell>
          <cell r="D256" t="str">
            <v>Monthly Bulletin of Statistics</v>
          </cell>
        </row>
        <row r="257">
          <cell r="B257" t="str">
            <v>Same Day Visitors</v>
          </cell>
          <cell r="C257" t="str">
            <v>e_mv_fr_</v>
          </cell>
          <cell r="D257" t="str">
            <v>Visitor Arrivals</v>
          </cell>
        </row>
        <row r="258">
          <cell r="B258" t="str">
            <v>FIT Visitors</v>
          </cell>
          <cell r="C258" t="str">
            <v>PDF</v>
          </cell>
          <cell r="D258" t="str">
            <v>Visitor Arrivals</v>
          </cell>
        </row>
        <row r="259">
          <cell r="B259" t="str">
            <v>FIT Visitors</v>
          </cell>
          <cell r="C259" t="str">
            <v>e_bet_pub_</v>
          </cell>
          <cell r="D259" t="str">
            <v>Economic Bulletin</v>
          </cell>
        </row>
        <row r="260">
          <cell r="B260" t="str">
            <v>Visitor Arrivals</v>
          </cell>
          <cell r="C260" t="str">
            <v>e_mv_fr_</v>
          </cell>
          <cell r="D260" t="str">
            <v>Visitor Arrivals</v>
          </cell>
        </row>
        <row r="261">
          <cell r="B261" t="str">
            <v>Visitor Arrivals in Package Tours</v>
          </cell>
          <cell r="C261" t="str">
            <v>e_bme_pub_</v>
          </cell>
          <cell r="D261" t="str">
            <v>Monthly Bulletin of Statistics</v>
          </cell>
        </row>
        <row r="262">
          <cell r="B262" t="str">
            <v>Visitor Arrivals in Package Tours</v>
          </cell>
          <cell r="C262" t="str">
            <v>e_eoh_fr_</v>
          </cell>
          <cell r="D262" t="str">
            <v>Package Tour and Hotel Occupancy Rate</v>
          </cell>
        </row>
        <row r="263">
          <cell r="B263" t="str">
            <v>Visitor Arrivals by Method</v>
          </cell>
          <cell r="C263" t="str">
            <v>e_mv_fr_</v>
          </cell>
          <cell r="D263" t="str">
            <v>Visitor Arrivals</v>
          </cell>
        </row>
        <row r="264">
          <cell r="B264" t="str">
            <v>Weather</v>
          </cell>
          <cell r="C264" t="str">
            <v>e_bme_pub_</v>
          </cell>
          <cell r="D264" t="str">
            <v>Monthly Bulletin of Statistics</v>
          </cell>
        </row>
        <row r="265">
          <cell r="B265" t="str">
            <v>Total Airport Passengers</v>
          </cell>
          <cell r="C265" t="str">
            <v>http://www.macau-airport.com/en/h02/04_traffic_stat.php</v>
          </cell>
        </row>
      </sheetData>
      <sheetData sheetId="3" refreshError="1"/>
      <sheetData sheetId="4" refreshError="1"/>
      <sheetData sheetId="5" refreshError="1">
        <row r="2">
          <cell r="B2" t="str">
            <v>Visitor Penetration</v>
          </cell>
        </row>
        <row r="3">
          <cell r="B3" t="str">
            <v>(mm)</v>
          </cell>
          <cell r="C3">
            <v>2000</v>
          </cell>
          <cell r="D3">
            <v>2001</v>
          </cell>
          <cell r="E3">
            <v>2002</v>
          </cell>
          <cell r="F3">
            <v>2003</v>
          </cell>
          <cell r="G3">
            <v>2004</v>
          </cell>
          <cell r="H3">
            <v>2005</v>
          </cell>
          <cell r="I3">
            <v>2006</v>
          </cell>
          <cell r="J3" t="str">
            <v>2007E</v>
          </cell>
          <cell r="K3" t="str">
            <v>2008E</v>
          </cell>
          <cell r="L3" t="str">
            <v>2009E</v>
          </cell>
          <cell r="M3" t="str">
            <v>2010E</v>
          </cell>
          <cell r="N3" t="str">
            <v>2011E</v>
          </cell>
          <cell r="O3" t="str">
            <v>2012E</v>
          </cell>
          <cell r="P3" t="str">
            <v>2013E</v>
          </cell>
          <cell r="Q3" t="str">
            <v>2014E</v>
          </cell>
          <cell r="R3" t="str">
            <v>2015E</v>
          </cell>
          <cell r="S3" t="str">
            <v>2016E</v>
          </cell>
          <cell r="T3" t="str">
            <v>2017E</v>
          </cell>
          <cell r="U3" t="str">
            <v>2018E</v>
          </cell>
          <cell r="V3" t="str">
            <v>2019E</v>
          </cell>
          <cell r="W3" t="str">
            <v>2020E</v>
          </cell>
        </row>
        <row r="5">
          <cell r="B5" t="str">
            <v>China Population</v>
          </cell>
          <cell r="C5">
            <v>1267.43</v>
          </cell>
          <cell r="D5">
            <v>1276.27</v>
          </cell>
          <cell r="E5">
            <v>1284.53</v>
          </cell>
          <cell r="F5">
            <v>1292.27</v>
          </cell>
          <cell r="G5">
            <v>1299.8800000000001</v>
          </cell>
          <cell r="H5">
            <v>1306.3794</v>
          </cell>
          <cell r="I5">
            <v>1312.9112969999999</v>
          </cell>
          <cell r="J5">
            <v>1319.4758534849998</v>
          </cell>
          <cell r="K5">
            <v>1326.0732327524247</v>
          </cell>
          <cell r="L5">
            <v>1332.7035989161866</v>
          </cell>
          <cell r="M5">
            <v>1339.3671169107674</v>
          </cell>
          <cell r="N5">
            <v>1346.063952495321</v>
          </cell>
          <cell r="O5">
            <v>1352.7942722577975</v>
          </cell>
          <cell r="P5">
            <v>1359.5582436190864</v>
          </cell>
          <cell r="Q5">
            <v>1366.3560348371816</v>
          </cell>
          <cell r="R5">
            <v>1373.1878150113673</v>
          </cell>
          <cell r="S5">
            <v>1380.0537540864241</v>
          </cell>
          <cell r="T5">
            <v>1386.954022856856</v>
          </cell>
          <cell r="U5">
            <v>1393.8887929711402</v>
          </cell>
          <cell r="V5">
            <v>1400.8582369359958</v>
          </cell>
          <cell r="W5">
            <v>1407.8625281206757</v>
          </cell>
        </row>
        <row r="6">
          <cell r="B6" t="str">
            <v xml:space="preserve">  Urban Population</v>
          </cell>
          <cell r="C6">
            <v>459.06</v>
          </cell>
          <cell r="D6">
            <v>480.64</v>
          </cell>
          <cell r="E6">
            <v>502.12</v>
          </cell>
          <cell r="F6">
            <v>523.76</v>
          </cell>
          <cell r="G6">
            <v>542.83000000000004</v>
          </cell>
          <cell r="H6">
            <v>564.54320000000007</v>
          </cell>
          <cell r="I6">
            <v>587.12492800000007</v>
          </cell>
          <cell r="J6">
            <v>610.60992512000007</v>
          </cell>
          <cell r="K6">
            <v>635.03432212480004</v>
          </cell>
          <cell r="L6">
            <v>660.43569500979208</v>
          </cell>
          <cell r="M6">
            <v>686.85312281018378</v>
          </cell>
          <cell r="N6">
            <v>707.45871649448929</v>
          </cell>
          <cell r="O6">
            <v>728.68247798932396</v>
          </cell>
          <cell r="P6">
            <v>750.5429523290037</v>
          </cell>
          <cell r="Q6">
            <v>773.05924089887378</v>
          </cell>
          <cell r="R6">
            <v>796.25101812584001</v>
          </cell>
          <cell r="S6">
            <v>820.13854866961526</v>
          </cell>
          <cell r="T6">
            <v>844.74270512970372</v>
          </cell>
          <cell r="U6">
            <v>870.08498628359484</v>
          </cell>
          <cell r="V6">
            <v>896.18753587210267</v>
          </cell>
          <cell r="W6">
            <v>923.07316194826581</v>
          </cell>
        </row>
        <row r="7">
          <cell r="B7" t="str">
            <v xml:space="preserve">  Covered Under IVS Program</v>
          </cell>
          <cell r="C7">
            <v>0</v>
          </cell>
          <cell r="D7">
            <v>0</v>
          </cell>
          <cell r="E7">
            <v>0</v>
          </cell>
          <cell r="F7">
            <v>53.99</v>
          </cell>
          <cell r="G7">
            <v>157.501823</v>
          </cell>
          <cell r="H7">
            <v>229.114823</v>
          </cell>
          <cell r="I7">
            <v>244.32482300000001</v>
          </cell>
          <cell r="J7">
            <v>344.32482300000004</v>
          </cell>
          <cell r="K7">
            <v>444.32482300000004</v>
          </cell>
          <cell r="L7">
            <v>544.32482300000004</v>
          </cell>
          <cell r="M7">
            <v>644.32482300000004</v>
          </cell>
          <cell r="N7">
            <v>707.45871649448929</v>
          </cell>
          <cell r="O7">
            <v>728.68247798932396</v>
          </cell>
          <cell r="P7">
            <v>750.5429523290037</v>
          </cell>
          <cell r="Q7">
            <v>773.05924089887378</v>
          </cell>
          <cell r="R7">
            <v>796.25101812584001</v>
          </cell>
          <cell r="S7">
            <v>820.13854866961526</v>
          </cell>
          <cell r="T7">
            <v>844.74270512970372</v>
          </cell>
          <cell r="U7">
            <v>870.08498628359484</v>
          </cell>
          <cell r="V7">
            <v>896.18753587210267</v>
          </cell>
          <cell r="W7">
            <v>923.07316194826581</v>
          </cell>
        </row>
        <row r="9">
          <cell r="B9" t="str">
            <v>Macau Visitors from China</v>
          </cell>
          <cell r="C9">
            <v>2.2747129999999998</v>
          </cell>
          <cell r="D9">
            <v>3.005722</v>
          </cell>
          <cell r="E9">
            <v>4.2404460000000004</v>
          </cell>
          <cell r="F9">
            <v>5.7420359999999997</v>
          </cell>
          <cell r="G9">
            <v>9.5297389999999993</v>
          </cell>
          <cell r="H9">
            <v>10.462966</v>
          </cell>
          <cell r="I9">
            <v>11.985617</v>
          </cell>
          <cell r="J9">
            <v>14.484650159144822</v>
          </cell>
          <cell r="K9">
            <v>17.638701722452655</v>
          </cell>
          <cell r="L9">
            <v>21.558132326615485</v>
          </cell>
          <cell r="M9">
            <v>26.21178215894642</v>
          </cell>
          <cell r="N9">
            <v>30.904491640661544</v>
          </cell>
          <cell r="O9">
            <v>35.722262498083758</v>
          </cell>
          <cell r="P9">
            <v>40.647239202574539</v>
          </cell>
          <cell r="Q9">
            <v>45.727146924343032</v>
          </cell>
          <cell r="R9">
            <v>51.078950400418123</v>
          </cell>
          <cell r="S9">
            <v>56.714428297171473</v>
          </cell>
          <cell r="T9">
            <v>62.645821663158742</v>
          </cell>
          <cell r="U9">
            <v>68.885851074934806</v>
          </cell>
          <cell r="V9">
            <v>75.447734395510523</v>
          </cell>
          <cell r="W9">
            <v>82.345205166779223</v>
          </cell>
        </row>
        <row r="10">
          <cell r="B10" t="str">
            <v xml:space="preserve">  Package Tour Visitors</v>
          </cell>
          <cell r="C10">
            <v>0.94642400000000004</v>
          </cell>
          <cell r="D10">
            <v>0.98857499999999998</v>
          </cell>
          <cell r="E10">
            <v>1.4252050000000001</v>
          </cell>
          <cell r="F10">
            <v>1.2582150000000001</v>
          </cell>
          <cell r="G10">
            <v>2.0682459999999998</v>
          </cell>
          <cell r="H10">
            <v>2.2787450000000002</v>
          </cell>
          <cell r="I10">
            <v>2.2941310000000001</v>
          </cell>
          <cell r="J10">
            <v>2.8676637500000002</v>
          </cell>
          <cell r="K10">
            <v>3.5845796875000002</v>
          </cell>
          <cell r="L10">
            <v>4.1222666406249999</v>
          </cell>
          <cell r="M10">
            <v>4.6169386375000006</v>
          </cell>
          <cell r="N10">
            <v>5.032463114875001</v>
          </cell>
          <cell r="O10">
            <v>5.3344109017675017</v>
          </cell>
          <cell r="P10">
            <v>5.4944432288205265</v>
          </cell>
          <cell r="Q10">
            <v>5.5493876611087316</v>
          </cell>
          <cell r="R10">
            <v>5.6048815377198187</v>
          </cell>
          <cell r="S10">
            <v>5.660930353097017</v>
          </cell>
          <cell r="T10">
            <v>5.717539656627987</v>
          </cell>
          <cell r="U10">
            <v>5.7747150531942673</v>
          </cell>
          <cell r="V10">
            <v>5.8324622037262097</v>
          </cell>
          <cell r="W10">
            <v>5.8907868257634721</v>
          </cell>
        </row>
        <row r="11">
          <cell r="B11" t="str">
            <v xml:space="preserve">  Total Individuals</v>
          </cell>
          <cell r="C11">
            <v>1.3282889999999998</v>
          </cell>
          <cell r="D11">
            <v>2.017147</v>
          </cell>
          <cell r="E11">
            <v>2.8152410000000003</v>
          </cell>
          <cell r="F11">
            <v>4.4838209999999998</v>
          </cell>
          <cell r="G11">
            <v>7.461492999999999</v>
          </cell>
          <cell r="H11">
            <v>8.1842209999999991</v>
          </cell>
          <cell r="I11">
            <v>9.6914859999999994</v>
          </cell>
          <cell r="J11">
            <v>11.616986409144822</v>
          </cell>
          <cell r="K11">
            <v>14.054122034952655</v>
          </cell>
          <cell r="L11">
            <v>17.435865685990485</v>
          </cell>
          <cell r="M11">
            <v>21.594843521446421</v>
          </cell>
          <cell r="N11">
            <v>25.872028525786543</v>
          </cell>
          <cell r="O11">
            <v>30.387851596316256</v>
          </cell>
          <cell r="P11">
            <v>35.15279597375401</v>
          </cell>
          <cell r="Q11">
            <v>40.1777592632343</v>
          </cell>
          <cell r="R11">
            <v>45.474068862698303</v>
          </cell>
          <cell r="S11">
            <v>51.053497944074458</v>
          </cell>
          <cell r="T11">
            <v>56.928282006530758</v>
          </cell>
          <cell r="U11">
            <v>63.111136021740535</v>
          </cell>
          <cell r="V11">
            <v>69.615272191784314</v>
          </cell>
          <cell r="W11">
            <v>76.454418341015753</v>
          </cell>
        </row>
        <row r="13">
          <cell r="B13" t="str">
            <v xml:space="preserve">  Non-IVS Individual Visitors</v>
          </cell>
          <cell r="C13">
            <v>1.3282889999999998</v>
          </cell>
          <cell r="D13">
            <v>2.017147</v>
          </cell>
          <cell r="E13">
            <v>2.8152410000000003</v>
          </cell>
          <cell r="F13">
            <v>3.875521</v>
          </cell>
          <cell r="G13">
            <v>3.9427409999999989</v>
          </cell>
          <cell r="H13">
            <v>2.8527119999999995</v>
          </cell>
          <cell r="I13">
            <v>3.9166359999999996</v>
          </cell>
          <cell r="J13">
            <v>3.7208041999999995</v>
          </cell>
          <cell r="K13">
            <v>3.5347639899999992</v>
          </cell>
          <cell r="L13">
            <v>3.5701116298999991</v>
          </cell>
          <cell r="M13">
            <v>3.6058127461989993</v>
          </cell>
          <cell r="N13">
            <v>3.6418708736609893</v>
          </cell>
          <cell r="O13">
            <v>3.6782895823975994</v>
          </cell>
          <cell r="P13">
            <v>3.7150724782215754</v>
          </cell>
          <cell r="Q13">
            <v>3.752223203003791</v>
          </cell>
          <cell r="R13">
            <v>3.7897454350338289</v>
          </cell>
          <cell r="S13">
            <v>3.8276428893841672</v>
          </cell>
          <cell r="T13">
            <v>3.8659193182780087</v>
          </cell>
          <cell r="U13">
            <v>3.9045785114607887</v>
          </cell>
          <cell r="V13">
            <v>3.9436242965753965</v>
          </cell>
          <cell r="W13">
            <v>3.9830605395411505</v>
          </cell>
        </row>
        <row r="14">
          <cell r="B14" t="str">
            <v xml:space="preserve">  IVS Individual Visitors</v>
          </cell>
          <cell r="C14">
            <v>0</v>
          </cell>
          <cell r="D14">
            <v>0</v>
          </cell>
          <cell r="E14">
            <v>0</v>
          </cell>
          <cell r="F14">
            <v>0.60830000000000006</v>
          </cell>
          <cell r="G14">
            <v>3.5187520000000001</v>
          </cell>
          <cell r="H14">
            <v>5.3315089999999996</v>
          </cell>
          <cell r="I14">
            <v>5.7748499999999998</v>
          </cell>
          <cell r="J14">
            <v>7.8961822091448219</v>
          </cell>
          <cell r="K14">
            <v>10.519358044952657</v>
          </cell>
          <cell r="L14">
            <v>13.865754056090488</v>
          </cell>
          <cell r="M14">
            <v>17.989030775247421</v>
          </cell>
          <cell r="N14">
            <v>22.230157652125556</v>
          </cell>
          <cell r="O14">
            <v>26.709562013918656</v>
          </cell>
          <cell r="P14">
            <v>31.437723495532431</v>
          </cell>
          <cell r="Q14">
            <v>36.425536060230506</v>
          </cell>
          <cell r="R14">
            <v>41.684323427664474</v>
          </cell>
          <cell r="S14">
            <v>47.225855054690292</v>
          </cell>
          <cell r="T14">
            <v>53.062362688252747</v>
          </cell>
          <cell r="U14">
            <v>59.206557510279744</v>
          </cell>
          <cell r="V14">
            <v>65.67164789520892</v>
          </cell>
          <cell r="W14">
            <v>72.471357801474596</v>
          </cell>
        </row>
        <row r="16">
          <cell r="B16" t="str">
            <v>Total Visitor Growth</v>
          </cell>
          <cell r="D16">
            <v>0.32136317856362551</v>
          </cell>
          <cell r="E16">
            <v>0.41079115101130448</v>
          </cell>
          <cell r="F16">
            <v>0.3541113364018782</v>
          </cell>
          <cell r="G16">
            <v>0.65964459296319289</v>
          </cell>
          <cell r="H16">
            <v>9.7927865600516473E-2</v>
          </cell>
          <cell r="I16">
            <v>0.14552766395303207</v>
          </cell>
          <cell r="J16">
            <v>0.20850267108859089</v>
          </cell>
          <cell r="K16">
            <v>0.21775131112272916</v>
          </cell>
          <cell r="L16">
            <v>0.22220629759693189</v>
          </cell>
          <cell r="M16">
            <v>0.21586516688115776</v>
          </cell>
          <cell r="N16">
            <v>0.17903053875768005</v>
          </cell>
          <cell r="O16">
            <v>0.15589225389759842</v>
          </cell>
          <cell r="P16">
            <v>0.13786855479142646</v>
          </cell>
          <cell r="Q16">
            <v>0.12497546749612298</v>
          </cell>
          <cell r="R16">
            <v>0.11703777375242352</v>
          </cell>
          <cell r="S16">
            <v>0.11032877247037587</v>
          </cell>
          <cell r="T16">
            <v>0.10458349919191701</v>
          </cell>
          <cell r="U16">
            <v>9.9608070356681955E-2</v>
          </cell>
          <cell r="V16">
            <v>9.5257345567780316E-2</v>
          </cell>
          <cell r="W16">
            <v>9.1420515493691568E-2</v>
          </cell>
        </row>
        <row r="17">
          <cell r="B17" t="str">
            <v xml:space="preserve">  Package Tour Growth</v>
          </cell>
          <cell r="D17">
            <v>4.4537120783073814E-2</v>
          </cell>
          <cell r="E17">
            <v>0.44167615001390903</v>
          </cell>
          <cell r="F17">
            <v>-0.11716910900537114</v>
          </cell>
          <cell r="G17">
            <v>0.6437937872303221</v>
          </cell>
          <cell r="H17">
            <v>0.10177657783455185</v>
          </cell>
          <cell r="I17">
            <v>6.7519621546070496E-3</v>
          </cell>
          <cell r="J17">
            <v>0.25</v>
          </cell>
          <cell r="K17">
            <v>0.25</v>
          </cell>
          <cell r="L17">
            <v>0.15</v>
          </cell>
          <cell r="M17">
            <v>0.12</v>
          </cell>
          <cell r="N17">
            <v>0.09</v>
          </cell>
          <cell r="O17">
            <v>0.06</v>
          </cell>
          <cell r="P17">
            <v>0.03</v>
          </cell>
          <cell r="Q17">
            <v>0.01</v>
          </cell>
          <cell r="R17">
            <v>0.01</v>
          </cell>
          <cell r="S17">
            <v>0.01</v>
          </cell>
          <cell r="T17">
            <v>0.01</v>
          </cell>
          <cell r="U17">
            <v>0.01</v>
          </cell>
          <cell r="V17">
            <v>0.01</v>
          </cell>
          <cell r="W17">
            <v>0.01</v>
          </cell>
        </row>
        <row r="18">
          <cell r="B18" t="str">
            <v xml:space="preserve">  Total Individual Growth</v>
          </cell>
          <cell r="D18">
            <v>0.51860551431202118</v>
          </cell>
          <cell r="E18">
            <v>0.39565485311680315</v>
          </cell>
          <cell r="F18">
            <v>0.5926952612582721</v>
          </cell>
          <cell r="G18">
            <v>0.66409252287279075</v>
          </cell>
          <cell r="H18">
            <v>9.6861043761617083E-2</v>
          </cell>
          <cell r="I18">
            <v>0.18416719196610165</v>
          </cell>
          <cell r="J18">
            <v>0.19867958423969467</v>
          </cell>
          <cell r="K18">
            <v>0.20979069269542538</v>
          </cell>
          <cell r="L18">
            <v>0.24062290356006732</v>
          </cell>
          <cell r="M18">
            <v>0.23853004550256585</v>
          </cell>
          <cell r="N18">
            <v>0.19806510753793316</v>
          </cell>
          <cell r="O18">
            <v>0.17454460774224989</v>
          </cell>
          <cell r="P18">
            <v>0.15680425325018299</v>
          </cell>
          <cell r="Q18">
            <v>0.14294633329400197</v>
          </cell>
          <cell r="R18">
            <v>0.1318219257764961</v>
          </cell>
          <cell r="S18">
            <v>0.12269474056131524</v>
          </cell>
          <cell r="T18">
            <v>0.11507113712152917</v>
          </cell>
          <cell r="U18">
            <v>0.10860777450653591</v>
          </cell>
          <cell r="V18">
            <v>0.10305845497382959</v>
          </cell>
          <cell r="W18">
            <v>9.8242037040236818E-2</v>
          </cell>
        </row>
        <row r="20">
          <cell r="B20" t="str">
            <v xml:space="preserve">  Non-IVS Individual Growth</v>
          </cell>
          <cell r="D20">
            <v>0.51860551431202118</v>
          </cell>
          <cell r="E20">
            <v>0.39565485311680315</v>
          </cell>
          <cell r="F20">
            <v>0.37662139759970792</v>
          </cell>
          <cell r="G20">
            <v>1.7344764742598162E-2</v>
          </cell>
          <cell r="H20">
            <v>-0.27646477412541171</v>
          </cell>
          <cell r="I20">
            <v>0.37295177361051524</v>
          </cell>
          <cell r="J20">
            <v>-0.05</v>
          </cell>
          <cell r="K20">
            <v>-0.05</v>
          </cell>
          <cell r="L20">
            <v>0.01</v>
          </cell>
          <cell r="M20">
            <v>0.01</v>
          </cell>
          <cell r="N20">
            <v>0.01</v>
          </cell>
          <cell r="O20">
            <v>0.01</v>
          </cell>
          <cell r="P20">
            <v>0.01</v>
          </cell>
          <cell r="Q20">
            <v>0.01</v>
          </cell>
          <cell r="R20">
            <v>0.01</v>
          </cell>
          <cell r="S20">
            <v>0.01</v>
          </cell>
          <cell r="T20">
            <v>0.01</v>
          </cell>
          <cell r="U20">
            <v>0.01</v>
          </cell>
          <cell r="V20">
            <v>0.01</v>
          </cell>
          <cell r="W20">
            <v>0.01</v>
          </cell>
        </row>
        <row r="21">
          <cell r="B21" t="str">
            <v xml:space="preserve">  IVS Individual Growth</v>
          </cell>
          <cell r="D21" t="str">
            <v>N.M.</v>
          </cell>
          <cell r="E21" t="str">
            <v>N.M.</v>
          </cell>
          <cell r="F21" t="str">
            <v>N.M.</v>
          </cell>
          <cell r="G21">
            <v>4.7845668255794838</v>
          </cell>
          <cell r="H21">
            <v>0.51517043542710583</v>
          </cell>
          <cell r="I21">
            <v>8.3154881666710256E-2</v>
          </cell>
          <cell r="J21">
            <v>0.36733979395911964</v>
          </cell>
          <cell r="K21">
            <v>0.33220811859810562</v>
          </cell>
          <cell r="L21">
            <v>0.31811789244529809</v>
          </cell>
          <cell r="M21">
            <v>0.29737125745035109</v>
          </cell>
          <cell r="N21">
            <v>0.23576183341205059</v>
          </cell>
          <cell r="O21">
            <v>0.20150124132677028</v>
          </cell>
          <cell r="P21">
            <v>0.17702130342496347</v>
          </cell>
          <cell r="Q21">
            <v>0.15865692582374447</v>
          </cell>
          <cell r="R21">
            <v>0.14437089844713435</v>
          </cell>
          <cell r="S21">
            <v>0.13294042391361183</v>
          </cell>
          <cell r="T21">
            <v>0.12358712461221599</v>
          </cell>
          <cell r="U21">
            <v>0.11579195706238754</v>
          </cell>
          <cell r="V21">
            <v>0.10919551240260295</v>
          </cell>
          <cell r="W21">
            <v>0.10354102758493067</v>
          </cell>
        </row>
        <row r="23">
          <cell r="B23" t="str">
            <v>Overall Penetration Rate</v>
          </cell>
          <cell r="C23">
            <v>1.7947444829300235E-3</v>
          </cell>
          <cell r="D23">
            <v>2.3550831720560695E-3</v>
          </cell>
          <cell r="E23">
            <v>3.3011654068024884E-3</v>
          </cell>
          <cell r="F23">
            <v>4.4433717411995945E-3</v>
          </cell>
          <cell r="G23">
            <v>7.3312451918638635E-3</v>
          </cell>
          <cell r="H23">
            <v>8.0091327220867068E-3</v>
          </cell>
          <cell r="I23">
            <v>9.1290379078823643E-3</v>
          </cell>
          <cell r="J23">
            <v>1.0977578802134168E-2</v>
          </cell>
          <cell r="K23">
            <v>1.330145371069847E-2</v>
          </cell>
          <cell r="L23">
            <v>1.6176239295930102E-2</v>
          </cell>
          <cell r="M23">
            <v>1.9570274518463278E-2</v>
          </cell>
          <cell r="N23">
            <v>2.2959155531482051E-2</v>
          </cell>
          <cell r="O23">
            <v>2.6406278641661993E-2</v>
          </cell>
          <cell r="P23">
            <v>2.9897387179510099E-2</v>
          </cell>
          <cell r="Q23">
            <v>3.3466494645952215E-2</v>
          </cell>
          <cell r="R23">
            <v>3.7197351915036682E-2</v>
          </cell>
          <cell r="S23">
            <v>4.109581103579231E-2</v>
          </cell>
          <cell r="T23">
            <v>4.5167915180144555E-2</v>
          </cell>
          <cell r="U23">
            <v>4.9419904530619937E-2</v>
          </cell>
          <cell r="V23">
            <v>5.3858222342706381E-2</v>
          </cell>
          <cell r="W23">
            <v>5.8489521186915881E-2</v>
          </cell>
        </row>
        <row r="24">
          <cell r="B24" t="str">
            <v xml:space="preserve">  IVS Penetration Rate</v>
          </cell>
          <cell r="C24" t="str">
            <v>N.M.</v>
          </cell>
          <cell r="D24" t="str">
            <v>N.M.</v>
          </cell>
          <cell r="E24" t="str">
            <v>N.M.</v>
          </cell>
          <cell r="F24">
            <v>1.1266901278014448E-2</v>
          </cell>
          <cell r="G24">
            <v>2.234102395119579E-2</v>
          </cell>
          <cell r="H24">
            <v>2.3270030852608779E-2</v>
          </cell>
          <cell r="I24">
            <v>2.3635952864273637E-2</v>
          </cell>
          <cell r="J24">
            <v>2.2932364098375856E-2</v>
          </cell>
          <cell r="K24">
            <v>2.3674927666493789E-2</v>
          </cell>
          <cell r="L24">
            <v>2.5473308344952122E-2</v>
          </cell>
          <cell r="M24">
            <v>2.7919195618585409E-2</v>
          </cell>
          <cell r="N24">
            <v>3.1422551074467842E-2</v>
          </cell>
          <cell r="O24">
            <v>3.6654596234589276E-2</v>
          </cell>
          <cell r="P24">
            <v>4.1886641394710704E-2</v>
          </cell>
          <cell r="Q24">
            <v>4.7118686554832145E-2</v>
          </cell>
          <cell r="R24">
            <v>5.2350731714953559E-2</v>
          </cell>
          <cell r="S24">
            <v>5.7582776875075001E-2</v>
          </cell>
          <cell r="T24">
            <v>6.2814822035196421E-2</v>
          </cell>
          <cell r="U24">
            <v>6.804686719531787E-2</v>
          </cell>
          <cell r="V24">
            <v>7.3278912355439291E-2</v>
          </cell>
          <cell r="W24">
            <v>7.8510957515560725E-2</v>
          </cell>
        </row>
        <row r="28">
          <cell r="B28" t="str">
            <v>China Total Population Growth</v>
          </cell>
          <cell r="D28">
            <v>6.974744167330682E-3</v>
          </cell>
          <cell r="E28">
            <v>6.4719847681133924E-3</v>
          </cell>
          <cell r="F28">
            <v>6.025550201240959E-3</v>
          </cell>
          <cell r="G28">
            <v>5.8888622346724429E-3</v>
          </cell>
          <cell r="H28">
            <v>4.9999999999998934E-3</v>
          </cell>
          <cell r="I28">
            <v>4.9999999999998934E-3</v>
          </cell>
          <cell r="J28">
            <v>4.9999999999998934E-3</v>
          </cell>
          <cell r="K28">
            <v>4.9999999999998934E-3</v>
          </cell>
          <cell r="L28">
            <v>4.9999999999998934E-3</v>
          </cell>
          <cell r="M28">
            <v>4.9999999999998934E-3</v>
          </cell>
          <cell r="N28">
            <v>4.9999999999998934E-3</v>
          </cell>
          <cell r="O28">
            <v>4.9999999999998934E-3</v>
          </cell>
          <cell r="P28">
            <v>4.9999999999998934E-3</v>
          </cell>
          <cell r="Q28">
            <v>4.9999999999998934E-3</v>
          </cell>
          <cell r="R28">
            <v>4.9999999999998934E-3</v>
          </cell>
          <cell r="S28">
            <v>4.9999999999998934E-3</v>
          </cell>
          <cell r="T28">
            <v>4.9999999999998934E-3</v>
          </cell>
          <cell r="U28">
            <v>4.9999999999998934E-3</v>
          </cell>
          <cell r="V28">
            <v>4.9999999999998934E-3</v>
          </cell>
          <cell r="W28">
            <v>4.9999999999998934E-3</v>
          </cell>
        </row>
        <row r="29">
          <cell r="B29" t="str">
            <v>Urban Population Growth</v>
          </cell>
          <cell r="D29">
            <v>4.7009105563542875E-2</v>
          </cell>
          <cell r="E29">
            <v>4.4690412782956157E-2</v>
          </cell>
          <cell r="F29">
            <v>4.3097267585437748E-2</v>
          </cell>
          <cell r="G29">
            <v>3.6409806018023572E-2</v>
          </cell>
          <cell r="H29">
            <v>4.0000000000000036E-2</v>
          </cell>
          <cell r="I29">
            <v>4.0000000000000036E-2</v>
          </cell>
          <cell r="J29">
            <v>4.0000000000000036E-2</v>
          </cell>
          <cell r="K29">
            <v>4.0000000000000036E-2</v>
          </cell>
          <cell r="L29">
            <v>4.0000000000000036E-2</v>
          </cell>
          <cell r="M29">
            <v>4.0000000000000036E-2</v>
          </cell>
          <cell r="N29">
            <v>3.0000000000000027E-2</v>
          </cell>
          <cell r="O29">
            <v>3.0000000000000027E-2</v>
          </cell>
          <cell r="P29">
            <v>3.0000000000000027E-2</v>
          </cell>
          <cell r="Q29">
            <v>3.0000000000000027E-2</v>
          </cell>
          <cell r="R29">
            <v>3.0000000000000027E-2</v>
          </cell>
          <cell r="S29">
            <v>3.0000000000000027E-2</v>
          </cell>
          <cell r="T29">
            <v>3.0000000000000027E-2</v>
          </cell>
          <cell r="U29">
            <v>3.0000000000000027E-2</v>
          </cell>
          <cell r="V29">
            <v>3.0000000000000027E-2</v>
          </cell>
          <cell r="W29">
            <v>3.0000000000000027E-2</v>
          </cell>
        </row>
        <row r="30">
          <cell r="B30" t="str">
            <v>IVS Population Growth</v>
          </cell>
          <cell r="D30" t="str">
            <v>N.M.</v>
          </cell>
          <cell r="E30" t="str">
            <v>N.M.</v>
          </cell>
          <cell r="F30" t="str">
            <v>N.M.</v>
          </cell>
          <cell r="G30">
            <v>1.9172406556769772</v>
          </cell>
          <cell r="H30">
            <v>0.45468045153991654</v>
          </cell>
          <cell r="I30">
            <v>6.6385927374066123E-2</v>
          </cell>
          <cell r="J30">
            <v>0.40929120001859176</v>
          </cell>
          <cell r="K30">
            <v>0.29042344123995956</v>
          </cell>
          <cell r="L30">
            <v>0.22506057465981377</v>
          </cell>
          <cell r="M30">
            <v>0.18371383367904937</v>
          </cell>
          <cell r="N30">
            <v>9.7984574302966587E-2</v>
          </cell>
          <cell r="O30">
            <v>3.0000000000000027E-2</v>
          </cell>
          <cell r="P30">
            <v>3.0000000000000027E-2</v>
          </cell>
          <cell r="Q30">
            <v>3.0000000000000027E-2</v>
          </cell>
          <cell r="R30">
            <v>3.0000000000000027E-2</v>
          </cell>
          <cell r="S30">
            <v>3.0000000000000027E-2</v>
          </cell>
          <cell r="T30">
            <v>3.0000000000000027E-2</v>
          </cell>
          <cell r="U30">
            <v>3.0000000000000027E-2</v>
          </cell>
          <cell r="V30">
            <v>3.0000000000000027E-2</v>
          </cell>
          <cell r="W30">
            <v>3.0000000000000027E-2</v>
          </cell>
        </row>
        <row r="32">
          <cell r="B32" t="str">
            <v>Urban Share</v>
          </cell>
          <cell r="C32">
            <v>0.36219751781163456</v>
          </cell>
          <cell r="D32">
            <v>0.3765974284438246</v>
          </cell>
          <cell r="E32">
            <v>0.39089783811977924</v>
          </cell>
          <cell r="F32">
            <v>0.40530229750748681</v>
          </cell>
          <cell r="G32">
            <v>0.41760008616179956</v>
          </cell>
          <cell r="H32">
            <v>0.43214337274454884</v>
          </cell>
          <cell r="I32">
            <v>0.4471931419446078</v>
          </cell>
          <cell r="J32">
            <v>0.46276703246009165</v>
          </cell>
          <cell r="K32">
            <v>0.47888329727213469</v>
          </cell>
          <cell r="L32">
            <v>0.49556082503783105</v>
          </cell>
          <cell r="M32">
            <v>0.51281916222820334</v>
          </cell>
          <cell r="N32">
            <v>0.52557585780601945</v>
          </cell>
          <cell r="O32">
            <v>0.53864988411960202</v>
          </cell>
          <cell r="P32">
            <v>0.5520491349683484</v>
          </cell>
          <cell r="Q32">
            <v>0.56578170051482479</v>
          </cell>
          <cell r="R32">
            <v>0.57985587216942247</v>
          </cell>
          <cell r="S32">
            <v>0.59428014759652259</v>
          </cell>
          <cell r="T32">
            <v>0.6090632358451924</v>
          </cell>
          <cell r="U32">
            <v>0.62421406260751067</v>
          </cell>
          <cell r="V32">
            <v>0.63974177560769752</v>
          </cell>
          <cell r="W32">
            <v>0.65565575012530208</v>
          </cell>
        </row>
        <row r="33">
          <cell r="B33" t="str">
            <v>IVS Share of Urban</v>
          </cell>
          <cell r="C33">
            <v>0</v>
          </cell>
          <cell r="D33">
            <v>0</v>
          </cell>
          <cell r="E33">
            <v>0</v>
          </cell>
          <cell r="F33">
            <v>0.10308156407514893</v>
          </cell>
          <cell r="G33">
            <v>0.29014944457749203</v>
          </cell>
          <cell r="H33">
            <v>0.40584108178080963</v>
          </cell>
          <cell r="I33">
            <v>0.41613770996281046</v>
          </cell>
          <cell r="J33">
            <v>0.56390308908315179</v>
          </cell>
          <cell r="K33">
            <v>0.69968631225050404</v>
          </cell>
          <cell r="L33">
            <v>0.82419049593000804</v>
          </cell>
          <cell r="M33">
            <v>0.93808239578764108</v>
          </cell>
          <cell r="N33">
            <v>1</v>
          </cell>
          <cell r="O33">
            <v>1</v>
          </cell>
          <cell r="P33">
            <v>1</v>
          </cell>
          <cell r="Q33">
            <v>1</v>
          </cell>
          <cell r="R33">
            <v>1</v>
          </cell>
          <cell r="S33">
            <v>1</v>
          </cell>
          <cell r="T33">
            <v>1</v>
          </cell>
          <cell r="U33">
            <v>1</v>
          </cell>
          <cell r="V33">
            <v>1</v>
          </cell>
          <cell r="W33">
            <v>1</v>
          </cell>
        </row>
        <row r="35">
          <cell r="B35" t="str">
            <v>Same-Day Visitors</v>
          </cell>
          <cell r="C35">
            <v>0.25054900000000002</v>
          </cell>
          <cell r="D35">
            <v>0.27160299999999998</v>
          </cell>
          <cell r="E35">
            <v>0.68967800000000001</v>
          </cell>
          <cell r="F35">
            <v>2.1733669999999998</v>
          </cell>
          <cell r="G35">
            <v>4.317132</v>
          </cell>
          <cell r="H35">
            <v>4.8472390000000001</v>
          </cell>
          <cell r="I35">
            <v>5.5526463682920317</v>
          </cell>
          <cell r="J35">
            <v>6.7103879676912834</v>
          </cell>
          <cell r="K35">
            <v>8.1715837457982463</v>
          </cell>
          <cell r="L35">
            <v>9.987361115455343</v>
          </cell>
          <cell r="M35">
            <v>12.143284489345497</v>
          </cell>
        </row>
        <row r="36">
          <cell r="B36" t="str">
            <v xml:space="preserve">  Growth</v>
          </cell>
          <cell r="D36">
            <v>8.4031466898690343E-2</v>
          </cell>
          <cell r="E36">
            <v>1.5392871212762747</v>
          </cell>
          <cell r="F36">
            <v>2.1512778427034061</v>
          </cell>
          <cell r="G36">
            <v>0.98637965884270828</v>
          </cell>
          <cell r="H36">
            <v>0.12279147359867615</v>
          </cell>
          <cell r="I36">
            <v>0.14552766395303207</v>
          </cell>
          <cell r="J36">
            <v>0.20850267108859089</v>
          </cell>
          <cell r="K36">
            <v>0.21775131112272916</v>
          </cell>
          <cell r="L36">
            <v>0.22220629759693189</v>
          </cell>
          <cell r="M36">
            <v>0.21586516688115776</v>
          </cell>
        </row>
        <row r="37">
          <cell r="B37" t="str">
            <v xml:space="preserve">  Share</v>
          </cell>
          <cell r="C37">
            <v>0.11014532382766531</v>
          </cell>
          <cell r="D37">
            <v>9.0361982911260588E-2</v>
          </cell>
          <cell r="E37">
            <v>0.16264279747932173</v>
          </cell>
          <cell r="F37">
            <v>0.37850111005921938</v>
          </cell>
          <cell r="G37">
            <v>0.45301681399668975</v>
          </cell>
          <cell r="H37">
            <v>0.46327580535003177</v>
          </cell>
          <cell r="I37">
            <v>0.46327580535003177</v>
          </cell>
          <cell r="J37">
            <v>0.46327580535003177</v>
          </cell>
          <cell r="K37">
            <v>0.46327580535003177</v>
          </cell>
          <cell r="L37">
            <v>0.46327580535003177</v>
          </cell>
          <cell r="M37">
            <v>0.46327580535003177</v>
          </cell>
        </row>
        <row r="38">
          <cell r="B38" t="str">
            <v xml:space="preserve">  Share Total Same-Day</v>
          </cell>
          <cell r="C38">
            <v>6.3182292042302926E-2</v>
          </cell>
          <cell r="D38">
            <v>6.1211303322096344E-2</v>
          </cell>
          <cell r="E38">
            <v>0.13888887770098851</v>
          </cell>
          <cell r="F38">
            <v>0.38953690216496117</v>
          </cell>
          <cell r="G38">
            <v>0.51707598101597463</v>
          </cell>
          <cell r="H38">
            <v>0.49986361934359297</v>
          </cell>
          <cell r="I38">
            <v>0.49071331249505934</v>
          </cell>
          <cell r="J38">
            <v>0.47674934307440547</v>
          </cell>
          <cell r="K38">
            <v>0.505901931804843</v>
          </cell>
          <cell r="L38">
            <v>0.54050102200051975</v>
          </cell>
          <cell r="M38">
            <v>0.56571415455082796</v>
          </cell>
        </row>
        <row r="40">
          <cell r="B40" t="str">
            <v>IVS Individual Visitors from IVS Regions Allowed in:</v>
          </cell>
        </row>
        <row r="41">
          <cell r="B41">
            <v>2003</v>
          </cell>
          <cell r="F41">
            <v>0.60830000000000006</v>
          </cell>
          <cell r="G41">
            <v>0.90668239059874756</v>
          </cell>
          <cell r="H41">
            <v>1.2302333640446006</v>
          </cell>
          <cell r="I41">
            <v>1.2794426986063845</v>
          </cell>
          <cell r="J41">
            <v>1.6413464324828102</v>
          </cell>
          <cell r="K41">
            <v>2.0301553567515795</v>
          </cell>
          <cell r="L41">
            <v>2.4474428406698783</v>
          </cell>
          <cell r="M41">
            <v>2.8948650747308391</v>
          </cell>
          <cell r="N41">
            <v>3.3417212830199543</v>
          </cell>
          <cell r="O41">
            <v>3.8127834852391591</v>
          </cell>
          <cell r="P41">
            <v>4.3091018704367983</v>
          </cell>
          <cell r="Q41">
            <v>4.8317678536095796</v>
          </cell>
          <cell r="R41">
            <v>5.3819156040893343</v>
          </cell>
          <cell r="S41">
            <v>5.9607236285296263</v>
          </cell>
          <cell r="T41">
            <v>6.5694164103926562</v>
          </cell>
          <cell r="U41">
            <v>7.2092661079017901</v>
          </cell>
          <cell r="V41">
            <v>7.8815943124921191</v>
          </cell>
          <cell r="W41">
            <v>8.5877738698607562</v>
          </cell>
        </row>
        <row r="42">
          <cell r="B42">
            <v>2004</v>
          </cell>
          <cell r="G42">
            <v>2.6120696094012525</v>
          </cell>
          <cell r="H42">
            <v>3.161568223406495</v>
          </cell>
          <cell r="I42">
            <v>3.2880309523427544</v>
          </cell>
          <cell r="J42">
            <v>3.9008813117633983</v>
          </cell>
          <cell r="K42">
            <v>4.5574988504139453</v>
          </cell>
          <cell r="L42">
            <v>5.2604043820577155</v>
          </cell>
          <cell r="M42">
            <v>6.0122503580723246</v>
          </cell>
          <cell r="N42">
            <v>6.7502905635687629</v>
          </cell>
          <cell r="O42">
            <v>7.5272021560727218</v>
          </cell>
          <cell r="P42">
            <v>8.3446531826197088</v>
          </cell>
          <cell r="Q42">
            <v>9.2043767888190491</v>
          </cell>
          <cell r="R42">
            <v>10.108173623525991</v>
          </cell>
          <cell r="S42">
            <v>11.057914329205412</v>
          </cell>
          <cell r="T42">
            <v>12.055542120964425</v>
          </cell>
          <cell r="U42">
            <v>13.103075457332695</v>
          </cell>
          <cell r="V42">
            <v>14.202610805974192</v>
          </cell>
          <cell r="W42">
            <v>15.35632550762258</v>
          </cell>
        </row>
        <row r="43">
          <cell r="B43">
            <v>2005</v>
          </cell>
          <cell r="H43">
            <v>0.93970741254890378</v>
          </cell>
          <cell r="I43">
            <v>1.302020866495917</v>
          </cell>
          <cell r="J43">
            <v>1.691815864898613</v>
          </cell>
          <cell r="K43">
            <v>2.1107112297871309</v>
          </cell>
          <cell r="L43">
            <v>2.5604113184828932</v>
          </cell>
          <cell r="M43">
            <v>3.0427102763066567</v>
          </cell>
          <cell r="N43">
            <v>3.5252705648328377</v>
          </cell>
          <cell r="O43">
            <v>4.0340460314219131</v>
          </cell>
          <cell r="P43">
            <v>4.570175282497984</v>
          </cell>
          <cell r="Q43">
            <v>5.1348416472103393</v>
          </cell>
          <cell r="R43">
            <v>5.7292748360511876</v>
          </cell>
          <cell r="S43">
            <v>6.3547526587399989</v>
          </cell>
          <cell r="T43">
            <v>7.0126028034376917</v>
          </cell>
          <cell r="U43">
            <v>7.7042046794243815</v>
          </cell>
          <cell r="V43">
            <v>8.4309913254471773</v>
          </cell>
          <cell r="W43">
            <v>9.1944513860198605</v>
          </cell>
        </row>
        <row r="44">
          <cell r="B44">
            <v>2006</v>
          </cell>
          <cell r="I44">
            <v>7.6050000000000048E-2</v>
          </cell>
          <cell r="J44">
            <v>0.16213860000000008</v>
          </cell>
          <cell r="K44">
            <v>0.25499260800000012</v>
          </cell>
          <cell r="L44">
            <v>0.35501551488000022</v>
          </cell>
          <cell r="M44">
            <v>0.46263226613760022</v>
          </cell>
          <cell r="N44">
            <v>0.57272984870400034</v>
          </cell>
          <cell r="O44">
            <v>0.68901691718486047</v>
          </cell>
          <cell r="P44">
            <v>0.8117657529107386</v>
          </cell>
          <cell r="Q44">
            <v>0.94125940355470306</v>
          </cell>
          <cell r="R44">
            <v>1.0777920840596857</v>
          </cell>
          <cell r="S44">
            <v>1.2216695919317682</v>
          </cell>
          <cell r="T44">
            <v>1.3732097374005221</v>
          </cell>
          <cell r="U44">
            <v>1.5327427889646628</v>
          </cell>
          <cell r="V44">
            <v>1.7006119348589912</v>
          </cell>
          <cell r="W44">
            <v>1.8771737609969112</v>
          </cell>
        </row>
        <row r="45">
          <cell r="B45">
            <v>2007</v>
          </cell>
          <cell r="J45">
            <v>0.50000000000000011</v>
          </cell>
          <cell r="K45">
            <v>1.0660000000000001</v>
          </cell>
          <cell r="L45">
            <v>1.6764800000000004</v>
          </cell>
          <cell r="M45">
            <v>2.3340928000000005</v>
          </cell>
          <cell r="N45">
            <v>3.0123857920000008</v>
          </cell>
          <cell r="O45">
            <v>3.7292756800000006</v>
          </cell>
          <cell r="P45">
            <v>4.4864678140672005</v>
          </cell>
          <cell r="Q45">
            <v>5.2857351280664329</v>
          </cell>
          <cell r="R45">
            <v>6.1289206598729589</v>
          </cell>
          <cell r="S45">
            <v>7.0179401619726169</v>
          </cell>
          <cell r="T45">
            <v>7.9547848056043673</v>
          </cell>
          <cell r="U45">
            <v>8.9415239817082508</v>
          </cell>
          <cell r="V45">
            <v>9.9803082020533207</v>
          </cell>
          <cell r="W45">
            <v>11.073372104035558</v>
          </cell>
        </row>
        <row r="46">
          <cell r="B46">
            <v>2008</v>
          </cell>
          <cell r="K46">
            <v>0.5</v>
          </cell>
          <cell r="L46">
            <v>1.0660000000000001</v>
          </cell>
          <cell r="M46">
            <v>1.6764800000000002</v>
          </cell>
          <cell r="N46">
            <v>2.3116496000000004</v>
          </cell>
          <cell r="O46">
            <v>2.9834205439999999</v>
          </cell>
          <cell r="P46">
            <v>3.6934172599999999</v>
          </cell>
          <cell r="Q46">
            <v>4.4433287004704001</v>
          </cell>
          <cell r="R46">
            <v>5.2349107518350229</v>
          </cell>
          <cell r="S46">
            <v>6.0699887304511027</v>
          </cell>
          <cell r="T46">
            <v>6.9504599681074941</v>
          </cell>
          <cell r="U46">
            <v>7.8782964901658632</v>
          </cell>
          <cell r="V46">
            <v>8.8555477895764376</v>
          </cell>
          <cell r="W46">
            <v>9.884343700110497</v>
          </cell>
        </row>
        <row r="47">
          <cell r="B47">
            <v>2009</v>
          </cell>
          <cell r="L47">
            <v>0.5</v>
          </cell>
          <cell r="M47">
            <v>1.0660000000000001</v>
          </cell>
          <cell r="N47">
            <v>1.6603599999999998</v>
          </cell>
          <cell r="O47">
            <v>2.2894221999999997</v>
          </cell>
          <cell r="P47">
            <v>2.9547338079999999</v>
          </cell>
          <cell r="Q47">
            <v>3.6579036324999996</v>
          </cell>
          <cell r="R47">
            <v>4.400604386042799</v>
          </cell>
          <cell r="S47">
            <v>5.1845750715289167</v>
          </cell>
          <cell r="T47">
            <v>6.0116234541967639</v>
          </cell>
          <cell r="U47">
            <v>6.8836286222603045</v>
          </cell>
          <cell r="V47">
            <v>7.8025436392988814</v>
          </cell>
          <cell r="W47">
            <v>8.77039829159974</v>
          </cell>
        </row>
        <row r="48">
          <cell r="B48">
            <v>2010</v>
          </cell>
          <cell r="M48">
            <v>0.5</v>
          </cell>
          <cell r="N48">
            <v>1.05575</v>
          </cell>
          <cell r="O48">
            <v>1.6443949999999998</v>
          </cell>
          <cell r="P48">
            <v>2.267408525</v>
          </cell>
          <cell r="Q48">
            <v>2.9263229059999998</v>
          </cell>
          <cell r="R48">
            <v>3.6227314821874996</v>
          </cell>
          <cell r="S48">
            <v>4.3582908823308495</v>
          </cell>
          <cell r="T48">
            <v>5.1347233881488314</v>
          </cell>
          <cell r="U48">
            <v>5.9538193825217949</v>
          </cell>
          <cell r="V48">
            <v>6.8174398855078016</v>
          </cell>
          <cell r="W48">
            <v>7.7275191812286996</v>
          </cell>
        </row>
        <row r="50">
          <cell r="B50" t="str">
            <v>IVS Population in IVS Regions Allowed in:</v>
          </cell>
        </row>
        <row r="51">
          <cell r="B51">
            <v>2003</v>
          </cell>
          <cell r="F51">
            <v>53.99</v>
          </cell>
          <cell r="G51">
            <v>55.955765426913096</v>
          </cell>
          <cell r="H51">
            <v>58.193996043989621</v>
          </cell>
          <cell r="I51">
            <v>60.521755885749201</v>
          </cell>
          <cell r="J51">
            <v>62.94262612117916</v>
          </cell>
          <cell r="K51">
            <v>65.460331166026322</v>
          </cell>
          <cell r="L51">
            <v>68.078744412667376</v>
          </cell>
          <cell r="M51">
            <v>70.801894189174078</v>
          </cell>
          <cell r="N51">
            <v>72.925951014849304</v>
          </cell>
          <cell r="O51">
            <v>75.113729545294788</v>
          </cell>
          <cell r="P51">
            <v>77.367141431653636</v>
          </cell>
          <cell r="Q51">
            <v>79.688155674603237</v>
          </cell>
          <cell r="R51">
            <v>82.078800344841326</v>
          </cell>
          <cell r="S51">
            <v>84.541164355186567</v>
          </cell>
          <cell r="T51">
            <v>87.077399285842162</v>
          </cell>
          <cell r="U51">
            <v>89.689721264417429</v>
          </cell>
          <cell r="V51">
            <v>92.380412902349946</v>
          </cell>
          <cell r="W51">
            <v>95.151825289420444</v>
          </cell>
        </row>
        <row r="52">
          <cell r="B52">
            <v>2004</v>
          </cell>
          <cell r="G52">
            <v>101.5460575730869</v>
          </cell>
          <cell r="H52">
            <v>105.60789987601038</v>
          </cell>
          <cell r="I52">
            <v>109.83221587105079</v>
          </cell>
          <cell r="J52">
            <v>114.22550450589281</v>
          </cell>
          <cell r="K52">
            <v>118.79452468612853</v>
          </cell>
          <cell r="L52">
            <v>123.54630567357368</v>
          </cell>
          <cell r="M52">
            <v>128.48815790051663</v>
          </cell>
          <cell r="N52">
            <v>132.34280263753212</v>
          </cell>
          <cell r="O52">
            <v>136.31308671665806</v>
          </cell>
          <cell r="P52">
            <v>140.40247931815782</v>
          </cell>
          <cell r="Q52">
            <v>144.61455369770255</v>
          </cell>
          <cell r="R52">
            <v>148.95299030863362</v>
          </cell>
          <cell r="S52">
            <v>153.42158001789264</v>
          </cell>
          <cell r="T52">
            <v>158.0242274184294</v>
          </cell>
          <cell r="U52">
            <v>162.76495424098229</v>
          </cell>
          <cell r="V52">
            <v>167.64790286821176</v>
          </cell>
          <cell r="W52">
            <v>172.67733995425812</v>
          </cell>
        </row>
        <row r="53">
          <cell r="B53">
            <v>2005</v>
          </cell>
          <cell r="H53">
            <v>65.312927080000009</v>
          </cell>
          <cell r="I53">
            <v>67.925444163200012</v>
          </cell>
          <cell r="J53">
            <v>70.642461929728015</v>
          </cell>
          <cell r="K53">
            <v>73.468160406917121</v>
          </cell>
          <cell r="L53">
            <v>76.406886823193815</v>
          </cell>
          <cell r="M53">
            <v>79.463162296121567</v>
          </cell>
          <cell r="N53">
            <v>81.847057165005225</v>
          </cell>
          <cell r="O53">
            <v>84.30246887995537</v>
          </cell>
          <cell r="P53">
            <v>86.831542946354034</v>
          </cell>
          <cell r="Q53">
            <v>89.436489234744656</v>
          </cell>
          <cell r="R53">
            <v>92.119583911787004</v>
          </cell>
          <cell r="S53">
            <v>94.883171429140617</v>
          </cell>
          <cell r="T53">
            <v>97.729666572014835</v>
          </cell>
          <cell r="U53">
            <v>100.66155656917529</v>
          </cell>
          <cell r="V53">
            <v>103.68140326625054</v>
          </cell>
          <cell r="W53">
            <v>106.79184536423807</v>
          </cell>
        </row>
        <row r="54">
          <cell r="B54">
            <v>2006</v>
          </cell>
          <cell r="I54">
            <v>15.210000000000008</v>
          </cell>
          <cell r="J54">
            <v>15.818400000000009</v>
          </cell>
          <cell r="K54">
            <v>16.451136000000009</v>
          </cell>
          <cell r="L54">
            <v>17.109181440000011</v>
          </cell>
          <cell r="M54">
            <v>17.793548697600013</v>
          </cell>
          <cell r="N54">
            <v>18.327355158528015</v>
          </cell>
          <cell r="O54">
            <v>18.877175813283852</v>
          </cell>
          <cell r="P54">
            <v>19.443491087682368</v>
          </cell>
          <cell r="Q54">
            <v>20.026795820312838</v>
          </cell>
          <cell r="R54">
            <v>20.627599694922221</v>
          </cell>
          <cell r="S54">
            <v>21.246427685769888</v>
          </cell>
          <cell r="T54">
            <v>21.883820516342986</v>
          </cell>
          <cell r="U54">
            <v>22.540335131833277</v>
          </cell>
          <cell r="V54">
            <v>23.216545185788277</v>
          </cell>
          <cell r="W54">
            <v>23.913041541361928</v>
          </cell>
        </row>
        <row r="55">
          <cell r="B55">
            <v>2007</v>
          </cell>
          <cell r="J55">
            <v>100.00000000000003</v>
          </cell>
          <cell r="K55">
            <v>104.00000000000003</v>
          </cell>
          <cell r="L55">
            <v>108.16000000000004</v>
          </cell>
          <cell r="M55">
            <v>112.48640000000005</v>
          </cell>
          <cell r="N55">
            <v>115.86099200000005</v>
          </cell>
          <cell r="O55">
            <v>119.33682176000005</v>
          </cell>
          <cell r="P55">
            <v>122.91692641280005</v>
          </cell>
          <cell r="Q55">
            <v>126.60443420518406</v>
          </cell>
          <cell r="R55">
            <v>130.40256723133959</v>
          </cell>
          <cell r="S55">
            <v>134.31464424827979</v>
          </cell>
          <cell r="T55">
            <v>138.34408357572818</v>
          </cell>
          <cell r="U55">
            <v>142.49440608300003</v>
          </cell>
          <cell r="V55">
            <v>146.76923826549003</v>
          </cell>
          <cell r="W55">
            <v>151.17231541345473</v>
          </cell>
        </row>
        <row r="56">
          <cell r="B56">
            <v>2008</v>
          </cell>
          <cell r="K56">
            <v>100</v>
          </cell>
          <cell r="L56">
            <v>104.00000000000001</v>
          </cell>
          <cell r="M56">
            <v>108.16000000000003</v>
          </cell>
          <cell r="N56">
            <v>111.40480000000002</v>
          </cell>
          <cell r="O56">
            <v>114.74694400000001</v>
          </cell>
          <cell r="P56">
            <v>118.18935232000003</v>
          </cell>
          <cell r="Q56">
            <v>121.73503288960002</v>
          </cell>
          <cell r="R56">
            <v>125.38708387628802</v>
          </cell>
          <cell r="S56">
            <v>129.14869639257668</v>
          </cell>
          <cell r="T56">
            <v>133.023157284354</v>
          </cell>
          <cell r="U56">
            <v>137.01385200288462</v>
          </cell>
          <cell r="V56">
            <v>141.12426756297114</v>
          </cell>
          <cell r="W56">
            <v>145.35799558986028</v>
          </cell>
        </row>
        <row r="57">
          <cell r="B57">
            <v>2009</v>
          </cell>
          <cell r="L57">
            <v>100</v>
          </cell>
          <cell r="M57">
            <v>104.00000000000001</v>
          </cell>
          <cell r="N57">
            <v>107.12</v>
          </cell>
          <cell r="O57">
            <v>110.3336</v>
          </cell>
          <cell r="P57">
            <v>113.64360800000001</v>
          </cell>
          <cell r="Q57">
            <v>117.05291624000002</v>
          </cell>
          <cell r="R57">
            <v>120.56450372720001</v>
          </cell>
          <cell r="S57">
            <v>124.18143883901601</v>
          </cell>
          <cell r="T57">
            <v>127.9068820041865</v>
          </cell>
          <cell r="U57">
            <v>131.74408846431209</v>
          </cell>
          <cell r="V57">
            <v>135.69641111824146</v>
          </cell>
          <cell r="W57">
            <v>139.76730345178871</v>
          </cell>
        </row>
        <row r="58">
          <cell r="B58">
            <v>2010</v>
          </cell>
          <cell r="M58">
            <v>100</v>
          </cell>
          <cell r="N58">
            <v>103.00000000000001</v>
          </cell>
          <cell r="O58">
            <v>106.09</v>
          </cell>
          <cell r="P58">
            <v>109.27270000000001</v>
          </cell>
          <cell r="Q58">
            <v>112.55088100000002</v>
          </cell>
          <cell r="R58">
            <v>115.92740743000002</v>
          </cell>
          <cell r="S58">
            <v>119.40522965290002</v>
          </cell>
          <cell r="T58">
            <v>122.98738654248702</v>
          </cell>
          <cell r="U58">
            <v>126.67700813876162</v>
          </cell>
          <cell r="V58">
            <v>130.47731838292447</v>
          </cell>
          <cell r="W58">
            <v>134.39163793441222</v>
          </cell>
        </row>
        <row r="60">
          <cell r="B60" t="str">
            <v>IVS Penetration in IVS Regions Allowed in:</v>
          </cell>
        </row>
        <row r="61">
          <cell r="B61">
            <v>2003</v>
          </cell>
          <cell r="F61">
            <v>1.1266901278014448E-2</v>
          </cell>
          <cell r="G61">
            <v>1.6203556214113724E-2</v>
          </cell>
          <cell r="H61">
            <v>2.1140211150213001E-2</v>
          </cell>
          <cell r="I61">
            <v>2.1140211150213001E-2</v>
          </cell>
          <cell r="J61">
            <v>2.6076866086312277E-2</v>
          </cell>
          <cell r="K61">
            <v>3.1013521022411554E-2</v>
          </cell>
          <cell r="L61">
            <v>3.5950175958510834E-2</v>
          </cell>
          <cell r="M61">
            <v>4.0886830894610114E-2</v>
          </cell>
          <cell r="N61">
            <v>4.5823485830709394E-2</v>
          </cell>
          <cell r="O61">
            <v>5.0760140766808674E-2</v>
          </cell>
          <cell r="P61">
            <v>5.5696795702907954E-2</v>
          </cell>
          <cell r="Q61">
            <v>6.0633450639007234E-2</v>
          </cell>
          <cell r="R61">
            <v>6.5570105575106508E-2</v>
          </cell>
          <cell r="S61">
            <v>7.0506760511205788E-2</v>
          </cell>
          <cell r="T61">
            <v>7.5443415447305068E-2</v>
          </cell>
          <cell r="U61">
            <v>8.0380070383404348E-2</v>
          </cell>
          <cell r="V61">
            <v>8.5316725319503628E-2</v>
          </cell>
          <cell r="W61">
            <v>9.0253380255602908E-2</v>
          </cell>
        </row>
        <row r="62">
          <cell r="B62">
            <v>2004</v>
          </cell>
          <cell r="G62">
            <v>2.5723003648085874E-2</v>
          </cell>
          <cell r="H62">
            <v>2.9936853465681583E-2</v>
          </cell>
          <cell r="I62">
            <v>2.9936853465681583E-2</v>
          </cell>
          <cell r="J62">
            <v>3.4150703283277288E-2</v>
          </cell>
          <cell r="K62">
            <v>3.8364553100872993E-2</v>
          </cell>
          <cell r="L62">
            <v>4.2578402918468698E-2</v>
          </cell>
          <cell r="M62">
            <v>4.6792252736064403E-2</v>
          </cell>
          <cell r="N62">
            <v>5.1006102553660108E-2</v>
          </cell>
          <cell r="O62">
            <v>5.5219952371255814E-2</v>
          </cell>
          <cell r="P62">
            <v>5.9433802188851519E-2</v>
          </cell>
          <cell r="Q62">
            <v>6.3647652006447231E-2</v>
          </cell>
          <cell r="R62">
            <v>6.7861501824042936E-2</v>
          </cell>
          <cell r="S62">
            <v>7.2075351641638641E-2</v>
          </cell>
          <cell r="T62">
            <v>7.6289201459234346E-2</v>
          </cell>
          <cell r="U62">
            <v>8.0503051276830051E-2</v>
          </cell>
          <cell r="V62">
            <v>8.4716901094425756E-2</v>
          </cell>
          <cell r="W62">
            <v>8.8930750912021461E-2</v>
          </cell>
        </row>
        <row r="63">
          <cell r="B63">
            <v>2005</v>
          </cell>
          <cell r="H63">
            <v>1.438777060776777E-2</v>
          </cell>
          <cell r="I63">
            <v>1.9168382077379382E-2</v>
          </cell>
          <cell r="J63">
            <v>2.3948993546990992E-2</v>
          </cell>
          <cell r="K63">
            <v>2.8729605016602603E-2</v>
          </cell>
          <cell r="L63">
            <v>3.3510216486214217E-2</v>
          </cell>
          <cell r="M63">
            <v>3.8290827955825828E-2</v>
          </cell>
          <cell r="N63">
            <v>4.3071439425437438E-2</v>
          </cell>
          <cell r="O63">
            <v>4.7852050895049049E-2</v>
          </cell>
          <cell r="P63">
            <v>5.263266236466066E-2</v>
          </cell>
          <cell r="Q63">
            <v>5.741327383427227E-2</v>
          </cell>
          <cell r="R63">
            <v>6.2193885303883881E-2</v>
          </cell>
          <cell r="S63">
            <v>6.6974496773495498E-2</v>
          </cell>
          <cell r="T63">
            <v>7.1755108243107116E-2</v>
          </cell>
          <cell r="U63">
            <v>7.6535719712718733E-2</v>
          </cell>
          <cell r="V63">
            <v>8.1316331182330351E-2</v>
          </cell>
          <cell r="W63">
            <v>8.6096942651941968E-2</v>
          </cell>
        </row>
        <row r="64">
          <cell r="B64">
            <v>2006</v>
          </cell>
          <cell r="I64">
            <v>5.0000000000000001E-3</v>
          </cell>
          <cell r="J64">
            <v>1.0249999999999999E-2</v>
          </cell>
          <cell r="K64">
            <v>1.5499999999999998E-2</v>
          </cell>
          <cell r="L64">
            <v>2.0749999999999998E-2</v>
          </cell>
          <cell r="M64">
            <v>2.5999999999999995E-2</v>
          </cell>
          <cell r="N64">
            <v>3.1249999999999993E-2</v>
          </cell>
          <cell r="O64">
            <v>3.6499999999999991E-2</v>
          </cell>
          <cell r="P64">
            <v>4.1749999999999989E-2</v>
          </cell>
          <cell r="Q64">
            <v>4.6999999999999986E-2</v>
          </cell>
          <cell r="R64">
            <v>5.2249999999999984E-2</v>
          </cell>
          <cell r="S64">
            <v>5.7499999999999982E-2</v>
          </cell>
          <cell r="T64">
            <v>6.2749999999999986E-2</v>
          </cell>
          <cell r="U64">
            <v>6.7999999999999991E-2</v>
          </cell>
          <cell r="V64">
            <v>7.3249999999999996E-2</v>
          </cell>
          <cell r="W64">
            <v>7.85E-2</v>
          </cell>
        </row>
        <row r="65">
          <cell r="B65">
            <v>2007</v>
          </cell>
          <cell r="J65">
            <v>5.0000000000000001E-3</v>
          </cell>
          <cell r="K65">
            <v>1.0249999999999999E-2</v>
          </cell>
          <cell r="L65">
            <v>1.5499999999999998E-2</v>
          </cell>
          <cell r="M65">
            <v>2.0749999999999998E-2</v>
          </cell>
          <cell r="N65">
            <v>2.5999999999999995E-2</v>
          </cell>
          <cell r="O65">
            <v>3.1249999999999993E-2</v>
          </cell>
          <cell r="P65">
            <v>3.6499999999999991E-2</v>
          </cell>
          <cell r="Q65">
            <v>4.1749999999999989E-2</v>
          </cell>
          <cell r="R65">
            <v>4.6999999999999986E-2</v>
          </cell>
          <cell r="S65">
            <v>5.2249999999999984E-2</v>
          </cell>
          <cell r="T65">
            <v>5.7499999999999982E-2</v>
          </cell>
          <cell r="U65">
            <v>6.2749999999999986E-2</v>
          </cell>
          <cell r="V65">
            <v>6.7999999999999991E-2</v>
          </cell>
          <cell r="W65">
            <v>7.3249999999999996E-2</v>
          </cell>
        </row>
        <row r="66">
          <cell r="B66">
            <v>2008</v>
          </cell>
          <cell r="K66">
            <v>5.0000000000000001E-3</v>
          </cell>
          <cell r="L66">
            <v>1.0249999999999999E-2</v>
          </cell>
          <cell r="M66">
            <v>1.5499999999999998E-2</v>
          </cell>
          <cell r="N66">
            <v>2.0749999999999998E-2</v>
          </cell>
          <cell r="O66">
            <v>2.5999999999999995E-2</v>
          </cell>
          <cell r="P66">
            <v>3.1249999999999993E-2</v>
          </cell>
          <cell r="Q66">
            <v>3.6499999999999991E-2</v>
          </cell>
          <cell r="R66">
            <v>4.1749999999999989E-2</v>
          </cell>
          <cell r="S66">
            <v>4.6999999999999986E-2</v>
          </cell>
          <cell r="T66">
            <v>5.2249999999999984E-2</v>
          </cell>
          <cell r="U66">
            <v>5.7499999999999982E-2</v>
          </cell>
          <cell r="V66">
            <v>6.2749999999999986E-2</v>
          </cell>
          <cell r="W66">
            <v>6.7999999999999991E-2</v>
          </cell>
        </row>
        <row r="67">
          <cell r="B67">
            <v>2009</v>
          </cell>
          <cell r="L67">
            <v>5.0000000000000001E-3</v>
          </cell>
          <cell r="M67">
            <v>1.0249999999999999E-2</v>
          </cell>
          <cell r="N67">
            <v>1.5499999999999998E-2</v>
          </cell>
          <cell r="O67">
            <v>2.0749999999999998E-2</v>
          </cell>
          <cell r="P67">
            <v>2.5999999999999995E-2</v>
          </cell>
          <cell r="Q67">
            <v>3.1249999999999993E-2</v>
          </cell>
          <cell r="R67">
            <v>3.6499999999999991E-2</v>
          </cell>
          <cell r="S67">
            <v>4.1749999999999989E-2</v>
          </cell>
          <cell r="T67">
            <v>4.6999999999999986E-2</v>
          </cell>
          <cell r="U67">
            <v>5.2249999999999984E-2</v>
          </cell>
          <cell r="V67">
            <v>5.7499999999999982E-2</v>
          </cell>
          <cell r="W67">
            <v>6.2749999999999986E-2</v>
          </cell>
        </row>
        <row r="68">
          <cell r="B68">
            <v>2010</v>
          </cell>
          <cell r="M68">
            <v>5.0000000000000001E-3</v>
          </cell>
          <cell r="N68">
            <v>1.0249999999999999E-2</v>
          </cell>
          <cell r="O68">
            <v>1.5499999999999998E-2</v>
          </cell>
          <cell r="P68">
            <v>2.0749999999999998E-2</v>
          </cell>
          <cell r="Q68">
            <v>2.5999999999999995E-2</v>
          </cell>
          <cell r="R68">
            <v>3.1249999999999993E-2</v>
          </cell>
          <cell r="S68">
            <v>3.6499999999999991E-2</v>
          </cell>
          <cell r="T68">
            <v>4.1749999999999989E-2</v>
          </cell>
          <cell r="U68">
            <v>4.6999999999999986E-2</v>
          </cell>
          <cell r="V68">
            <v>5.2249999999999984E-2</v>
          </cell>
          <cell r="W68">
            <v>5.7499999999999982E-2</v>
          </cell>
        </row>
        <row r="70">
          <cell r="B70" t="str">
            <v>Target Penetration Rate</v>
          </cell>
          <cell r="F70">
            <v>0.11</v>
          </cell>
          <cell r="G70">
            <v>0.11</v>
          </cell>
          <cell r="H70">
            <v>0.11</v>
          </cell>
          <cell r="I70">
            <v>0.11</v>
          </cell>
          <cell r="J70">
            <v>0.11</v>
          </cell>
          <cell r="K70">
            <v>0.11</v>
          </cell>
          <cell r="L70">
            <v>0.11</v>
          </cell>
          <cell r="M70">
            <v>0.11</v>
          </cell>
          <cell r="N70">
            <v>0.11</v>
          </cell>
          <cell r="O70">
            <v>0.11</v>
          </cell>
          <cell r="P70">
            <v>0.11</v>
          </cell>
          <cell r="Q70">
            <v>0.11</v>
          </cell>
          <cell r="R70">
            <v>0.11</v>
          </cell>
          <cell r="S70">
            <v>0.11</v>
          </cell>
          <cell r="T70">
            <v>0.11</v>
          </cell>
          <cell r="U70">
            <v>0.11</v>
          </cell>
          <cell r="V70">
            <v>0.11</v>
          </cell>
          <cell r="W70">
            <v>0.11</v>
          </cell>
        </row>
        <row r="71">
          <cell r="B71" t="str">
            <v xml:space="preserve">  Years to Achieve</v>
          </cell>
          <cell r="F71">
            <v>20</v>
          </cell>
          <cell r="G71">
            <v>20</v>
          </cell>
          <cell r="H71">
            <v>20</v>
          </cell>
          <cell r="I71">
            <v>20</v>
          </cell>
          <cell r="J71">
            <v>20</v>
          </cell>
          <cell r="K71">
            <v>20</v>
          </cell>
          <cell r="L71">
            <v>20</v>
          </cell>
          <cell r="M71">
            <v>20</v>
          </cell>
          <cell r="N71">
            <v>20</v>
          </cell>
          <cell r="O71">
            <v>20</v>
          </cell>
          <cell r="P71">
            <v>20</v>
          </cell>
          <cell r="Q71">
            <v>20</v>
          </cell>
          <cell r="R71">
            <v>20</v>
          </cell>
          <cell r="S71">
            <v>20</v>
          </cell>
          <cell r="T71">
            <v>20</v>
          </cell>
          <cell r="U71">
            <v>20</v>
          </cell>
          <cell r="V71">
            <v>20</v>
          </cell>
          <cell r="W71">
            <v>20</v>
          </cell>
        </row>
        <row r="75">
          <cell r="C75" t="str">
            <v>Model</v>
          </cell>
          <cell r="D75" t="str">
            <v>YTD</v>
          </cell>
          <cell r="F75" t="str">
            <v>2005 YTD</v>
          </cell>
          <cell r="G75" t="str">
            <v>2006 YTD</v>
          </cell>
        </row>
        <row r="76">
          <cell r="B76" t="str">
            <v>Total China</v>
          </cell>
          <cell r="C76">
            <v>0.14552766395303207</v>
          </cell>
          <cell r="D76">
            <v>0.14768765884721291</v>
          </cell>
          <cell r="F76">
            <v>5903865</v>
          </cell>
          <cell r="G76">
            <v>6775793</v>
          </cell>
        </row>
        <row r="77">
          <cell r="B77" t="str">
            <v xml:space="preserve">  Package Tour Visitors</v>
          </cell>
          <cell r="C77">
            <v>6.7519621546070496E-3</v>
          </cell>
          <cell r="D77">
            <v>0.20433105924031247</v>
          </cell>
          <cell r="F77">
            <v>1144339</v>
          </cell>
          <cell r="G77">
            <v>1378163</v>
          </cell>
        </row>
        <row r="78">
          <cell r="B78" t="str">
            <v xml:space="preserve">  Total Individual Visitors</v>
          </cell>
          <cell r="C78">
            <v>0.18416719196610165</v>
          </cell>
          <cell r="D78">
            <v>0.1340688127347136</v>
          </cell>
          <cell r="F78">
            <v>4759526</v>
          </cell>
          <cell r="G78">
            <v>5397630</v>
          </cell>
        </row>
        <row r="79">
          <cell r="B79" t="str">
            <v xml:space="preserve">  Non-IVS Individual Visitors</v>
          </cell>
          <cell r="C79">
            <v>0.37295177361051524</v>
          </cell>
          <cell r="D79">
            <v>0.2377581574072376</v>
          </cell>
          <cell r="F79">
            <v>1744672</v>
          </cell>
          <cell r="G79">
            <v>2159482</v>
          </cell>
        </row>
        <row r="80">
          <cell r="B80" t="str">
            <v xml:space="preserve">  IVS Individual Visitors</v>
          </cell>
          <cell r="C80">
            <v>8.3154881666710256E-2</v>
          </cell>
          <cell r="D80">
            <v>7.4064614737562762E-2</v>
          </cell>
          <cell r="F80">
            <v>3014854</v>
          </cell>
          <cell r="G80">
            <v>3238148</v>
          </cell>
        </row>
      </sheetData>
      <sheetData sheetId="6" refreshError="1">
        <row r="2">
          <cell r="C2">
            <v>2005</v>
          </cell>
          <cell r="D2" t="str">
            <v>2006E</v>
          </cell>
          <cell r="E2" t="str">
            <v>2007E</v>
          </cell>
          <cell r="F2" t="str">
            <v>2008E</v>
          </cell>
          <cell r="G2" t="str">
            <v>2009E</v>
          </cell>
          <cell r="H2" t="str">
            <v>2010E</v>
          </cell>
          <cell r="I2" t="str">
            <v>2011E</v>
          </cell>
          <cell r="J2" t="str">
            <v>2012E</v>
          </cell>
        </row>
        <row r="4">
          <cell r="B4" t="str">
            <v>Total Visitors</v>
          </cell>
          <cell r="C4">
            <v>18.711186999999999</v>
          </cell>
          <cell r="D4">
            <v>21.998122000000002</v>
          </cell>
          <cell r="E4">
            <v>26.853211459144823</v>
          </cell>
          <cell r="F4">
            <v>31.112956369452657</v>
          </cell>
          <cell r="G4">
            <v>35.938386716715485</v>
          </cell>
          <cell r="H4">
            <v>41.464358695646425</v>
          </cell>
          <cell r="I4">
            <v>46.725028260970944</v>
          </cell>
          <cell r="J4">
            <v>51.917160814241257</v>
          </cell>
        </row>
        <row r="6">
          <cell r="B6" t="str">
            <v>Day Trippers</v>
          </cell>
          <cell r="C6">
            <v>9.6971229999999995</v>
          </cell>
          <cell r="D6">
            <v>11.315459000000001</v>
          </cell>
          <cell r="E6">
            <v>14.075295677217126</v>
          </cell>
          <cell r="F6">
            <v>16.152505519489736</v>
          </cell>
          <cell r="G6">
            <v>18.477968974951796</v>
          </cell>
          <cell r="H6">
            <v>21.465406851958932</v>
          </cell>
          <cell r="I6">
            <v>24.23993044650415</v>
          </cell>
          <cell r="J6">
            <v>26.933496114508888</v>
          </cell>
        </row>
        <row r="7">
          <cell r="B7" t="str">
            <v>Other Overnight</v>
          </cell>
          <cell r="C7">
            <v>4.8929760000000009</v>
          </cell>
          <cell r="D7">
            <v>6.0018090000000006</v>
          </cell>
          <cell r="E7">
            <v>7.059522834707419</v>
          </cell>
          <cell r="F7">
            <v>7.7126858481298948</v>
          </cell>
          <cell r="G7">
            <v>8.3698007246177593</v>
          </cell>
          <cell r="H7">
            <v>8.8719887680948251</v>
          </cell>
          <cell r="I7">
            <v>9.2268683188186191</v>
          </cell>
          <cell r="J7">
            <v>9.5036743683831784</v>
          </cell>
        </row>
        <row r="8">
          <cell r="B8" t="str">
            <v>Hotel Visitors</v>
          </cell>
          <cell r="C8">
            <v>4.1210880000000003</v>
          </cell>
          <cell r="D8">
            <v>4.6808540000000001</v>
          </cell>
          <cell r="E8">
            <v>5.718392947220277</v>
          </cell>
          <cell r="F8">
            <v>7.2477650018330273</v>
          </cell>
          <cell r="G8">
            <v>9.0906170171459291</v>
          </cell>
          <cell r="H8">
            <v>11.12696307559267</v>
          </cell>
          <cell r="I8">
            <v>13.258229495648175</v>
          </cell>
          <cell r="J8">
            <v>15.479990331349189</v>
          </cell>
        </row>
        <row r="9">
          <cell r="B9" t="str">
            <v xml:space="preserve">  Share</v>
          </cell>
          <cell r="C9">
            <v>0.22024727773817879</v>
          </cell>
          <cell r="D9">
            <v>0.21278425494685407</v>
          </cell>
          <cell r="E9">
            <v>0.2129500583541149</v>
          </cell>
          <cell r="F9">
            <v>0.23295005835411489</v>
          </cell>
          <cell r="G9">
            <v>0.25295005835411488</v>
          </cell>
          <cell r="H9">
            <v>0.26835005835411491</v>
          </cell>
          <cell r="I9">
            <v>0.28375005835411493</v>
          </cell>
          <cell r="J9">
            <v>0.29816712024635433</v>
          </cell>
        </row>
        <row r="10">
          <cell r="B10" t="str">
            <v>Hotel Visitors @ Constant Share</v>
          </cell>
          <cell r="C10">
            <v>4.1210880000000003</v>
          </cell>
          <cell r="D10">
            <v>4.8450264858523413</v>
          </cell>
          <cell r="E10">
            <v>5.9143467224043151</v>
          </cell>
          <cell r="F10">
            <v>6.8525439427586781</v>
          </cell>
          <cell r="G10">
            <v>7.9153318406585109</v>
          </cell>
          <cell r="H10">
            <v>9.132412125875506</v>
          </cell>
          <cell r="I10">
            <v>10.291060276718321</v>
          </cell>
          <cell r="J10">
            <v>11.434613337231886</v>
          </cell>
        </row>
        <row r="12">
          <cell r="B12" t="str">
            <v>Hotel Length of Stay</v>
          </cell>
          <cell r="C12">
            <v>2.1758333333333333</v>
          </cell>
          <cell r="D12">
            <v>2.17</v>
          </cell>
          <cell r="E12">
            <v>2.2749478692713261</v>
          </cell>
          <cell r="F12">
            <v>2.439017908256258</v>
          </cell>
          <cell r="G12">
            <v>2.8461329551184145</v>
          </cell>
          <cell r="H12">
            <v>3.1697667219533114</v>
          </cell>
          <cell r="I12">
            <v>3.1697667219533114</v>
          </cell>
          <cell r="J12">
            <v>3.1697667219533114</v>
          </cell>
        </row>
        <row r="13">
          <cell r="B13" t="str">
            <v xml:space="preserve">  Share of Final</v>
          </cell>
          <cell r="C13">
            <v>0.6864332691310846</v>
          </cell>
          <cell r="D13">
            <v>0.68459296546049186</v>
          </cell>
          <cell r="E13">
            <v>0.71770198529607587</v>
          </cell>
          <cell r="F13">
            <v>0.76946290443520626</v>
          </cell>
          <cell r="G13">
            <v>0.89789981559416976</v>
          </cell>
          <cell r="H13">
            <v>1</v>
          </cell>
          <cell r="I13">
            <v>1</v>
          </cell>
          <cell r="J13">
            <v>1</v>
          </cell>
        </row>
        <row r="14">
          <cell r="B14" t="str">
            <v>Overall Length of Stay</v>
          </cell>
          <cell r="C14">
            <v>1.3898108575367241</v>
          </cell>
          <cell r="D14">
            <v>1.3857101947157124</v>
          </cell>
          <cell r="E14">
            <v>1.409808216231297</v>
          </cell>
          <cell r="F14">
            <v>1.4591658339019791</v>
          </cell>
          <cell r="G14">
            <v>1.5834259669277251</v>
          </cell>
          <cell r="H14">
            <v>1.6892403375063489</v>
          </cell>
          <cell r="I14">
            <v>1.7144072578115312</v>
          </cell>
          <cell r="J14">
            <v>1.7384803879875337</v>
          </cell>
        </row>
        <row r="15">
          <cell r="B15" t="str">
            <v>Hotel Length of Stay Reaches 2 Nights</v>
          </cell>
          <cell r="C15">
            <v>2.1758333333333333</v>
          </cell>
          <cell r="D15">
            <v>2.25</v>
          </cell>
          <cell r="E15">
            <v>2.4000000000000004</v>
          </cell>
          <cell r="F15">
            <v>2.5499999999999998</v>
          </cell>
          <cell r="G15">
            <v>2.7</v>
          </cell>
          <cell r="H15">
            <v>2.8499999999999996</v>
          </cell>
          <cell r="I15">
            <v>2.94</v>
          </cell>
          <cell r="J15">
            <v>3</v>
          </cell>
        </row>
        <row r="16">
          <cell r="B16" t="str">
            <v xml:space="preserve">  Share of Final</v>
          </cell>
          <cell r="C16">
            <v>0.7252777777777778</v>
          </cell>
          <cell r="D16">
            <v>0.75</v>
          </cell>
          <cell r="E16">
            <v>0.8</v>
          </cell>
          <cell r="F16">
            <v>0.85</v>
          </cell>
          <cell r="G16">
            <v>0.9</v>
          </cell>
          <cell r="H16">
            <v>0.95</v>
          </cell>
          <cell r="I16">
            <v>0.98</v>
          </cell>
          <cell r="J16">
            <v>1</v>
          </cell>
        </row>
        <row r="18">
          <cell r="B18" t="str">
            <v>Mass Revenue / Visitor / Day</v>
          </cell>
          <cell r="C18">
            <v>80.18516483394032</v>
          </cell>
          <cell r="D18">
            <v>79.064573135614836</v>
          </cell>
          <cell r="E18">
            <v>83.640320959777029</v>
          </cell>
          <cell r="F18">
            <v>87.822337007765881</v>
          </cell>
          <cell r="G18">
            <v>90.457007117998856</v>
          </cell>
          <cell r="H18">
            <v>90.457007117998856</v>
          </cell>
          <cell r="I18">
            <v>90.457007117998856</v>
          </cell>
          <cell r="J18">
            <v>90.457007117998856</v>
          </cell>
        </row>
        <row r="20">
          <cell r="B20" t="str">
            <v>Room Nights Available</v>
          </cell>
          <cell r="C20">
            <v>3.8456959999999998</v>
          </cell>
          <cell r="D20">
            <v>4.3155250000000001</v>
          </cell>
          <cell r="E20">
            <v>5.561999876811595</v>
          </cell>
          <cell r="F20">
            <v>7.7883038768115949</v>
          </cell>
          <cell r="G20">
            <v>12.381828876811596</v>
          </cell>
          <cell r="H20">
            <v>17.701703876811592</v>
          </cell>
          <cell r="I20">
            <v>18.431703876811593</v>
          </cell>
          <cell r="J20">
            <v>18.482201695652176</v>
          </cell>
        </row>
        <row r="21">
          <cell r="B21" t="str">
            <v>Visitors Per Room</v>
          </cell>
          <cell r="C21">
            <v>1.7771274235908885</v>
          </cell>
          <cell r="D21">
            <v>1.7548958768043246</v>
          </cell>
          <cell r="E21">
            <v>1.7150671401583086</v>
          </cell>
          <cell r="F21">
            <v>1.7150671401583086</v>
          </cell>
          <cell r="G21">
            <v>1.7150671401583086</v>
          </cell>
          <cell r="H21">
            <v>1.7150671401583086</v>
          </cell>
          <cell r="I21">
            <v>1.7150671401583086</v>
          </cell>
          <cell r="J21">
            <v>1.7150671401583086</v>
          </cell>
        </row>
        <row r="23">
          <cell r="B23" t="str">
            <v>Visitor-Days</v>
          </cell>
        </row>
        <row r="24">
          <cell r="B24" t="str">
            <v>Hotel Visitors @ Constant Share &amp; Length of Stay</v>
          </cell>
          <cell r="C24">
            <v>26.00338764</v>
          </cell>
          <cell r="D24">
            <v>30.860142628800389</v>
          </cell>
          <cell r="E24">
            <v>37.533212672776308</v>
          </cell>
          <cell r="F24">
            <v>42.631527820470332</v>
          </cell>
          <cell r="G24">
            <v>48.255112925177912</v>
          </cell>
          <cell r="H24">
            <v>54.643996721318629</v>
          </cell>
          <cell r="I24">
            <v>60.471864910158359</v>
          </cell>
          <cell r="J24">
            <v>66.068820520010703</v>
          </cell>
        </row>
        <row r="25">
          <cell r="B25" t="str">
            <v>Hotel Visitors @ Constant Share</v>
          </cell>
          <cell r="C25">
            <v>26.00338764</v>
          </cell>
          <cell r="D25">
            <v>30.831879974299582</v>
          </cell>
          <cell r="E25">
            <v>38.119410403543803</v>
          </cell>
          <cell r="F25">
            <v>44.435011685185941</v>
          </cell>
          <cell r="G25">
            <v>53.560756864274722</v>
          </cell>
          <cell r="H25">
            <v>63.721006051864251</v>
          </cell>
          <cell r="I25">
            <v>70.700493323489454</v>
          </cell>
          <cell r="J25">
            <v>77.434064501844787</v>
          </cell>
        </row>
        <row r="26">
          <cell r="B26" t="str">
            <v>Forecast</v>
          </cell>
          <cell r="C26">
            <v>26.005010850000001</v>
          </cell>
          <cell r="D26">
            <v>30.483021920000002</v>
          </cell>
          <cell r="E26">
            <v>37.857878147298791</v>
          </cell>
          <cell r="F26">
            <v>45.398962925988279</v>
          </cell>
          <cell r="G26">
            <v>56.905774736737726</v>
          </cell>
          <cell r="H26">
            <v>70.043267277518083</v>
          </cell>
          <cell r="I26">
            <v>80.105727572057503</v>
          </cell>
          <cell r="J26">
            <v>90.25696587555332</v>
          </cell>
        </row>
        <row r="27">
          <cell r="B27" t="str">
            <v>Hotel Length of Stay Reaches 2 Nights</v>
          </cell>
          <cell r="C27">
            <v>26.00338764</v>
          </cell>
          <cell r="D27">
            <v>30.850094000000002</v>
          </cell>
          <cell r="E27">
            <v>38.388723002606923</v>
          </cell>
          <cell r="F27">
            <v>46.203335046358795</v>
          </cell>
          <cell r="G27">
            <v>55.577336008172445</v>
          </cell>
          <cell r="H27">
            <v>66.485234769540284</v>
          </cell>
          <cell r="I27">
            <v>77.059427641937717</v>
          </cell>
          <cell r="J27">
            <v>87.628978661131228</v>
          </cell>
        </row>
        <row r="29">
          <cell r="B29" t="str">
            <v>Occupancy</v>
          </cell>
        </row>
        <row r="30">
          <cell r="B30" t="str">
            <v>Hotel Visitors @ Constant Share &amp; Length of Stay</v>
          </cell>
          <cell r="C30">
            <v>0.70902922563301929</v>
          </cell>
          <cell r="D30">
            <v>0.75224088284457091</v>
          </cell>
          <cell r="E30">
            <v>0.72902168651236288</v>
          </cell>
          <cell r="F30">
            <v>0.60321701423507024</v>
          </cell>
          <cell r="G30">
            <v>0.43827729327976817</v>
          </cell>
          <cell r="H30">
            <v>0.35370001009838453</v>
          </cell>
          <cell r="I30">
            <v>0.38278885005516533</v>
          </cell>
          <cell r="J30">
            <v>0.42416264605628878</v>
          </cell>
        </row>
        <row r="31">
          <cell r="B31" t="str">
            <v>Hotel Visitors @ Constant Share</v>
          </cell>
          <cell r="C31">
            <v>0.70902922563301929</v>
          </cell>
          <cell r="D31">
            <v>0.74850900036412304</v>
          </cell>
          <cell r="E31">
            <v>0.79047312193184327</v>
          </cell>
          <cell r="F31">
            <v>0.738233949864609</v>
          </cell>
          <cell r="G31">
            <v>0.68812316479422686</v>
          </cell>
          <cell r="H31">
            <v>0.65268307140980153</v>
          </cell>
          <cell r="I31">
            <v>0.70636074419657591</v>
          </cell>
          <cell r="J31">
            <v>0.78270786175075524</v>
          </cell>
        </row>
        <row r="32">
          <cell r="B32" t="str">
            <v>Forecast</v>
          </cell>
          <cell r="C32">
            <v>0.70902922563301929</v>
          </cell>
          <cell r="D32">
            <v>0.72314596393254593</v>
          </cell>
          <cell r="E32">
            <v>0.76428321462774651</v>
          </cell>
          <cell r="F32">
            <v>0.78081165618029769</v>
          </cell>
          <cell r="G32">
            <v>0.79029714454148425</v>
          </cell>
          <cell r="H32">
            <v>0.79523135131673062</v>
          </cell>
          <cell r="I32">
            <v>0.91002215529354946</v>
          </cell>
          <cell r="J32">
            <v>1.0596169520416707</v>
          </cell>
        </row>
        <row r="33">
          <cell r="B33" t="str">
            <v>Hotel Length of Stay Reaches 2 Nights</v>
          </cell>
          <cell r="C33">
            <v>0.70902922563301929</v>
          </cell>
          <cell r="D33">
            <v>0.77259184180827556</v>
          </cell>
          <cell r="E33">
            <v>0.83924725572535219</v>
          </cell>
          <cell r="F33">
            <v>0.84103058074239101</v>
          </cell>
          <cell r="G33">
            <v>0.7277401890235734</v>
          </cell>
          <cell r="H33">
            <v>0.67803510167744563</v>
          </cell>
          <cell r="I33">
            <v>0.81365566325957983</v>
          </cell>
          <cell r="J33">
            <v>0.97671048350097389</v>
          </cell>
        </row>
        <row r="35">
          <cell r="B35" t="str">
            <v>Revenue per Visitor Day</v>
          </cell>
        </row>
        <row r="36">
          <cell r="B36" t="str">
            <v>Day Trippers</v>
          </cell>
          <cell r="C36">
            <v>93.352570415141727</v>
          </cell>
          <cell r="D36">
            <v>91.183331550650422</v>
          </cell>
          <cell r="E36">
            <v>101.92475224507626</v>
          </cell>
          <cell r="F36">
            <v>104.93071762669251</v>
          </cell>
          <cell r="G36">
            <v>104.92823150594876</v>
          </cell>
          <cell r="H36">
            <v>100.04275818815849</v>
          </cell>
          <cell r="I36">
            <v>96.999240888847297</v>
          </cell>
          <cell r="J36">
            <v>94.30705012465927</v>
          </cell>
        </row>
        <row r="37">
          <cell r="B37" t="str">
            <v>Other Overnight</v>
          </cell>
          <cell r="C37">
            <v>48.11109890036419</v>
          </cell>
          <cell r="D37">
            <v>50.5166538453824</v>
          </cell>
          <cell r="E37">
            <v>50.5166538453824</v>
          </cell>
          <cell r="F37">
            <v>50.5166538453824</v>
          </cell>
          <cell r="G37">
            <v>50.5166538453824</v>
          </cell>
          <cell r="H37">
            <v>51.021820383836221</v>
          </cell>
          <cell r="I37">
            <v>51.532038587674585</v>
          </cell>
          <cell r="J37">
            <v>52.047358973551333</v>
          </cell>
        </row>
        <row r="39">
          <cell r="B39" t="str">
            <v>Hotel Visitors @ Constant Share &amp; Length of Stay</v>
          </cell>
          <cell r="C39">
            <v>92.212939559031355</v>
          </cell>
          <cell r="D39">
            <v>90.655985385959866</v>
          </cell>
          <cell r="E39">
            <v>97.570351185956739</v>
          </cell>
          <cell r="F39">
            <v>106.0356205006384</v>
          </cell>
          <cell r="G39">
            <v>118.51740052407369</v>
          </cell>
          <cell r="H39">
            <v>126.43747029746648</v>
          </cell>
          <cell r="I39">
            <v>128.32118196827733</v>
          </cell>
          <cell r="J39">
            <v>130.12302485233283</v>
          </cell>
        </row>
        <row r="40">
          <cell r="B40" t="str">
            <v xml:space="preserve">  Growth</v>
          </cell>
          <cell r="D40">
            <v>-1.6884335110852633E-2</v>
          </cell>
          <cell r="E40">
            <v>7.6270372778582285E-2</v>
          </cell>
          <cell r="F40">
            <v>8.6760672804671257E-2</v>
          </cell>
          <cell r="G40">
            <v>0.11771308513595335</v>
          </cell>
          <cell r="H40">
            <v>6.6826219089947347E-2</v>
          </cell>
          <cell r="I40">
            <v>1.4898365701078164E-2</v>
          </cell>
          <cell r="J40">
            <v>1.4041663709900565E-2</v>
          </cell>
        </row>
        <row r="41">
          <cell r="B41" t="str">
            <v>Hotel Visitors @ Constant Share</v>
          </cell>
          <cell r="C41">
            <v>92.212939559031355</v>
          </cell>
          <cell r="D41">
            <v>90.924259105957049</v>
          </cell>
          <cell r="E41">
            <v>92.004353055754734</v>
          </cell>
          <cell r="F41">
            <v>96.604570708542482</v>
          </cell>
          <cell r="G41">
            <v>99.502707829798752</v>
          </cell>
          <cell r="H41">
            <v>99.502707829798752</v>
          </cell>
          <cell r="I41">
            <v>99.502707829798752</v>
          </cell>
          <cell r="J41">
            <v>99.502707829798752</v>
          </cell>
        </row>
        <row r="42">
          <cell r="B42" t="str">
            <v>Hotel Visitors, Forecast</v>
          </cell>
          <cell r="C42">
            <v>92.212939559031355</v>
          </cell>
          <cell r="D42">
            <v>90.924259105957049</v>
          </cell>
          <cell r="E42">
            <v>92.004353055754734</v>
          </cell>
          <cell r="F42">
            <v>96.604570708542482</v>
          </cell>
          <cell r="G42">
            <v>99.502707829798752</v>
          </cell>
          <cell r="H42">
            <v>99.502707829798752</v>
          </cell>
          <cell r="I42">
            <v>99.502707829798752</v>
          </cell>
          <cell r="J42">
            <v>99.502707829798752</v>
          </cell>
        </row>
        <row r="43">
          <cell r="B43" t="str">
            <v>Hotel Length of Stay Reaches 2 Nights</v>
          </cell>
          <cell r="C43">
            <v>92.212939559031355</v>
          </cell>
          <cell r="D43">
            <v>90.924259105957049</v>
          </cell>
          <cell r="E43">
            <v>92.004353055754734</v>
          </cell>
          <cell r="F43">
            <v>96.604570708542482</v>
          </cell>
          <cell r="G43">
            <v>99.502707829798752</v>
          </cell>
          <cell r="H43">
            <v>99.502707829798752</v>
          </cell>
          <cell r="I43">
            <v>99.502707829798752</v>
          </cell>
          <cell r="J43">
            <v>99.502707829798752</v>
          </cell>
        </row>
        <row r="45">
          <cell r="B45" t="str">
            <v>Revenue</v>
          </cell>
          <cell r="F45">
            <v>-5.5877401367766089E-2</v>
          </cell>
          <cell r="G45">
            <v>-0.24183905563263763</v>
          </cell>
          <cell r="H45">
            <v>1178.2352498552946</v>
          </cell>
          <cell r="I45">
            <v>0.18596165426487155</v>
          </cell>
        </row>
        <row r="46">
          <cell r="B46" t="str">
            <v>Hotel Visitors @ Constant Share &amp; Length of Stay</v>
          </cell>
          <cell r="C46">
            <v>2085.2160815156567</v>
          </cell>
          <cell r="D46">
            <v>2445.0890346717483</v>
          </cell>
          <cell r="E46">
            <v>3153.5264619859204</v>
          </cell>
          <cell r="F46">
            <v>3719.6961415569003</v>
          </cell>
          <cell r="G46">
            <v>4286.76179564629</v>
          </cell>
          <cell r="H46">
            <v>4803.6352077448128</v>
          </cell>
          <cell r="I46">
            <v>5292.5018691607365</v>
          </cell>
          <cell r="J46">
            <v>5757.5890443966437</v>
          </cell>
        </row>
        <row r="47">
          <cell r="B47" t="str">
            <v>Hotel Visitors @ Constant Share</v>
          </cell>
          <cell r="C47">
            <v>2085.2160815156567</v>
          </cell>
          <cell r="D47">
            <v>2442.5192737508951</v>
          </cell>
          <cell r="E47">
            <v>3207.459204967935</v>
          </cell>
          <cell r="F47">
            <v>3893.9209260875341</v>
          </cell>
          <cell r="G47">
            <v>4814.6877343671822</v>
          </cell>
          <cell r="H47">
            <v>5706.8222151304508</v>
          </cell>
          <cell r="I47">
            <v>6310.2780936719992</v>
          </cell>
          <cell r="J47">
            <v>6888.461595735459</v>
          </cell>
        </row>
        <row r="48">
          <cell r="B48" t="str">
            <v>Forecast</v>
          </cell>
          <cell r="C48">
            <v>2085.2160815156567</v>
          </cell>
          <cell r="D48">
            <v>2410.12711598839</v>
          </cell>
          <cell r="E48">
            <v>3166.4450790962001</v>
          </cell>
          <cell r="F48">
            <v>3987.0430218892116</v>
          </cell>
          <cell r="G48">
            <v>5147.5260704163238</v>
          </cell>
          <cell r="H48">
            <v>6335.90432669035</v>
          </cell>
          <cell r="I48">
            <v>7246.1243691780819</v>
          </cell>
          <cell r="J48">
            <v>8164.3750046539053</v>
          </cell>
        </row>
        <row r="49">
          <cell r="B49" t="str">
            <v>Hotel Length of Stay Reaches 2 Nights</v>
          </cell>
          <cell r="C49">
            <v>2085.2160815156567</v>
          </cell>
          <cell r="D49">
            <v>2444.1753705430424</v>
          </cell>
          <cell r="E49">
            <v>3232.237136414501</v>
          </cell>
          <cell r="F49">
            <v>4064.7490452675252</v>
          </cell>
          <cell r="G49">
            <v>5015.3428197381036</v>
          </cell>
          <cell r="H49">
            <v>5981.8704576001073</v>
          </cell>
          <cell r="I49">
            <v>6943.009277269437</v>
          </cell>
          <cell r="J49">
            <v>7902.8831606768154</v>
          </cell>
        </row>
        <row r="50">
          <cell r="B50" t="str">
            <v xml:space="preserve">  Check</v>
          </cell>
          <cell r="C50">
            <v>2085.2160815156567</v>
          </cell>
          <cell r="D50">
            <v>2410.12711598839</v>
          </cell>
          <cell r="E50">
            <v>3166.4450790961996</v>
          </cell>
          <cell r="F50">
            <v>3987.0430218892116</v>
          </cell>
          <cell r="G50">
            <v>5147.5260704163238</v>
          </cell>
          <cell r="H50">
            <v>6335.90432669035</v>
          </cell>
          <cell r="I50">
            <v>7246.1243691780828</v>
          </cell>
          <cell r="J50">
            <v>8164.3750046539062</v>
          </cell>
        </row>
        <row r="52">
          <cell r="B52" t="str">
            <v>VIP Revenues</v>
          </cell>
          <cell r="C52">
            <v>3497.8356344037484</v>
          </cell>
          <cell r="D52">
            <v>4462.2919091703079</v>
          </cell>
          <cell r="E52">
            <v>5544.8648697270928</v>
          </cell>
          <cell r="F52">
            <v>5988.4540593052607</v>
          </cell>
          <cell r="G52">
            <v>6347.7613028635769</v>
          </cell>
          <cell r="H52">
            <v>6601.6717549781206</v>
          </cell>
          <cell r="I52">
            <v>6799.7219076274641</v>
          </cell>
          <cell r="J52">
            <v>7003.713564856288</v>
          </cell>
        </row>
        <row r="118">
          <cell r="K118" t="str">
            <v>New vs Old</v>
          </cell>
        </row>
        <row r="119">
          <cell r="L119">
            <v>2005</v>
          </cell>
          <cell r="M119" t="str">
            <v>2006E</v>
          </cell>
          <cell r="N119" t="str">
            <v>2007E</v>
          </cell>
          <cell r="O119" t="str">
            <v>2008E</v>
          </cell>
          <cell r="P119" t="str">
            <v>2009E</v>
          </cell>
          <cell r="Q119" t="str">
            <v>2010E</v>
          </cell>
          <cell r="R119" t="str">
            <v>2011E</v>
          </cell>
          <cell r="S119" t="str">
            <v>2012E</v>
          </cell>
        </row>
        <row r="121">
          <cell r="K121" t="str">
            <v>Visitors</v>
          </cell>
          <cell r="L121">
            <v>18.711186999999999</v>
          </cell>
          <cell r="M121">
            <v>21.998122000000002</v>
          </cell>
          <cell r="N121">
            <v>26.853211459144823</v>
          </cell>
          <cell r="O121">
            <v>31.112956369452657</v>
          </cell>
          <cell r="P121">
            <v>35.938386716715485</v>
          </cell>
          <cell r="Q121">
            <v>41.464358695646425</v>
          </cell>
          <cell r="R121">
            <v>46.725028260970944</v>
          </cell>
          <cell r="S121">
            <v>51.917160814241257</v>
          </cell>
        </row>
        <row r="122">
          <cell r="K122" t="str">
            <v xml:space="preserve">  Growth</v>
          </cell>
          <cell r="M122">
            <v>0.17566683503296732</v>
          </cell>
          <cell r="N122">
            <v>0.22070472466444269</v>
          </cell>
          <cell r="O122">
            <v>0.15863074391637366</v>
          </cell>
          <cell r="P122">
            <v>0.15509391939367534</v>
          </cell>
          <cell r="Q122">
            <v>0.15376238289407484</v>
          </cell>
          <cell r="R122">
            <v>0.1268720831772292</v>
          </cell>
          <cell r="S122">
            <v>0.11112101472193769</v>
          </cell>
        </row>
        <row r="124">
          <cell r="K124" t="str">
            <v>New</v>
          </cell>
        </row>
        <row r="125">
          <cell r="K125" t="str">
            <v>Visitor Days</v>
          </cell>
          <cell r="L125">
            <v>26.005010850000001</v>
          </cell>
          <cell r="M125">
            <v>30.483021920000002</v>
          </cell>
          <cell r="N125">
            <v>37.857878147298791</v>
          </cell>
          <cell r="O125">
            <v>45.398962925988279</v>
          </cell>
          <cell r="P125">
            <v>56.905774736737726</v>
          </cell>
          <cell r="Q125">
            <v>70.043267277518083</v>
          </cell>
          <cell r="R125">
            <v>80.105727572057503</v>
          </cell>
          <cell r="S125">
            <v>90.25696587555332</v>
          </cell>
        </row>
        <row r="126">
          <cell r="K126" t="str">
            <v xml:space="preserve">  Growth</v>
          </cell>
          <cell r="M126">
            <v>0.17219800813888142</v>
          </cell>
          <cell r="N126">
            <v>0.24193323898967267</v>
          </cell>
          <cell r="O126">
            <v>0.19919459694355734</v>
          </cell>
          <cell r="P126">
            <v>0.25345979443425715</v>
          </cell>
          <cell r="Q126">
            <v>0.23086396067109405</v>
          </cell>
          <cell r="R126">
            <v>0.14366063557073949</v>
          </cell>
          <cell r="S126">
            <v>0.12672300235166678</v>
          </cell>
        </row>
        <row r="127">
          <cell r="K127" t="str">
            <v>Length of Stay</v>
          </cell>
          <cell r="L127">
            <v>1.3898108575367241</v>
          </cell>
          <cell r="M127">
            <v>1.3857101947157124</v>
          </cell>
          <cell r="N127">
            <v>1.409808216231297</v>
          </cell>
          <cell r="O127">
            <v>1.4591658339019791</v>
          </cell>
          <cell r="P127">
            <v>1.5834259669277251</v>
          </cell>
          <cell r="Q127">
            <v>1.6892403375063489</v>
          </cell>
          <cell r="R127">
            <v>1.7144072578115315</v>
          </cell>
          <cell r="S127">
            <v>1.7384803879875337</v>
          </cell>
        </row>
        <row r="128">
          <cell r="K128" t="str">
            <v xml:space="preserve">  Growth</v>
          </cell>
          <cell r="M128">
            <v>-2.9505186254477067E-3</v>
          </cell>
          <cell r="N128">
            <v>1.7390376146094955E-2</v>
          </cell>
          <cell r="O128">
            <v>3.5010164575877578E-2</v>
          </cell>
          <cell r="P128">
            <v>8.5158335083449721E-2</v>
          </cell>
          <cell r="Q128">
            <v>6.6826219089947347E-2</v>
          </cell>
          <cell r="R128">
            <v>1.4898365701078387E-2</v>
          </cell>
          <cell r="S128">
            <v>1.4041663709900565E-2</v>
          </cell>
        </row>
        <row r="130">
          <cell r="K130" t="str">
            <v>Mass Market Revenue / Visitor / Day (US$)</v>
          </cell>
          <cell r="L130">
            <v>80.18516483394032</v>
          </cell>
          <cell r="M130">
            <v>79.064573135614836</v>
          </cell>
          <cell r="N130">
            <v>83.640320959777029</v>
          </cell>
          <cell r="O130">
            <v>87.822337007765881</v>
          </cell>
          <cell r="P130">
            <v>90.457007117998856</v>
          </cell>
          <cell r="Q130">
            <v>90.457007117998856</v>
          </cell>
          <cell r="R130">
            <v>90.457007117998856</v>
          </cell>
          <cell r="S130">
            <v>90.457007117998856</v>
          </cell>
        </row>
        <row r="131">
          <cell r="K131" t="str">
            <v xml:space="preserve">  Growth</v>
          </cell>
          <cell r="M131">
            <v>-1.3975050131108113E-2</v>
          </cell>
          <cell r="N131">
            <v>5.7873553763626573E-2</v>
          </cell>
          <cell r="O131">
            <v>5.0000000000000044E-2</v>
          </cell>
          <cell r="P131">
            <v>3.0000000000000027E-2</v>
          </cell>
          <cell r="Q131">
            <v>0</v>
          </cell>
          <cell r="R131">
            <v>0</v>
          </cell>
          <cell r="S131">
            <v>0</v>
          </cell>
        </row>
        <row r="132">
          <cell r="K132" t="str">
            <v>Mass Market Revenue / Visitor / (US$)</v>
          </cell>
          <cell r="L132">
            <v>111.44221269958217</v>
          </cell>
          <cell r="M132">
            <v>109.56058503486751</v>
          </cell>
          <cell r="N132">
            <v>117.91681169731642</v>
          </cell>
          <cell r="O132">
            <v>128.14735361515733</v>
          </cell>
          <cell r="P132">
            <v>143.23197396120545</v>
          </cell>
          <cell r="Q132">
            <v>152.8036252338226</v>
          </cell>
          <cell r="R132">
            <v>155.08014952300658</v>
          </cell>
          <cell r="S132">
            <v>157.25773283068975</v>
          </cell>
        </row>
        <row r="133">
          <cell r="K133" t="str">
            <v xml:space="preserve">  Growth</v>
          </cell>
          <cell r="M133">
            <v>-1.6884335110852633E-2</v>
          </cell>
          <cell r="N133">
            <v>7.6270372778582285E-2</v>
          </cell>
          <cell r="O133">
            <v>8.6760672804671257E-2</v>
          </cell>
          <cell r="P133">
            <v>0.11771308513595335</v>
          </cell>
          <cell r="Q133">
            <v>6.6826219089947347E-2</v>
          </cell>
          <cell r="R133">
            <v>1.4898365701078164E-2</v>
          </cell>
          <cell r="S133">
            <v>1.4041663709900565E-2</v>
          </cell>
        </row>
        <row r="134">
          <cell r="K134" t="str">
            <v>Mass Market Revenue</v>
          </cell>
          <cell r="L134">
            <v>2085.2160815156567</v>
          </cell>
          <cell r="M134">
            <v>2410.1271159883904</v>
          </cell>
          <cell r="N134">
            <v>3166.4450790962001</v>
          </cell>
          <cell r="O134">
            <v>3987.0430218892116</v>
          </cell>
          <cell r="P134">
            <v>5147.5260704163238</v>
          </cell>
          <cell r="Q134">
            <v>6335.90432669035</v>
          </cell>
          <cell r="R134">
            <v>7246.1243691780828</v>
          </cell>
          <cell r="S134">
            <v>8164.3750046539062</v>
          </cell>
        </row>
        <row r="136">
          <cell r="K136" t="str">
            <v>Old - just before 7/2006</v>
          </cell>
        </row>
        <row r="137">
          <cell r="K137" t="str">
            <v>Mass Market Revenue / Visitor / (US$)</v>
          </cell>
          <cell r="L137">
            <v>111.42495853909043</v>
          </cell>
          <cell r="M137">
            <v>132.92823720522313</v>
          </cell>
          <cell r="N137">
            <v>154.19675515805881</v>
          </cell>
          <cell r="O137">
            <v>178.8682359833482</v>
          </cell>
          <cell r="P137">
            <v>194.96637722184954</v>
          </cell>
          <cell r="Q137">
            <v>212.51335117181603</v>
          </cell>
          <cell r="R137">
            <v>218.88875170697051</v>
          </cell>
          <cell r="S137">
            <v>225.45541425817964</v>
          </cell>
        </row>
        <row r="138">
          <cell r="K138" t="str">
            <v xml:space="preserve">  Growth</v>
          </cell>
          <cell r="M138">
            <v>0.19298439907957299</v>
          </cell>
          <cell r="N138">
            <v>0.15999999999999992</v>
          </cell>
          <cell r="O138">
            <v>0.15999999999999992</v>
          </cell>
          <cell r="P138">
            <v>9.000000000000008E-2</v>
          </cell>
          <cell r="Q138">
            <v>9.000000000000008E-2</v>
          </cell>
          <cell r="R138">
            <v>3.0000000000000027E-2</v>
          </cell>
          <cell r="S138">
            <v>3.0000000000000027E-2</v>
          </cell>
        </row>
        <row r="139">
          <cell r="K139" t="str">
            <v>Mass Market Revenue</v>
          </cell>
          <cell r="L139">
            <v>2084.8932356921678</v>
          </cell>
          <cell r="M139">
            <v>2875.5326019075469</v>
          </cell>
          <cell r="N139">
            <v>3799.4469985761707</v>
          </cell>
          <cell r="O139">
            <v>5065.4832256596364</v>
          </cell>
          <cell r="P139">
            <v>6278.9503796083345</v>
          </cell>
          <cell r="Q139">
            <v>7721.0443786274736</v>
          </cell>
          <cell r="R139">
            <v>8842.6643546752584</v>
          </cell>
          <cell r="S139">
            <v>10003.30173162961</v>
          </cell>
        </row>
        <row r="140">
          <cell r="K140" t="str">
            <v xml:space="preserve">  Growth</v>
          </cell>
          <cell r="M140">
            <v>0.37922295141069573</v>
          </cell>
          <cell r="N140">
            <v>0.32130200716755053</v>
          </cell>
          <cell r="O140">
            <v>0.33321591998991118</v>
          </cell>
          <cell r="P140">
            <v>0.23955605021092108</v>
          </cell>
          <cell r="Q140">
            <v>0.22967118894624772</v>
          </cell>
          <cell r="R140">
            <v>0.14526790950101609</v>
          </cell>
          <cell r="S140">
            <v>0.1312542612047356</v>
          </cell>
        </row>
        <row r="142">
          <cell r="K142" t="str">
            <v>Difference</v>
          </cell>
        </row>
        <row r="143">
          <cell r="K143" t="str">
            <v>Revenue Difference</v>
          </cell>
          <cell r="L143">
            <v>0.32284582348893309</v>
          </cell>
          <cell r="M143">
            <v>-465.40548591915649</v>
          </cell>
          <cell r="N143">
            <v>-633.00191947997064</v>
          </cell>
          <cell r="O143">
            <v>-1078.4402037704249</v>
          </cell>
          <cell r="P143">
            <v>-1131.4243091920107</v>
          </cell>
          <cell r="Q143">
            <v>-1385.1400519371236</v>
          </cell>
          <cell r="R143">
            <v>-1596.5399854971756</v>
          </cell>
          <cell r="S143">
            <v>-1838.9267269757038</v>
          </cell>
        </row>
        <row r="145">
          <cell r="K145" t="str">
            <v>Old Implied Win/Visitor/Day</v>
          </cell>
          <cell r="L145">
            <v>80.172750079516604</v>
          </cell>
          <cell r="M145">
            <v>94.332268285412383</v>
          </cell>
          <cell r="N145">
            <v>100.36080162213915</v>
          </cell>
          <cell r="O145">
            <v>111.5770691484219</v>
          </cell>
          <cell r="P145">
            <v>110.33942352347441</v>
          </cell>
          <cell r="Q145">
            <v>110.23249883584045</v>
          </cell>
          <cell r="R145">
            <v>110.38741701360888</v>
          </cell>
          <cell r="S145">
            <v>110.8313539524717</v>
          </cell>
        </row>
        <row r="146">
          <cell r="K146" t="str">
            <v xml:space="preserve">  Growth</v>
          </cell>
          <cell r="M146">
            <v>0.17661260455519034</v>
          </cell>
          <cell r="N146">
            <v>6.3907435348493857E-2</v>
          </cell>
          <cell r="O146">
            <v>0.1117594453710351</v>
          </cell>
          <cell r="P146">
            <v>-1.1092293733770298E-2</v>
          </cell>
          <cell r="Q146">
            <v>-9.6905244036571414E-4</v>
          </cell>
          <cell r="R146">
            <v>1.4053766303452342E-3</v>
          </cell>
          <cell r="S146">
            <v>4.0216262946717318E-3</v>
          </cell>
        </row>
        <row r="147">
          <cell r="K147" t="str">
            <v>Win/Visitor/Day Difference</v>
          </cell>
          <cell r="L147">
            <v>1.241475442371609E-2</v>
          </cell>
          <cell r="M147">
            <v>-15.267695149797547</v>
          </cell>
          <cell r="N147">
            <v>-16.720480662362121</v>
          </cell>
          <cell r="O147">
            <v>-23.754732140656017</v>
          </cell>
          <cell r="P147">
            <v>-19.882416405475553</v>
          </cell>
          <cell r="Q147">
            <v>-19.775491717841589</v>
          </cell>
          <cell r="R147">
            <v>-19.930409895610026</v>
          </cell>
          <cell r="S147">
            <v>-20.374346834472846</v>
          </cell>
        </row>
        <row r="148">
          <cell r="K148" t="str">
            <v>Growth Difference (abs)</v>
          </cell>
          <cell r="M148">
            <v>-0.19058765468629846</v>
          </cell>
          <cell r="N148">
            <v>-6.0338815848672844E-3</v>
          </cell>
          <cell r="O148">
            <v>-6.175944537103506E-2</v>
          </cell>
          <cell r="P148">
            <v>4.1092293733770324E-2</v>
          </cell>
          <cell r="Q148">
            <v>9.6905244036571414E-4</v>
          </cell>
          <cell r="R148">
            <v>-1.4053766303452342E-3</v>
          </cell>
          <cell r="S148">
            <v>-4.0216262946717318E-3</v>
          </cell>
        </row>
        <row r="150">
          <cell r="K150" t="str">
            <v>Old Implied Visitor Days</v>
          </cell>
          <cell r="L150">
            <v>26.000984596214064</v>
          </cell>
          <cell r="M150">
            <v>36.369419170521724</v>
          </cell>
          <cell r="N150">
            <v>45.426021265548947</v>
          </cell>
          <cell r="O150">
            <v>57.678756888600105</v>
          </cell>
          <cell r="P150">
            <v>69.413642786319514</v>
          </cell>
          <cell r="Q150">
            <v>85.35595665414364</v>
          </cell>
          <cell r="R150">
            <v>97.755438040750434</v>
          </cell>
          <cell r="S150">
            <v>110.58625583953445</v>
          </cell>
        </row>
        <row r="151">
          <cell r="K151" t="str">
            <v xml:space="preserve">  Growth</v>
          </cell>
          <cell r="M151">
            <v>0.39877084407862706</v>
          </cell>
          <cell r="N151">
            <v>0.24901695714645378</v>
          </cell>
          <cell r="O151">
            <v>0.26972944760943918</v>
          </cell>
          <cell r="P151">
            <v>0.20345247593293303</v>
          </cell>
          <cell r="Q151">
            <v>0.2296711889462475</v>
          </cell>
          <cell r="R151">
            <v>0.14526790950101609</v>
          </cell>
          <cell r="S151">
            <v>0.1312542612047356</v>
          </cell>
        </row>
        <row r="152">
          <cell r="K152" t="str">
            <v>Old Implied Length of Stay</v>
          </cell>
          <cell r="L152">
            <v>1.3895956785752857</v>
          </cell>
          <cell r="M152">
            <v>1.6532965482472421</v>
          </cell>
          <cell r="N152">
            <v>1.6916420344978582</v>
          </cell>
          <cell r="O152">
            <v>1.8538500875227113</v>
          </cell>
          <cell r="P152">
            <v>1.9314624035150187</v>
          </cell>
          <cell r="Q152">
            <v>2.0585379670445896</v>
          </cell>
          <cell r="R152">
            <v>2.0921429409258336</v>
          </cell>
          <cell r="S152">
            <v>2.1300520695885168</v>
          </cell>
        </row>
        <row r="153">
          <cell r="K153" t="str">
            <v xml:space="preserve">  Growth</v>
          </cell>
          <cell r="M153">
            <v>0.18976805536868224</v>
          </cell>
          <cell r="N153">
            <v>2.3193350455650741E-2</v>
          </cell>
          <cell r="O153">
            <v>9.5887930021201218E-2</v>
          </cell>
          <cell r="P153">
            <v>4.1865475808791075E-2</v>
          </cell>
          <cell r="Q153">
            <v>6.5792408538892122E-2</v>
          </cell>
          <cell r="R153">
            <v>1.6324680146410087E-2</v>
          </cell>
          <cell r="S153">
            <v>1.8119760328568768E-2</v>
          </cell>
        </row>
        <row r="154">
          <cell r="K154" t="str">
            <v>Length of Stay Difference</v>
          </cell>
          <cell r="L154">
            <v>2.1517896143841142E-4</v>
          </cell>
          <cell r="M154">
            <v>-0.26758635353152971</v>
          </cell>
          <cell r="N154">
            <v>-0.28183381826656118</v>
          </cell>
          <cell r="O154">
            <v>-0.39468425362073223</v>
          </cell>
          <cell r="P154">
            <v>-0.34803643658729366</v>
          </cell>
          <cell r="Q154">
            <v>-0.36929762953824063</v>
          </cell>
          <cell r="R154">
            <v>-0.37773568311430217</v>
          </cell>
          <cell r="S154">
            <v>-0.3915716816009831</v>
          </cell>
        </row>
        <row r="155">
          <cell r="K155" t="str">
            <v>Growth Difference (abs)</v>
          </cell>
          <cell r="M155">
            <v>-0.19271857399412995</v>
          </cell>
          <cell r="N155">
            <v>-5.8029743095557862E-3</v>
          </cell>
          <cell r="O155">
            <v>-6.0877765445323639E-2</v>
          </cell>
          <cell r="P155">
            <v>4.3292859274658646E-2</v>
          </cell>
          <cell r="Q155">
            <v>1.0338105510552253E-3</v>
          </cell>
          <cell r="R155">
            <v>-1.4263144453317E-3</v>
          </cell>
          <cell r="S155">
            <v>-4.0780966186682033E-3</v>
          </cell>
        </row>
        <row r="156">
          <cell r="T156" t="str">
            <v>Length of Stay Analysis</v>
          </cell>
        </row>
        <row r="157">
          <cell r="T157" t="str">
            <v>2010E</v>
          </cell>
          <cell r="U157" t="str">
            <v>Best Case -------------&gt; Worst Case</v>
          </cell>
          <cell r="AA157" t="str">
            <v>Forecast</v>
          </cell>
          <cell r="AB157" t="str">
            <v>If Stays Same</v>
          </cell>
        </row>
        <row r="159">
          <cell r="T159" t="str">
            <v>Room/Visitor Forecast</v>
          </cell>
        </row>
        <row r="160">
          <cell r="T160" t="str">
            <v>Total Visitors (mm)</v>
          </cell>
          <cell r="U160">
            <v>41.464358695646425</v>
          </cell>
          <cell r="V160">
            <v>41.464358695646425</v>
          </cell>
          <cell r="W160">
            <v>41.464358695646425</v>
          </cell>
          <cell r="X160">
            <v>41.464358695646425</v>
          </cell>
          <cell r="Y160">
            <v>41.464358695646425</v>
          </cell>
          <cell r="Z160">
            <v>41.464358695646425</v>
          </cell>
          <cell r="AA160">
            <v>41.464358695646425</v>
          </cell>
          <cell r="AB160">
            <v>41.464358695646425</v>
          </cell>
        </row>
        <row r="161">
          <cell r="T161" t="str">
            <v>Total Rooms</v>
          </cell>
          <cell r="U161">
            <v>48497.818840579712</v>
          </cell>
          <cell r="V161">
            <v>48497.818840579712</v>
          </cell>
          <cell r="W161">
            <v>48497.818840579712</v>
          </cell>
          <cell r="X161">
            <v>48497.818840579712</v>
          </cell>
          <cell r="Y161">
            <v>48497.818840579712</v>
          </cell>
          <cell r="Z161">
            <v>48497.818840579712</v>
          </cell>
          <cell r="AA161">
            <v>48497.818840579712</v>
          </cell>
          <cell r="AB161">
            <v>48497.818840579712</v>
          </cell>
        </row>
        <row r="162">
          <cell r="T162" t="str">
            <v>Room Nights Available (mm)</v>
          </cell>
          <cell r="U162">
            <v>17.701703876811592</v>
          </cell>
          <cell r="V162">
            <v>17.701703876811592</v>
          </cell>
          <cell r="W162">
            <v>17.701703876811592</v>
          </cell>
          <cell r="X162">
            <v>17.701703876811592</v>
          </cell>
          <cell r="Y162">
            <v>17.701703876811592</v>
          </cell>
          <cell r="Z162">
            <v>17.701703876811592</v>
          </cell>
          <cell r="AA162">
            <v>17.701703876811592</v>
          </cell>
          <cell r="AB162">
            <v>17.701703876811592</v>
          </cell>
        </row>
        <row r="164">
          <cell r="T164" t="str">
            <v>Key Assumptions</v>
          </cell>
        </row>
        <row r="165">
          <cell r="T165" t="str">
            <v>Overnight % of Total Vistors</v>
          </cell>
          <cell r="U165">
            <v>0.3</v>
          </cell>
          <cell r="V165">
            <v>0.3</v>
          </cell>
          <cell r="W165">
            <v>0.25</v>
          </cell>
          <cell r="X165">
            <v>0.2</v>
          </cell>
          <cell r="Y165">
            <v>0.25</v>
          </cell>
          <cell r="Z165">
            <v>0.2</v>
          </cell>
          <cell r="AA165">
            <v>0.26835005835411491</v>
          </cell>
          <cell r="AB165">
            <v>0.22024727773817879</v>
          </cell>
        </row>
        <row r="166">
          <cell r="T166" t="str">
            <v>Length of Stay</v>
          </cell>
          <cell r="U166">
            <v>1.8</v>
          </cell>
          <cell r="V166">
            <v>1.5</v>
          </cell>
          <cell r="W166">
            <v>1.5</v>
          </cell>
          <cell r="X166">
            <v>1.8</v>
          </cell>
          <cell r="Y166">
            <v>1.2</v>
          </cell>
          <cell r="Z166">
            <v>1.2</v>
          </cell>
          <cell r="AA166">
            <v>2.1697667219533114</v>
          </cell>
          <cell r="AB166">
            <v>1.1758333333333333</v>
          </cell>
        </row>
        <row r="167">
          <cell r="T167" t="str">
            <v>Visitors Per Room</v>
          </cell>
          <cell r="U167">
            <v>1.7226267109273483</v>
          </cell>
          <cell r="V167">
            <v>1.7226267109273483</v>
          </cell>
          <cell r="W167">
            <v>1.7226267109273483</v>
          </cell>
          <cell r="X167">
            <v>1.7226267109273483</v>
          </cell>
          <cell r="Y167">
            <v>1.7226267109273483</v>
          </cell>
          <cell r="Z167">
            <v>1.7226267109273483</v>
          </cell>
          <cell r="AA167">
            <v>1.7150671401583086</v>
          </cell>
          <cell r="AB167">
            <v>1.7226267109273483</v>
          </cell>
        </row>
        <row r="169">
          <cell r="T169" t="str">
            <v>Total Overnight Guests (mm)</v>
          </cell>
          <cell r="U169">
            <v>12.439307608693927</v>
          </cell>
          <cell r="V169">
            <v>12.439307608693927</v>
          </cell>
          <cell r="W169">
            <v>10.366089673911606</v>
          </cell>
          <cell r="X169">
            <v>8.2928717391292857</v>
          </cell>
          <cell r="Y169">
            <v>10.366089673911606</v>
          </cell>
          <cell r="Z169">
            <v>8.2928717391292857</v>
          </cell>
          <cell r="AA169">
            <v>11.12696307559267</v>
          </cell>
          <cell r="AB169">
            <v>9.132412125875506</v>
          </cell>
        </row>
        <row r="170">
          <cell r="T170" t="str">
            <v>Room Nights Sold (mm)</v>
          </cell>
          <cell r="U170">
            <v>12.998030016378516</v>
          </cell>
          <cell r="V170">
            <v>10.83169168031543</v>
          </cell>
          <cell r="W170">
            <v>9.026409733596191</v>
          </cell>
          <cell r="X170">
            <v>8.6653533442523436</v>
          </cell>
          <cell r="Y170">
            <v>7.221127786876953</v>
          </cell>
          <cell r="Z170">
            <v>5.7769022295015624</v>
          </cell>
          <cell r="AA170">
            <v>14.076949894565493</v>
          </cell>
          <cell r="AB170">
            <v>6.233616675757462</v>
          </cell>
        </row>
        <row r="171">
          <cell r="T171" t="str">
            <v>Occupancy</v>
          </cell>
          <cell r="U171">
            <v>0.73428129330563086</v>
          </cell>
          <cell r="V171">
            <v>0.61190107775469238</v>
          </cell>
          <cell r="W171">
            <v>0.50991756479557693</v>
          </cell>
          <cell r="X171">
            <v>0.4895208622037539</v>
          </cell>
          <cell r="Y171">
            <v>0.40793405183646159</v>
          </cell>
          <cell r="Z171">
            <v>0.32634724146916927</v>
          </cell>
          <cell r="AA171">
            <v>0.79523135131673062</v>
          </cell>
          <cell r="AB171">
            <v>0.35214783385475168</v>
          </cell>
        </row>
      </sheetData>
      <sheetData sheetId="7" refreshError="1">
        <row r="2">
          <cell r="B2">
            <v>2000</v>
          </cell>
          <cell r="C2">
            <v>2001</v>
          </cell>
          <cell r="D2">
            <v>2002</v>
          </cell>
          <cell r="E2">
            <v>2003</v>
          </cell>
          <cell r="F2">
            <v>2004</v>
          </cell>
          <cell r="G2">
            <v>2005</v>
          </cell>
          <cell r="H2" t="str">
            <v>2006E</v>
          </cell>
          <cell r="I2" t="str">
            <v>2007E</v>
          </cell>
          <cell r="J2" t="str">
            <v>2008E</v>
          </cell>
          <cell r="K2" t="str">
            <v>2009E</v>
          </cell>
          <cell r="L2" t="str">
            <v>2010E</v>
          </cell>
          <cell r="M2" t="str">
            <v>2011E</v>
          </cell>
          <cell r="N2" t="str">
            <v>2012E</v>
          </cell>
          <cell r="O2" t="str">
            <v>2013E</v>
          </cell>
          <cell r="P2" t="str">
            <v>2014E</v>
          </cell>
          <cell r="Q2" t="str">
            <v>2015E</v>
          </cell>
          <cell r="R2" t="str">
            <v>2016E</v>
          </cell>
          <cell r="S2" t="str">
            <v>2017E</v>
          </cell>
          <cell r="T2" t="str">
            <v>2018E</v>
          </cell>
          <cell r="U2" t="str">
            <v>2019E</v>
          </cell>
          <cell r="V2" t="str">
            <v>2020E</v>
          </cell>
        </row>
        <row r="4">
          <cell r="A4" t="str">
            <v>Total Visitors (mm)</v>
          </cell>
          <cell r="B4">
            <v>9.1622120000000002</v>
          </cell>
          <cell r="C4">
            <v>10.278973000000001</v>
          </cell>
          <cell r="D4">
            <v>11.530841000000001</v>
          </cell>
          <cell r="E4">
            <v>11.887875999999999</v>
          </cell>
          <cell r="F4">
            <v>16.672556</v>
          </cell>
          <cell r="G4">
            <v>18.711186999999999</v>
          </cell>
          <cell r="H4">
            <v>21.998122000000002</v>
          </cell>
          <cell r="I4">
            <v>26.853211459144823</v>
          </cell>
          <cell r="J4">
            <v>31.112956369452657</v>
          </cell>
          <cell r="K4">
            <v>35.938386716715485</v>
          </cell>
          <cell r="L4">
            <v>41.464358695646425</v>
          </cell>
          <cell r="M4">
            <v>46.725028260970944</v>
          </cell>
          <cell r="N4">
            <v>51.917160814241257</v>
          </cell>
          <cell r="O4">
            <v>57.225724977400361</v>
          </cell>
          <cell r="P4">
            <v>62.698682591780887</v>
          </cell>
          <cell r="Q4">
            <v>68.453241363633722</v>
          </cell>
          <cell r="R4">
            <v>74.501429399553246</v>
          </cell>
          <cell r="S4">
            <v>80.855743837087061</v>
          </cell>
          <cell r="T4">
            <v>87.529168173325587</v>
          </cell>
          <cell r="U4">
            <v>94.535190211282512</v>
          </cell>
          <cell r="V4">
            <v>101.88782064554243</v>
          </cell>
        </row>
        <row r="6">
          <cell r="A6" t="str">
            <v>Hotel Guests (mm)</v>
          </cell>
          <cell r="B6">
            <v>2.6898429999999998</v>
          </cell>
          <cell r="C6">
            <v>2.7668530000000002</v>
          </cell>
          <cell r="D6">
            <v>3.154801</v>
          </cell>
          <cell r="E6">
            <v>3.043272</v>
          </cell>
          <cell r="F6">
            <v>3.9561540000000006</v>
          </cell>
          <cell r="G6">
            <v>4.1210880000000003</v>
          </cell>
          <cell r="H6">
            <v>4.6808540000000001</v>
          </cell>
          <cell r="I6">
            <v>5.718392947220277</v>
          </cell>
          <cell r="J6">
            <v>7.2477650018330273</v>
          </cell>
          <cell r="K6">
            <v>9.0906170171459291</v>
          </cell>
          <cell r="L6">
            <v>11.12696307559267</v>
          </cell>
          <cell r="M6">
            <v>13.258229495648175</v>
          </cell>
          <cell r="N6">
            <v>15.479990331349189</v>
          </cell>
          <cell r="O6">
            <v>17.749476403510823</v>
          </cell>
          <cell r="P6">
            <v>20.089518865799334</v>
          </cell>
          <cell r="Q6">
            <v>22.556264011369748</v>
          </cell>
          <cell r="R6">
            <v>25.155235729013647</v>
          </cell>
          <cell r="S6">
            <v>27.892175686482574</v>
          </cell>
          <cell r="T6">
            <v>30.773051431514041</v>
          </cell>
          <cell r="U6">
            <v>33.804064783015832</v>
          </cell>
          <cell r="V6">
            <v>36.991660522529486</v>
          </cell>
        </row>
        <row r="7">
          <cell r="A7" t="str">
            <v>Other Overnight Visitors (mm)</v>
          </cell>
          <cell r="B7">
            <v>2.506875</v>
          </cell>
          <cell r="C7">
            <v>3.0749820000000003</v>
          </cell>
          <cell r="D7">
            <v>3.410358</v>
          </cell>
          <cell r="E7">
            <v>3.2652429999999999</v>
          </cell>
          <cell r="F7">
            <v>4.3672770000000005</v>
          </cell>
          <cell r="G7">
            <v>4.8929760000000009</v>
          </cell>
          <cell r="H7">
            <v>6.0018090000000006</v>
          </cell>
          <cell r="I7">
            <v>7.059522834707419</v>
          </cell>
          <cell r="J7">
            <v>7.7126858481298948</v>
          </cell>
          <cell r="K7">
            <v>8.3698007246177593</v>
          </cell>
          <cell r="L7">
            <v>8.8719887680948251</v>
          </cell>
          <cell r="M7">
            <v>9.2268683188186191</v>
          </cell>
          <cell r="N7">
            <v>9.5036743683831784</v>
          </cell>
          <cell r="O7">
            <v>9.788784599434674</v>
          </cell>
          <cell r="P7">
            <v>10.082448137417714</v>
          </cell>
          <cell r="Q7">
            <v>10.384921581540246</v>
          </cell>
          <cell r="R7">
            <v>10.696469228986453</v>
          </cell>
          <cell r="S7">
            <v>11.017363305856048</v>
          </cell>
          <cell r="T7">
            <v>11.347884205031729</v>
          </cell>
          <cell r="U7">
            <v>11.688320731182682</v>
          </cell>
          <cell r="V7">
            <v>12.038970353118163</v>
          </cell>
        </row>
        <row r="8">
          <cell r="A8" t="str">
            <v>Day Trippers (mm)</v>
          </cell>
          <cell r="B8">
            <v>3.9654940000000001</v>
          </cell>
          <cell r="C8">
            <v>4.4371380000000009</v>
          </cell>
          <cell r="D8">
            <v>4.9656820000000002</v>
          </cell>
          <cell r="E8">
            <v>5.5793609999999996</v>
          </cell>
          <cell r="F8">
            <v>8.3491250000000008</v>
          </cell>
          <cell r="G8">
            <v>9.6971229999999995</v>
          </cell>
          <cell r="H8">
            <v>11.315459000000001</v>
          </cell>
          <cell r="I8">
            <v>14.075295677217126</v>
          </cell>
          <cell r="J8">
            <v>16.152505519489736</v>
          </cell>
          <cell r="K8">
            <v>18.477968974951796</v>
          </cell>
          <cell r="L8">
            <v>21.465406851958932</v>
          </cell>
          <cell r="M8">
            <v>24.23993044650415</v>
          </cell>
          <cell r="N8">
            <v>26.933496114508888</v>
          </cell>
          <cell r="O8">
            <v>29.687463974454861</v>
          </cell>
          <cell r="P8">
            <v>32.526715588563839</v>
          </cell>
          <cell r="Q8">
            <v>35.512055770723727</v>
          </cell>
          <cell r="R8">
            <v>38.649724441553147</v>
          </cell>
          <cell r="S8">
            <v>41.946204844748436</v>
          </cell>
          <cell r="T8">
            <v>45.408232536779813</v>
          </cell>
          <cell r="U8">
            <v>49.042804697083994</v>
          </cell>
          <cell r="V8">
            <v>52.857189769894788</v>
          </cell>
        </row>
        <row r="10">
          <cell r="A10" t="str">
            <v>Avg Days Stayed for Hotel Guests</v>
          </cell>
          <cell r="B10">
            <v>2.2824999999999998</v>
          </cell>
          <cell r="C10">
            <v>2.2925</v>
          </cell>
          <cell r="D10">
            <v>2.229166666666667</v>
          </cell>
          <cell r="E10">
            <v>2.2216666666666667</v>
          </cell>
          <cell r="F10">
            <v>2.1758333333333333</v>
          </cell>
          <cell r="G10">
            <v>2.1758333333333333</v>
          </cell>
          <cell r="H10">
            <v>2.17</v>
          </cell>
          <cell r="I10">
            <v>2.2749478692713261</v>
          </cell>
          <cell r="J10">
            <v>2.439017908256258</v>
          </cell>
          <cell r="K10">
            <v>2.8461329551184145</v>
          </cell>
          <cell r="L10">
            <v>3.1697667219533114</v>
          </cell>
          <cell r="M10">
            <v>3.1697667219533114</v>
          </cell>
          <cell r="N10">
            <v>3.1697667219533114</v>
          </cell>
          <cell r="O10">
            <v>3.1697667219533114</v>
          </cell>
          <cell r="P10">
            <v>3.1697667219533114</v>
          </cell>
          <cell r="Q10">
            <v>3.1697667219533114</v>
          </cell>
          <cell r="R10">
            <v>3.1697667219533114</v>
          </cell>
          <cell r="S10">
            <v>3.1697667219533114</v>
          </cell>
          <cell r="T10">
            <v>3.1697667219533114</v>
          </cell>
          <cell r="U10">
            <v>3.1697667219533114</v>
          </cell>
          <cell r="V10">
            <v>3.1697667219533114</v>
          </cell>
        </row>
        <row r="11">
          <cell r="A11" t="str">
            <v>Avg Days Stayed for Other Overnight Visitors</v>
          </cell>
          <cell r="B11">
            <v>1.5</v>
          </cell>
          <cell r="C11">
            <v>1.5</v>
          </cell>
          <cell r="D11">
            <v>1.5</v>
          </cell>
          <cell r="E11">
            <v>1.5</v>
          </cell>
          <cell r="F11">
            <v>1.5</v>
          </cell>
          <cell r="G11">
            <v>1.5</v>
          </cell>
          <cell r="H11">
            <v>1.5</v>
          </cell>
          <cell r="I11">
            <v>1.5</v>
          </cell>
          <cell r="J11">
            <v>1.5</v>
          </cell>
          <cell r="K11">
            <v>1.5</v>
          </cell>
          <cell r="L11">
            <v>1.5</v>
          </cell>
          <cell r="M11">
            <v>1.5</v>
          </cell>
          <cell r="N11">
            <v>1.5</v>
          </cell>
          <cell r="O11">
            <v>1.5</v>
          </cell>
          <cell r="P11">
            <v>1.5</v>
          </cell>
          <cell r="Q11">
            <v>1.5</v>
          </cell>
          <cell r="R11">
            <v>1.5</v>
          </cell>
          <cell r="S11">
            <v>1.5</v>
          </cell>
          <cell r="T11">
            <v>1.5</v>
          </cell>
          <cell r="U11">
            <v>1.5</v>
          </cell>
          <cell r="V11">
            <v>1.5</v>
          </cell>
        </row>
        <row r="13">
          <cell r="A13" t="str">
            <v>Avg Days Stayed, Total</v>
          </cell>
          <cell r="B13">
            <v>1.5133215808038494</v>
          </cell>
          <cell r="C13">
            <v>1.4974863249956978</v>
          </cell>
          <cell r="D13">
            <v>1.4841758922152049</v>
          </cell>
          <cell r="E13">
            <v>1.4500791781475515</v>
          </cell>
          <cell r="F13">
            <v>1.4099801041304048</v>
          </cell>
          <cell r="G13">
            <v>1.3897241067603034</v>
          </cell>
          <cell r="H13">
            <v>1.385373973287356</v>
          </cell>
          <cell r="I13">
            <v>1.4029467513608507</v>
          </cell>
          <cell r="J13">
            <v>1.4591658339019793</v>
          </cell>
          <cell r="K13">
            <v>1.5834259669277251</v>
          </cell>
          <cell r="L13">
            <v>1.6892403375063489</v>
          </cell>
          <cell r="M13">
            <v>1.7144072578115315</v>
          </cell>
          <cell r="N13">
            <v>1.7384803879875339</v>
          </cell>
          <cell r="O13">
            <v>1.7585157820070056</v>
          </cell>
          <cell r="P13">
            <v>1.7756270395727334</v>
          </cell>
          <cell r="Q13">
            <v>1.7908214532408184</v>
          </cell>
          <cell r="R13">
            <v>1.8044037337967822</v>
          </cell>
          <cell r="S13">
            <v>1.8166172633742717</v>
          </cell>
          <cell r="T13">
            <v>1.8276587855618405</v>
          </cell>
          <cell r="U13">
            <v>1.8376890660667624</v>
          </cell>
          <cell r="V13">
            <v>1.8468407570351977</v>
          </cell>
        </row>
        <row r="15">
          <cell r="A15" t="str">
            <v>Mass Market Win / Visitor / Day</v>
          </cell>
          <cell r="B15">
            <v>45.918782073460292</v>
          </cell>
          <cell r="C15">
            <v>43.326028388302625</v>
          </cell>
          <cell r="D15">
            <v>41.536352189614121</v>
          </cell>
          <cell r="E15">
            <v>45.835413736513246</v>
          </cell>
          <cell r="F15">
            <v>59.798060816914834</v>
          </cell>
          <cell r="G15">
            <v>80.18516483394032</v>
          </cell>
          <cell r="H15">
            <v>79.064573135614836</v>
          </cell>
          <cell r="I15">
            <v>83.640320959777029</v>
          </cell>
          <cell r="J15">
            <v>87.822337007765881</v>
          </cell>
          <cell r="K15">
            <v>90.457007117998856</v>
          </cell>
          <cell r="L15">
            <v>90.457007117998856</v>
          </cell>
          <cell r="M15">
            <v>90.457007117998856</v>
          </cell>
          <cell r="N15">
            <v>90.457007117998856</v>
          </cell>
          <cell r="O15">
            <v>90.457007117998856</v>
          </cell>
          <cell r="P15">
            <v>90.457007117998856</v>
          </cell>
          <cell r="Q15">
            <v>90.457007117998856</v>
          </cell>
          <cell r="R15">
            <v>90.457007117998856</v>
          </cell>
          <cell r="S15">
            <v>90.457007117998856</v>
          </cell>
          <cell r="T15">
            <v>90.457007117998856</v>
          </cell>
          <cell r="U15">
            <v>90.457007117998856</v>
          </cell>
          <cell r="V15">
            <v>90.457007117998856</v>
          </cell>
        </row>
        <row r="16">
          <cell r="A16" t="str">
            <v xml:space="preserve">  Growth</v>
          </cell>
          <cell r="C16">
            <v>-5.6463903615949884E-2</v>
          </cell>
          <cell r="D16">
            <v>-4.1307183355206667E-2</v>
          </cell>
          <cell r="E16">
            <v>0.10350118198328628</v>
          </cell>
          <cell r="F16">
            <v>0.30462574551342403</v>
          </cell>
          <cell r="G16">
            <v>0.34093252755210868</v>
          </cell>
          <cell r="H16">
            <v>-1.3975050131108113E-2</v>
          </cell>
          <cell r="I16">
            <v>5.7873553763626573E-2</v>
          </cell>
          <cell r="J16">
            <v>5.0000000000000044E-2</v>
          </cell>
          <cell r="K16">
            <v>3.0000000000000027E-2</v>
          </cell>
          <cell r="L16">
            <v>0</v>
          </cell>
          <cell r="M16">
            <v>0</v>
          </cell>
          <cell r="N16">
            <v>0</v>
          </cell>
          <cell r="O16">
            <v>0</v>
          </cell>
          <cell r="P16">
            <v>0</v>
          </cell>
          <cell r="Q16">
            <v>0</v>
          </cell>
          <cell r="R16">
            <v>0</v>
          </cell>
          <cell r="S16">
            <v>0</v>
          </cell>
          <cell r="T16">
            <v>0</v>
          </cell>
          <cell r="U16">
            <v>0</v>
          </cell>
          <cell r="V16">
            <v>0</v>
          </cell>
        </row>
        <row r="17">
          <cell r="A17" t="str">
            <v>Mass Market Win / Visitor</v>
          </cell>
          <cell r="B17">
            <v>69.485441851167352</v>
          </cell>
          <cell r="C17">
            <v>64.879130958528137</v>
          </cell>
          <cell r="D17">
            <v>61.631618489333086</v>
          </cell>
          <cell r="E17">
            <v>66.388826584460716</v>
          </cell>
          <cell r="F17">
            <v>84.303626644021449</v>
          </cell>
          <cell r="G17">
            <v>111.44221269958217</v>
          </cell>
          <cell r="H17">
            <v>109.56058503486751</v>
          </cell>
          <cell r="I17">
            <v>117.91681169731642</v>
          </cell>
          <cell r="J17">
            <v>128.14735361515733</v>
          </cell>
          <cell r="K17">
            <v>143.23197396120545</v>
          </cell>
          <cell r="L17">
            <v>152.8036252338226</v>
          </cell>
          <cell r="M17">
            <v>155.08014952300658</v>
          </cell>
          <cell r="N17">
            <v>157.25773283068975</v>
          </cell>
          <cell r="O17">
            <v>159.070074610121</v>
          </cell>
          <cell r="P17">
            <v>160.61790775754196</v>
          </cell>
          <cell r="Q17">
            <v>161.99234894286977</v>
          </cell>
          <cell r="R17">
            <v>163.22096139179925</v>
          </cell>
          <cell r="S17">
            <v>164.32576072372612</v>
          </cell>
          <cell r="T17">
            <v>165.32454377484052</v>
          </cell>
          <cell r="U17">
            <v>166.23185292986977</v>
          </cell>
          <cell r="V17">
            <v>167.05968750494333</v>
          </cell>
        </row>
        <row r="18">
          <cell r="A18" t="str">
            <v xml:space="preserve">  Growth</v>
          </cell>
          <cell r="C18">
            <v>-6.6291740685848866E-2</v>
          </cell>
          <cell r="D18">
            <v>-5.0054808398573014E-2</v>
          </cell>
          <cell r="E18">
            <v>7.7187784642569257E-2</v>
          </cell>
          <cell r="F18">
            <v>0.26984661397455634</v>
          </cell>
          <cell r="G18">
            <v>0.32191481121156862</v>
          </cell>
          <cell r="H18">
            <v>-1.6884335110852633E-2</v>
          </cell>
          <cell r="I18">
            <v>7.6270372778582285E-2</v>
          </cell>
          <cell r="J18">
            <v>8.6760672804671257E-2</v>
          </cell>
          <cell r="K18">
            <v>0.11771308513595335</v>
          </cell>
          <cell r="L18">
            <v>6.6826219089947347E-2</v>
          </cell>
          <cell r="M18">
            <v>1.4898365701078164E-2</v>
          </cell>
          <cell r="N18">
            <v>1.4041663709900565E-2</v>
          </cell>
          <cell r="O18">
            <v>1.1524659212672761E-2</v>
          </cell>
          <cell r="P18">
            <v>9.730511230441552E-3</v>
          </cell>
          <cell r="Q18">
            <v>8.5572101175828141E-3</v>
          </cell>
          <cell r="R18">
            <v>7.5843856635646745E-3</v>
          </cell>
          <cell r="S18">
            <v>6.7687343739808448E-3</v>
          </cell>
          <cell r="T18">
            <v>6.0780674114364608E-3</v>
          </cell>
          <cell r="U18">
            <v>5.4880487452906301E-3</v>
          </cell>
          <cell r="V18">
            <v>4.9799996840724781E-3</v>
          </cell>
        </row>
        <row r="20">
          <cell r="A20" t="str">
            <v>Mass Market Revenue</v>
          </cell>
          <cell r="B20">
            <v>636.64034915406774</v>
          </cell>
          <cell r="C20">
            <v>666.8908353861749</v>
          </cell>
          <cell r="D20">
            <v>710.66439337316001</v>
          </cell>
          <cell r="E20">
            <v>789.22213822157244</v>
          </cell>
          <cell r="F20">
            <v>1405.5569362255396</v>
          </cell>
          <cell r="G20">
            <v>2085.2160815156567</v>
          </cell>
          <cell r="H20">
            <v>2410.12711598839</v>
          </cell>
          <cell r="I20">
            <v>3166.4450790961996</v>
          </cell>
          <cell r="J20">
            <v>3987.0430218892116</v>
          </cell>
          <cell r="K20">
            <v>5147.5260704163238</v>
          </cell>
          <cell r="L20">
            <v>6335.90432669035</v>
          </cell>
          <cell r="M20">
            <v>7246.1243691780828</v>
          </cell>
          <cell r="N20">
            <v>8164.3750046539062</v>
          </cell>
          <cell r="O20">
            <v>9102.9003417733402</v>
          </cell>
          <cell r="P20">
            <v>10070.531217046064</v>
          </cell>
          <cell r="Q20">
            <v>11088.901361248239</v>
          </cell>
          <cell r="R20">
            <v>12160.194931658338</v>
          </cell>
          <cell r="S20">
            <v>13286.68161491206</v>
          </cell>
          <cell r="T20">
            <v>14470.719795246345</v>
          </cell>
          <cell r="U20">
            <v>15714.75983589918</v>
          </cell>
          <cell r="V20">
            <v>17021.347477604031</v>
          </cell>
        </row>
        <row r="21">
          <cell r="A21" t="str">
            <v xml:space="preserve">  Growth</v>
          </cell>
          <cell r="C21">
            <v>4.7515816853742177E-2</v>
          </cell>
          <cell r="D21">
            <v>6.5638265911447391E-2</v>
          </cell>
          <cell r="E21">
            <v>0.11054127036749239</v>
          </cell>
          <cell r="F21">
            <v>0.78093957094616173</v>
          </cell>
          <cell r="G21">
            <v>0.48355148608583787</v>
          </cell>
          <cell r="H21">
            <v>0.15581648221155531</v>
          </cell>
          <cell r="I21">
            <v>0.31380832906717648</v>
          </cell>
          <cell r="J21">
            <v>0.25915432679073525</v>
          </cell>
          <cell r="K21">
            <v>0.29106358826728473</v>
          </cell>
          <cell r="L21">
            <v>0.23086396067109427</v>
          </cell>
          <cell r="M21">
            <v>0.14366063557073927</v>
          </cell>
          <cell r="N21">
            <v>0.12672300235166678</v>
          </cell>
          <cell r="O21">
            <v>0.11495372720930264</v>
          </cell>
          <cell r="P21">
            <v>0.10629918366042657</v>
          </cell>
          <cell r="Q21">
            <v>0.10112377612001366</v>
          </cell>
          <cell r="R21">
            <v>9.6609531955427874E-2</v>
          </cell>
          <cell r="S21">
            <v>9.2637222477493619E-2</v>
          </cell>
          <cell r="T21">
            <v>8.9114664944285327E-2</v>
          </cell>
          <cell r="U21">
            <v>8.5969465116828792E-2</v>
          </cell>
          <cell r="V21">
            <v>8.3143977722144324E-2</v>
          </cell>
        </row>
        <row r="23">
          <cell r="A23" t="str">
            <v>Hotel Guest Revenue</v>
          </cell>
          <cell r="B23">
            <v>394.68999207685266</v>
          </cell>
          <cell r="C23">
            <v>384.7444343380634</v>
          </cell>
          <cell r="D23">
            <v>408.9506464278582</v>
          </cell>
          <cell r="E23">
            <v>433.85924967758473</v>
          </cell>
          <cell r="F23">
            <v>669.15891379397056</v>
          </cell>
          <cell r="G23">
            <v>826.85504545420372</v>
          </cell>
          <cell r="H23">
            <v>923.55890479494735</v>
          </cell>
          <cell r="I23">
            <v>1196.8888473879201</v>
          </cell>
          <cell r="J23">
            <v>1707.7204044478058</v>
          </cell>
          <cell r="K23">
            <v>2574.4439751123241</v>
          </cell>
          <cell r="L23">
            <v>3509.4482935296624</v>
          </cell>
          <cell r="M23">
            <v>4181.6505152955933</v>
          </cell>
          <cell r="N23">
            <v>4882.3947094221339</v>
          </cell>
          <cell r="O23">
            <v>5598.1914608832458</v>
          </cell>
          <cell r="P23">
            <v>6336.241724038985</v>
          </cell>
          <cell r="Q23">
            <v>7114.2540606381672</v>
          </cell>
          <cell r="R23">
            <v>7933.9707072606698</v>
          </cell>
          <cell r="S23">
            <v>8797.2025880513629</v>
          </cell>
          <cell r="T23">
            <v>9705.8318697867271</v>
          </cell>
          <cell r="U23">
            <v>10661.814608457495</v>
          </cell>
          <cell r="V23">
            <v>11667.183490559475</v>
          </cell>
        </row>
        <row r="24">
          <cell r="A24" t="str">
            <v xml:space="preserve">  Growth</v>
          </cell>
          <cell r="C24">
            <v>-2.5198403654614787E-2</v>
          </cell>
          <cell r="D24">
            <v>6.2915041594924004E-2</v>
          </cell>
          <cell r="E24">
            <v>6.0908580209618535E-2</v>
          </cell>
          <cell r="F24">
            <v>0.54234101103352028</v>
          </cell>
          <cell r="G24">
            <v>0.23566320108647121</v>
          </cell>
          <cell r="H24">
            <v>0.11695382385629971</v>
          </cell>
          <cell r="I24">
            <v>0.29595290692764054</v>
          </cell>
          <cell r="J24">
            <v>0.42679949618940816</v>
          </cell>
          <cell r="K24">
            <v>0.507532479208606</v>
          </cell>
          <cell r="L24">
            <v>0.36318689684305272</v>
          </cell>
          <cell r="M24">
            <v>0.1915407111155516</v>
          </cell>
          <cell r="N24">
            <v>0.16757598263254336</v>
          </cell>
          <cell r="O24">
            <v>0.14660771897031477</v>
          </cell>
          <cell r="P24">
            <v>0.13183726714471722</v>
          </cell>
          <cell r="Q24">
            <v>0.12278766664590646</v>
          </cell>
          <cell r="R24">
            <v>0.11522172804564867</v>
          </cell>
          <cell r="S24">
            <v>0.10880199998730999</v>
          </cell>
          <cell r="T24">
            <v>0.10328616087226328</v>
          </cell>
          <cell r="U24">
            <v>9.849570356216919E-2</v>
          </cell>
          <cell r="V24">
            <v>9.4296226207541745E-2</v>
          </cell>
        </row>
        <row r="25">
          <cell r="A25" t="str">
            <v>Other Overnight Revenue</v>
          </cell>
          <cell r="B25">
            <v>120.86827915092604</v>
          </cell>
          <cell r="C25">
            <v>139.88809529679557</v>
          </cell>
          <cell r="D25">
            <v>148.7365225297014</v>
          </cell>
          <cell r="E25">
            <v>157.1469520480164</v>
          </cell>
          <cell r="F25">
            <v>254.62582825905557</v>
          </cell>
          <cell r="G25">
            <v>353.10967837966263</v>
          </cell>
          <cell r="H25">
            <v>454.78696154865105</v>
          </cell>
          <cell r="I25">
            <v>534.93520703173112</v>
          </cell>
          <cell r="J25">
            <v>584.4286218122362</v>
          </cell>
          <cell r="K25">
            <v>634.22148894051918</v>
          </cell>
          <cell r="L25">
            <v>678.99752605971992</v>
          </cell>
          <cell r="M25">
            <v>713.2190013731298</v>
          </cell>
          <cell r="N25">
            <v>741.96172712846692</v>
          </cell>
          <cell r="O25">
            <v>771.86278473174434</v>
          </cell>
          <cell r="P25">
            <v>802.96885495643357</v>
          </cell>
          <cell r="Q25">
            <v>835.32849981117783</v>
          </cell>
          <cell r="R25">
            <v>868.9922383535685</v>
          </cell>
          <cell r="S25">
            <v>904.0126255592171</v>
          </cell>
          <cell r="T25">
            <v>940.44433436925351</v>
          </cell>
          <cell r="U25">
            <v>978.34424104433458</v>
          </cell>
          <cell r="V25">
            <v>1017.7715139584216</v>
          </cell>
        </row>
        <row r="26">
          <cell r="A26" t="str">
            <v xml:space="preserve">  Growth</v>
          </cell>
          <cell r="C26">
            <v>0.15735986546246616</v>
          </cell>
          <cell r="D26">
            <v>6.325361149662112E-2</v>
          </cell>
          <cell r="E26">
            <v>5.6545825969781527E-2</v>
          </cell>
          <cell r="F26">
            <v>0.62030395716013897</v>
          </cell>
          <cell r="G26">
            <v>0.38677871288222132</v>
          </cell>
          <cell r="H26">
            <v>0.2879481628358691</v>
          </cell>
          <cell r="I26">
            <v>0.17623250501764032</v>
          </cell>
          <cell r="J26">
            <v>9.2522260883025398E-2</v>
          </cell>
          <cell r="K26">
            <v>8.5199227535916799E-2</v>
          </cell>
          <cell r="L26">
            <v>7.0600000000000218E-2</v>
          </cell>
          <cell r="M26">
            <v>5.04E-2</v>
          </cell>
          <cell r="N26">
            <v>4.0300000000000002E-2</v>
          </cell>
          <cell r="O26">
            <v>4.0300000000000225E-2</v>
          </cell>
          <cell r="P26">
            <v>4.0300000000000002E-2</v>
          </cell>
          <cell r="Q26">
            <v>4.0300000000000002E-2</v>
          </cell>
          <cell r="R26">
            <v>4.0300000000000225E-2</v>
          </cell>
          <cell r="S26">
            <v>4.029999999999978E-2</v>
          </cell>
          <cell r="T26">
            <v>4.0300000000000002E-2</v>
          </cell>
          <cell r="U26">
            <v>4.0300000000000225E-2</v>
          </cell>
          <cell r="V26">
            <v>4.0300000000000225E-2</v>
          </cell>
        </row>
        <row r="27">
          <cell r="A27" t="str">
            <v>Day Tripper Revenue</v>
          </cell>
          <cell r="B27">
            <v>121.08207792628903</v>
          </cell>
          <cell r="C27">
            <v>142.25830575131593</v>
          </cell>
          <cell r="D27">
            <v>152.9772244156004</v>
          </cell>
          <cell r="E27">
            <v>198.21593649597131</v>
          </cell>
          <cell r="F27">
            <v>481.77219417251354</v>
          </cell>
          <cell r="G27">
            <v>905.2513576817903</v>
          </cell>
          <cell r="H27">
            <v>1031.7812496447914</v>
          </cell>
          <cell r="I27">
            <v>1434.6210246765484</v>
          </cell>
          <cell r="J27">
            <v>1694.8939956291697</v>
          </cell>
          <cell r="K27">
            <v>1938.8606063634807</v>
          </cell>
          <cell r="L27">
            <v>2147.4585071009678</v>
          </cell>
          <cell r="M27">
            <v>2351.2548525093598</v>
          </cell>
          <cell r="N27">
            <v>2540.0185681033054</v>
          </cell>
          <cell r="O27">
            <v>2732.8460961583501</v>
          </cell>
          <cell r="P27">
            <v>2931.3206380506454</v>
          </cell>
          <cell r="Q27">
            <v>3139.3188007988947</v>
          </cell>
          <cell r="R27">
            <v>3357.2319860440994</v>
          </cell>
          <cell r="S27">
            <v>3585.4664013014803</v>
          </cell>
          <cell r="T27">
            <v>3824.443591090364</v>
          </cell>
          <cell r="U27">
            <v>4074.6009863973509</v>
          </cell>
          <cell r="V27">
            <v>4336.3924730861345</v>
          </cell>
        </row>
        <row r="28">
          <cell r="A28" t="str">
            <v xml:space="preserve">  Growth</v>
          </cell>
          <cell r="C28">
            <v>0.17489151315951412</v>
          </cell>
          <cell r="D28">
            <v>7.5348280071761753E-2</v>
          </cell>
          <cell r="E28">
            <v>0.29572187790169835</v>
          </cell>
          <cell r="F28">
            <v>1.430542178843957</v>
          </cell>
          <cell r="G28">
            <v>0.8790029159666215</v>
          </cell>
          <cell r="H28">
            <v>0.13977321424518463</v>
          </cell>
          <cell r="I28">
            <v>0.39043137794027705</v>
          </cell>
          <cell r="J28">
            <v>0.18142280537907407</v>
          </cell>
          <cell r="K28">
            <v>0.14394210573844579</v>
          </cell>
          <cell r="L28">
            <v>0.10758787921774982</v>
          </cell>
          <cell r="M28">
            <v>9.490117957320332E-2</v>
          </cell>
          <cell r="N28">
            <v>8.0282116331408693E-2</v>
          </cell>
          <cell r="O28">
            <v>7.5915794662490876E-2</v>
          </cell>
          <cell r="P28">
            <v>7.2625583332810884E-2</v>
          </cell>
          <cell r="Q28">
            <v>7.0957151547423436E-2</v>
          </cell>
          <cell r="R28">
            <v>6.9414162457712258E-2</v>
          </cell>
          <cell r="S28">
            <v>6.7982914557630725E-2</v>
          </cell>
          <cell r="T28">
            <v>6.6651632742155353E-2</v>
          </cell>
          <cell r="U28">
            <v>6.5410141200609617E-2</v>
          </cell>
          <cell r="V28">
            <v>6.4249600773854443E-2</v>
          </cell>
        </row>
        <row r="31">
          <cell r="A31" t="str">
            <v>Hotel Guest Win / Visitor / Day</v>
          </cell>
          <cell r="B31">
            <v>64.286294902844404</v>
          </cell>
          <cell r="C31">
            <v>60.656439743623672</v>
          </cell>
          <cell r="D31">
            <v>58.150893065459762</v>
          </cell>
          <cell r="E31">
            <v>64.169579231118547</v>
          </cell>
          <cell r="F31">
            <v>77.737479061989291</v>
          </cell>
          <cell r="G31">
            <v>92.212939559031355</v>
          </cell>
          <cell r="H31">
            <v>90.924259105957049</v>
          </cell>
          <cell r="I31">
            <v>92.004353055754734</v>
          </cell>
          <cell r="J31">
            <v>96.604570708542482</v>
          </cell>
          <cell r="K31">
            <v>99.502707829798752</v>
          </cell>
          <cell r="L31">
            <v>99.502707829798752</v>
          </cell>
          <cell r="M31">
            <v>99.502707829798752</v>
          </cell>
          <cell r="N31">
            <v>99.502707829798752</v>
          </cell>
          <cell r="O31">
            <v>99.502707829798752</v>
          </cell>
          <cell r="P31">
            <v>99.502707829798752</v>
          </cell>
          <cell r="Q31">
            <v>99.502707829798752</v>
          </cell>
          <cell r="R31">
            <v>99.502707829798752</v>
          </cell>
          <cell r="S31">
            <v>99.502707829798752</v>
          </cell>
          <cell r="T31">
            <v>99.502707829798752</v>
          </cell>
          <cell r="U31">
            <v>99.502707829798752</v>
          </cell>
          <cell r="V31">
            <v>99.502707829798752</v>
          </cell>
        </row>
        <row r="32">
          <cell r="A32" t="str">
            <v xml:space="preserve">  Growth</v>
          </cell>
          <cell r="C32">
            <v>-5.6463903615949773E-2</v>
          </cell>
          <cell r="D32">
            <v>-4.1307183355206667E-2</v>
          </cell>
          <cell r="E32">
            <v>0.10350118198328651</v>
          </cell>
          <cell r="F32">
            <v>0.2114381922624653</v>
          </cell>
          <cell r="G32">
            <v>0.18620954360378827</v>
          </cell>
          <cell r="H32">
            <v>-1.3975050131108113E-2</v>
          </cell>
          <cell r="I32">
            <v>1.1879051426077814E-2</v>
          </cell>
          <cell r="J32">
            <v>5.0000000000000044E-2</v>
          </cell>
          <cell r="K32">
            <v>3.0000000000000027E-2</v>
          </cell>
          <cell r="L32">
            <v>0</v>
          </cell>
          <cell r="M32">
            <v>0</v>
          </cell>
          <cell r="N32">
            <v>0</v>
          </cell>
          <cell r="O32">
            <v>0</v>
          </cell>
          <cell r="P32">
            <v>0</v>
          </cell>
          <cell r="Q32">
            <v>0</v>
          </cell>
          <cell r="R32">
            <v>0</v>
          </cell>
          <cell r="S32">
            <v>0</v>
          </cell>
          <cell r="T32">
            <v>0</v>
          </cell>
          <cell r="U32">
            <v>0</v>
          </cell>
          <cell r="V32">
            <v>0</v>
          </cell>
        </row>
        <row r="33">
          <cell r="A33" t="str">
            <v xml:space="preserve">  Premium/Discount to Total</v>
          </cell>
          <cell r="B33">
            <v>1.4</v>
          </cell>
          <cell r="C33">
            <v>1.4</v>
          </cell>
          <cell r="D33">
            <v>1.4</v>
          </cell>
          <cell r="E33">
            <v>1.4</v>
          </cell>
          <cell r="F33">
            <v>1.3</v>
          </cell>
          <cell r="G33">
            <v>1.1499999999999999</v>
          </cell>
          <cell r="H33">
            <v>1.1499999999999999</v>
          </cell>
          <cell r="I33">
            <v>1.1000000000000001</v>
          </cell>
          <cell r="J33">
            <v>1.1000000000000001</v>
          </cell>
          <cell r="K33">
            <v>1.1000000000000001</v>
          </cell>
          <cell r="L33">
            <v>1.1000000000000001</v>
          </cell>
          <cell r="M33">
            <v>1.1000000000000001</v>
          </cell>
          <cell r="N33">
            <v>1.1000000000000001</v>
          </cell>
          <cell r="O33">
            <v>1.1000000000000001</v>
          </cell>
          <cell r="P33">
            <v>1.1000000000000001</v>
          </cell>
          <cell r="Q33">
            <v>1.1000000000000001</v>
          </cell>
          <cell r="R33">
            <v>1.1000000000000001</v>
          </cell>
          <cell r="S33">
            <v>1.1000000000000001</v>
          </cell>
          <cell r="T33">
            <v>1.1000000000000001</v>
          </cell>
          <cell r="U33">
            <v>1.1000000000000001</v>
          </cell>
          <cell r="V33">
            <v>1.1000000000000001</v>
          </cell>
        </row>
        <row r="34">
          <cell r="A34" t="str">
            <v xml:space="preserve">  Premium/Discount to Day Tripper</v>
          </cell>
          <cell r="B34">
            <v>2.1054058625806835</v>
          </cell>
          <cell r="C34">
            <v>1.8919176093776393</v>
          </cell>
          <cell r="D34">
            <v>1.8875936864601077</v>
          </cell>
          <cell r="E34">
            <v>1.8062384593167644</v>
          </cell>
          <cell r="F34">
            <v>1.3471925896184505</v>
          </cell>
          <cell r="G34">
            <v>0.98779218557086967</v>
          </cell>
          <cell r="H34">
            <v>0.99715877408417064</v>
          </cell>
          <cell r="I34">
            <v>0.90266938137393649</v>
          </cell>
          <cell r="J34">
            <v>0.92065100566860125</v>
          </cell>
          <cell r="K34">
            <v>0.94829300371995295</v>
          </cell>
          <cell r="L34">
            <v>0.99460180458695446</v>
          </cell>
          <cell r="M34">
            <v>1.0258091395150217</v>
          </cell>
          <cell r="N34">
            <v>1.0550929935595657</v>
          </cell>
          <cell r="O34">
            <v>1.0809181893595718</v>
          </cell>
          <cell r="P34">
            <v>1.1041085836396689</v>
          </cell>
          <cell r="Q34">
            <v>1.1255772140410283</v>
          </cell>
          <cell r="R34">
            <v>1.1455128078121373</v>
          </cell>
          <cell r="S34">
            <v>1.1640775559131913</v>
          </cell>
          <cell r="T34">
            <v>1.1814116191178008</v>
          </cell>
          <cell r="U34">
            <v>1.1976367460811164</v>
          </cell>
          <cell r="V34">
            <v>1.2128592010572838</v>
          </cell>
        </row>
        <row r="35">
          <cell r="A35" t="str">
            <v>Hotel Guest Win / Visitor / Trip</v>
          </cell>
          <cell r="B35">
            <v>146.73346811574234</v>
          </cell>
          <cell r="C35">
            <v>139.05488811225726</v>
          </cell>
          <cell r="D35">
            <v>129.62803245842073</v>
          </cell>
          <cell r="E35">
            <v>142.56341519180171</v>
          </cell>
          <cell r="F35">
            <v>169.14379819237837</v>
          </cell>
          <cell r="G35">
            <v>200.63998765719239</v>
          </cell>
          <cell r="H35">
            <v>197.3056422599268</v>
          </cell>
          <cell r="I35">
            <v>209.30510694787603</v>
          </cell>
          <cell r="J35">
            <v>235.62027797754305</v>
          </cell>
          <cell r="K35">
            <v>283.19793587790934</v>
          </cell>
          <cell r="L35">
            <v>315.40037202313931</v>
          </cell>
          <cell r="M35">
            <v>315.40037202313931</v>
          </cell>
          <cell r="N35">
            <v>315.40037202313931</v>
          </cell>
          <cell r="O35">
            <v>315.40037202313931</v>
          </cell>
          <cell r="P35">
            <v>315.40037202313925</v>
          </cell>
          <cell r="Q35">
            <v>315.40037202313931</v>
          </cell>
          <cell r="R35">
            <v>315.40037202313931</v>
          </cell>
          <cell r="S35">
            <v>315.40037202313925</v>
          </cell>
          <cell r="T35">
            <v>315.40037202313925</v>
          </cell>
          <cell r="U35">
            <v>315.40037202313931</v>
          </cell>
          <cell r="V35">
            <v>315.40037202313931</v>
          </cell>
        </row>
        <row r="36">
          <cell r="A36" t="str">
            <v xml:space="preserve">  Growth</v>
          </cell>
          <cell r="C36">
            <v>-5.233012006114568E-2</v>
          </cell>
          <cell r="D36">
            <v>-6.7792335687087424E-2</v>
          </cell>
          <cell r="E36">
            <v>9.9788467726146468E-2</v>
          </cell>
          <cell r="F36">
            <v>0.18644603150686301</v>
          </cell>
          <cell r="G36">
            <v>0.18620954360378805</v>
          </cell>
          <cell r="H36">
            <v>-1.6618548656225807E-2</v>
          </cell>
          <cell r="I36">
            <v>6.0816632259007353E-2</v>
          </cell>
          <cell r="J36">
            <v>0.1257263686175627</v>
          </cell>
          <cell r="K36">
            <v>0.20192514120071148</v>
          </cell>
          <cell r="L36">
            <v>0.11370999596237485</v>
          </cell>
          <cell r="M36">
            <v>0</v>
          </cell>
          <cell r="N36">
            <v>0</v>
          </cell>
          <cell r="O36">
            <v>0</v>
          </cell>
          <cell r="P36">
            <v>0</v>
          </cell>
          <cell r="Q36">
            <v>0</v>
          </cell>
          <cell r="R36">
            <v>0</v>
          </cell>
          <cell r="S36">
            <v>0</v>
          </cell>
          <cell r="T36">
            <v>0</v>
          </cell>
          <cell r="U36">
            <v>0</v>
          </cell>
          <cell r="V36">
            <v>0</v>
          </cell>
        </row>
        <row r="37">
          <cell r="A37" t="str">
            <v xml:space="preserve">  Premium/Discount to Total</v>
          </cell>
          <cell r="B37">
            <v>2.1117152630335791</v>
          </cell>
          <cell r="C37">
            <v>2.1432914722785599</v>
          </cell>
          <cell r="D37">
            <v>2.1032715939604305</v>
          </cell>
          <cell r="E37">
            <v>2.1474007378399844</v>
          </cell>
          <cell r="F37">
            <v>2.0063644344341327</v>
          </cell>
          <cell r="G37">
            <v>1.8003948665131329</v>
          </cell>
          <cell r="H37">
            <v>1.8008816053431491</v>
          </cell>
          <cell r="I37">
            <v>1.77502345878505</v>
          </cell>
          <cell r="J37">
            <v>1.8386667483211592</v>
          </cell>
          <cell r="K37">
            <v>1.9771977446503239</v>
          </cell>
          <cell r="L37">
            <v>2.0640895891082982</v>
          </cell>
          <cell r="M37">
            <v>2.0337894501213953</v>
          </cell>
          <cell r="N37">
            <v>2.0056271087331048</v>
          </cell>
          <cell r="O37">
            <v>1.9827762877221384</v>
          </cell>
          <cell r="P37">
            <v>1.9636687865418254</v>
          </cell>
          <cell r="Q37">
            <v>1.9470078314277195</v>
          </cell>
          <cell r="R37">
            <v>1.9323521276537834</v>
          </cell>
          <cell r="S37">
            <v>1.9193604863537399</v>
          </cell>
          <cell r="T37">
            <v>1.9077649623076571</v>
          </cell>
          <cell r="U37">
            <v>1.8973522009419039</v>
          </cell>
          <cell r="V37">
            <v>1.8879502094950738</v>
          </cell>
        </row>
        <row r="38">
          <cell r="A38" t="str">
            <v xml:space="preserve">  Premium/Discount to Day Tripper</v>
          </cell>
          <cell r="B38">
            <v>4.8055888813404097</v>
          </cell>
          <cell r="C38">
            <v>4.3372211194982375</v>
          </cell>
          <cell r="D38">
            <v>4.2077609260673237</v>
          </cell>
          <cell r="E38">
            <v>4.0128597771154118</v>
          </cell>
          <cell r="F38">
            <v>2.9312665429114784</v>
          </cell>
          <cell r="G38">
            <v>2.1492711637712838</v>
          </cell>
          <cell r="H38">
            <v>2.1638345397626502</v>
          </cell>
          <cell r="I38">
            <v>2.0535257858131026</v>
          </cell>
          <cell r="J38">
            <v>2.245484290079852</v>
          </cell>
          <cell r="K38">
            <v>2.6989679689955874</v>
          </cell>
          <cell r="L38">
            <v>3.1526557017744392</v>
          </cell>
          <cell r="M38">
            <v>3.2515756735102777</v>
          </cell>
          <cell r="N38">
            <v>3.344398659551211</v>
          </cell>
          <cell r="O38">
            <v>3.4262585057859991</v>
          </cell>
          <cell r="P38">
            <v>3.4997666458440264</v>
          </cell>
          <cell r="Q38">
            <v>3.5678171960561711</v>
          </cell>
          <cell r="R38">
            <v>3.6310083777742124</v>
          </cell>
          <cell r="S38">
            <v>3.6898542985063782</v>
          </cell>
          <cell r="T38">
            <v>3.7447992352085855</v>
          </cell>
          <cell r="U38">
            <v>3.7962291027163708</v>
          </cell>
          <cell r="V38">
            <v>3.8444807339262592</v>
          </cell>
        </row>
        <row r="40">
          <cell r="A40" t="str">
            <v>Other Overnight Visitor Win / Visitor / Day</v>
          </cell>
          <cell r="B40">
            <v>32.143147451422202</v>
          </cell>
          <cell r="C40">
            <v>30.328219871811836</v>
          </cell>
          <cell r="D40">
            <v>29.075446532729881</v>
          </cell>
          <cell r="E40">
            <v>32.084789615559274</v>
          </cell>
          <cell r="F40">
            <v>38.868739530994645</v>
          </cell>
          <cell r="G40">
            <v>48.11109890036419</v>
          </cell>
          <cell r="H40">
            <v>50.5166538453824</v>
          </cell>
          <cell r="I40">
            <v>50.5166538453824</v>
          </cell>
          <cell r="J40">
            <v>50.5166538453824</v>
          </cell>
          <cell r="K40">
            <v>50.5166538453824</v>
          </cell>
          <cell r="L40">
            <v>51.021820383836221</v>
          </cell>
          <cell r="M40">
            <v>51.532038587674585</v>
          </cell>
          <cell r="N40">
            <v>52.047358973551333</v>
          </cell>
          <cell r="O40">
            <v>52.567832563286849</v>
          </cell>
          <cell r="P40">
            <v>53.093510888919717</v>
          </cell>
          <cell r="Q40">
            <v>53.624445997808913</v>
          </cell>
          <cell r="R40">
            <v>54.160690457787005</v>
          </cell>
          <cell r="S40">
            <v>54.702297362364874</v>
          </cell>
          <cell r="T40">
            <v>55.249320335988521</v>
          </cell>
          <cell r="U40">
            <v>55.801813539348409</v>
          </cell>
          <cell r="V40">
            <v>56.359831674741891</v>
          </cell>
        </row>
        <row r="41">
          <cell r="A41" t="str">
            <v xml:space="preserve">  Growth</v>
          </cell>
          <cell r="C41">
            <v>-5.6463903615949773E-2</v>
          </cell>
          <cell r="D41">
            <v>-4.1307183355206667E-2</v>
          </cell>
          <cell r="E41">
            <v>0.10350118198328651</v>
          </cell>
          <cell r="F41">
            <v>0.2114381922624653</v>
          </cell>
          <cell r="G41">
            <v>0.23778387158656167</v>
          </cell>
          <cell r="H41">
            <v>0.05</v>
          </cell>
          <cell r="I41">
            <v>0</v>
          </cell>
          <cell r="J41">
            <v>0</v>
          </cell>
          <cell r="K41">
            <v>0</v>
          </cell>
          <cell r="L41">
            <v>0.01</v>
          </cell>
          <cell r="M41">
            <v>0.01</v>
          </cell>
          <cell r="N41">
            <v>0.01</v>
          </cell>
          <cell r="O41">
            <v>0.01</v>
          </cell>
          <cell r="P41">
            <v>0.01</v>
          </cell>
          <cell r="Q41">
            <v>0.01</v>
          </cell>
          <cell r="R41">
            <v>0.01</v>
          </cell>
          <cell r="S41">
            <v>0.01</v>
          </cell>
          <cell r="T41">
            <v>0.01</v>
          </cell>
          <cell r="U41">
            <v>0.01</v>
          </cell>
          <cell r="V41">
            <v>0.01</v>
          </cell>
        </row>
        <row r="42">
          <cell r="A42" t="str">
            <v xml:space="preserve">  Premium/Discount to Total</v>
          </cell>
          <cell r="B42">
            <v>0.7</v>
          </cell>
          <cell r="C42">
            <v>0.7</v>
          </cell>
          <cell r="D42">
            <v>0.7</v>
          </cell>
          <cell r="E42">
            <v>0.7</v>
          </cell>
          <cell r="F42">
            <v>0.65</v>
          </cell>
          <cell r="G42">
            <v>0.6</v>
          </cell>
          <cell r="H42">
            <v>0.63892906572371089</v>
          </cell>
          <cell r="I42">
            <v>0.60397489232108592</v>
          </cell>
          <cell r="J42">
            <v>0.57521418316293904</v>
          </cell>
          <cell r="K42">
            <v>0.55846037200285337</v>
          </cell>
          <cell r="L42">
            <v>0.56404497572288192</v>
          </cell>
          <cell r="M42">
            <v>0.5696854254801107</v>
          </cell>
          <cell r="N42">
            <v>0.57538227973491185</v>
          </cell>
          <cell r="O42">
            <v>0.581136102532261</v>
          </cell>
          <cell r="P42">
            <v>0.58694746355758365</v>
          </cell>
          <cell r="Q42">
            <v>0.5928169381931595</v>
          </cell>
          <cell r="R42">
            <v>0.59874510757509114</v>
          </cell>
          <cell r="S42">
            <v>0.60473255865084197</v>
          </cell>
          <cell r="T42">
            <v>0.61077988423735041</v>
          </cell>
          <cell r="U42">
            <v>0.61688768307972397</v>
          </cell>
          <cell r="V42">
            <v>0.62305655991052111</v>
          </cell>
        </row>
        <row r="43">
          <cell r="A43" t="str">
            <v xml:space="preserve">  Premium/Discount to Day Tripper</v>
          </cell>
          <cell r="B43">
            <v>1.0527029312903418</v>
          </cell>
          <cell r="C43">
            <v>0.94595880468881965</v>
          </cell>
          <cell r="D43">
            <v>0.94379684323005386</v>
          </cell>
          <cell r="E43">
            <v>0.90311922965838221</v>
          </cell>
          <cell r="F43">
            <v>0.67359629480922523</v>
          </cell>
          <cell r="G43">
            <v>0.51536983595001906</v>
          </cell>
          <cell r="H43">
            <v>0.5540119338293914</v>
          </cell>
          <cell r="I43">
            <v>0.49562694765169507</v>
          </cell>
          <cell r="J43">
            <v>0.48142865109436611</v>
          </cell>
          <cell r="K43">
            <v>0.48144005784104377</v>
          </cell>
          <cell r="L43">
            <v>0.51000013702016656</v>
          </cell>
          <cell r="M43">
            <v>0.53126228736909209</v>
          </cell>
          <cell r="N43">
            <v>0.55189255633330503</v>
          </cell>
          <cell r="O43">
            <v>0.57105507610968187</v>
          </cell>
          <cell r="P43">
            <v>0.58913975696314524</v>
          </cell>
          <cell r="Q43">
            <v>0.60660112520708076</v>
          </cell>
          <cell r="R43">
            <v>0.62351835394738431</v>
          </cell>
          <cell r="S43">
            <v>0.6399596353230933</v>
          </cell>
          <cell r="T43">
            <v>0.65598404723766457</v>
          </cell>
          <cell r="U43">
            <v>0.6716430522373813</v>
          </cell>
          <cell r="V43">
            <v>0.68698171042415845</v>
          </cell>
        </row>
        <row r="44">
          <cell r="A44" t="str">
            <v>Other Overnight Visitor Win / Visitor / Trip</v>
          </cell>
          <cell r="B44">
            <v>48.214721177133299</v>
          </cell>
          <cell r="C44">
            <v>45.492329807717752</v>
          </cell>
          <cell r="D44">
            <v>43.61316979909482</v>
          </cell>
          <cell r="E44">
            <v>48.12718442333891</v>
          </cell>
          <cell r="F44">
            <v>58.303109296491961</v>
          </cell>
          <cell r="G44">
            <v>72.166648350546282</v>
          </cell>
          <cell r="H44">
            <v>75.77498076807359</v>
          </cell>
          <cell r="I44">
            <v>75.774980768073604</v>
          </cell>
          <cell r="J44">
            <v>75.774980768073604</v>
          </cell>
          <cell r="K44">
            <v>75.774980768073604</v>
          </cell>
          <cell r="L44">
            <v>76.532730575754343</v>
          </cell>
          <cell r="M44">
            <v>77.29805788151188</v>
          </cell>
          <cell r="N44">
            <v>78.071038460326989</v>
          </cell>
          <cell r="O44">
            <v>78.85174884493027</v>
          </cell>
          <cell r="P44">
            <v>79.640266333379572</v>
          </cell>
          <cell r="Q44">
            <v>80.436668996713365</v>
          </cell>
          <cell r="R44">
            <v>81.241035686680519</v>
          </cell>
          <cell r="S44">
            <v>82.053446043547297</v>
          </cell>
          <cell r="T44">
            <v>82.873980503982764</v>
          </cell>
          <cell r="U44">
            <v>83.70272030902261</v>
          </cell>
          <cell r="V44">
            <v>84.539747512112854</v>
          </cell>
        </row>
        <row r="45">
          <cell r="A45" t="str">
            <v xml:space="preserve">  Growth</v>
          </cell>
          <cell r="C45">
            <v>-5.6463903615949773E-2</v>
          </cell>
          <cell r="D45">
            <v>-4.1307183355206667E-2</v>
          </cell>
          <cell r="E45">
            <v>0.10350118198328651</v>
          </cell>
          <cell r="F45">
            <v>0.21143819226246507</v>
          </cell>
          <cell r="G45">
            <v>0.23778387158656189</v>
          </cell>
          <cell r="H45">
            <v>4.9999999999999822E-2</v>
          </cell>
          <cell r="I45">
            <v>0</v>
          </cell>
          <cell r="J45">
            <v>0</v>
          </cell>
          <cell r="K45">
            <v>0</v>
          </cell>
          <cell r="L45">
            <v>1.0000000000000009E-2</v>
          </cell>
          <cell r="M45">
            <v>1.0000000000000009E-2</v>
          </cell>
          <cell r="N45">
            <v>9.9999999999997868E-3</v>
          </cell>
          <cell r="O45">
            <v>1.0000000000000231E-2</v>
          </cell>
          <cell r="P45">
            <v>1.0000000000000009E-2</v>
          </cell>
          <cell r="Q45">
            <v>1.0000000000000009E-2</v>
          </cell>
          <cell r="R45">
            <v>1.0000000000000231E-2</v>
          </cell>
          <cell r="S45">
            <v>9.9999999999995648E-3</v>
          </cell>
          <cell r="T45">
            <v>1.0000000000000009E-2</v>
          </cell>
          <cell r="U45">
            <v>1.0000000000000231E-2</v>
          </cell>
          <cell r="V45">
            <v>1.0000000000000231E-2</v>
          </cell>
        </row>
        <row r="46">
          <cell r="A46" t="str">
            <v xml:space="preserve">  Premium/Discount to Total</v>
          </cell>
          <cell r="B46">
            <v>0.6938823427273535</v>
          </cell>
          <cell r="C46">
            <v>0.70118586879342193</v>
          </cell>
          <cell r="D46">
            <v>0.7076427792764064</v>
          </cell>
          <cell r="E46">
            <v>0.72492898126631122</v>
          </cell>
          <cell r="F46">
            <v>0.69158482994665615</v>
          </cell>
          <cell r="G46">
            <v>0.64757013166175992</v>
          </cell>
          <cell r="H46">
            <v>0.69162628826743033</v>
          </cell>
          <cell r="I46">
            <v>0.64261388751404058</v>
          </cell>
          <cell r="J46">
            <v>0.59131131958944261</v>
          </cell>
          <cell r="K46">
            <v>0.52903676932217203</v>
          </cell>
          <cell r="L46">
            <v>0.50085677259713379</v>
          </cell>
          <cell r="M46">
            <v>0.49843940774666645</v>
          </cell>
          <cell r="N46">
            <v>0.49645277885559708</v>
          </cell>
          <cell r="O46">
            <v>0.4957044814255292</v>
          </cell>
          <cell r="P46">
            <v>0.4958367808750142</v>
          </cell>
          <cell r="Q46">
            <v>0.4965460993783179</v>
          </cell>
          <cell r="R46">
            <v>0.497736534535339</v>
          </cell>
          <cell r="S46">
            <v>0.4993340403973559</v>
          </cell>
          <cell r="T46">
            <v>0.50128056374285745</v>
          </cell>
          <cell r="U46">
            <v>0.5035299723473291</v>
          </cell>
          <cell r="V46">
            <v>0.50604516729753435</v>
          </cell>
        </row>
        <row r="47">
          <cell r="A47" t="str">
            <v xml:space="preserve">  Premium/Discount to Day Tripper</v>
          </cell>
          <cell r="B47">
            <v>1.5790543969355124</v>
          </cell>
          <cell r="C47">
            <v>1.4189382070332295</v>
          </cell>
          <cell r="D47">
            <v>1.4156952648450807</v>
          </cell>
          <cell r="E47">
            <v>1.3546788444875733</v>
          </cell>
          <cell r="F47">
            <v>1.0103944422138376</v>
          </cell>
          <cell r="G47">
            <v>0.77305475392502854</v>
          </cell>
          <cell r="H47">
            <v>0.83101790074408699</v>
          </cell>
          <cell r="I47">
            <v>0.74344042147754263</v>
          </cell>
          <cell r="J47">
            <v>0.72214297664154914</v>
          </cell>
          <cell r="K47">
            <v>0.72216008676156562</v>
          </cell>
          <cell r="L47">
            <v>0.76500020553024994</v>
          </cell>
          <cell r="M47">
            <v>0.79689343105363819</v>
          </cell>
          <cell r="N47">
            <v>0.82783883449995732</v>
          </cell>
          <cell r="O47">
            <v>0.85658261416452275</v>
          </cell>
          <cell r="P47">
            <v>0.88370963544471781</v>
          </cell>
          <cell r="Q47">
            <v>0.90990168781062108</v>
          </cell>
          <cell r="R47">
            <v>0.93527753092107657</v>
          </cell>
          <cell r="S47">
            <v>0.95993945298463978</v>
          </cell>
          <cell r="T47">
            <v>0.98397607085649663</v>
          </cell>
          <cell r="U47">
            <v>1.0074645783560718</v>
          </cell>
          <cell r="V47">
            <v>1.0304725656362379</v>
          </cell>
        </row>
        <row r="49">
          <cell r="A49" t="str">
            <v>Day Tripper Win / Visitor / Day</v>
          </cell>
          <cell r="B49">
            <v>30.533920345432126</v>
          </cell>
          <cell r="C49">
            <v>32.060825187613254</v>
          </cell>
          <cell r="D49">
            <v>30.80689106060364</v>
          </cell>
          <cell r="E49">
            <v>35.526637637530769</v>
          </cell>
          <cell r="F49">
            <v>57.703315517795396</v>
          </cell>
          <cell r="G49">
            <v>93.352570415141727</v>
          </cell>
          <cell r="H49">
            <v>91.183331550650422</v>
          </cell>
          <cell r="I49">
            <v>101.92475224507626</v>
          </cell>
          <cell r="J49">
            <v>104.93071762669251</v>
          </cell>
          <cell r="K49">
            <v>104.92823150594876</v>
          </cell>
          <cell r="L49">
            <v>100.04275818815849</v>
          </cell>
          <cell r="M49">
            <v>96.999240888847297</v>
          </cell>
          <cell r="N49">
            <v>94.30705012465927</v>
          </cell>
          <cell r="O49">
            <v>92.053874945663225</v>
          </cell>
          <cell r="P49">
            <v>90.120400569471471</v>
          </cell>
          <cell r="Q49">
            <v>88.401494440852986</v>
          </cell>
          <cell r="R49">
            <v>86.863025145780014</v>
          </cell>
          <cell r="S49">
            <v>85.477730692729693</v>
          </cell>
          <cell r="T49">
            <v>84.223573071086534</v>
          </cell>
          <cell r="U49">
            <v>83.082544148206523</v>
          </cell>
          <cell r="V49">
            <v>82.03978478545524</v>
          </cell>
        </row>
        <row r="50">
          <cell r="A50" t="str">
            <v xml:space="preserve">  Growth</v>
          </cell>
          <cell r="C50">
            <v>5.0006839112277657E-2</v>
          </cell>
          <cell r="D50">
            <v>-3.911109959496839E-2</v>
          </cell>
          <cell r="E50">
            <v>0.15320424796005527</v>
          </cell>
          <cell r="F50">
            <v>0.6242267592708215</v>
          </cell>
          <cell r="G50">
            <v>0.61780254006985591</v>
          </cell>
          <cell r="H50">
            <v>-2.3237055550207497E-2</v>
          </cell>
          <cell r="I50">
            <v>0.11780026581348602</v>
          </cell>
          <cell r="J50">
            <v>2.9492005772929986E-2</v>
          </cell>
          <cell r="K50">
            <v>-2.3692973802003081E-5</v>
          </cell>
          <cell r="L50">
            <v>-4.6560141609870764E-2</v>
          </cell>
          <cell r="M50">
            <v>-3.0422165026547932E-2</v>
          </cell>
          <cell r="N50">
            <v>-2.7754761166358444E-2</v>
          </cell>
          <cell r="O50">
            <v>-2.3891906024180565E-2</v>
          </cell>
          <cell r="P50">
            <v>-2.1003726104230069E-2</v>
          </cell>
          <cell r="Q50">
            <v>-1.9073440838663691E-2</v>
          </cell>
          <cell r="R50">
            <v>-1.7403204604219846E-2</v>
          </cell>
          <cell r="S50">
            <v>-1.5948033708536147E-2</v>
          </cell>
          <cell r="T50">
            <v>-1.4672331746282907E-2</v>
          </cell>
          <cell r="U50">
            <v>-1.3547619523538335E-2</v>
          </cell>
          <cell r="V50">
            <v>-1.2550883864258622E-2</v>
          </cell>
        </row>
        <row r="51">
          <cell r="A51" t="str">
            <v xml:space="preserve">  Premium/Discount</v>
          </cell>
          <cell r="B51">
            <v>0.66495492621264085</v>
          </cell>
          <cell r="C51">
            <v>0.73998994092588455</v>
          </cell>
          <cell r="D51">
            <v>0.74168504061140672</v>
          </cell>
          <cell r="E51">
            <v>0.77509145748649944</v>
          </cell>
          <cell r="F51">
            <v>0.96496967843935655</v>
          </cell>
          <cell r="G51">
            <v>1.1642124900344157</v>
          </cell>
          <cell r="H51">
            <v>1.153276719704146</v>
          </cell>
          <cell r="I51">
            <v>1.2186078565395784</v>
          </cell>
          <cell r="J51">
            <v>1.1948067109329348</v>
          </cell>
          <cell r="K51">
            <v>1.1599790314648877</v>
          </cell>
          <cell r="L51">
            <v>1.1059702434954017</v>
          </cell>
          <cell r="M51">
            <v>1.0723242342333332</v>
          </cell>
          <cell r="N51">
            <v>1.0425621312192888</v>
          </cell>
          <cell r="O51">
            <v>1.0176533347558283</v>
          </cell>
          <cell r="P51">
            <v>0.99627882284356051</v>
          </cell>
          <cell r="Q51">
            <v>0.9772763576572403</v>
          </cell>
          <cell r="R51">
            <v>0.96026861725006463</v>
          </cell>
          <cell r="S51">
            <v>0.94495422097291126</v>
          </cell>
          <cell r="T51">
            <v>0.93108953915774628</v>
          </cell>
          <cell r="U51">
            <v>0.91847549233889048</v>
          </cell>
          <cell r="V51">
            <v>0.90694781310237726</v>
          </cell>
        </row>
        <row r="52">
          <cell r="A52" t="str">
            <v xml:space="preserve">  Premium/Discount to non-per Day Figure</v>
          </cell>
          <cell r="B52">
            <v>0.43942903048430654</v>
          </cell>
          <cell r="C52">
            <v>0.49416237107286609</v>
          </cell>
          <cell r="D52">
            <v>0.49985529855808597</v>
          </cell>
          <cell r="E52">
            <v>0.53512977206086521</v>
          </cell>
          <cell r="F52">
            <v>0.68447014458170452</v>
          </cell>
          <cell r="G52">
            <v>0.83767692828205786</v>
          </cell>
          <cell r="H52">
            <v>0.83226400736753503</v>
          </cell>
          <cell r="I52">
            <v>0.86437846120457729</v>
          </cell>
          <cell r="J52">
            <v>0.81882859588199297</v>
          </cell>
          <cell r="K52">
            <v>0.73257547602024031</v>
          </cell>
          <cell r="L52">
            <v>0.65471455952089763</v>
          </cell>
          <cell r="M52">
            <v>0.62547812332652664</v>
          </cell>
          <cell r="N52">
            <v>0.59969737848245708</v>
          </cell>
          <cell r="O52">
            <v>0.57870014313682983</v>
          </cell>
          <cell r="P52">
            <v>0.56108563377323528</v>
          </cell>
          <cell r="Q52">
            <v>0.54571401067855219</v>
          </cell>
          <cell r="R52">
            <v>0.53218057536906715</v>
          </cell>
          <cell r="S52">
            <v>0.52017243258918944</v>
          </cell>
          <cell r="T52">
            <v>0.50944385599389674</v>
          </cell>
          <cell r="U52">
            <v>0.49979918218957442</v>
          </cell>
          <cell r="V52">
            <v>0.49108067907182973</v>
          </cell>
        </row>
        <row r="56">
          <cell r="A56" t="str">
            <v>Hotel Guests</v>
          </cell>
        </row>
        <row r="57">
          <cell r="A57" t="str">
            <v xml:space="preserve">  Existing Visitors</v>
          </cell>
          <cell r="B57">
            <v>2.6898429999999998</v>
          </cell>
          <cell r="C57">
            <v>2.7668530000000002</v>
          </cell>
          <cell r="D57">
            <v>3.154801</v>
          </cell>
          <cell r="E57">
            <v>3.043272</v>
          </cell>
          <cell r="F57">
            <v>3.9561540000000006</v>
          </cell>
          <cell r="G57">
            <v>4.1210880000000003</v>
          </cell>
          <cell r="H57">
            <v>4.3271424000000005</v>
          </cell>
          <cell r="I57">
            <v>4.543499520000001</v>
          </cell>
          <cell r="J57">
            <v>4.7706744960000016</v>
          </cell>
          <cell r="K57">
            <v>5.0092082208000015</v>
          </cell>
          <cell r="L57">
            <v>5.2596686318400021</v>
          </cell>
        </row>
        <row r="58">
          <cell r="A58" t="str">
            <v xml:space="preserve">    Growth</v>
          </cell>
          <cell r="C58">
            <v>2.8629923753914488E-2</v>
          </cell>
          <cell r="D58">
            <v>0.14021272543210639</v>
          </cell>
          <cell r="E58">
            <v>-3.5352150579386787E-2</v>
          </cell>
          <cell r="F58">
            <v>0.2999672720676958</v>
          </cell>
          <cell r="G58">
            <v>4.1690490309527872E-2</v>
          </cell>
          <cell r="H58">
            <v>0.05</v>
          </cell>
          <cell r="I58">
            <v>0.05</v>
          </cell>
          <cell r="J58">
            <v>0.05</v>
          </cell>
          <cell r="K58">
            <v>0.05</v>
          </cell>
          <cell r="L58">
            <v>0.05</v>
          </cell>
        </row>
        <row r="59">
          <cell r="A59" t="str">
            <v xml:space="preserve">  New Visitors</v>
          </cell>
          <cell r="H59">
            <v>0.35371159999999957</v>
          </cell>
          <cell r="I59">
            <v>1.174893427220276</v>
          </cell>
          <cell r="J59">
            <v>2.4770905058330257</v>
          </cell>
          <cell r="K59">
            <v>4.0814087963459276</v>
          </cell>
          <cell r="L59">
            <v>5.8672944437526677</v>
          </cell>
        </row>
        <row r="60">
          <cell r="A60" t="str">
            <v xml:space="preserve">    Growth</v>
          </cell>
          <cell r="I60">
            <v>2.3216140698249008</v>
          </cell>
          <cell r="J60">
            <v>1.1083533607755949</v>
          </cell>
          <cell r="K60">
            <v>0.64766236305660629</v>
          </cell>
          <cell r="L60">
            <v>0.43756598187509121</v>
          </cell>
        </row>
        <row r="62">
          <cell r="A62" t="str">
            <v>Hotel Guest Length of Stay</v>
          </cell>
        </row>
        <row r="63">
          <cell r="A63" t="str">
            <v xml:space="preserve">  Existing Visitors</v>
          </cell>
          <cell r="B63">
            <v>2.2824999999999998</v>
          </cell>
          <cell r="C63">
            <v>2.2925</v>
          </cell>
          <cell r="D63">
            <v>2.229166666666667</v>
          </cell>
          <cell r="E63">
            <v>2.2216666666666667</v>
          </cell>
          <cell r="F63">
            <v>2.1758333333333333</v>
          </cell>
          <cell r="G63">
            <v>2.1758333333333333</v>
          </cell>
          <cell r="H63">
            <v>2.1758333333333333</v>
          </cell>
          <cell r="I63">
            <v>2.1758333333333333</v>
          </cell>
          <cell r="J63">
            <v>2.1758333333333333</v>
          </cell>
          <cell r="K63">
            <v>2.1758333333333333</v>
          </cell>
          <cell r="L63">
            <v>2.1758333333333333</v>
          </cell>
        </row>
        <row r="64">
          <cell r="A64" t="str">
            <v xml:space="preserve">    Growth</v>
          </cell>
          <cell r="C64">
            <v>4.381161007667167E-3</v>
          </cell>
          <cell r="D64">
            <v>-2.7626317702653447E-2</v>
          </cell>
          <cell r="E64">
            <v>-3.3644859813085626E-3</v>
          </cell>
          <cell r="F64">
            <v>-2.0630157539384908E-2</v>
          </cell>
          <cell r="G64">
            <v>0</v>
          </cell>
          <cell r="H64">
            <v>0</v>
          </cell>
          <cell r="I64">
            <v>0</v>
          </cell>
          <cell r="J64">
            <v>0</v>
          </cell>
          <cell r="K64">
            <v>0</v>
          </cell>
          <cell r="L64">
            <v>0</v>
          </cell>
        </row>
        <row r="65">
          <cell r="A65" t="str">
            <v xml:space="preserve">  New Visitors</v>
          </cell>
          <cell r="H65">
            <v>2.0986377263284512</v>
          </cell>
          <cell r="I65">
            <v>2.6582395245193586</v>
          </cell>
          <cell r="J65">
            <v>2.9458899568829842</v>
          </cell>
          <cell r="K65">
            <v>3.6688073166896129</v>
          </cell>
          <cell r="L65">
            <v>4.0607668782228359</v>
          </cell>
        </row>
        <row r="66">
          <cell r="A66" t="str">
            <v xml:space="preserve">    Growth</v>
          </cell>
          <cell r="I66">
            <v>0.26665002309375518</v>
          </cell>
          <cell r="J66">
            <v>0.10821087780478922</v>
          </cell>
          <cell r="K66">
            <v>0.24539863008716734</v>
          </cell>
          <cell r="L66">
            <v>0.10683569010293259</v>
          </cell>
        </row>
        <row r="67">
          <cell r="A67" t="str">
            <v xml:space="preserve">  Existing, Nights</v>
          </cell>
          <cell r="B67">
            <v>1.2824999999999998</v>
          </cell>
          <cell r="C67">
            <v>1.2925</v>
          </cell>
          <cell r="D67">
            <v>1.229166666666667</v>
          </cell>
          <cell r="E67">
            <v>1.2216666666666667</v>
          </cell>
          <cell r="F67">
            <v>1.1758333333333333</v>
          </cell>
          <cell r="G67">
            <v>1.1758333333333333</v>
          </cell>
          <cell r="H67">
            <v>1.1758333333333333</v>
          </cell>
          <cell r="I67">
            <v>1.1758333333333333</v>
          </cell>
          <cell r="J67">
            <v>1.1758333333333333</v>
          </cell>
          <cell r="K67">
            <v>1.1758333333333333</v>
          </cell>
          <cell r="L67">
            <v>1.1758333333333333</v>
          </cell>
        </row>
        <row r="68">
          <cell r="A68" t="str">
            <v xml:space="preserve">  New, Nights</v>
          </cell>
          <cell r="G68">
            <v>1.1758333333333333</v>
          </cell>
          <cell r="H68">
            <v>1.0986377263284512</v>
          </cell>
          <cell r="I68">
            <v>1.6582395245193586</v>
          </cell>
          <cell r="J68">
            <v>1.9458899568829842</v>
          </cell>
          <cell r="K68">
            <v>2.6688073166896129</v>
          </cell>
          <cell r="L68">
            <v>3.0607668782228359</v>
          </cell>
        </row>
        <row r="70">
          <cell r="A70" t="str">
            <v>Hotel Guest Win / Visitor / Day</v>
          </cell>
        </row>
        <row r="71">
          <cell r="A71" t="str">
            <v xml:space="preserve">  Existing Visitors</v>
          </cell>
          <cell r="B71">
            <v>64.286294902844404</v>
          </cell>
          <cell r="C71">
            <v>60.656439743623672</v>
          </cell>
          <cell r="D71">
            <v>58.150893065459762</v>
          </cell>
          <cell r="E71">
            <v>64.169579231118547</v>
          </cell>
          <cell r="F71">
            <v>77.737479061989291</v>
          </cell>
          <cell r="G71">
            <v>92.212939559031355</v>
          </cell>
          <cell r="H71">
            <v>108.81126867965699</v>
          </cell>
          <cell r="I71">
            <v>121.86862092121584</v>
          </cell>
          <cell r="J71">
            <v>136.49285543176174</v>
          </cell>
          <cell r="K71">
            <v>147.41228386630269</v>
          </cell>
          <cell r="L71">
            <v>151.83465238229178</v>
          </cell>
        </row>
        <row r="72">
          <cell r="A72" t="str">
            <v xml:space="preserve">    Growth</v>
          </cell>
          <cell r="C72">
            <v>-5.6463903615949773E-2</v>
          </cell>
          <cell r="D72">
            <v>-4.1307183355206667E-2</v>
          </cell>
          <cell r="E72">
            <v>0.10350118198328651</v>
          </cell>
          <cell r="F72">
            <v>0.2114381922624653</v>
          </cell>
          <cell r="G72">
            <v>0.18620954360378827</v>
          </cell>
          <cell r="H72">
            <v>0.18</v>
          </cell>
          <cell r="I72">
            <v>0.12</v>
          </cell>
          <cell r="J72">
            <v>0.12</v>
          </cell>
          <cell r="K72">
            <v>0.08</v>
          </cell>
          <cell r="L72">
            <v>0.03</v>
          </cell>
        </row>
        <row r="73">
          <cell r="A73" t="str">
            <v xml:space="preserve">  New Visitors</v>
          </cell>
          <cell r="H73">
            <v>-135.94610818926347</v>
          </cell>
          <cell r="I73">
            <v>-2.5268966422716721</v>
          </cell>
          <cell r="J73">
            <v>39.864172688936904</v>
          </cell>
          <cell r="K73">
            <v>64.630291697425235</v>
          </cell>
          <cell r="L73">
            <v>74.366200067595258</v>
          </cell>
        </row>
        <row r="74">
          <cell r="A74" t="str">
            <v xml:space="preserve">    Growth</v>
          </cell>
          <cell r="I74">
            <v>-0.98141251209079305</v>
          </cell>
          <cell r="J74">
            <v>-16.775941137465416</v>
          </cell>
          <cell r="K74">
            <v>0.62126258587479533</v>
          </cell>
          <cell r="L74">
            <v>0.15064001901383772</v>
          </cell>
        </row>
        <row r="75">
          <cell r="I75">
            <v>1.020734596183748</v>
          </cell>
          <cell r="J75">
            <v>0.70793949205006845</v>
          </cell>
          <cell r="K75">
            <v>0.56156780152702579</v>
          </cell>
          <cell r="L75">
            <v>0.51021589010949353</v>
          </cell>
        </row>
        <row r="76">
          <cell r="A76" t="str">
            <v>Hotel Guest Win / Visitor / Trip</v>
          </cell>
        </row>
        <row r="77">
          <cell r="A77" t="str">
            <v xml:space="preserve">  Existing Visitors</v>
          </cell>
          <cell r="B77">
            <v>146.73346811574234</v>
          </cell>
          <cell r="C77">
            <v>139.05488811225726</v>
          </cell>
          <cell r="D77">
            <v>129.62803245842073</v>
          </cell>
          <cell r="E77">
            <v>142.56341519180171</v>
          </cell>
          <cell r="F77">
            <v>169.14379819237837</v>
          </cell>
          <cell r="G77">
            <v>200.63998765719239</v>
          </cell>
          <cell r="H77">
            <v>236.75518543548699</v>
          </cell>
          <cell r="I77">
            <v>265.16580768774543</v>
          </cell>
          <cell r="J77">
            <v>296.98570461027492</v>
          </cell>
          <cell r="K77">
            <v>320.74456097909695</v>
          </cell>
          <cell r="L77">
            <v>330.36689780846984</v>
          </cell>
        </row>
        <row r="78">
          <cell r="A78" t="str">
            <v xml:space="preserve">    Growth</v>
          </cell>
          <cell r="C78">
            <v>-5.233012006114568E-2</v>
          </cell>
          <cell r="D78">
            <v>-6.7792335687087424E-2</v>
          </cell>
          <cell r="E78">
            <v>9.9788467726146468E-2</v>
          </cell>
          <cell r="F78">
            <v>0.18644603150686301</v>
          </cell>
          <cell r="G78">
            <v>0.18620954360378805</v>
          </cell>
          <cell r="H78">
            <v>0.17999999999999994</v>
          </cell>
          <cell r="I78">
            <v>0.11999999999999988</v>
          </cell>
          <cell r="J78">
            <v>0.12000000000000011</v>
          </cell>
          <cell r="K78">
            <v>8.0000000000000071E-2</v>
          </cell>
          <cell r="L78">
            <v>3.0000000000000027E-2</v>
          </cell>
        </row>
        <row r="79">
          <cell r="A79" t="str">
            <v xml:space="preserve">  New Visitors</v>
          </cell>
          <cell r="H79">
            <v>-285.30163139351754</v>
          </cell>
          <cell r="I79">
            <v>-6.7170965288618136</v>
          </cell>
          <cell r="J79">
            <v>117.43546596378818</v>
          </cell>
          <cell r="K79">
            <v>237.11608705929766</v>
          </cell>
          <cell r="L79">
            <v>301.98380209378365</v>
          </cell>
        </row>
        <row r="80">
          <cell r="A80" t="str">
            <v xml:space="preserve">    Growth</v>
          </cell>
          <cell r="I80">
            <v>-0.97645615801054819</v>
          </cell>
          <cell r="J80">
            <v>-18.483069576147237</v>
          </cell>
          <cell r="K80">
            <v>1.0191182034600486</v>
          </cell>
          <cell r="L80">
            <v>0.2735694395052326</v>
          </cell>
        </row>
      </sheetData>
      <sheetData sheetId="8" refreshError="1">
        <row r="1">
          <cell r="B1" t="str">
            <v>Macau Monthly Market Share Data (published)</v>
          </cell>
        </row>
        <row r="3">
          <cell r="B3" t="str">
            <v>Frequency</v>
          </cell>
          <cell r="C3" t="str">
            <v>M</v>
          </cell>
          <cell r="D3" t="str">
            <v>M</v>
          </cell>
          <cell r="E3" t="str">
            <v>M</v>
          </cell>
          <cell r="F3" t="str">
            <v>M</v>
          </cell>
          <cell r="G3" t="str">
            <v>M</v>
          </cell>
          <cell r="H3" t="str">
            <v>M</v>
          </cell>
          <cell r="I3" t="str">
            <v>M</v>
          </cell>
          <cell r="J3" t="str">
            <v>M</v>
          </cell>
          <cell r="K3" t="str">
            <v>M</v>
          </cell>
          <cell r="L3" t="str">
            <v>M</v>
          </cell>
          <cell r="M3" t="str">
            <v>M</v>
          </cell>
          <cell r="N3" t="str">
            <v>M</v>
          </cell>
          <cell r="O3" t="str">
            <v>M</v>
          </cell>
        </row>
        <row r="4">
          <cell r="B4" t="str">
            <v>Date</v>
          </cell>
          <cell r="C4">
            <v>38718</v>
          </cell>
          <cell r="D4">
            <v>38749</v>
          </cell>
          <cell r="E4">
            <v>38777</v>
          </cell>
          <cell r="F4">
            <v>38808</v>
          </cell>
          <cell r="G4">
            <v>38838</v>
          </cell>
          <cell r="H4">
            <v>38869</v>
          </cell>
          <cell r="I4">
            <v>38899</v>
          </cell>
          <cell r="J4">
            <v>38930</v>
          </cell>
          <cell r="K4">
            <v>38961</v>
          </cell>
          <cell r="L4">
            <v>38991</v>
          </cell>
          <cell r="M4">
            <v>39022</v>
          </cell>
          <cell r="N4">
            <v>39052</v>
          </cell>
          <cell r="O4">
            <v>39083</v>
          </cell>
        </row>
        <row r="5">
          <cell r="B5" t="str">
            <v>Year</v>
          </cell>
          <cell r="C5">
            <v>2006</v>
          </cell>
          <cell r="D5">
            <v>2006</v>
          </cell>
          <cell r="E5">
            <v>2006</v>
          </cell>
          <cell r="F5">
            <v>2006</v>
          </cell>
          <cell r="G5">
            <v>2006</v>
          </cell>
          <cell r="H5">
            <v>2006</v>
          </cell>
          <cell r="I5">
            <v>2006</v>
          </cell>
          <cell r="J5">
            <v>2006</v>
          </cell>
          <cell r="K5">
            <v>2006</v>
          </cell>
          <cell r="L5">
            <v>2006</v>
          </cell>
          <cell r="M5">
            <v>2006</v>
          </cell>
          <cell r="N5">
            <v>2006</v>
          </cell>
          <cell r="O5">
            <v>2007</v>
          </cell>
        </row>
        <row r="6">
          <cell r="B6" t="str">
            <v>Quarter</v>
          </cell>
          <cell r="C6" t="str">
            <v>2006q1</v>
          </cell>
          <cell r="D6" t="str">
            <v>2006q1</v>
          </cell>
          <cell r="E6" t="str">
            <v>2006q1</v>
          </cell>
          <cell r="F6" t="str">
            <v>2006q2</v>
          </cell>
          <cell r="G6" t="str">
            <v>2006q2</v>
          </cell>
          <cell r="H6" t="str">
            <v>2006q2</v>
          </cell>
          <cell r="I6" t="str">
            <v>2006q3</v>
          </cell>
          <cell r="J6" t="str">
            <v>2006q3</v>
          </cell>
          <cell r="K6" t="str">
            <v>2006q3</v>
          </cell>
          <cell r="L6" t="str">
            <v>2006q4</v>
          </cell>
          <cell r="M6" t="str">
            <v>2006q4</v>
          </cell>
          <cell r="N6" t="str">
            <v>2006q4</v>
          </cell>
          <cell r="O6" t="str">
            <v>2007q1</v>
          </cell>
        </row>
        <row r="7">
          <cell r="B7" t="str">
            <v>Month</v>
          </cell>
          <cell r="C7" t="str">
            <v>2006m1</v>
          </cell>
          <cell r="D7" t="str">
            <v>2006m2</v>
          </cell>
          <cell r="E7" t="str">
            <v>2006m3</v>
          </cell>
          <cell r="F7" t="str">
            <v>2006m4</v>
          </cell>
          <cell r="G7" t="str">
            <v>2006m5</v>
          </cell>
          <cell r="H7" t="str">
            <v>2006m6</v>
          </cell>
          <cell r="I7" t="str">
            <v>2006m7</v>
          </cell>
          <cell r="J7" t="str">
            <v>2006m8</v>
          </cell>
          <cell r="K7" t="str">
            <v>2006m9</v>
          </cell>
          <cell r="L7" t="str">
            <v>2006m10</v>
          </cell>
          <cell r="M7" t="str">
            <v>2006m11</v>
          </cell>
          <cell r="N7" t="str">
            <v>2006m12</v>
          </cell>
          <cell r="O7" t="str">
            <v>2007m1</v>
          </cell>
        </row>
        <row r="9">
          <cell r="B9" t="str">
            <v>SJM</v>
          </cell>
          <cell r="C9">
            <v>0.7</v>
          </cell>
          <cell r="D9">
            <v>0.75</v>
          </cell>
          <cell r="E9">
            <v>0.75</v>
          </cell>
          <cell r="F9">
            <v>0.73</v>
          </cell>
          <cell r="G9">
            <v>0.71</v>
          </cell>
          <cell r="H9">
            <v>0.59</v>
          </cell>
          <cell r="I9">
            <v>0.62</v>
          </cell>
          <cell r="J9">
            <v>0.59</v>
          </cell>
          <cell r="K9">
            <v>0.59</v>
          </cell>
          <cell r="L9">
            <v>0.54</v>
          </cell>
          <cell r="M9">
            <v>0.51</v>
          </cell>
          <cell r="N9">
            <v>0.49</v>
          </cell>
          <cell r="O9">
            <v>0.45700000000000002</v>
          </cell>
        </row>
        <row r="10">
          <cell r="B10" t="str">
            <v>Venetian</v>
          </cell>
          <cell r="C10">
            <v>0.21</v>
          </cell>
          <cell r="D10">
            <v>0.19</v>
          </cell>
          <cell r="E10">
            <v>0.19</v>
          </cell>
          <cell r="F10">
            <v>0.21</v>
          </cell>
          <cell r="G10">
            <v>0.19</v>
          </cell>
          <cell r="H10">
            <v>0.23</v>
          </cell>
          <cell r="I10">
            <v>0.2</v>
          </cell>
          <cell r="J10">
            <v>0.21</v>
          </cell>
          <cell r="K10">
            <v>0.21</v>
          </cell>
          <cell r="L10">
            <v>0.16</v>
          </cell>
          <cell r="M10">
            <v>0.18</v>
          </cell>
          <cell r="N10">
            <v>0.2</v>
          </cell>
          <cell r="O10">
            <v>0.2</v>
          </cell>
        </row>
        <row r="11">
          <cell r="B11" t="str">
            <v>Galaxy</v>
          </cell>
          <cell r="C11">
            <v>0.09</v>
          </cell>
          <cell r="D11">
            <v>0.06</v>
          </cell>
          <cell r="E11">
            <v>0.06</v>
          </cell>
          <cell r="F11">
            <v>0.06</v>
          </cell>
          <cell r="G11">
            <v>0.1</v>
          </cell>
          <cell r="H11">
            <v>0.18</v>
          </cell>
          <cell r="I11">
            <v>0.17</v>
          </cell>
          <cell r="J11">
            <v>0.2</v>
          </cell>
          <cell r="K11">
            <v>0.12</v>
          </cell>
          <cell r="L11">
            <v>0.17</v>
          </cell>
          <cell r="M11">
            <v>0.15</v>
          </cell>
          <cell r="N11">
            <v>0.19</v>
          </cell>
          <cell r="O11">
            <v>0.21</v>
          </cell>
        </row>
        <row r="12">
          <cell r="B12" t="str">
            <v>Wynn</v>
          </cell>
          <cell r="K12">
            <v>0.09</v>
          </cell>
          <cell r="L12">
            <v>0.12</v>
          </cell>
          <cell r="M12">
            <v>0.16</v>
          </cell>
          <cell r="N12">
            <v>0.12</v>
          </cell>
          <cell r="O12">
            <v>0.13</v>
          </cell>
        </row>
        <row r="13">
          <cell r="B13" t="str">
            <v>PBL</v>
          </cell>
          <cell r="K13">
            <v>0</v>
          </cell>
          <cell r="L13">
            <v>0.01</v>
          </cell>
          <cell r="M13">
            <v>0.01</v>
          </cell>
          <cell r="N13">
            <v>0.01</v>
          </cell>
          <cell r="O13">
            <v>3.0000000000000001E-3</v>
          </cell>
        </row>
        <row r="14">
          <cell r="B14" t="str">
            <v>MGM</v>
          </cell>
        </row>
        <row r="15">
          <cell r="C15" t="str">
            <v xml:space="preserve">            </v>
          </cell>
          <cell r="D15" t="str">
            <v xml:space="preserve">            </v>
          </cell>
          <cell r="E15" t="str">
            <v xml:space="preserve">            </v>
          </cell>
          <cell r="F15" t="str">
            <v xml:space="preserve">            </v>
          </cell>
          <cell r="G15" t="str">
            <v xml:space="preserve">            </v>
          </cell>
          <cell r="H15" t="str">
            <v xml:space="preserve">            </v>
          </cell>
          <cell r="I15" t="str">
            <v xml:space="preserve">            </v>
          </cell>
          <cell r="J15" t="str">
            <v xml:space="preserve">            </v>
          </cell>
          <cell r="K15" t="str">
            <v xml:space="preserve">            </v>
          </cell>
          <cell r="L15" t="str">
            <v xml:space="preserve">            </v>
          </cell>
          <cell r="M15" t="str">
            <v xml:space="preserve">            </v>
          </cell>
          <cell r="N15" t="str">
            <v xml:space="preserve">            </v>
          </cell>
          <cell r="O15" t="str">
            <v xml:space="preserve">            </v>
          </cell>
        </row>
        <row r="16">
          <cell r="B16" t="str">
            <v>Total</v>
          </cell>
          <cell r="C16">
            <v>0.99999999999999989</v>
          </cell>
          <cell r="D16">
            <v>1</v>
          </cell>
          <cell r="E16">
            <v>1</v>
          </cell>
          <cell r="F16">
            <v>1</v>
          </cell>
          <cell r="G16">
            <v>0.99999999999999989</v>
          </cell>
          <cell r="H16">
            <v>1</v>
          </cell>
          <cell r="I16">
            <v>0.9900000000000001</v>
          </cell>
          <cell r="J16">
            <v>1</v>
          </cell>
          <cell r="K16">
            <v>1.01</v>
          </cell>
          <cell r="L16">
            <v>1</v>
          </cell>
          <cell r="M16">
            <v>1.01</v>
          </cell>
          <cell r="N16">
            <v>1.0099999999999998</v>
          </cell>
          <cell r="O16">
            <v>1</v>
          </cell>
        </row>
      </sheetData>
      <sheetData sheetId="9" refreshError="1">
        <row r="2">
          <cell r="B2" t="str">
            <v>Win per position</v>
          </cell>
        </row>
        <row r="3">
          <cell r="B3" t="str">
            <v>($mm)</v>
          </cell>
          <cell r="C3">
            <v>2004</v>
          </cell>
          <cell r="D3">
            <v>2005</v>
          </cell>
          <cell r="E3" t="str">
            <v>2006E</v>
          </cell>
          <cell r="F3" t="str">
            <v>2007E</v>
          </cell>
          <cell r="G3" t="str">
            <v>2008E</v>
          </cell>
          <cell r="H3" t="str">
            <v>2009E</v>
          </cell>
          <cell r="I3" t="str">
            <v>2010E</v>
          </cell>
        </row>
        <row r="5">
          <cell r="B5" t="str">
            <v>Macau</v>
          </cell>
          <cell r="C5">
            <v>1923.074314419533</v>
          </cell>
          <cell r="D5">
            <v>1133.8513082263344</v>
          </cell>
          <cell r="E5">
            <v>846.84804241168968</v>
          </cell>
          <cell r="F5">
            <v>554.18520300220416</v>
          </cell>
          <cell r="G5">
            <v>420.75875765684395</v>
          </cell>
          <cell r="H5">
            <v>328.00414157503479</v>
          </cell>
          <cell r="I5">
            <v>297.66203483343799</v>
          </cell>
        </row>
        <row r="6">
          <cell r="B6" t="str">
            <v xml:space="preserve">  Growth</v>
          </cell>
          <cell r="C6">
            <v>-5.455387901593356E-2</v>
          </cell>
          <cell r="D6">
            <v>-0.41039651992409887</v>
          </cell>
          <cell r="E6">
            <v>-0.25312248945904503</v>
          </cell>
          <cell r="F6">
            <v>-0.34559073736065793</v>
          </cell>
          <cell r="G6">
            <v>-0.24076147219836452</v>
          </cell>
          <cell r="H6">
            <v>-0.22044607365595603</v>
          </cell>
          <cell r="I6">
            <v>-9.2505254951653404E-2</v>
          </cell>
        </row>
        <row r="8">
          <cell r="B8" t="str">
            <v>Las Vegas Strip</v>
          </cell>
          <cell r="C8">
            <v>200.17086732827966</v>
          </cell>
          <cell r="D8">
            <v>208.5498851863795</v>
          </cell>
          <cell r="E8">
            <v>218.98068870308339</v>
          </cell>
          <cell r="F8">
            <v>236.31424677494363</v>
          </cell>
          <cell r="G8">
            <v>225.75520229159324</v>
          </cell>
          <cell r="H8">
            <v>209.81818702749541</v>
          </cell>
          <cell r="I8">
            <v>220.38051980101446</v>
          </cell>
        </row>
        <row r="9">
          <cell r="B9" t="str">
            <v xml:space="preserve">  Growth</v>
          </cell>
          <cell r="C9">
            <v>0.13958679115325667</v>
          </cell>
          <cell r="D9">
            <v>4.1859327333374052E-2</v>
          </cell>
          <cell r="E9">
            <v>5.0015867941533232E-2</v>
          </cell>
          <cell r="F9">
            <v>7.9155646895251452E-2</v>
          </cell>
          <cell r="G9">
            <v>-4.4682217121705725E-2</v>
          </cell>
          <cell r="H9">
            <v>-7.0594232612690933E-2</v>
          </cell>
          <cell r="I9">
            <v>5.0340406249601788E-2</v>
          </cell>
        </row>
        <row r="11">
          <cell r="C11">
            <v>9.607163820026301</v>
          </cell>
          <cell r="D11">
            <v>5.4368349673893119</v>
          </cell>
          <cell r="E11">
            <v>3.8672270483171856</v>
          </cell>
          <cell r="F11">
            <v>2.345119731735803</v>
          </cell>
          <cell r="G11">
            <v>1.8637832191055219</v>
          </cell>
          <cell r="H11">
            <v>1.5632779322988422</v>
          </cell>
          <cell r="I11">
            <v>1.3506730771948554</v>
          </cell>
        </row>
        <row r="12">
          <cell r="J12" t="str">
            <v>Visitor Volume Growth</v>
          </cell>
        </row>
        <row r="13">
          <cell r="K13">
            <v>1995</v>
          </cell>
          <cell r="L13">
            <v>1996</v>
          </cell>
          <cell r="M13">
            <v>1997</v>
          </cell>
          <cell r="N13">
            <v>1998</v>
          </cell>
          <cell r="O13">
            <v>1999</v>
          </cell>
          <cell r="P13">
            <v>2000</v>
          </cell>
          <cell r="Q13">
            <v>2001</v>
          </cell>
          <cell r="R13">
            <v>2002</v>
          </cell>
          <cell r="S13">
            <v>2003</v>
          </cell>
          <cell r="T13">
            <v>2004</v>
          </cell>
          <cell r="U13">
            <v>2005</v>
          </cell>
          <cell r="V13" t="str">
            <v>2006E</v>
          </cell>
          <cell r="W13" t="str">
            <v>2007E</v>
          </cell>
          <cell r="X13" t="str">
            <v>2008E</v>
          </cell>
          <cell r="Y13" t="str">
            <v>2009E</v>
          </cell>
          <cell r="Z13" t="str">
            <v>2010E</v>
          </cell>
        </row>
        <row r="15">
          <cell r="J15" t="str">
            <v>Total Visitors (mm)</v>
          </cell>
          <cell r="K15">
            <v>7.7525000000000004</v>
          </cell>
          <cell r="L15">
            <v>8.1510999999999996</v>
          </cell>
          <cell r="M15">
            <v>7.0004</v>
          </cell>
          <cell r="N15">
            <v>6.9485000000000001</v>
          </cell>
          <cell r="O15">
            <v>7.4439000000000002</v>
          </cell>
          <cell r="P15">
            <v>9.1622120000000002</v>
          </cell>
          <cell r="Q15">
            <v>10.278973000000001</v>
          </cell>
          <cell r="R15">
            <v>11.530841000000001</v>
          </cell>
          <cell r="S15">
            <v>11.887875999999999</v>
          </cell>
          <cell r="T15">
            <v>16.672556</v>
          </cell>
          <cell r="U15">
            <v>18.711186999999999</v>
          </cell>
          <cell r="V15">
            <v>21.998122000000002</v>
          </cell>
          <cell r="W15">
            <v>26.853211459144823</v>
          </cell>
          <cell r="X15">
            <v>31.112956369452657</v>
          </cell>
          <cell r="Y15">
            <v>35.938386716715485</v>
          </cell>
          <cell r="Z15">
            <v>41.464358695646425</v>
          </cell>
          <cell r="AA15">
            <v>0.17345551240914747</v>
          </cell>
        </row>
        <row r="16">
          <cell r="J16" t="str">
            <v xml:space="preserve">  Growth</v>
          </cell>
          <cell r="K16">
            <v>-1.0378105134162152E-2</v>
          </cell>
          <cell r="L16">
            <v>5.1415672363753551E-2</v>
          </cell>
          <cell r="M16">
            <v>-0.1411711302768951</v>
          </cell>
          <cell r="N16">
            <v>-7.4138620650248122E-3</v>
          </cell>
          <cell r="O16">
            <v>7.1295963157516073E-2</v>
          </cell>
          <cell r="P16">
            <v>0.23083491180698301</v>
          </cell>
          <cell r="Q16">
            <v>0.12188770571997254</v>
          </cell>
          <cell r="R16">
            <v>0.12178920987534458</v>
          </cell>
          <cell r="S16">
            <v>3.0963483062510289E-2</v>
          </cell>
          <cell r="T16">
            <v>0.40248400975918686</v>
          </cell>
          <cell r="U16">
            <v>0.12227465302860563</v>
          </cell>
          <cell r="V16">
            <v>0.17566683503296732</v>
          </cell>
          <cell r="W16">
            <v>0.22070472466444269</v>
          </cell>
          <cell r="X16">
            <v>0.15863074391637366</v>
          </cell>
          <cell r="Y16">
            <v>0.15509391939367534</v>
          </cell>
          <cell r="Z16">
            <v>0.15376238289407484</v>
          </cell>
        </row>
        <row r="18">
          <cell r="J18" t="str">
            <v>China Visitor Growth</v>
          </cell>
          <cell r="K18">
            <v>1.2144313086017124</v>
          </cell>
          <cell r="L18">
            <v>0.1122974963181147</v>
          </cell>
          <cell r="M18">
            <v>-0.12313803376365429</v>
          </cell>
          <cell r="N18">
            <v>0.54171385428463559</v>
          </cell>
          <cell r="O18">
            <v>1.0142017629774731</v>
          </cell>
          <cell r="P18">
            <v>0.3826361536591294</v>
          </cell>
          <cell r="Q18">
            <v>0.32136317856362551</v>
          </cell>
          <cell r="R18">
            <v>0.41079115101130448</v>
          </cell>
          <cell r="S18">
            <v>0.3541113364018782</v>
          </cell>
          <cell r="T18">
            <v>0.65964459296319289</v>
          </cell>
          <cell r="U18">
            <v>9.7927865600516473E-2</v>
          </cell>
          <cell r="V18">
            <v>0.14552766395303207</v>
          </cell>
          <cell r="W18">
            <v>0.20850267108859089</v>
          </cell>
          <cell r="X18">
            <v>0.21775131112272916</v>
          </cell>
          <cell r="Y18">
            <v>0.22220629759693189</v>
          </cell>
          <cell r="Z18">
            <v>0.21586516688115776</v>
          </cell>
          <cell r="AA18">
            <v>1.5051961517361732</v>
          </cell>
        </row>
        <row r="19">
          <cell r="J19" t="str">
            <v xml:space="preserve">  Share of Total Visitors</v>
          </cell>
          <cell r="K19">
            <v>7.0067720090293453E-2</v>
          </cell>
          <cell r="L19">
            <v>7.4124964728686918E-2</v>
          </cell>
          <cell r="M19">
            <v>7.5681389634878013E-2</v>
          </cell>
          <cell r="N19">
            <v>0.11755055047852053</v>
          </cell>
          <cell r="O19">
            <v>0.22101317857574657</v>
          </cell>
          <cell r="P19">
            <v>0.24827115984655232</v>
          </cell>
          <cell r="Q19">
            <v>0.29241462157746689</v>
          </cell>
          <cell r="R19">
            <v>0.36774819807158909</v>
          </cell>
          <cell r="S19">
            <v>0.48301614182382119</v>
          </cell>
          <cell r="T19">
            <v>0.57158236565527198</v>
          </cell>
          <cell r="U19">
            <v>0.55918237576269214</v>
          </cell>
          <cell r="V19">
            <v>0.54484728287260153</v>
          </cell>
          <cell r="W19">
            <v>0.53940103891045388</v>
          </cell>
          <cell r="X19">
            <v>0.56692464428647793</v>
          </cell>
          <cell r="Y19">
            <v>0.59986366379068634</v>
          </cell>
          <cell r="Z19">
            <v>0.63215211771015622</v>
          </cell>
          <cell r="AA19">
            <v>0.84167916011669497</v>
          </cell>
        </row>
        <row r="20">
          <cell r="J20" t="str">
            <v xml:space="preserve">  Share of Growth</v>
          </cell>
          <cell r="L20">
            <v>0.15303562468640242</v>
          </cell>
          <cell r="M20">
            <v>6.4656296167550129E-2</v>
          </cell>
          <cell r="N20">
            <v>-5.529865125240879</v>
          </cell>
          <cell r="O20">
            <v>1.6721840936616859</v>
          </cell>
          <cell r="P20">
            <v>0.36635546978662742</v>
          </cell>
          <cell r="Q20">
            <v>0.65457962804933156</v>
          </cell>
          <cell r="R20">
            <v>0.98630526541136898</v>
          </cell>
          <cell r="S20">
            <v>4.2057221280826873</v>
          </cell>
          <cell r="T20">
            <v>0.79163141526706027</v>
          </cell>
          <cell r="U20">
            <v>0.45777141621019279</v>
          </cell>
          <cell r="V20">
            <v>0.46324341673930247</v>
          </cell>
          <cell r="W20">
            <v>0.51472443096548126</v>
          </cell>
          <cell r="X20">
            <v>0.74043202814224462</v>
          </cell>
          <cell r="Y20">
            <v>0.81224477862085054</v>
          </cell>
          <cell r="Z20">
            <v>0.84214140970567009</v>
          </cell>
          <cell r="AA20">
            <v>4.8524209373717637</v>
          </cell>
        </row>
        <row r="22">
          <cell r="J22" t="str">
            <v>Hong Kong Visitor Growth</v>
          </cell>
          <cell r="K22">
            <v>-7.7343801327113937E-2</v>
          </cell>
          <cell r="L22">
            <v>-7.3324432576769016E-2</v>
          </cell>
          <cell r="M22">
            <v>-9.6645919778699851E-2</v>
          </cell>
          <cell r="N22">
            <v>4.1041998936737212E-3</v>
          </cell>
          <cell r="O22">
            <v>-0.10419755178110046</v>
          </cell>
          <cell r="P22">
            <v>0.17136011158920073</v>
          </cell>
          <cell r="Q22">
            <v>4.8745826873872522E-2</v>
          </cell>
          <cell r="R22">
            <v>-1.8224888648026183E-2</v>
          </cell>
          <cell r="S22">
            <v>-9.3752995479508883E-2</v>
          </cell>
          <cell r="T22">
            <v>9.2555052148291406E-2</v>
          </cell>
          <cell r="U22">
            <v>0.1116266905613259</v>
          </cell>
          <cell r="V22">
            <v>0.23611567239405518</v>
          </cell>
          <cell r="W22">
            <v>0.19999999999999996</v>
          </cell>
          <cell r="X22">
            <v>0.06</v>
          </cell>
          <cell r="Y22">
            <v>0.05</v>
          </cell>
          <cell r="Z22">
            <v>0.05</v>
          </cell>
          <cell r="AA22">
            <v>0.73350389665197513</v>
          </cell>
        </row>
        <row r="23">
          <cell r="J23" t="str">
            <v xml:space="preserve">  Share of Total Visitors</v>
          </cell>
          <cell r="K23">
            <v>0.72460496613995473</v>
          </cell>
          <cell r="L23">
            <v>0.63863772987694911</v>
          </cell>
          <cell r="M23">
            <v>0.67174732872407283</v>
          </cell>
          <cell r="N23">
            <v>0.67954234726919482</v>
          </cell>
          <cell r="O23">
            <v>0.56822364620696142</v>
          </cell>
          <cell r="P23">
            <v>0.54076668385320059</v>
          </cell>
          <cell r="Q23">
            <v>0.50551120233509705</v>
          </cell>
          <cell r="R23">
            <v>0.44241673265636039</v>
          </cell>
          <cell r="S23">
            <v>0.38889722604778187</v>
          </cell>
          <cell r="T23">
            <v>0.30295648729564917</v>
          </cell>
          <cell r="U23">
            <v>0.30008208458394431</v>
          </cell>
          <cell r="V23">
            <v>0.31551129682797469</v>
          </cell>
          <cell r="W23">
            <v>0.3101598187863539</v>
          </cell>
          <cell r="X23">
            <v>0.28375684802065348</v>
          </cell>
          <cell r="Y23">
            <v>0.25793979642632126</v>
          </cell>
          <cell r="Z23">
            <v>0.23474225738602753</v>
          </cell>
          <cell r="AA23">
            <v>0.22011137835777075</v>
          </cell>
        </row>
        <row r="24">
          <cell r="J24" t="str">
            <v xml:space="preserve">  Share of Growth</v>
          </cell>
          <cell r="L24">
            <v>-1.0333667837431022</v>
          </cell>
          <cell r="M24">
            <v>0.43721213174589391</v>
          </cell>
          <cell r="N24">
            <v>-0.37186897880541014</v>
          </cell>
          <cell r="O24">
            <v>-0.99313685910375404</v>
          </cell>
          <cell r="P24">
            <v>0.42182036789593563</v>
          </cell>
          <cell r="Q24">
            <v>0.21626561099465261</v>
          </cell>
          <cell r="R24">
            <v>-7.5646154386884351E-2</v>
          </cell>
          <cell r="S24">
            <v>-1.3395745515145585</v>
          </cell>
          <cell r="T24">
            <v>8.9430641129605123E-2</v>
          </cell>
          <cell r="U24">
            <v>0.27657432855676234</v>
          </cell>
          <cell r="V24">
            <v>0.40334354041074738</v>
          </cell>
          <cell r="W24">
            <v>0.28591258959922577</v>
          </cell>
          <cell r="X24">
            <v>0.1173138867519386</v>
          </cell>
          <cell r="Y24">
            <v>9.1479037066692692E-2</v>
          </cell>
          <cell r="Z24">
            <v>8.3876105316348093E-2</v>
          </cell>
          <cell r="AA24">
            <v>1.2689788597699407</v>
          </cell>
        </row>
        <row r="26">
          <cell r="J26" t="str">
            <v>Other Visitor Growth</v>
          </cell>
          <cell r="K26">
            <v>6.112925804946423E-2</v>
          </cell>
          <cell r="L26">
            <v>0.47085060937303624</v>
          </cell>
          <cell r="M26">
            <v>-0.24482125314995939</v>
          </cell>
          <cell r="N26">
            <v>-0.20259035122447822</v>
          </cell>
          <cell r="O26">
            <v>0.11277395559968784</v>
          </cell>
          <cell r="P26">
            <v>0.23199694053158249</v>
          </cell>
          <cell r="Q26">
            <v>7.4621807872190971E-2</v>
          </cell>
          <cell r="R26">
            <v>5.3845357623434342E-2</v>
          </cell>
          <cell r="S26">
            <v>-0.30438226772738453</v>
          </cell>
          <cell r="T26">
            <v>0.37373627254087838</v>
          </cell>
          <cell r="U26">
            <v>0.25890710110825377</v>
          </cell>
          <cell r="V26">
            <v>0.16652685631001729</v>
          </cell>
          <cell r="W26">
            <v>0.31509527323771458</v>
          </cell>
          <cell r="X26">
            <v>0.15</v>
          </cell>
          <cell r="Y26">
            <v>0.1</v>
          </cell>
          <cell r="Z26">
            <v>0.08</v>
          </cell>
          <cell r="AA26">
            <v>1.0958791610998864</v>
          </cell>
        </row>
        <row r="27">
          <cell r="J27" t="str">
            <v xml:space="preserve">  Share of Total Visitors</v>
          </cell>
          <cell r="K27">
            <v>0.2053273137697518</v>
          </cell>
          <cell r="L27">
            <v>0.28723730539436404</v>
          </cell>
          <cell r="M27">
            <v>0.25257128164104914</v>
          </cell>
          <cell r="N27">
            <v>0.20290710225228473</v>
          </cell>
          <cell r="O27">
            <v>0.21076317521729204</v>
          </cell>
          <cell r="P27">
            <v>0.21096215630024714</v>
          </cell>
          <cell r="Q27">
            <v>0.202074176087436</v>
          </cell>
          <cell r="R27">
            <v>0.18983506927205052</v>
          </cell>
          <cell r="S27">
            <v>0.12808663212839708</v>
          </cell>
          <cell r="T27">
            <v>0.12546114704907874</v>
          </cell>
          <cell r="U27">
            <v>0.14073553965336347</v>
          </cell>
          <cell r="V27">
            <v>0.13964142029942375</v>
          </cell>
          <cell r="W27">
            <v>0.15043914230319225</v>
          </cell>
          <cell r="X27">
            <v>0.14931850769286856</v>
          </cell>
          <cell r="Y27">
            <v>0.14219653978299246</v>
          </cell>
          <cell r="Z27">
            <v>0.13310562490381617</v>
          </cell>
          <cell r="AA27">
            <v>0.15422914513226774</v>
          </cell>
        </row>
        <row r="28">
          <cell r="J28" t="str">
            <v xml:space="preserve">  Share of Growth</v>
          </cell>
          <cell r="L28">
            <v>1.8803311590567</v>
          </cell>
          <cell r="M28">
            <v>0.49813157208655623</v>
          </cell>
          <cell r="N28">
            <v>6.9017341040462838</v>
          </cell>
          <cell r="O28">
            <v>0.32095276544206658</v>
          </cell>
          <cell r="P28">
            <v>0.21182416231743689</v>
          </cell>
          <cell r="Q28">
            <v>0.12915476095601508</v>
          </cell>
          <cell r="R28">
            <v>8.9340888975514829E-2</v>
          </cell>
          <cell r="S28">
            <v>-1.8661475765681284</v>
          </cell>
          <cell r="T28">
            <v>0.11893794360333386</v>
          </cell>
          <cell r="U28">
            <v>0.26565425523304587</v>
          </cell>
          <cell r="V28">
            <v>0.1334130428499502</v>
          </cell>
          <cell r="W28">
            <v>0.19936297943529382</v>
          </cell>
          <cell r="X28">
            <v>0.14225408510581672</v>
          </cell>
          <cell r="Y28">
            <v>9.627618431245713E-2</v>
          </cell>
          <cell r="Z28">
            <v>7.3982484977980628E-2</v>
          </cell>
          <cell r="AA28">
            <v>0.88915678141419618</v>
          </cell>
        </row>
        <row r="30">
          <cell r="J30" t="str">
            <v>Check</v>
          </cell>
          <cell r="K30">
            <v>1</v>
          </cell>
          <cell r="L30">
            <v>1</v>
          </cell>
          <cell r="M30">
            <v>1</v>
          </cell>
          <cell r="N30">
            <v>1.0000000000000002</v>
          </cell>
          <cell r="O30">
            <v>1</v>
          </cell>
          <cell r="P30">
            <v>1</v>
          </cell>
          <cell r="Q30">
            <v>1</v>
          </cell>
          <cell r="R30">
            <v>1</v>
          </cell>
          <cell r="S30">
            <v>1.0000000000000002</v>
          </cell>
          <cell r="T30">
            <v>0.99999999999999989</v>
          </cell>
          <cell r="U30">
            <v>0.99999999999999989</v>
          </cell>
          <cell r="V30">
            <v>0.99999999999999989</v>
          </cell>
          <cell r="W30">
            <v>1</v>
          </cell>
          <cell r="X30">
            <v>1</v>
          </cell>
          <cell r="Y30">
            <v>1</v>
          </cell>
          <cell r="Z30">
            <v>0.99999999999999989</v>
          </cell>
        </row>
        <row r="31">
          <cell r="L31">
            <v>1.0000000000000002</v>
          </cell>
          <cell r="M31">
            <v>1.0000000000000002</v>
          </cell>
          <cell r="N31">
            <v>0.99999999999999467</v>
          </cell>
          <cell r="O31">
            <v>0.99999999999999845</v>
          </cell>
          <cell r="P31">
            <v>1</v>
          </cell>
          <cell r="Q31">
            <v>0.99999999999999922</v>
          </cell>
          <cell r="R31">
            <v>0.99999999999999944</v>
          </cell>
          <cell r="S31">
            <v>1.0000000000000007</v>
          </cell>
          <cell r="T31">
            <v>0.99999999999999922</v>
          </cell>
          <cell r="U31">
            <v>1.0000000000000009</v>
          </cell>
          <cell r="V31">
            <v>1</v>
          </cell>
          <cell r="W31">
            <v>1.0000000000000009</v>
          </cell>
          <cell r="X31">
            <v>1</v>
          </cell>
          <cell r="Y31">
            <v>1.0000000000000004</v>
          </cell>
          <cell r="Z31">
            <v>0.99999999999999889</v>
          </cell>
        </row>
        <row r="32">
          <cell r="AA32" t="str">
            <v>Visitor Volume Distribution</v>
          </cell>
        </row>
        <row r="33">
          <cell r="AB33">
            <v>2000</v>
          </cell>
          <cell r="AD33">
            <v>2005</v>
          </cell>
        </row>
        <row r="34">
          <cell r="AB34" t="str">
            <v>Visitors</v>
          </cell>
          <cell r="AC34" t="str">
            <v>Share</v>
          </cell>
          <cell r="AD34" t="str">
            <v>Visitors</v>
          </cell>
          <cell r="AE34" t="str">
            <v>Share</v>
          </cell>
        </row>
        <row r="36">
          <cell r="AA36" t="str">
            <v>Total</v>
          </cell>
          <cell r="AB36">
            <v>9162212</v>
          </cell>
          <cell r="AC36">
            <v>1</v>
          </cell>
          <cell r="AD36">
            <v>18711187</v>
          </cell>
          <cell r="AE36">
            <v>1</v>
          </cell>
        </row>
        <row r="38">
          <cell r="AA38" t="str">
            <v>Mainland China</v>
          </cell>
          <cell r="AB38">
            <v>2274713</v>
          </cell>
          <cell r="AC38">
            <v>0.24827115984655235</v>
          </cell>
          <cell r="AD38">
            <v>10462966</v>
          </cell>
          <cell r="AE38">
            <v>0.55918237576269214</v>
          </cell>
        </row>
        <row r="39">
          <cell r="AA39" t="str">
            <v>Hong Kong</v>
          </cell>
          <cell r="AB39">
            <v>4954619</v>
          </cell>
          <cell r="AC39">
            <v>0.54076668385320048</v>
          </cell>
          <cell r="AD39">
            <v>5614892</v>
          </cell>
          <cell r="AE39">
            <v>0.30008208458394436</v>
          </cell>
        </row>
        <row r="40">
          <cell r="AA40" t="str">
            <v>Taiwan</v>
          </cell>
          <cell r="AB40">
            <v>1311035</v>
          </cell>
          <cell r="AC40">
            <v>0.14309153728379129</v>
          </cell>
          <cell r="AD40">
            <v>1482483</v>
          </cell>
          <cell r="AE40">
            <v>7.9229767731999037E-2</v>
          </cell>
        </row>
        <row r="41">
          <cell r="AA41" t="str">
            <v>Japan</v>
          </cell>
          <cell r="AB41">
            <v>144888</v>
          </cell>
          <cell r="AC41">
            <v>1.5813648494490195E-2</v>
          </cell>
          <cell r="AD41">
            <v>169115</v>
          </cell>
          <cell r="AE41">
            <v>9.0381759318636495E-3</v>
          </cell>
        </row>
        <row r="42">
          <cell r="AA42" t="str">
            <v>Republic of Korea</v>
          </cell>
          <cell r="AB42">
            <v>45365</v>
          </cell>
          <cell r="AC42">
            <v>4.9513152500727988E-3</v>
          </cell>
          <cell r="AD42">
            <v>120739</v>
          </cell>
          <cell r="AE42">
            <v>6.4527707408407603E-3</v>
          </cell>
        </row>
        <row r="43">
          <cell r="AA43" t="str">
            <v>Malaysia</v>
          </cell>
          <cell r="AB43">
            <v>25753</v>
          </cell>
          <cell r="AC43">
            <v>2.8107841206905055E-3</v>
          </cell>
          <cell r="AD43">
            <v>98450</v>
          </cell>
          <cell r="AE43">
            <v>5.261558232516195E-3</v>
          </cell>
        </row>
        <row r="44">
          <cell r="AA44" t="str">
            <v>Philippines</v>
          </cell>
          <cell r="AB44">
            <v>42111</v>
          </cell>
          <cell r="AC44">
            <v>4.5961608397622755E-3</v>
          </cell>
          <cell r="AD44">
            <v>93878</v>
          </cell>
          <cell r="AE44">
            <v>5.01721243018949E-3</v>
          </cell>
        </row>
        <row r="45">
          <cell r="AA45" t="str">
            <v>Singapore</v>
          </cell>
          <cell r="AB45">
            <v>26026</v>
          </cell>
          <cell r="AC45">
            <v>2.8405804187896983E-3</v>
          </cell>
          <cell r="AD45">
            <v>82298</v>
          </cell>
          <cell r="AE45">
            <v>4.3983313298082052E-3</v>
          </cell>
        </row>
        <row r="46">
          <cell r="AA46" t="str">
            <v>Thailand</v>
          </cell>
          <cell r="AB46">
            <v>24396</v>
          </cell>
          <cell r="AC46">
            <v>2.6626757817871929E-3</v>
          </cell>
          <cell r="AD46">
            <v>57876</v>
          </cell>
          <cell r="AE46">
            <v>3.0931228467761026E-3</v>
          </cell>
        </row>
        <row r="47">
          <cell r="AA47" t="str">
            <v>Indonesia</v>
          </cell>
          <cell r="AB47">
            <v>16920</v>
          </cell>
          <cell r="AC47">
            <v>1.846715618455456E-3</v>
          </cell>
          <cell r="AD47">
            <v>46154</v>
          </cell>
          <cell r="AE47">
            <v>2.4666527035404006E-3</v>
          </cell>
        </row>
        <row r="48">
          <cell r="AA48" t="str">
            <v>Other Asia</v>
          </cell>
          <cell r="AB48">
            <v>17738</v>
          </cell>
          <cell r="AC48">
            <v>1.9359953688039527E-3</v>
          </cell>
          <cell r="AD48">
            <v>33753</v>
          </cell>
          <cell r="AE48">
            <v>1.8038941089092851E-3</v>
          </cell>
        </row>
        <row r="49">
          <cell r="AA49" t="str">
            <v>India</v>
          </cell>
          <cell r="AB49">
            <v>7530</v>
          </cell>
          <cell r="AC49">
            <v>8.2185393658212663E-4</v>
          </cell>
          <cell r="AD49">
            <v>20846</v>
          </cell>
          <cell r="AE49">
            <v>1.1140928686138405E-3</v>
          </cell>
        </row>
        <row r="50">
          <cell r="AB50" t="str">
            <v>______</v>
          </cell>
          <cell r="AC50" t="str">
            <v>______</v>
          </cell>
          <cell r="AD50" t="str">
            <v>______</v>
          </cell>
          <cell r="AE50" t="str">
            <v>______</v>
          </cell>
        </row>
        <row r="51">
          <cell r="AA51" t="str">
            <v>Total Asia</v>
          </cell>
          <cell r="AB51">
            <v>8891094</v>
          </cell>
          <cell r="AC51">
            <v>0.97040911081297831</v>
          </cell>
          <cell r="AD51">
            <v>18283450</v>
          </cell>
          <cell r="AE51">
            <v>0.97714003927169346</v>
          </cell>
        </row>
        <row r="53">
          <cell r="AA53" t="str">
            <v>North America</v>
          </cell>
          <cell r="AB53">
            <v>108626</v>
          </cell>
          <cell r="AC53">
            <v>1.1855870612904395E-2</v>
          </cell>
          <cell r="AD53">
            <v>182769</v>
          </cell>
          <cell r="AE53">
            <v>9.7678998130904249E-3</v>
          </cell>
        </row>
        <row r="54">
          <cell r="AA54" t="str">
            <v>Europe</v>
          </cell>
          <cell r="AB54">
            <v>120907</v>
          </cell>
          <cell r="AC54">
            <v>1.3196267451571738E-2</v>
          </cell>
          <cell r="AD54">
            <v>162564</v>
          </cell>
          <cell r="AE54">
            <v>8.6880645252489855E-3</v>
          </cell>
        </row>
        <row r="55">
          <cell r="AA55" t="str">
            <v>Oceania, Africa, Middle East</v>
          </cell>
          <cell r="AB55">
            <v>41585</v>
          </cell>
          <cell r="AC55">
            <v>4.538751122545516E-3</v>
          </cell>
          <cell r="AD55">
            <v>82404</v>
          </cell>
          <cell r="AE55">
            <v>4.4039963899671353E-3</v>
          </cell>
        </row>
        <row r="57">
          <cell r="AA57" t="str">
            <v>Check</v>
          </cell>
          <cell r="AB57">
            <v>9162212</v>
          </cell>
          <cell r="AC57">
            <v>1</v>
          </cell>
          <cell r="AD57">
            <v>18711187</v>
          </cell>
          <cell r="AE57">
            <v>1</v>
          </cell>
        </row>
        <row r="58">
          <cell r="AF58" t="str">
            <v>Visitation by entry point</v>
          </cell>
        </row>
        <row r="59">
          <cell r="AG59" t="str">
            <v>Number</v>
          </cell>
          <cell r="AH59" t="str">
            <v>Share</v>
          </cell>
        </row>
        <row r="61">
          <cell r="AF61" t="str">
            <v>Macau Border Gate</v>
          </cell>
          <cell r="AG61">
            <v>10341814</v>
          </cell>
          <cell r="AH61">
            <v>0.55270753266481709</v>
          </cell>
        </row>
        <row r="62">
          <cell r="AF62" t="str">
            <v>Cotai Checkpoint</v>
          </cell>
          <cell r="AG62">
            <v>609377</v>
          </cell>
          <cell r="AH62">
            <v>3.2567522306307987E-2</v>
          </cell>
        </row>
        <row r="63">
          <cell r="AF63" t="str">
            <v>Outer Harbour</v>
          </cell>
          <cell r="AG63">
            <v>6503195</v>
          </cell>
          <cell r="AH63">
            <v>0.34755651792694925</v>
          </cell>
        </row>
        <row r="64">
          <cell r="AF64" t="str">
            <v>Inner Harbour</v>
          </cell>
          <cell r="AG64">
            <v>216700</v>
          </cell>
          <cell r="AH64">
            <v>1.1581306947549613E-2</v>
          </cell>
        </row>
        <row r="65">
          <cell r="AF65" t="str">
            <v>Airport</v>
          </cell>
          <cell r="AG65">
            <v>1029540</v>
          </cell>
          <cell r="AH65">
            <v>5.5022698453069813E-2</v>
          </cell>
        </row>
        <row r="66">
          <cell r="AF66" t="str">
            <v>Helicopter</v>
          </cell>
          <cell r="AG66">
            <v>10561</v>
          </cell>
          <cell r="AH66">
            <v>5.6442170130628275E-4</v>
          </cell>
        </row>
        <row r="67">
          <cell r="AG67" t="str">
            <v>______</v>
          </cell>
          <cell r="AH67" t="str">
            <v>______</v>
          </cell>
        </row>
        <row r="68">
          <cell r="AG68">
            <v>18711187</v>
          </cell>
          <cell r="AH68">
            <v>1</v>
          </cell>
        </row>
        <row r="70">
          <cell r="AI70" t="str">
            <v>Las Vegas US penetration</v>
          </cell>
        </row>
        <row r="71">
          <cell r="AI71" t="str">
            <v>(mm)</v>
          </cell>
          <cell r="AJ71">
            <v>1999</v>
          </cell>
          <cell r="AK71">
            <v>2000</v>
          </cell>
          <cell r="AL71">
            <v>2001</v>
          </cell>
          <cell r="AM71">
            <v>2002</v>
          </cell>
          <cell r="AN71">
            <v>2003</v>
          </cell>
          <cell r="AO71">
            <v>2004</v>
          </cell>
          <cell r="AP71">
            <v>2005</v>
          </cell>
        </row>
        <row r="73">
          <cell r="AI73" t="str">
            <v>US Population</v>
          </cell>
          <cell r="AJ73">
            <v>280.46662099999998</v>
          </cell>
          <cell r="AK73">
            <v>283.740343</v>
          </cell>
          <cell r="AL73">
            <v>286.62938600000001</v>
          </cell>
          <cell r="AM73">
            <v>289.475819</v>
          </cell>
          <cell r="AN73">
            <v>292.30278199999998</v>
          </cell>
          <cell r="AO73">
            <v>295.10765700000002</v>
          </cell>
          <cell r="AP73">
            <v>297.82117499999998</v>
          </cell>
        </row>
        <row r="75">
          <cell r="AI75" t="str">
            <v>Las Vegas Visitors</v>
          </cell>
          <cell r="AJ75">
            <v>33.809134</v>
          </cell>
          <cell r="AK75">
            <v>35.849691</v>
          </cell>
          <cell r="AL75">
            <v>35.012</v>
          </cell>
          <cell r="AM75">
            <v>35.071505000000002</v>
          </cell>
          <cell r="AN75">
            <v>35.540126000000001</v>
          </cell>
          <cell r="AO75">
            <v>37.388781000000002</v>
          </cell>
          <cell r="AP75">
            <v>38.566716999999997</v>
          </cell>
        </row>
        <row r="76">
          <cell r="AI76" t="str">
            <v xml:space="preserve">  % International</v>
          </cell>
          <cell r="AJ76">
            <v>0.11</v>
          </cell>
          <cell r="AK76">
            <v>0.13</v>
          </cell>
          <cell r="AL76">
            <v>0.12</v>
          </cell>
          <cell r="AM76">
            <v>0.08</v>
          </cell>
          <cell r="AN76">
            <v>0.09</v>
          </cell>
          <cell r="AO76">
            <v>0.13</v>
          </cell>
          <cell r="AP76">
            <v>0.12</v>
          </cell>
        </row>
        <row r="77">
          <cell r="AI77" t="str">
            <v xml:space="preserve">  Domestic Visitors</v>
          </cell>
          <cell r="AJ77">
            <v>30.090129260000001</v>
          </cell>
          <cell r="AK77">
            <v>31.189231169999999</v>
          </cell>
          <cell r="AL77">
            <v>30.810559999999999</v>
          </cell>
          <cell r="AM77">
            <v>32.265784600000003</v>
          </cell>
          <cell r="AN77">
            <v>32.341514660000001</v>
          </cell>
          <cell r="AO77">
            <v>32.528239470000003</v>
          </cell>
          <cell r="AP77">
            <v>33.938710959999995</v>
          </cell>
        </row>
        <row r="79">
          <cell r="AI79" t="str">
            <v>US Pentration Rate</v>
          </cell>
          <cell r="AJ79">
            <v>0.10728595493008776</v>
          </cell>
          <cell r="AK79">
            <v>0.10992173633200972</v>
          </cell>
          <cell r="AL79">
            <v>0.10749267697206732</v>
          </cell>
          <cell r="AM79">
            <v>0.11146279751953998</v>
          </cell>
          <cell r="AN79">
            <v>0.11064388247936691</v>
          </cell>
          <cell r="AO79">
            <v>0.11022499314546759</v>
          </cell>
          <cell r="AP79">
            <v>0.11395667537743076</v>
          </cell>
        </row>
        <row r="81">
          <cell r="AQ81" t="str">
            <v>Revenue per visitor</v>
          </cell>
        </row>
        <row r="82">
          <cell r="AQ82" t="str">
            <v>($mm)</v>
          </cell>
          <cell r="AR82">
            <v>1999</v>
          </cell>
          <cell r="AS82">
            <v>2000</v>
          </cell>
          <cell r="AT82">
            <v>2001</v>
          </cell>
          <cell r="AU82">
            <v>2002</v>
          </cell>
          <cell r="AV82">
            <v>2003</v>
          </cell>
          <cell r="AW82">
            <v>2004</v>
          </cell>
        </row>
        <row r="84">
          <cell r="AQ84" t="str">
            <v>Gaming Revenue/Visitor</v>
          </cell>
          <cell r="AR84">
            <v>217.86376862885368</v>
          </cell>
          <cell r="AS84">
            <v>216.84155772657923</v>
          </cell>
          <cell r="AT84">
            <v>219.47156798001637</v>
          </cell>
          <cell r="AU84">
            <v>233.6752566583952</v>
          </cell>
          <cell r="AV84">
            <v>292.57303766303806</v>
          </cell>
          <cell r="AW84">
            <v>300.64740025553272</v>
          </cell>
        </row>
        <row r="85">
          <cell r="AQ85" t="str">
            <v xml:space="preserve">  Year-over-Year growth</v>
          </cell>
          <cell r="AR85">
            <v>-0.16593356360145228</v>
          </cell>
          <cell r="AS85">
            <v>-4.6919729182499648E-3</v>
          </cell>
          <cell r="AT85">
            <v>1.212871868755605E-2</v>
          </cell>
          <cell r="AU85">
            <v>6.4717670763039914E-2</v>
          </cell>
          <cell r="AV85">
            <v>0.25204971141101273</v>
          </cell>
          <cell r="AW85">
            <v>2.7597767234430082E-2</v>
          </cell>
        </row>
        <row r="87">
          <cell r="AX87" t="str">
            <v>Gaming Revenue forecast</v>
          </cell>
        </row>
        <row r="88">
          <cell r="AX88" t="str">
            <v>($mm)</v>
          </cell>
          <cell r="AY88">
            <v>2004</v>
          </cell>
          <cell r="AZ88">
            <v>2005</v>
          </cell>
          <cell r="BA88" t="str">
            <v>2006E</v>
          </cell>
          <cell r="BB88" t="str">
            <v>2007E</v>
          </cell>
          <cell r="BC88" t="str">
            <v>2008E</v>
          </cell>
          <cell r="BD88" t="str">
            <v>2009E</v>
          </cell>
          <cell r="BE88" t="str">
            <v>2010E</v>
          </cell>
        </row>
        <row r="90">
          <cell r="AX90" t="str">
            <v>Gaming Revenue</v>
          </cell>
          <cell r="AY90">
            <v>5012.5606170147839</v>
          </cell>
          <cell r="AZ90">
            <v>5583.0517159194042</v>
          </cell>
          <cell r="BA90">
            <v>6872.4190251586988</v>
          </cell>
          <cell r="BB90">
            <v>8711.3099488232911</v>
          </cell>
          <cell r="BC90">
            <v>9975.4970811944731</v>
          </cell>
          <cell r="BD90">
            <v>11495.287373279902</v>
          </cell>
          <cell r="BE90">
            <v>12937.576081668471</v>
          </cell>
        </row>
        <row r="91">
          <cell r="AX91" t="str">
            <v xml:space="preserve">  Year-over-Year growth</v>
          </cell>
          <cell r="AY91">
            <v>0.44118943701053093</v>
          </cell>
          <cell r="AZ91">
            <v>0.11381230921539953</v>
          </cell>
          <cell r="BA91">
            <v>0.23094310689668474</v>
          </cell>
          <cell r="BB91">
            <v>0.26757549516883961</v>
          </cell>
          <cell r="BC91">
            <v>0.14512021036996225</v>
          </cell>
          <cell r="BD91">
            <v>0.15235233690263872</v>
          </cell>
          <cell r="BE91">
            <v>0.12546782534041578</v>
          </cell>
        </row>
        <row r="93">
          <cell r="BF93" t="str">
            <v>Daily win per position forecast</v>
          </cell>
        </row>
        <row r="94">
          <cell r="BF94" t="str">
            <v>($mm)</v>
          </cell>
          <cell r="BG94">
            <v>2004</v>
          </cell>
          <cell r="BH94">
            <v>2005</v>
          </cell>
          <cell r="BI94" t="str">
            <v>2006E</v>
          </cell>
          <cell r="BJ94" t="str">
            <v>2007E</v>
          </cell>
          <cell r="BK94" t="str">
            <v>2008E</v>
          </cell>
          <cell r="BL94" t="str">
            <v>2009E</v>
          </cell>
          <cell r="BM94" t="str">
            <v>2010E</v>
          </cell>
        </row>
        <row r="96">
          <cell r="BF96" t="str">
            <v>Overall Daily Win/Position</v>
          </cell>
          <cell r="BG96">
            <v>1923.074314419533</v>
          </cell>
          <cell r="BH96">
            <v>1133.8513082263344</v>
          </cell>
          <cell r="BI96">
            <v>846.84804241168968</v>
          </cell>
          <cell r="BJ96">
            <v>554.18520300220416</v>
          </cell>
          <cell r="BK96">
            <v>420.75875765684395</v>
          </cell>
          <cell r="BL96">
            <v>328.00414157503479</v>
          </cell>
          <cell r="BM96">
            <v>297.66203483343799</v>
          </cell>
        </row>
        <row r="98">
          <cell r="BF98" t="str">
            <v>Tables</v>
          </cell>
        </row>
        <row r="99">
          <cell r="BF99" t="str">
            <v>Overall Daily Win/Table</v>
          </cell>
          <cell r="BG99">
            <v>20414.826766476152</v>
          </cell>
          <cell r="BH99">
            <v>11887.951376957966</v>
          </cell>
          <cell r="BI99">
            <v>8789.413707071848</v>
          </cell>
          <cell r="BJ99">
            <v>5794.6280674243335</v>
          </cell>
          <cell r="BK99">
            <v>4418.7291130811236</v>
          </cell>
          <cell r="BL99">
            <v>3327.7505285950278</v>
          </cell>
          <cell r="BM99">
            <v>2957.6453872411762</v>
          </cell>
          <cell r="BN99">
            <v>-0.75120647002528251</v>
          </cell>
        </row>
        <row r="100">
          <cell r="BF100" t="str">
            <v>VIP Daily Win/Table</v>
          </cell>
          <cell r="BG100">
            <v>50592.455869262696</v>
          </cell>
          <cell r="BH100">
            <v>33492.743825717982</v>
          </cell>
          <cell r="BI100">
            <v>24840.441493932929</v>
          </cell>
          <cell r="BJ100">
            <v>21145.682313409634</v>
          </cell>
          <cell r="BK100">
            <v>17695.549290114752</v>
          </cell>
          <cell r="BL100">
            <v>13355.530672336219</v>
          </cell>
          <cell r="BM100">
            <v>11132.604799823705</v>
          </cell>
        </row>
        <row r="101">
          <cell r="BF101" t="str">
            <v>Mass Market Daily Win/Table</v>
          </cell>
          <cell r="BG101">
            <v>7793.2971252477782</v>
          </cell>
          <cell r="BH101">
            <v>5486.2206435972312</v>
          </cell>
          <cell r="BI101">
            <v>3765.0870033772258</v>
          </cell>
          <cell r="BJ101">
            <v>2260.7169174700166</v>
          </cell>
          <cell r="BK101">
            <v>1773.6354395919532</v>
          </cell>
          <cell r="BL101">
            <v>1434.3036180858212</v>
          </cell>
          <cell r="BM101">
            <v>1365.3838712194677</v>
          </cell>
        </row>
        <row r="103">
          <cell r="BF103" t="str">
            <v>Slots</v>
          </cell>
        </row>
        <row r="104">
          <cell r="BF104" t="str">
            <v>Daily Win/Slot</v>
          </cell>
          <cell r="BG104">
            <v>136.89300769567095</v>
          </cell>
          <cell r="BH104">
            <v>142.29534428720078</v>
          </cell>
          <cell r="BI104">
            <v>143.3181059766107</v>
          </cell>
          <cell r="BJ104">
            <v>146.39160569190702</v>
          </cell>
          <cell r="BK104">
            <v>149.31943780574517</v>
          </cell>
          <cell r="BL104">
            <v>152.30582656186007</v>
          </cell>
          <cell r="BM104">
            <v>155.35194309309728</v>
          </cell>
        </row>
        <row r="106">
          <cell r="BN106" t="str">
            <v>Overall Macau forecast summary</v>
          </cell>
        </row>
        <row r="107">
          <cell r="BN107" t="str">
            <v>($mm)</v>
          </cell>
          <cell r="BO107">
            <v>2004</v>
          </cell>
          <cell r="BP107">
            <v>2005</v>
          </cell>
          <cell r="BQ107">
            <v>2006</v>
          </cell>
          <cell r="BR107" t="str">
            <v>2007E</v>
          </cell>
          <cell r="BS107" t="str">
            <v>2008E</v>
          </cell>
          <cell r="BT107" t="str">
            <v>2009E</v>
          </cell>
          <cell r="BU107" t="str">
            <v>2010E</v>
          </cell>
        </row>
        <row r="109">
          <cell r="BN109" t="str">
            <v>Visitor Volume</v>
          </cell>
          <cell r="BO109">
            <v>16.672556</v>
          </cell>
          <cell r="BP109">
            <v>18.711186999999999</v>
          </cell>
          <cell r="BQ109">
            <v>21.998122000000002</v>
          </cell>
          <cell r="BR109">
            <v>26.853211459144823</v>
          </cell>
          <cell r="BS109">
            <v>31.112956369452657</v>
          </cell>
          <cell r="BT109">
            <v>35.938386716715485</v>
          </cell>
          <cell r="BU109">
            <v>41.464358695646425</v>
          </cell>
        </row>
        <row r="110">
          <cell r="BN110" t="str">
            <v xml:space="preserve">  Year-over-Year growth</v>
          </cell>
          <cell r="BO110">
            <v>0.40248400975918686</v>
          </cell>
          <cell r="BP110">
            <v>0.12227465302860563</v>
          </cell>
          <cell r="BQ110">
            <v>0.17566683503296732</v>
          </cell>
          <cell r="BR110">
            <v>0.22070472466444269</v>
          </cell>
          <cell r="BS110">
            <v>0.15863074391637366</v>
          </cell>
          <cell r="BT110">
            <v>0.15509391939367534</v>
          </cell>
          <cell r="BU110">
            <v>0.15376238289407484</v>
          </cell>
        </row>
        <row r="112">
          <cell r="BN112" t="str">
            <v>Total Gaming Revenue</v>
          </cell>
          <cell r="BO112">
            <v>5012.5606170147839</v>
          </cell>
          <cell r="BP112">
            <v>5583.0517159194042</v>
          </cell>
          <cell r="BQ112">
            <v>6872.4190251586988</v>
          </cell>
          <cell r="BR112">
            <v>8711.3099488232911</v>
          </cell>
          <cell r="BS112">
            <v>9975.4970811944731</v>
          </cell>
          <cell r="BT112">
            <v>11495.287373279902</v>
          </cell>
          <cell r="BU112">
            <v>12937.576081668471</v>
          </cell>
          <cell r="BV112">
            <v>0.1829627953399644</v>
          </cell>
        </row>
        <row r="113">
          <cell r="BN113" t="str">
            <v xml:space="preserve">  Year-over-Year growth</v>
          </cell>
          <cell r="BO113">
            <v>0.44118943701053093</v>
          </cell>
          <cell r="BP113">
            <v>0.11381230921539953</v>
          </cell>
          <cell r="BQ113">
            <v>0.23094310689668474</v>
          </cell>
          <cell r="BR113">
            <v>0.26757549516883961</v>
          </cell>
          <cell r="BS113">
            <v>0.14512021036996225</v>
          </cell>
          <cell r="BT113">
            <v>0.15235233690263872</v>
          </cell>
          <cell r="BU113">
            <v>0.12546782534041578</v>
          </cell>
        </row>
        <row r="114">
          <cell r="BN114" t="str">
            <v>VIP Revenue</v>
          </cell>
          <cell r="BO114">
            <v>3607.0036807892443</v>
          </cell>
          <cell r="BP114">
            <v>3497.8356344037484</v>
          </cell>
          <cell r="BQ114">
            <v>4462.2919091703079</v>
          </cell>
          <cell r="BR114">
            <v>5544.8648697270928</v>
          </cell>
          <cell r="BS114">
            <v>5988.4540593052607</v>
          </cell>
          <cell r="BT114">
            <v>6347.7613028635769</v>
          </cell>
          <cell r="BU114">
            <v>6601.6717549781206</v>
          </cell>
          <cell r="BV114">
            <v>0.13105156918683147</v>
          </cell>
        </row>
        <row r="115">
          <cell r="BN115" t="str">
            <v xml:space="preserve">  Year-over-Year growth</v>
          </cell>
          <cell r="BO115">
            <v>0.34146712387319189</v>
          </cell>
          <cell r="BP115">
            <v>-3.0265576652145021E-2</v>
          </cell>
          <cell r="BQ115">
            <v>0.27572944402545185</v>
          </cell>
          <cell r="BR115">
            <v>0.24260469341596069</v>
          </cell>
          <cell r="BS115">
            <v>0.08</v>
          </cell>
          <cell r="BT115">
            <v>0.06</v>
          </cell>
          <cell r="BU115">
            <v>3.9999999999999994E-2</v>
          </cell>
        </row>
        <row r="116">
          <cell r="BN116" t="str">
            <v>Mass Market Revenue</v>
          </cell>
          <cell r="BO116">
            <v>1405.5569362255396</v>
          </cell>
          <cell r="BP116">
            <v>2085.2160815156567</v>
          </cell>
          <cell r="BQ116">
            <v>2410.12711598839</v>
          </cell>
          <cell r="BR116">
            <v>3166.4450790961996</v>
          </cell>
          <cell r="BS116">
            <v>3987.0430218892116</v>
          </cell>
          <cell r="BT116">
            <v>5147.5260704163238</v>
          </cell>
          <cell r="BU116">
            <v>6335.90432669035</v>
          </cell>
          <cell r="BV116">
            <v>0.25909458829141108</v>
          </cell>
        </row>
        <row r="117">
          <cell r="BN117" t="str">
            <v xml:space="preserve">  Year-over-Year growth</v>
          </cell>
          <cell r="BO117">
            <v>0.78093957094616173</v>
          </cell>
          <cell r="BP117">
            <v>0.48355148608583787</v>
          </cell>
          <cell r="BQ117">
            <v>0.15581648221155531</v>
          </cell>
          <cell r="BR117">
            <v>0.31380832906717648</v>
          </cell>
          <cell r="BS117">
            <v>0.25915432679073525</v>
          </cell>
          <cell r="BT117">
            <v>0.29106358826728473</v>
          </cell>
          <cell r="BU117">
            <v>0.23086396067109427</v>
          </cell>
        </row>
        <row r="119">
          <cell r="BN119" t="str">
            <v>% VIP</v>
          </cell>
          <cell r="BO119">
            <v>0.71959302966741678</v>
          </cell>
          <cell r="BP119">
            <v>0.6265096245535553</v>
          </cell>
          <cell r="BQ119">
            <v>0.64930439963492537</v>
          </cell>
          <cell r="BR119">
            <v>0.63651332604415989</v>
          </cell>
          <cell r="BS119">
            <v>0.60031635622394453</v>
          </cell>
          <cell r="BT119">
            <v>0.55220553403637074</v>
          </cell>
          <cell r="BU119">
            <v>0.51027114455637257</v>
          </cell>
        </row>
        <row r="120">
          <cell r="BN120" t="str">
            <v>% Mass Market</v>
          </cell>
          <cell r="BO120">
            <v>0.28040697033258322</v>
          </cell>
          <cell r="BP120">
            <v>0.37349037544644492</v>
          </cell>
          <cell r="BQ120">
            <v>0.35069560036507452</v>
          </cell>
          <cell r="BR120">
            <v>0.36348667395584033</v>
          </cell>
          <cell r="BS120">
            <v>0.39968364377605536</v>
          </cell>
          <cell r="BT120">
            <v>0.44779446596362921</v>
          </cell>
          <cell r="BU120">
            <v>0.48972885544362743</v>
          </cell>
        </row>
        <row r="122">
          <cell r="BN122" t="str">
            <v>Daily Win/Table (US$)</v>
          </cell>
          <cell r="BP122">
            <v>11887.951376957966</v>
          </cell>
          <cell r="BQ122">
            <v>8789.413707071848</v>
          </cell>
          <cell r="BR122">
            <v>5794.6280674243335</v>
          </cell>
          <cell r="BS122">
            <v>4418.7291130811236</v>
          </cell>
          <cell r="BT122">
            <v>3327.7505285950278</v>
          </cell>
          <cell r="BU122">
            <v>2957.6453872411762</v>
          </cell>
        </row>
        <row r="123">
          <cell r="BN123" t="str">
            <v>Daily VIP Win/Table (US$)</v>
          </cell>
          <cell r="BP123">
            <v>33492.743825717982</v>
          </cell>
          <cell r="BQ123">
            <v>24840.441493932929</v>
          </cell>
          <cell r="BR123">
            <v>21145.682313409634</v>
          </cell>
          <cell r="BS123">
            <v>17695.549290114752</v>
          </cell>
          <cell r="BT123">
            <v>13355.530672336219</v>
          </cell>
          <cell r="BU123">
            <v>11132.604799823705</v>
          </cell>
        </row>
        <row r="124">
          <cell r="BN124" t="str">
            <v>Daily Mass Market Win/Table (US$)</v>
          </cell>
          <cell r="BP124">
            <v>5486.2206435972312</v>
          </cell>
          <cell r="BQ124">
            <v>3765.0870033772258</v>
          </cell>
          <cell r="BR124">
            <v>2260.7169174700166</v>
          </cell>
          <cell r="BS124">
            <v>1773.6354395919532</v>
          </cell>
          <cell r="BT124">
            <v>1434.3036180858212</v>
          </cell>
          <cell r="BU124">
            <v>1365.3838712194677</v>
          </cell>
        </row>
        <row r="126">
          <cell r="BN126" t="str">
            <v>Average Tables</v>
          </cell>
          <cell r="BO126">
            <v>660.54586717630195</v>
          </cell>
          <cell r="BP126">
            <v>1251.75</v>
          </cell>
          <cell r="BQ126">
            <v>2064.4426328502418</v>
          </cell>
          <cell r="BR126">
            <v>3839.166666666667</v>
          </cell>
          <cell r="BS126">
            <v>5581</v>
          </cell>
          <cell r="BT126">
            <v>8198.5</v>
          </cell>
          <cell r="BU126">
            <v>9966</v>
          </cell>
        </row>
        <row r="127">
          <cell r="BN127" t="str">
            <v>Average Slots</v>
          </cell>
          <cell r="BO127">
            <v>1548.6654323936932</v>
          </cell>
          <cell r="BP127">
            <v>2918.5</v>
          </cell>
          <cell r="BQ127">
            <v>4767.75</v>
          </cell>
          <cell r="BR127">
            <v>11066.615942028986</v>
          </cell>
          <cell r="BS127">
            <v>17875.782608695652</v>
          </cell>
          <cell r="BT127">
            <v>27650.782608695652</v>
          </cell>
          <cell r="BU127">
            <v>38425.782608695648</v>
          </cell>
        </row>
        <row r="129">
          <cell r="BV129" t="str">
            <v>2005 Gaming revenue composition</v>
          </cell>
        </row>
        <row r="130">
          <cell r="BV130" t="str">
            <v>($mm)</v>
          </cell>
          <cell r="BW130" t="str">
            <v>Revenues</v>
          </cell>
          <cell r="BX130" t="str">
            <v>Share of Total Revenue</v>
          </cell>
          <cell r="BY130" t="str">
            <v>Share of Casino Revenue</v>
          </cell>
        </row>
        <row r="132">
          <cell r="BV132" t="str">
            <v>VIP Baccarat</v>
          </cell>
          <cell r="BW132">
            <v>3498.0456748274623</v>
          </cell>
          <cell r="BX132">
            <v>0.61185447981617602</v>
          </cell>
          <cell r="BY132">
            <v>0.62656829373835987</v>
          </cell>
        </row>
        <row r="133">
          <cell r="BV133" t="str">
            <v>Baccarat</v>
          </cell>
          <cell r="BW133">
            <v>1204.3404955340527</v>
          </cell>
          <cell r="BX133">
            <v>0.21065509027491169</v>
          </cell>
          <cell r="BY133">
            <v>0.21572090233041405</v>
          </cell>
        </row>
        <row r="134">
          <cell r="BV134" t="str">
            <v>Other Table Games</v>
          </cell>
          <cell r="BW134">
            <v>728.9378871205115</v>
          </cell>
          <cell r="BX134">
            <v>0.1275008828363631</v>
          </cell>
          <cell r="BY134">
            <v>0.13056701102019538</v>
          </cell>
        </row>
        <row r="135">
          <cell r="BV135" t="str">
            <v>Slot Machines</v>
          </cell>
          <cell r="BW135">
            <v>151.54010877941423</v>
          </cell>
          <cell r="BX135">
            <v>2.6506370427278242E-2</v>
          </cell>
          <cell r="BY135">
            <v>2.7143792911030629E-2</v>
          </cell>
        </row>
        <row r="136">
          <cell r="BW136" t="str">
            <v>______</v>
          </cell>
          <cell r="BX136" t="str">
            <v>______</v>
          </cell>
          <cell r="BY136" t="str">
            <v>______</v>
          </cell>
        </row>
        <row r="137">
          <cell r="BV137" t="str">
            <v>Total Casino Games</v>
          </cell>
          <cell r="BW137">
            <v>5582.8641662614409</v>
          </cell>
          <cell r="BX137">
            <v>0.976516823354729</v>
          </cell>
          <cell r="BY137">
            <v>1</v>
          </cell>
        </row>
        <row r="138">
          <cell r="BV138" t="str">
            <v>Racing Lottery, etc.</v>
          </cell>
          <cell r="BW138">
            <v>134.25614619979413</v>
          </cell>
          <cell r="BX138">
            <v>2.3483176645271005E-2</v>
          </cell>
          <cell r="BY138" t="str">
            <v>N.M.</v>
          </cell>
        </row>
        <row r="139">
          <cell r="BW139" t="str">
            <v>______</v>
          </cell>
          <cell r="BX139" t="str">
            <v>______</v>
          </cell>
          <cell r="BY139" t="str">
            <v>______</v>
          </cell>
        </row>
        <row r="140">
          <cell r="BV140" t="str">
            <v>Total Gaming Revenue</v>
          </cell>
          <cell r="BW140">
            <v>5717.1203124612348</v>
          </cell>
          <cell r="BX140">
            <v>1</v>
          </cell>
          <cell r="BY140" t="str">
            <v>N.M.</v>
          </cell>
        </row>
        <row r="142">
          <cell r="BZ142" t="str">
            <v>Impact of win rate on EBITDA</v>
          </cell>
        </row>
        <row r="143">
          <cell r="CA143" t="str">
            <v>Win Rate</v>
          </cell>
        </row>
        <row r="144">
          <cell r="CA144">
            <v>2.4500000000000001E-2</v>
          </cell>
          <cell r="CB144">
            <v>2.5500000000000002E-2</v>
          </cell>
          <cell r="CC144">
            <v>2.6500000000000003E-2</v>
          </cell>
          <cell r="CD144">
            <v>2.7500000000000004E-2</v>
          </cell>
          <cell r="CE144">
            <v>2.8500000000000004E-2</v>
          </cell>
          <cell r="CF144">
            <v>2.9500000000000005E-2</v>
          </cell>
        </row>
        <row r="146">
          <cell r="BZ146" t="str">
            <v>Rolling Chip Volume</v>
          </cell>
          <cell r="CA146">
            <v>1000</v>
          </cell>
          <cell r="CB146">
            <v>1000</v>
          </cell>
          <cell r="CC146">
            <v>1000</v>
          </cell>
          <cell r="CD146">
            <v>1000</v>
          </cell>
          <cell r="CE146">
            <v>1000</v>
          </cell>
          <cell r="CF146">
            <v>1000</v>
          </cell>
        </row>
        <row r="148">
          <cell r="BZ148" t="str">
            <v>Gross Gaming Revenue</v>
          </cell>
          <cell r="CA148">
            <v>24.5</v>
          </cell>
          <cell r="CB148">
            <v>25.500000000000004</v>
          </cell>
          <cell r="CC148">
            <v>26.500000000000004</v>
          </cell>
          <cell r="CD148">
            <v>27.500000000000004</v>
          </cell>
          <cell r="CE148">
            <v>28.500000000000004</v>
          </cell>
          <cell r="CF148">
            <v>29.500000000000007</v>
          </cell>
        </row>
        <row r="149">
          <cell r="BZ149" t="str">
            <v>0.8% Rebate to Player</v>
          </cell>
          <cell r="CA149">
            <v>-8</v>
          </cell>
          <cell r="CB149">
            <v>-8</v>
          </cell>
          <cell r="CC149">
            <v>-8</v>
          </cell>
          <cell r="CD149">
            <v>-8</v>
          </cell>
          <cell r="CE149">
            <v>-8</v>
          </cell>
          <cell r="CF149">
            <v>-8</v>
          </cell>
        </row>
        <row r="150">
          <cell r="CA150" t="str">
            <v xml:space="preserve">_____ </v>
          </cell>
          <cell r="CB150" t="str">
            <v xml:space="preserve">_____ </v>
          </cell>
          <cell r="CC150" t="str">
            <v xml:space="preserve">_____ </v>
          </cell>
          <cell r="CD150" t="str">
            <v xml:space="preserve">_____ </v>
          </cell>
          <cell r="CE150" t="str">
            <v xml:space="preserve">_____ </v>
          </cell>
          <cell r="CF150" t="str">
            <v xml:space="preserve">_____ </v>
          </cell>
        </row>
        <row r="151">
          <cell r="BZ151" t="str">
            <v>Net Gaming Revenue</v>
          </cell>
          <cell r="CA151">
            <v>16.5</v>
          </cell>
          <cell r="CB151">
            <v>17.500000000000004</v>
          </cell>
          <cell r="CC151">
            <v>18.500000000000004</v>
          </cell>
          <cell r="CD151">
            <v>19.500000000000004</v>
          </cell>
          <cell r="CE151">
            <v>20.500000000000004</v>
          </cell>
          <cell r="CF151">
            <v>21.500000000000007</v>
          </cell>
        </row>
        <row r="153">
          <cell r="BZ153" t="str">
            <v>Taxes (39% of gross revenue)</v>
          </cell>
          <cell r="CA153">
            <v>9.5549999999999997</v>
          </cell>
          <cell r="CB153">
            <v>9.9450000000000021</v>
          </cell>
          <cell r="CC153">
            <v>10.335000000000001</v>
          </cell>
          <cell r="CD153">
            <v>10.725000000000001</v>
          </cell>
          <cell r="CE153">
            <v>11.115000000000002</v>
          </cell>
          <cell r="CF153">
            <v>11.505000000000003</v>
          </cell>
        </row>
        <row r="154">
          <cell r="BZ154" t="str">
            <v>Junket Commission (0.3% of rolling)</v>
          </cell>
          <cell r="CA154">
            <v>3</v>
          </cell>
          <cell r="CB154">
            <v>3</v>
          </cell>
          <cell r="CC154">
            <v>3</v>
          </cell>
          <cell r="CD154">
            <v>3</v>
          </cell>
          <cell r="CE154">
            <v>3</v>
          </cell>
          <cell r="CF154">
            <v>3</v>
          </cell>
        </row>
        <row r="155">
          <cell r="BZ155" t="str">
            <v>Operating Expense (0.2% of rolling)</v>
          </cell>
          <cell r="CA155">
            <v>2</v>
          </cell>
          <cell r="CB155">
            <v>2</v>
          </cell>
          <cell r="CC155">
            <v>2</v>
          </cell>
          <cell r="CD155">
            <v>2</v>
          </cell>
          <cell r="CE155">
            <v>2</v>
          </cell>
          <cell r="CF155">
            <v>2</v>
          </cell>
        </row>
        <row r="156">
          <cell r="CA156" t="str">
            <v xml:space="preserve">_____ </v>
          </cell>
          <cell r="CB156" t="str">
            <v xml:space="preserve">_____ </v>
          </cell>
          <cell r="CC156" t="str">
            <v xml:space="preserve">_____ </v>
          </cell>
          <cell r="CD156" t="str">
            <v xml:space="preserve">_____ </v>
          </cell>
          <cell r="CE156" t="str">
            <v xml:space="preserve">_____ </v>
          </cell>
          <cell r="CF156" t="str">
            <v xml:space="preserve">_____ </v>
          </cell>
        </row>
        <row r="157">
          <cell r="BZ157" t="str">
            <v>Total Expenses</v>
          </cell>
          <cell r="CA157">
            <v>14.555</v>
          </cell>
          <cell r="CB157">
            <v>14.945000000000002</v>
          </cell>
          <cell r="CC157">
            <v>15.335000000000001</v>
          </cell>
          <cell r="CD157">
            <v>15.725000000000001</v>
          </cell>
          <cell r="CE157">
            <v>16.115000000000002</v>
          </cell>
          <cell r="CF157">
            <v>16.505000000000003</v>
          </cell>
        </row>
        <row r="159">
          <cell r="BZ159" t="str">
            <v>EBITDA</v>
          </cell>
          <cell r="CA159">
            <v>1.9450000000000003</v>
          </cell>
          <cell r="CB159">
            <v>2.5550000000000015</v>
          </cell>
          <cell r="CC159">
            <v>3.1650000000000027</v>
          </cell>
          <cell r="CD159">
            <v>3.7750000000000021</v>
          </cell>
          <cell r="CE159">
            <v>4.3850000000000016</v>
          </cell>
          <cell r="CF159">
            <v>4.9950000000000045</v>
          </cell>
        </row>
        <row r="160">
          <cell r="BZ160" t="str">
            <v xml:space="preserve">  Margin</v>
          </cell>
          <cell r="CA160">
            <v>0.1178787878787879</v>
          </cell>
          <cell r="CB160">
            <v>0.14600000000000005</v>
          </cell>
          <cell r="CC160">
            <v>0.17108108108108119</v>
          </cell>
          <cell r="CD160">
            <v>0.19358974358974365</v>
          </cell>
          <cell r="CE160">
            <v>0.2139024390243903</v>
          </cell>
          <cell r="CF160">
            <v>0.23232558139534898</v>
          </cell>
        </row>
        <row r="161">
          <cell r="CG161" t="str">
            <v>Impact of junket commission on EBITDA</v>
          </cell>
        </row>
        <row r="162">
          <cell r="CH162" t="str">
            <v>Rebate Rate</v>
          </cell>
        </row>
        <row r="163">
          <cell r="CH163">
            <v>6.0000000000000001E-3</v>
          </cell>
          <cell r="CI163">
            <v>7.0000000000000001E-3</v>
          </cell>
          <cell r="CJ163">
            <v>8.0000000000000002E-3</v>
          </cell>
          <cell r="CK163">
            <v>9.0000000000000011E-3</v>
          </cell>
          <cell r="CL163">
            <v>1.0000000000000002E-2</v>
          </cell>
          <cell r="CM163">
            <v>1.1000000000000003E-2</v>
          </cell>
        </row>
        <row r="165">
          <cell r="CG165" t="str">
            <v>Rolling Chip Volume</v>
          </cell>
          <cell r="CH165">
            <v>1000</v>
          </cell>
          <cell r="CI165">
            <v>1000</v>
          </cell>
          <cell r="CJ165">
            <v>1000</v>
          </cell>
          <cell r="CK165">
            <v>1000</v>
          </cell>
          <cell r="CL165">
            <v>1000</v>
          </cell>
          <cell r="CM165">
            <v>1000</v>
          </cell>
        </row>
        <row r="167">
          <cell r="CG167" t="str">
            <v>Gross Gaming Revenue @ 2.65% Win</v>
          </cell>
          <cell r="CH167">
            <v>26.5</v>
          </cell>
          <cell r="CI167">
            <v>26.5</v>
          </cell>
          <cell r="CJ167">
            <v>26.5</v>
          </cell>
          <cell r="CK167">
            <v>26.5</v>
          </cell>
          <cell r="CL167">
            <v>26.5</v>
          </cell>
          <cell r="CM167">
            <v>26.5</v>
          </cell>
        </row>
        <row r="168">
          <cell r="CG168" t="str">
            <v>Rebate to Player</v>
          </cell>
          <cell r="CH168">
            <v>-6</v>
          </cell>
          <cell r="CI168">
            <v>-7</v>
          </cell>
          <cell r="CJ168">
            <v>-8</v>
          </cell>
          <cell r="CK168">
            <v>-9.0000000000000018</v>
          </cell>
          <cell r="CL168">
            <v>-10.000000000000002</v>
          </cell>
          <cell r="CM168">
            <v>-11.000000000000004</v>
          </cell>
        </row>
        <row r="169">
          <cell r="CH169" t="str">
            <v xml:space="preserve">_____ </v>
          </cell>
          <cell r="CI169" t="str">
            <v xml:space="preserve">_____ </v>
          </cell>
          <cell r="CJ169" t="str">
            <v xml:space="preserve">_____ </v>
          </cell>
          <cell r="CK169" t="str">
            <v xml:space="preserve">_____ </v>
          </cell>
          <cell r="CL169" t="str">
            <v xml:space="preserve">_____ </v>
          </cell>
          <cell r="CM169" t="str">
            <v xml:space="preserve">_____ </v>
          </cell>
        </row>
        <row r="170">
          <cell r="CG170" t="str">
            <v>Net Gaming Revenue</v>
          </cell>
          <cell r="CH170">
            <v>20.5</v>
          </cell>
          <cell r="CI170">
            <v>19.5</v>
          </cell>
          <cell r="CJ170">
            <v>18.5</v>
          </cell>
          <cell r="CK170">
            <v>17.5</v>
          </cell>
          <cell r="CL170">
            <v>16.5</v>
          </cell>
          <cell r="CM170">
            <v>15.499999999999996</v>
          </cell>
        </row>
        <row r="172">
          <cell r="CG172" t="str">
            <v>Taxes (39% of gross revenue)</v>
          </cell>
          <cell r="CH172">
            <v>10.335000000000001</v>
          </cell>
          <cell r="CI172">
            <v>10.335000000000001</v>
          </cell>
          <cell r="CJ172">
            <v>10.335000000000001</v>
          </cell>
          <cell r="CK172">
            <v>10.335000000000001</v>
          </cell>
          <cell r="CL172">
            <v>10.335000000000001</v>
          </cell>
          <cell r="CM172">
            <v>10.335000000000001</v>
          </cell>
        </row>
        <row r="173">
          <cell r="CG173" t="str">
            <v>Junket Commission (0.3% of rolling)</v>
          </cell>
          <cell r="CH173">
            <v>3</v>
          </cell>
          <cell r="CI173">
            <v>3</v>
          </cell>
          <cell r="CJ173">
            <v>3</v>
          </cell>
          <cell r="CK173">
            <v>3</v>
          </cell>
          <cell r="CL173">
            <v>3</v>
          </cell>
          <cell r="CM173">
            <v>3</v>
          </cell>
        </row>
        <row r="174">
          <cell r="CG174" t="str">
            <v>Operating Expense (0.2% of rolling)</v>
          </cell>
          <cell r="CH174">
            <v>2</v>
          </cell>
          <cell r="CI174">
            <v>2</v>
          </cell>
          <cell r="CJ174">
            <v>2</v>
          </cell>
          <cell r="CK174">
            <v>2</v>
          </cell>
          <cell r="CL174">
            <v>2</v>
          </cell>
          <cell r="CM174">
            <v>2</v>
          </cell>
        </row>
        <row r="175">
          <cell r="CH175" t="str">
            <v xml:space="preserve">_____ </v>
          </cell>
          <cell r="CI175" t="str">
            <v xml:space="preserve">_____ </v>
          </cell>
          <cell r="CJ175" t="str">
            <v xml:space="preserve">_____ </v>
          </cell>
          <cell r="CK175" t="str">
            <v xml:space="preserve">_____ </v>
          </cell>
          <cell r="CL175" t="str">
            <v xml:space="preserve">_____ </v>
          </cell>
          <cell r="CM175" t="str">
            <v xml:space="preserve">_____ </v>
          </cell>
        </row>
        <row r="176">
          <cell r="CG176" t="str">
            <v>Total Expenses</v>
          </cell>
          <cell r="CH176">
            <v>15.335000000000001</v>
          </cell>
          <cell r="CI176">
            <v>15.335000000000001</v>
          </cell>
          <cell r="CJ176">
            <v>15.335000000000001</v>
          </cell>
          <cell r="CK176">
            <v>15.335000000000001</v>
          </cell>
          <cell r="CL176">
            <v>15.335000000000001</v>
          </cell>
          <cell r="CM176">
            <v>15.335000000000001</v>
          </cell>
        </row>
        <row r="178">
          <cell r="CG178" t="str">
            <v>EBITDA</v>
          </cell>
          <cell r="CH178">
            <v>5.1649999999999991</v>
          </cell>
          <cell r="CI178">
            <v>4.1649999999999991</v>
          </cell>
          <cell r="CJ178">
            <v>3.1649999999999991</v>
          </cell>
          <cell r="CK178">
            <v>2.1649999999999991</v>
          </cell>
          <cell r="CL178">
            <v>1.1649999999999991</v>
          </cell>
          <cell r="CM178">
            <v>0.16499999999999559</v>
          </cell>
        </row>
        <row r="179">
          <cell r="CG179" t="str">
            <v xml:space="preserve">  Margin</v>
          </cell>
          <cell r="CH179">
            <v>0.25195121951219507</v>
          </cell>
          <cell r="CI179">
            <v>0.21358974358974356</v>
          </cell>
          <cell r="CJ179">
            <v>0.17108108108108103</v>
          </cell>
          <cell r="CK179">
            <v>0.12371428571428567</v>
          </cell>
          <cell r="CL179">
            <v>7.0606060606060561E-2</v>
          </cell>
          <cell r="CM179">
            <v>1.0645161290322299E-2</v>
          </cell>
        </row>
        <row r="180">
          <cell r="CN180" t="str">
            <v>Key economic statistics</v>
          </cell>
        </row>
        <row r="181">
          <cell r="CO181">
            <v>2002</v>
          </cell>
          <cell r="CP181">
            <v>2003</v>
          </cell>
          <cell r="CQ181">
            <v>2004</v>
          </cell>
          <cell r="CR181">
            <v>2005</v>
          </cell>
        </row>
        <row r="183">
          <cell r="CN183" t="str">
            <v>National Accounts ($mm)</v>
          </cell>
        </row>
        <row r="184">
          <cell r="CN184" t="str">
            <v>GDP</v>
          </cell>
          <cell r="CO184">
            <v>6854.6131571655751</v>
          </cell>
          <cell r="CP184">
            <v>7935.6799084544746</v>
          </cell>
          <cell r="CQ184">
            <v>10341.427496691658</v>
          </cell>
          <cell r="CR184">
            <v>11557.711331616067</v>
          </cell>
        </row>
        <row r="185">
          <cell r="CN185" t="str">
            <v xml:space="preserve">  per Capita (US$)</v>
          </cell>
          <cell r="CO185">
            <v>15522.221823291611</v>
          </cell>
          <cell r="CP185">
            <v>17693.823653187232</v>
          </cell>
          <cell r="CQ185">
            <v>22223.713978358846</v>
          </cell>
          <cell r="CR185">
            <v>23678.982445433448</v>
          </cell>
        </row>
        <row r="187">
          <cell r="CN187" t="str">
            <v>Imports</v>
          </cell>
          <cell r="CO187">
            <v>4368.1363640185109</v>
          </cell>
          <cell r="CP187">
            <v>4859.5650665725107</v>
          </cell>
          <cell r="CQ187">
            <v>6026.0472981240991</v>
          </cell>
          <cell r="CR187">
            <v>6810.3582896180096</v>
          </cell>
        </row>
        <row r="188">
          <cell r="CN188" t="str">
            <v>Exports</v>
          </cell>
          <cell r="CO188">
            <v>7148.1193288764835</v>
          </cell>
          <cell r="CP188">
            <v>8200.9809797102116</v>
          </cell>
          <cell r="CQ188">
            <v>10887.088945279127</v>
          </cell>
          <cell r="CR188">
            <v>11112.352152157848</v>
          </cell>
        </row>
        <row r="189">
          <cell r="CN189" t="str">
            <v xml:space="preserve">  Gaming Exports</v>
          </cell>
          <cell r="CO189">
            <v>2898.5192774708762</v>
          </cell>
          <cell r="CP189">
            <v>3731.9247650699435</v>
          </cell>
          <cell r="CQ189">
            <v>5364.4769010373138</v>
          </cell>
          <cell r="CR189">
            <v>5779.8238138162442</v>
          </cell>
        </row>
        <row r="191">
          <cell r="CN191" t="str">
            <v>Employment (thousands)</v>
          </cell>
        </row>
        <row r="193">
          <cell r="CN193" t="str">
            <v>Population</v>
          </cell>
          <cell r="CO193">
            <v>441.6</v>
          </cell>
          <cell r="CP193">
            <v>448.5</v>
          </cell>
          <cell r="CQ193">
            <v>465.33300000000003</v>
          </cell>
          <cell r="CR193">
            <v>488.1</v>
          </cell>
        </row>
        <row r="194">
          <cell r="CN194" t="str">
            <v>Unemployment Rate</v>
          </cell>
          <cell r="CO194">
            <v>6.275E-2</v>
          </cell>
          <cell r="CP194">
            <v>6.0249999999999998E-2</v>
          </cell>
          <cell r="CQ194">
            <v>4.8250000000000001E-2</v>
          </cell>
          <cell r="CR194">
            <v>4.1000000000000002E-2</v>
          </cell>
        </row>
        <row r="196">
          <cell r="CN196" t="str">
            <v>Total Employment</v>
          </cell>
          <cell r="CO196">
            <v>200.6</v>
          </cell>
          <cell r="CP196">
            <v>202.6</v>
          </cell>
          <cell r="CQ196">
            <v>217.97499999999999</v>
          </cell>
          <cell r="CR196">
            <v>237.8</v>
          </cell>
        </row>
        <row r="197">
          <cell r="CN197" t="str">
            <v xml:space="preserve">  Gaming Employees</v>
          </cell>
          <cell r="CO197" t="str">
            <v>NA</v>
          </cell>
          <cell r="CP197" t="str">
            <v>NA</v>
          </cell>
          <cell r="CQ197">
            <v>24.486499999999999</v>
          </cell>
          <cell r="CR197">
            <v>30.371499999999997</v>
          </cell>
        </row>
        <row r="198">
          <cell r="CN198" t="str">
            <v xml:space="preserve">  Hotel Employees</v>
          </cell>
          <cell r="CO198">
            <v>6.203125</v>
          </cell>
          <cell r="CP198">
            <v>6.4450000000000003</v>
          </cell>
          <cell r="CQ198">
            <v>7.4593749999999996</v>
          </cell>
          <cell r="CR198">
            <v>9.004249999999999</v>
          </cell>
        </row>
        <row r="199">
          <cell r="CN199" t="str">
            <v xml:space="preserve">  Construction Employees</v>
          </cell>
          <cell r="CO199" t="str">
            <v>NA</v>
          </cell>
          <cell r="CP199" t="str">
            <v>NA</v>
          </cell>
          <cell r="CQ199">
            <v>18.100000000000001</v>
          </cell>
          <cell r="CR199">
            <v>23.2</v>
          </cell>
        </row>
        <row r="201">
          <cell r="CN201" t="str">
            <v>Resident Employment</v>
          </cell>
          <cell r="CO201">
            <v>177.1</v>
          </cell>
          <cell r="CP201">
            <v>177.63</v>
          </cell>
          <cell r="CQ201">
            <v>190.239</v>
          </cell>
          <cell r="CR201">
            <v>198.38900000000001</v>
          </cell>
        </row>
        <row r="202">
          <cell r="CN202" t="str">
            <v>Non-resident Employment</v>
          </cell>
          <cell r="CO202">
            <v>23.5</v>
          </cell>
          <cell r="CP202">
            <v>24.97</v>
          </cell>
          <cell r="CQ202">
            <v>27.736000000000001</v>
          </cell>
          <cell r="CR202">
            <v>39.411000000000001</v>
          </cell>
        </row>
        <row r="204">
          <cell r="CS204" t="str">
            <v>Mass Market Revenue forecast</v>
          </cell>
        </row>
        <row r="205">
          <cell r="CS205" t="str">
            <v>($mm)</v>
          </cell>
          <cell r="CT205">
            <v>2005</v>
          </cell>
          <cell r="CU205" t="str">
            <v>2006E</v>
          </cell>
          <cell r="CV205" t="str">
            <v>2007E</v>
          </cell>
          <cell r="CW205" t="str">
            <v>2008E</v>
          </cell>
          <cell r="CX205" t="str">
            <v>2009E</v>
          </cell>
          <cell r="CY205" t="str">
            <v>2010E</v>
          </cell>
        </row>
        <row r="207">
          <cell r="CS207" t="str">
            <v>Visitor Volume (A)</v>
          </cell>
          <cell r="CT207">
            <v>18.711186999999999</v>
          </cell>
          <cell r="CU207">
            <v>21.998122000000002</v>
          </cell>
          <cell r="CV207">
            <v>26.853211459144823</v>
          </cell>
          <cell r="CW207">
            <v>31.112956369452657</v>
          </cell>
          <cell r="CX207">
            <v>35.938386716715485</v>
          </cell>
          <cell r="CY207">
            <v>41.464358695646425</v>
          </cell>
        </row>
        <row r="208">
          <cell r="CS208" t="str">
            <v xml:space="preserve">  Year-over-Year growth</v>
          </cell>
          <cell r="CT208">
            <v>0.12227465302860563</v>
          </cell>
          <cell r="CU208">
            <v>0.17566683503296732</v>
          </cell>
          <cell r="CV208">
            <v>0.22070472466444269</v>
          </cell>
          <cell r="CW208">
            <v>0.15863074391637366</v>
          </cell>
          <cell r="CX208">
            <v>0.15509391939367534</v>
          </cell>
          <cell r="CY208">
            <v>0.15376238289407484</v>
          </cell>
        </row>
        <row r="210">
          <cell r="CS210" t="str">
            <v>Avg Days Stayed (B)</v>
          </cell>
          <cell r="CT210">
            <v>1.3898108575367241</v>
          </cell>
          <cell r="CU210">
            <v>1.3857101947157124</v>
          </cell>
          <cell r="CV210">
            <v>1.409808216231297</v>
          </cell>
          <cell r="CW210">
            <v>1.4591658339019791</v>
          </cell>
          <cell r="CX210">
            <v>1.5834259669277251</v>
          </cell>
          <cell r="CY210">
            <v>1.6892403375063489</v>
          </cell>
        </row>
        <row r="211">
          <cell r="CS211" t="str">
            <v xml:space="preserve">  Year-over-Year growth</v>
          </cell>
          <cell r="CT211">
            <v>-1.4182455828152141E-2</v>
          </cell>
          <cell r="CU211">
            <v>-2.9505186254477067E-3</v>
          </cell>
          <cell r="CV211">
            <v>1.7390376146094955E-2</v>
          </cell>
          <cell r="CW211">
            <v>3.5010164575877578E-2</v>
          </cell>
          <cell r="CX211">
            <v>8.5158335083449721E-2</v>
          </cell>
          <cell r="CY211">
            <v>6.6826219089947347E-2</v>
          </cell>
        </row>
        <row r="213">
          <cell r="CS213" t="str">
            <v xml:space="preserve">Revenue / Visitor / Day (C) </v>
          </cell>
          <cell r="CT213">
            <v>80.18516483394032</v>
          </cell>
          <cell r="CU213">
            <v>79.064573135614836</v>
          </cell>
          <cell r="CV213">
            <v>83.640320959777029</v>
          </cell>
          <cell r="CW213">
            <v>87.822337007765881</v>
          </cell>
          <cell r="CX213">
            <v>90.457007117998856</v>
          </cell>
          <cell r="CY213">
            <v>90.457007117998856</v>
          </cell>
        </row>
        <row r="214">
          <cell r="CS214" t="str">
            <v xml:space="preserve">  Year-over-Year growth</v>
          </cell>
          <cell r="CT214">
            <v>0.34093252755210868</v>
          </cell>
          <cell r="CU214">
            <v>-1.3975050131108113E-2</v>
          </cell>
          <cell r="CV214">
            <v>5.7873553763626573E-2</v>
          </cell>
          <cell r="CW214">
            <v>0.05</v>
          </cell>
          <cell r="CX214">
            <v>0.03</v>
          </cell>
          <cell r="CY214">
            <v>0</v>
          </cell>
        </row>
        <row r="216">
          <cell r="CS216" t="str">
            <v>Mass Market Revenue (A x B x C)</v>
          </cell>
          <cell r="CT216">
            <v>2085.2160815156567</v>
          </cell>
          <cell r="CU216">
            <v>2410.12711598839</v>
          </cell>
          <cell r="CV216">
            <v>3166.4450790961996</v>
          </cell>
          <cell r="CW216">
            <v>3987.0430218892116</v>
          </cell>
          <cell r="CX216">
            <v>5147.5260704163238</v>
          </cell>
          <cell r="CY216">
            <v>6335.90432669035</v>
          </cell>
        </row>
        <row r="217">
          <cell r="CS217" t="str">
            <v xml:space="preserve">  Year-over-Year growth</v>
          </cell>
          <cell r="CT217">
            <v>0.48355148608583787</v>
          </cell>
          <cell r="CU217">
            <v>0.15581648221155531</v>
          </cell>
          <cell r="CV217">
            <v>0.31380832906717648</v>
          </cell>
          <cell r="CW217">
            <v>0.25915432679073525</v>
          </cell>
          <cell r="CX217">
            <v>0.29106358826728473</v>
          </cell>
          <cell r="CY217">
            <v>0.23086396067109427</v>
          </cell>
        </row>
        <row r="219">
          <cell r="CS219" t="str">
            <v>Mass Market Share of Total</v>
          </cell>
          <cell r="CT219">
            <v>0.37349037544644492</v>
          </cell>
          <cell r="CU219">
            <v>0.35069560036507452</v>
          </cell>
          <cell r="CV219">
            <v>0.36348667395584033</v>
          </cell>
          <cell r="CW219">
            <v>0.39968364377605536</v>
          </cell>
          <cell r="CX219">
            <v>0.44779446596362921</v>
          </cell>
          <cell r="CY219">
            <v>0.48972885544362743</v>
          </cell>
        </row>
        <row r="221">
          <cell r="CS221" t="str">
            <v>check</v>
          </cell>
          <cell r="CT221">
            <v>0</v>
          </cell>
          <cell r="CU221">
            <v>0</v>
          </cell>
          <cell r="CV221">
            <v>0</v>
          </cell>
          <cell r="CW221">
            <v>0</v>
          </cell>
          <cell r="CX221">
            <v>0</v>
          </cell>
          <cell r="CY221">
            <v>0</v>
          </cell>
        </row>
        <row r="222">
          <cell r="CZ222" t="str">
            <v>VIP Revenue forecast</v>
          </cell>
        </row>
        <row r="223">
          <cell r="CZ223" t="str">
            <v>($mm)</v>
          </cell>
          <cell r="DA223">
            <v>2004</v>
          </cell>
          <cell r="DB223">
            <v>2005</v>
          </cell>
          <cell r="DC223" t="str">
            <v>2006E</v>
          </cell>
          <cell r="DD223" t="str">
            <v>2007E</v>
          </cell>
          <cell r="DE223" t="str">
            <v>2008E</v>
          </cell>
          <cell r="DF223" t="str">
            <v>2009E</v>
          </cell>
          <cell r="DG223" t="str">
            <v>2010E</v>
          </cell>
        </row>
        <row r="225">
          <cell r="CZ225" t="str">
            <v>VIP Revenue</v>
          </cell>
          <cell r="DA225">
            <v>3607.0036807892443</v>
          </cell>
          <cell r="DB225">
            <v>3497.8356344037484</v>
          </cell>
          <cell r="DC225">
            <v>4462.2919091703079</v>
          </cell>
          <cell r="DD225">
            <v>5544.8648697270928</v>
          </cell>
          <cell r="DE225">
            <v>5988.4540593052607</v>
          </cell>
          <cell r="DF225">
            <v>6347.7613028635769</v>
          </cell>
          <cell r="DG225">
            <v>6601.6717549781206</v>
          </cell>
        </row>
        <row r="226">
          <cell r="CZ226" t="str">
            <v xml:space="preserve">  Year-over-Year growth</v>
          </cell>
          <cell r="DA226">
            <v>0.34146712387319189</v>
          </cell>
          <cell r="DB226">
            <v>-3.0265576652145021E-2</v>
          </cell>
          <cell r="DC226">
            <v>0.27572944402545185</v>
          </cell>
          <cell r="DD226">
            <v>0.24260469341596069</v>
          </cell>
          <cell r="DE226">
            <v>0.08</v>
          </cell>
          <cell r="DF226">
            <v>0.06</v>
          </cell>
          <cell r="DG226">
            <v>3.9999999999999994E-2</v>
          </cell>
        </row>
        <row r="228">
          <cell r="CZ228" t="str">
            <v>VIP Share of Total</v>
          </cell>
          <cell r="DA228">
            <v>0.71959302966741678</v>
          </cell>
          <cell r="DB228">
            <v>0.6265096245535553</v>
          </cell>
          <cell r="DC228">
            <v>0.64930439963492537</v>
          </cell>
          <cell r="DD228">
            <v>0.63651332604415989</v>
          </cell>
          <cell r="DE228">
            <v>0.60031635622394453</v>
          </cell>
          <cell r="DF228">
            <v>0.55220553403637074</v>
          </cell>
          <cell r="DG228">
            <v>0.51027114455637257</v>
          </cell>
        </row>
        <row r="230">
          <cell r="DH230" t="str">
            <v>Mass Market market shares</v>
          </cell>
        </row>
        <row r="231">
          <cell r="DI231">
            <v>2005</v>
          </cell>
          <cell r="DJ231" t="str">
            <v>2006E</v>
          </cell>
          <cell r="DK231" t="str">
            <v>2007E</v>
          </cell>
          <cell r="DL231" t="str">
            <v>2008E</v>
          </cell>
          <cell r="DM231" t="str">
            <v>2009E</v>
          </cell>
          <cell r="DN231" t="str">
            <v>2010E</v>
          </cell>
        </row>
        <row r="233">
          <cell r="DH233" t="str">
            <v>Sands Macao</v>
          </cell>
          <cell r="DI233">
            <v>0.34588086116991928</v>
          </cell>
          <cell r="DJ233">
            <v>0.35498371240437149</v>
          </cell>
          <cell r="DK233">
            <v>0.228694873391485</v>
          </cell>
          <cell r="DL233">
            <v>0.16410273156577451</v>
          </cell>
          <cell r="DM233">
            <v>0.10996424984008536</v>
          </cell>
          <cell r="DN233">
            <v>8.8708320238230498E-2</v>
          </cell>
        </row>
        <row r="234">
          <cell r="DH234" t="str">
            <v>Venetian Macao</v>
          </cell>
          <cell r="DK234">
            <v>9.7125563095070658E-2</v>
          </cell>
          <cell r="DL234">
            <v>0.17602135083589143</v>
          </cell>
          <cell r="DM234">
            <v>0.12356755155694032</v>
          </cell>
          <cell r="DN234">
            <v>9.9682123512939425E-2</v>
          </cell>
        </row>
        <row r="235">
          <cell r="DH235" t="str">
            <v>LVS Cotai Strip, non-Venetian</v>
          </cell>
          <cell r="DL235">
            <v>8.7605096268554269E-2</v>
          </cell>
          <cell r="DM235">
            <v>0.1684181639591753</v>
          </cell>
          <cell r="DN235">
            <v>0.1841756341201316</v>
          </cell>
        </row>
        <row r="236">
          <cell r="DH236" t="str">
            <v>Wynn Macau</v>
          </cell>
          <cell r="DJ236">
            <v>5.3355499445208295E-2</v>
          </cell>
          <cell r="DK236">
            <v>0.16743861775519664</v>
          </cell>
          <cell r="DL236">
            <v>0.14350291592468326</v>
          </cell>
          <cell r="DM236">
            <v>0.10729480420038999</v>
          </cell>
          <cell r="DN236">
            <v>8.7371429979581888E-2</v>
          </cell>
        </row>
        <row r="237">
          <cell r="DH237" t="str">
            <v>Wynn Cotai</v>
          </cell>
          <cell r="DN237">
            <v>5.8464588570638965E-2</v>
          </cell>
        </row>
        <row r="238">
          <cell r="DH238" t="str">
            <v>MGM Grand</v>
          </cell>
          <cell r="DK238">
            <v>2.5948781820280369E-2</v>
          </cell>
          <cell r="DL238">
            <v>0.11481134560973306</v>
          </cell>
          <cell r="DM238">
            <v>8.5482655167983035E-2</v>
          </cell>
          <cell r="DN238">
            <v>6.8958982219068654E-2</v>
          </cell>
        </row>
        <row r="239">
          <cell r="DH239" t="str">
            <v>Other</v>
          </cell>
          <cell r="DI239">
            <v>0.65411913883008077</v>
          </cell>
          <cell r="DJ239">
            <v>0.59166078815042022</v>
          </cell>
          <cell r="DK239">
            <v>0.48079216393796742</v>
          </cell>
          <cell r="DL239">
            <v>0.31395655979536363</v>
          </cell>
          <cell r="DM239">
            <v>0.40527257527542576</v>
          </cell>
          <cell r="DN239">
            <v>0.35417433278877003</v>
          </cell>
        </row>
        <row r="240">
          <cell r="DI240" t="str">
            <v>______</v>
          </cell>
          <cell r="DJ240" t="str">
            <v>______</v>
          </cell>
          <cell r="DK240" t="str">
            <v>______</v>
          </cell>
          <cell r="DL240" t="str">
            <v>______</v>
          </cell>
          <cell r="DM240" t="str">
            <v>______</v>
          </cell>
          <cell r="DN240" t="str">
            <v>______</v>
          </cell>
        </row>
        <row r="241">
          <cell r="DH241" t="str">
            <v>Total</v>
          </cell>
          <cell r="DI241">
            <v>1</v>
          </cell>
          <cell r="DJ241">
            <v>1</v>
          </cell>
          <cell r="DK241">
            <v>1</v>
          </cell>
          <cell r="DL241">
            <v>1</v>
          </cell>
          <cell r="DM241">
            <v>0.99999999999999978</v>
          </cell>
          <cell r="DN241">
            <v>0.94153541142936104</v>
          </cell>
        </row>
        <row r="243">
          <cell r="DO243" t="str">
            <v>VIP revenue and market shares</v>
          </cell>
        </row>
        <row r="244">
          <cell r="DP244">
            <v>2005</v>
          </cell>
          <cell r="DQ244" t="str">
            <v>2006E</v>
          </cell>
          <cell r="DR244" t="str">
            <v>2007E</v>
          </cell>
          <cell r="DS244" t="str">
            <v>2008E</v>
          </cell>
          <cell r="DT244" t="str">
            <v>2009E</v>
          </cell>
          <cell r="DU244" t="str">
            <v>2010E</v>
          </cell>
        </row>
        <row r="246">
          <cell r="DO246" t="str">
            <v>VIP Revenue</v>
          </cell>
        </row>
        <row r="247">
          <cell r="DO247" t="str">
            <v>Sands Macao</v>
          </cell>
          <cell r="DP247">
            <v>241.00369999999998</v>
          </cell>
          <cell r="DQ247">
            <v>542.87</v>
          </cell>
          <cell r="DR247">
            <v>534.36095940395705</v>
          </cell>
          <cell r="DS247">
            <v>359.30724355831563</v>
          </cell>
          <cell r="DT247">
            <v>317.38806514317889</v>
          </cell>
          <cell r="DU247">
            <v>264.06687019912482</v>
          </cell>
        </row>
        <row r="248">
          <cell r="DO248" t="str">
            <v>Venetian Macao</v>
          </cell>
          <cell r="DR248">
            <v>338.17951756676723</v>
          </cell>
          <cell r="DS248">
            <v>778.4990277096839</v>
          </cell>
          <cell r="DT248">
            <v>888.68658240090087</v>
          </cell>
          <cell r="DU248">
            <v>726.18389304759341</v>
          </cell>
        </row>
        <row r="249">
          <cell r="DO249" t="str">
            <v>LVS Cotai Strip</v>
          </cell>
          <cell r="DS249">
            <v>179.65362177915785</v>
          </cell>
          <cell r="DT249">
            <v>406.25672338326893</v>
          </cell>
          <cell r="DU249">
            <v>580.94711443807455</v>
          </cell>
        </row>
        <row r="250">
          <cell r="DO250" t="str">
            <v>Wynn Macau</v>
          </cell>
          <cell r="DQ250">
            <v>199.35</v>
          </cell>
          <cell r="DR250">
            <v>637.96180045470976</v>
          </cell>
          <cell r="DS250">
            <v>569.2296633049815</v>
          </cell>
          <cell r="DT250">
            <v>666.86105613191614</v>
          </cell>
          <cell r="DU250">
            <v>495.48534572784922</v>
          </cell>
        </row>
        <row r="251">
          <cell r="DO251" t="str">
            <v>Wynn Cotai</v>
          </cell>
          <cell r="DU251">
            <v>264.06687019912482</v>
          </cell>
        </row>
        <row r="252">
          <cell r="DO252" t="str">
            <v>MGM Grand</v>
          </cell>
          <cell r="DR252">
            <v>75.407061847509823</v>
          </cell>
          <cell r="DS252">
            <v>538.96086533747348</v>
          </cell>
          <cell r="DT252">
            <v>507.82090422908618</v>
          </cell>
          <cell r="DU252">
            <v>528.13374039824964</v>
          </cell>
        </row>
        <row r="253">
          <cell r="DO253" t="str">
            <v>Other</v>
          </cell>
          <cell r="DP253">
            <v>3256.8319344037482</v>
          </cell>
          <cell r="DQ253">
            <v>3720.0719091703086</v>
          </cell>
          <cell r="DR253">
            <v>3958.9555304541482</v>
          </cell>
          <cell r="DS253">
            <v>3562.8036376156483</v>
          </cell>
          <cell r="DT253">
            <v>3560.7479715752261</v>
          </cell>
          <cell r="DU253">
            <v>3478.7210507689792</v>
          </cell>
        </row>
        <row r="254">
          <cell r="DP254" t="str">
            <v>______</v>
          </cell>
          <cell r="DQ254" t="str">
            <v>______</v>
          </cell>
          <cell r="DR254" t="str">
            <v>______</v>
          </cell>
          <cell r="DS254" t="str">
            <v>______</v>
          </cell>
          <cell r="DT254" t="str">
            <v>______</v>
          </cell>
          <cell r="DU254" t="str">
            <v>______</v>
          </cell>
        </row>
        <row r="255">
          <cell r="DO255" t="str">
            <v>Total</v>
          </cell>
          <cell r="DP255">
            <v>3497.8356344037484</v>
          </cell>
          <cell r="DQ255">
            <v>4462.2919091703088</v>
          </cell>
          <cell r="DR255">
            <v>5544.8648697270919</v>
          </cell>
          <cell r="DS255">
            <v>5988.4540593052607</v>
          </cell>
          <cell r="DT255">
            <v>6347.7613028635769</v>
          </cell>
          <cell r="DU255">
            <v>6337.6048847789953</v>
          </cell>
        </row>
        <row r="257">
          <cell r="DO257" t="str">
            <v>VIP Market Share</v>
          </cell>
        </row>
        <row r="258">
          <cell r="DO258" t="str">
            <v>Sands Macao</v>
          </cell>
          <cell r="DP258">
            <v>6.8900807582138485E-2</v>
          </cell>
          <cell r="DQ258">
            <v>0.12165721361356163</v>
          </cell>
          <cell r="DR258">
            <v>9.6370420552783886E-2</v>
          </cell>
          <cell r="DS258">
            <v>0.06</v>
          </cell>
          <cell r="DT258">
            <v>0.05</v>
          </cell>
          <cell r="DU258">
            <v>0.04</v>
          </cell>
        </row>
        <row r="259">
          <cell r="DO259" t="str">
            <v>Venetian Macao</v>
          </cell>
          <cell r="DR259">
            <v>6.0989677027676929E-2</v>
          </cell>
          <cell r="DS259">
            <v>0.13</v>
          </cell>
          <cell r="DT259">
            <v>0.14000000000000001</v>
          </cell>
          <cell r="DU259">
            <v>0.11000000000000001</v>
          </cell>
        </row>
        <row r="260">
          <cell r="DO260" t="str">
            <v>LVS Cotai Strip</v>
          </cell>
          <cell r="DS260">
            <v>3.0000000000000002E-2</v>
          </cell>
          <cell r="DT260">
            <v>6.4000000000000001E-2</v>
          </cell>
          <cell r="DU260">
            <v>8.7999999999999995E-2</v>
          </cell>
        </row>
        <row r="261">
          <cell r="DO261" t="str">
            <v>Wynn Macau</v>
          </cell>
          <cell r="DQ261">
            <v>4.4674352117198425E-2</v>
          </cell>
          <cell r="DR261">
            <v>0.11505452620455096</v>
          </cell>
          <cell r="DS261">
            <v>9.505452620455096E-2</v>
          </cell>
          <cell r="DT261">
            <v>0.10505452620455095</v>
          </cell>
          <cell r="DU261">
            <v>7.5054526204550956E-2</v>
          </cell>
        </row>
        <row r="262">
          <cell r="DO262" t="str">
            <v>Wynn Cotai</v>
          </cell>
          <cell r="DU262">
            <v>0.04</v>
          </cell>
        </row>
        <row r="263">
          <cell r="DO263" t="str">
            <v>MGM Grand</v>
          </cell>
          <cell r="DR263">
            <v>1.3599440855484946E-2</v>
          </cell>
          <cell r="DS263">
            <v>0.09</v>
          </cell>
          <cell r="DT263">
            <v>0.08</v>
          </cell>
          <cell r="DU263">
            <v>0.08</v>
          </cell>
        </row>
        <row r="264">
          <cell r="DO264" t="str">
            <v>Other</v>
          </cell>
          <cell r="DP264">
            <v>0.93109919241786143</v>
          </cell>
          <cell r="DQ264">
            <v>0.83366843426923987</v>
          </cell>
          <cell r="DR264">
            <v>0.71398593535950328</v>
          </cell>
          <cell r="DS264">
            <v>0.59494547379544904</v>
          </cell>
          <cell r="DT264">
            <v>0.56094547379544901</v>
          </cell>
          <cell r="DU264">
            <v>0.52694547379544898</v>
          </cell>
        </row>
        <row r="265">
          <cell r="DP265" t="str">
            <v>______</v>
          </cell>
          <cell r="DQ265" t="str">
            <v>______</v>
          </cell>
          <cell r="DR265" t="str">
            <v>______</v>
          </cell>
          <cell r="DS265" t="str">
            <v>______</v>
          </cell>
          <cell r="DT265" t="str">
            <v>______</v>
          </cell>
          <cell r="DU265" t="str">
            <v>______</v>
          </cell>
        </row>
        <row r="266">
          <cell r="DO266" t="str">
            <v>Total</v>
          </cell>
          <cell r="DP266">
            <v>0.99999999999999989</v>
          </cell>
          <cell r="DQ266">
            <v>0.99999999999999989</v>
          </cell>
          <cell r="DR266">
            <v>1</v>
          </cell>
          <cell r="DS266">
            <v>1</v>
          </cell>
          <cell r="DT266">
            <v>1</v>
          </cell>
          <cell r="DU266">
            <v>0.96</v>
          </cell>
        </row>
        <row r="268">
          <cell r="DO268" t="str">
            <v>Check</v>
          </cell>
          <cell r="DP268">
            <v>0</v>
          </cell>
          <cell r="DQ268">
            <v>0</v>
          </cell>
          <cell r="DR268">
            <v>0</v>
          </cell>
          <cell r="DS268">
            <v>0</v>
          </cell>
          <cell r="DT268">
            <v>0</v>
          </cell>
          <cell r="DU268">
            <v>264.06687019912533</v>
          </cell>
        </row>
        <row r="269">
          <cell r="DV269" t="str">
            <v>US operator revenue summary</v>
          </cell>
        </row>
        <row r="270">
          <cell r="DW270">
            <v>2005</v>
          </cell>
          <cell r="DX270" t="str">
            <v>2006E</v>
          </cell>
          <cell r="DY270" t="str">
            <v>2007E</v>
          </cell>
          <cell r="DZ270" t="str">
            <v>2008E</v>
          </cell>
          <cell r="EA270" t="str">
            <v>2009E</v>
          </cell>
          <cell r="EB270" t="str">
            <v>2010E</v>
          </cell>
        </row>
        <row r="272">
          <cell r="DV272" t="str">
            <v>Sands Macao</v>
          </cell>
        </row>
        <row r="273">
          <cell r="DV273" t="str">
            <v>Mass Market Revenue</v>
          </cell>
          <cell r="DW273">
            <v>721.23633399999994</v>
          </cell>
          <cell r="DX273">
            <v>855.55587099999991</v>
          </cell>
          <cell r="DY273">
            <v>724.14975646499602</v>
          </cell>
          <cell r="DZ273">
            <v>654.28465076227974</v>
          </cell>
          <cell r="EA273">
            <v>566.04384286561344</v>
          </cell>
          <cell r="EB273">
            <v>562.04743001083773</v>
          </cell>
        </row>
        <row r="274">
          <cell r="DV274" t="str">
            <v>VIP Revenue</v>
          </cell>
          <cell r="DW274">
            <v>241.00369999999998</v>
          </cell>
          <cell r="DX274">
            <v>542.87</v>
          </cell>
          <cell r="DY274">
            <v>534.36095940395705</v>
          </cell>
          <cell r="DZ274">
            <v>359.30724355831563</v>
          </cell>
          <cell r="EA274">
            <v>317.38806514317889</v>
          </cell>
          <cell r="EB274">
            <v>264.06687019912482</v>
          </cell>
        </row>
        <row r="275">
          <cell r="DV275" t="str">
            <v>Total Revenue</v>
          </cell>
          <cell r="DW275">
            <v>962.24003399999992</v>
          </cell>
          <cell r="DX275">
            <v>1398.4258709999999</v>
          </cell>
          <cell r="DY275">
            <v>1258.510715868953</v>
          </cell>
          <cell r="DZ275">
            <v>1013.5918943205954</v>
          </cell>
          <cell r="EA275">
            <v>883.43190800879233</v>
          </cell>
          <cell r="EB275">
            <v>826.11430020996249</v>
          </cell>
        </row>
        <row r="277">
          <cell r="DV277" t="str">
            <v>Venetian Macao</v>
          </cell>
        </row>
        <row r="278">
          <cell r="DV278" t="str">
            <v>Mass Market Revenue</v>
          </cell>
          <cell r="DW278">
            <v>0</v>
          </cell>
          <cell r="DX278">
            <v>0</v>
          </cell>
          <cell r="DY278">
            <v>307.54276131683389</v>
          </cell>
          <cell r="DZ278">
            <v>701.80469855375372</v>
          </cell>
          <cell r="EA278">
            <v>636.06719309686355</v>
          </cell>
          <cell r="EB278">
            <v>631.57639765931481</v>
          </cell>
        </row>
        <row r="279">
          <cell r="DV279" t="str">
            <v>VIP Revenue</v>
          </cell>
          <cell r="DW279">
            <v>0</v>
          </cell>
          <cell r="DX279">
            <v>0</v>
          </cell>
          <cell r="DY279">
            <v>338.17951756676723</v>
          </cell>
          <cell r="DZ279">
            <v>778.4990277096839</v>
          </cell>
          <cell r="EA279">
            <v>888.68658240090087</v>
          </cell>
          <cell r="EB279">
            <v>726.18389304759341</v>
          </cell>
        </row>
        <row r="280">
          <cell r="DV280" t="str">
            <v>Total Revenue</v>
          </cell>
          <cell r="DW280">
            <v>0</v>
          </cell>
          <cell r="DX280">
            <v>0</v>
          </cell>
          <cell r="DY280">
            <v>645.72227888360112</v>
          </cell>
          <cell r="DZ280">
            <v>1480.3037262634375</v>
          </cell>
          <cell r="EA280">
            <v>1524.7537754977643</v>
          </cell>
          <cell r="EB280">
            <v>1357.7602907069081</v>
          </cell>
        </row>
        <row r="282">
          <cell r="DV282" t="str">
            <v>LVS Cotai Strip</v>
          </cell>
        </row>
        <row r="283">
          <cell r="DV283" t="str">
            <v>Mass Market Revenue</v>
          </cell>
          <cell r="DW283">
            <v>0</v>
          </cell>
          <cell r="DX283">
            <v>0</v>
          </cell>
          <cell r="DY283">
            <v>0</v>
          </cell>
          <cell r="DZ283">
            <v>349.28528775947194</v>
          </cell>
          <cell r="EA283">
            <v>866.93688971150573</v>
          </cell>
          <cell r="EB283">
            <v>1166.9191970926806</v>
          </cell>
        </row>
        <row r="284">
          <cell r="DV284" t="str">
            <v>VIP Revenue</v>
          </cell>
          <cell r="DW284">
            <v>0</v>
          </cell>
          <cell r="DX284">
            <v>0</v>
          </cell>
          <cell r="DY284">
            <v>0</v>
          </cell>
          <cell r="DZ284">
            <v>179.65362177915785</v>
          </cell>
          <cell r="EA284">
            <v>406.25672338326893</v>
          </cell>
          <cell r="EB284">
            <v>580.94711443807455</v>
          </cell>
        </row>
        <row r="285">
          <cell r="DV285" t="str">
            <v>Total Revenue</v>
          </cell>
          <cell r="DW285">
            <v>0</v>
          </cell>
          <cell r="DX285">
            <v>0</v>
          </cell>
          <cell r="DY285">
            <v>0</v>
          </cell>
          <cell r="DZ285">
            <v>528.93890953862979</v>
          </cell>
          <cell r="EA285">
            <v>1273.1936130947747</v>
          </cell>
          <cell r="EB285">
            <v>1747.8663115307552</v>
          </cell>
        </row>
        <row r="287">
          <cell r="DV287" t="str">
            <v>Wynn Macau</v>
          </cell>
        </row>
        <row r="288">
          <cell r="DV288" t="str">
            <v>Mass Market Revenue</v>
          </cell>
          <cell r="DW288">
            <v>0</v>
          </cell>
          <cell r="DX288">
            <v>128.593536</v>
          </cell>
          <cell r="DY288">
            <v>530.18518724161186</v>
          </cell>
          <cell r="DZ288">
            <v>572.1522995582626</v>
          </cell>
          <cell r="EA288">
            <v>552.30280184172238</v>
          </cell>
          <cell r="EB288">
            <v>553.57702123675585</v>
          </cell>
        </row>
        <row r="289">
          <cell r="DV289" t="str">
            <v>VIP Revenue</v>
          </cell>
          <cell r="DW289">
            <v>0</v>
          </cell>
          <cell r="DX289">
            <v>199.35</v>
          </cell>
          <cell r="DY289">
            <v>637.96180045470976</v>
          </cell>
          <cell r="DZ289">
            <v>569.2296633049815</v>
          </cell>
          <cell r="EA289">
            <v>666.86105613191614</v>
          </cell>
          <cell r="EB289">
            <v>495.48534572784922</v>
          </cell>
        </row>
        <row r="290">
          <cell r="DV290" t="str">
            <v>Total Revenue</v>
          </cell>
          <cell r="DW290">
            <v>0</v>
          </cell>
          <cell r="DX290">
            <v>327.94353599999999</v>
          </cell>
          <cell r="DY290">
            <v>1168.1469876963215</v>
          </cell>
          <cell r="DZ290">
            <v>1141.3819628632441</v>
          </cell>
          <cell r="EA290">
            <v>1219.1638579736386</v>
          </cell>
          <cell r="EB290">
            <v>1049.0623669646052</v>
          </cell>
        </row>
        <row r="292">
          <cell r="DV292" t="str">
            <v>Wynn Cotai</v>
          </cell>
        </row>
        <row r="293">
          <cell r="DV293" t="str">
            <v>Mass Market Revenue</v>
          </cell>
          <cell r="DW293">
            <v>0</v>
          </cell>
          <cell r="DX293">
            <v>0</v>
          </cell>
          <cell r="DY293">
            <v>0</v>
          </cell>
          <cell r="DZ293">
            <v>0</v>
          </cell>
          <cell r="EA293">
            <v>0</v>
          </cell>
          <cell r="EB293">
            <v>370.42603968288262</v>
          </cell>
        </row>
        <row r="294">
          <cell r="DV294" t="str">
            <v>VIP Revenue</v>
          </cell>
          <cell r="DW294">
            <v>0</v>
          </cell>
          <cell r="DX294">
            <v>0</v>
          </cell>
          <cell r="DY294">
            <v>0</v>
          </cell>
          <cell r="DZ294">
            <v>0</v>
          </cell>
          <cell r="EA294">
            <v>0</v>
          </cell>
          <cell r="EB294">
            <v>264.06687019912482</v>
          </cell>
        </row>
        <row r="295">
          <cell r="DV295" t="str">
            <v>Total Revenue</v>
          </cell>
          <cell r="DW295">
            <v>0</v>
          </cell>
          <cell r="DX295">
            <v>0</v>
          </cell>
          <cell r="DY295">
            <v>0</v>
          </cell>
          <cell r="DZ295">
            <v>0</v>
          </cell>
          <cell r="EA295">
            <v>0</v>
          </cell>
          <cell r="EB295">
            <v>634.49290988200744</v>
          </cell>
        </row>
        <row r="297">
          <cell r="DV297" t="str">
            <v>MGM Grand Macau</v>
          </cell>
        </row>
        <row r="298">
          <cell r="DV298" t="str">
            <v>Mass Market Revenue</v>
          </cell>
          <cell r="DW298">
            <v>0</v>
          </cell>
          <cell r="DX298">
            <v>0</v>
          </cell>
          <cell r="DY298">
            <v>82.165392503367684</v>
          </cell>
          <cell r="DZ298">
            <v>457.75777434699677</v>
          </cell>
          <cell r="EA298">
            <v>440.0241960456014</v>
          </cell>
          <cell r="EB298">
            <v>436.91751380596003</v>
          </cell>
        </row>
        <row r="299">
          <cell r="DV299" t="str">
            <v>VIP Revenue</v>
          </cell>
          <cell r="DW299">
            <v>0</v>
          </cell>
          <cell r="DX299">
            <v>0</v>
          </cell>
          <cell r="DY299">
            <v>75.407061847509823</v>
          </cell>
          <cell r="DZ299">
            <v>538.96086533747348</v>
          </cell>
          <cell r="EA299">
            <v>507.82090422908618</v>
          </cell>
          <cell r="EB299">
            <v>528.13374039824964</v>
          </cell>
        </row>
        <row r="300">
          <cell r="DV300" t="str">
            <v>Total Revenue</v>
          </cell>
          <cell r="DW300">
            <v>0</v>
          </cell>
          <cell r="DX300">
            <v>0</v>
          </cell>
          <cell r="DY300">
            <v>157.57245435087751</v>
          </cell>
          <cell r="DZ300">
            <v>996.71863968447019</v>
          </cell>
          <cell r="EA300">
            <v>947.84510027468764</v>
          </cell>
          <cell r="EB300">
            <v>965.05125420420973</v>
          </cell>
        </row>
        <row r="302">
          <cell r="DV302" t="str">
            <v>check</v>
          </cell>
          <cell r="DW302">
            <v>0</v>
          </cell>
          <cell r="DX302">
            <v>0</v>
          </cell>
          <cell r="DY302">
            <v>0</v>
          </cell>
          <cell r="DZ302">
            <v>0</v>
          </cell>
          <cell r="EA302">
            <v>0</v>
          </cell>
          <cell r="EB302">
            <v>634.49290988200619</v>
          </cell>
        </row>
        <row r="303">
          <cell r="EC303" t="str">
            <v>Future Properties</v>
          </cell>
        </row>
        <row r="304">
          <cell r="EC304" t="str">
            <v>Property</v>
          </cell>
          <cell r="ED304" t="str">
            <v>Open Date</v>
          </cell>
          <cell r="EE304" t="str">
            <v>Investment ($mm)</v>
          </cell>
          <cell r="EF304" t="str">
            <v>Total Tables</v>
          </cell>
          <cell r="EG304" t="str">
            <v>Mass Tables</v>
          </cell>
          <cell r="EH304" t="str">
            <v>VIP Tables</v>
          </cell>
          <cell r="EI304" t="str">
            <v>Mass %</v>
          </cell>
          <cell r="EJ304" t="str">
            <v>Slots</v>
          </cell>
          <cell r="EK304" t="str">
            <v>Location</v>
          </cell>
          <cell r="EL304" t="str">
            <v>Casino Operator</v>
          </cell>
        </row>
        <row r="306">
          <cell r="EC306" t="str">
            <v>Grand Lisboa</v>
          </cell>
          <cell r="ED306">
            <v>39124</v>
          </cell>
          <cell r="EE306">
            <v>625</v>
          </cell>
          <cell r="EF306">
            <v>270</v>
          </cell>
          <cell r="EG306">
            <v>240</v>
          </cell>
          <cell r="EH306">
            <v>30</v>
          </cell>
          <cell r="EI306">
            <v>0.88888888888888884</v>
          </cell>
          <cell r="EJ306">
            <v>484</v>
          </cell>
          <cell r="EK306" t="str">
            <v>Macau</v>
          </cell>
          <cell r="EL306" t="str">
            <v>SJM</v>
          </cell>
        </row>
        <row r="307">
          <cell r="EC307" t="str">
            <v>Crown Macau</v>
          </cell>
          <cell r="ED307">
            <v>39211</v>
          </cell>
          <cell r="EE307">
            <v>583.6</v>
          </cell>
          <cell r="EF307">
            <v>220</v>
          </cell>
          <cell r="EG307">
            <v>160</v>
          </cell>
          <cell r="EH307">
            <v>60</v>
          </cell>
          <cell r="EI307">
            <v>0.72727272727272729</v>
          </cell>
          <cell r="EJ307">
            <v>500</v>
          </cell>
          <cell r="EK307" t="str">
            <v>Taipa</v>
          </cell>
          <cell r="EL307" t="str">
            <v>PBL/Melco</v>
          </cell>
        </row>
        <row r="308">
          <cell r="EC308" t="str">
            <v>Venetian Macao</v>
          </cell>
          <cell r="ED308" t="str">
            <v>3Q07</v>
          </cell>
          <cell r="EE308">
            <v>2600</v>
          </cell>
          <cell r="EF308">
            <v>1150</v>
          </cell>
          <cell r="EG308">
            <v>1000</v>
          </cell>
          <cell r="EH308">
            <v>150</v>
          </cell>
          <cell r="EI308">
            <v>0.86956521739130432</v>
          </cell>
          <cell r="EJ308">
            <v>7000</v>
          </cell>
          <cell r="EK308" t="str">
            <v>Cotai</v>
          </cell>
          <cell r="EL308" t="str">
            <v>LVS</v>
          </cell>
        </row>
        <row r="309">
          <cell r="EC309" t="str">
            <v>Ponte 16</v>
          </cell>
          <cell r="ED309" t="str">
            <v>3Q07</v>
          </cell>
          <cell r="EE309">
            <v>287</v>
          </cell>
          <cell r="EF309">
            <v>174</v>
          </cell>
          <cell r="EG309">
            <v>150</v>
          </cell>
          <cell r="EH309">
            <v>24</v>
          </cell>
          <cell r="EI309">
            <v>0.86206896551724133</v>
          </cell>
          <cell r="EJ309">
            <v>300</v>
          </cell>
          <cell r="EK309" t="str">
            <v>Macau</v>
          </cell>
          <cell r="EL309" t="str">
            <v>SJM</v>
          </cell>
        </row>
        <row r="310">
          <cell r="EC310" t="str">
            <v>MGM Grand</v>
          </cell>
          <cell r="ED310" t="str">
            <v>4Q07</v>
          </cell>
          <cell r="EE310">
            <v>1100</v>
          </cell>
          <cell r="EF310">
            <v>347</v>
          </cell>
          <cell r="EG310">
            <v>302</v>
          </cell>
          <cell r="EH310">
            <v>45</v>
          </cell>
          <cell r="EI310">
            <v>0.87031700288184433</v>
          </cell>
          <cell r="EJ310">
            <v>1037</v>
          </cell>
          <cell r="EK310" t="str">
            <v>Macau</v>
          </cell>
          <cell r="EL310" t="str">
            <v>MGM</v>
          </cell>
        </row>
        <row r="311">
          <cell r="EC311" t="str">
            <v>Cotai Site 2 - Four Seasons</v>
          </cell>
          <cell r="ED311" t="str">
            <v>1Q08</v>
          </cell>
          <cell r="EE311">
            <v>400</v>
          </cell>
          <cell r="EF311">
            <v>130</v>
          </cell>
          <cell r="EG311">
            <v>115</v>
          </cell>
          <cell r="EH311">
            <v>15</v>
          </cell>
          <cell r="EI311">
            <v>0.88461538461538458</v>
          </cell>
          <cell r="EJ311">
            <v>400</v>
          </cell>
          <cell r="EK311" t="str">
            <v>Cotai</v>
          </cell>
          <cell r="EL311" t="str">
            <v>LVS</v>
          </cell>
        </row>
        <row r="312">
          <cell r="EC312" t="str">
            <v>Galaxy Cotai Mega Resort</v>
          </cell>
          <cell r="ED312" t="str">
            <v>2Q08</v>
          </cell>
          <cell r="EE312">
            <v>375</v>
          </cell>
          <cell r="EF312">
            <v>450</v>
          </cell>
          <cell r="EG312">
            <v>400</v>
          </cell>
          <cell r="EH312">
            <v>50</v>
          </cell>
          <cell r="EI312">
            <v>0.88888888888888884</v>
          </cell>
          <cell r="EJ312">
            <v>1000</v>
          </cell>
          <cell r="EK312" t="str">
            <v>Cotai</v>
          </cell>
          <cell r="EL312" t="str">
            <v>Galaxy</v>
          </cell>
        </row>
        <row r="313">
          <cell r="EC313" t="str">
            <v>Cotai Site 5 - Shangri-La</v>
          </cell>
          <cell r="ED313" t="str">
            <v>mid-2008</v>
          </cell>
          <cell r="EE313">
            <v>1512.5</v>
          </cell>
          <cell r="EF313">
            <v>325</v>
          </cell>
          <cell r="EG313">
            <v>250</v>
          </cell>
          <cell r="EH313">
            <v>75</v>
          </cell>
          <cell r="EI313">
            <v>0.76923076923076927</v>
          </cell>
          <cell r="EJ313">
            <v>1750</v>
          </cell>
          <cell r="EK313" t="str">
            <v>Cotai</v>
          </cell>
          <cell r="EL313" t="str">
            <v>LVS</v>
          </cell>
        </row>
        <row r="314">
          <cell r="EC314" t="str">
            <v>Cotai Site 6 - Starwood</v>
          </cell>
          <cell r="ED314" t="str">
            <v>mid-2008</v>
          </cell>
          <cell r="EE314">
            <v>1512.5</v>
          </cell>
          <cell r="EF314">
            <v>325</v>
          </cell>
          <cell r="EG314">
            <v>250</v>
          </cell>
          <cell r="EH314">
            <v>75</v>
          </cell>
          <cell r="EI314">
            <v>0.76923076923076927</v>
          </cell>
          <cell r="EJ314">
            <v>1750</v>
          </cell>
          <cell r="EK314" t="str">
            <v>Cotai</v>
          </cell>
          <cell r="EL314" t="str">
            <v>LVS</v>
          </cell>
        </row>
        <row r="315">
          <cell r="EC315" t="str">
            <v>Cotai Site 7 - Hilton</v>
          </cell>
          <cell r="ED315" t="str">
            <v>mid-2009</v>
          </cell>
          <cell r="EE315">
            <v>1512.5</v>
          </cell>
          <cell r="EF315">
            <v>325</v>
          </cell>
          <cell r="EG315">
            <v>250</v>
          </cell>
          <cell r="EH315">
            <v>75</v>
          </cell>
          <cell r="EI315">
            <v>0.76923076923076927</v>
          </cell>
          <cell r="EJ315">
            <v>1750</v>
          </cell>
          <cell r="EK315" t="str">
            <v>Cotai</v>
          </cell>
          <cell r="EL315" t="str">
            <v>LVS</v>
          </cell>
        </row>
        <row r="316">
          <cell r="EC316" t="str">
            <v>Cotai Site 8 - Fairmont/Raffles</v>
          </cell>
          <cell r="ED316" t="str">
            <v>mid-2009</v>
          </cell>
          <cell r="EE316">
            <v>1512.5</v>
          </cell>
          <cell r="EF316">
            <v>325</v>
          </cell>
          <cell r="EG316">
            <v>250</v>
          </cell>
          <cell r="EH316">
            <v>75</v>
          </cell>
          <cell r="EI316">
            <v>0.76923076923076927</v>
          </cell>
          <cell r="EJ316">
            <v>1750</v>
          </cell>
          <cell r="EK316" t="str">
            <v>Cotai</v>
          </cell>
          <cell r="EL316" t="str">
            <v>LVS</v>
          </cell>
        </row>
        <row r="317">
          <cell r="EC317" t="str">
            <v>Cotai Site 3 - Far East</v>
          </cell>
          <cell r="ED317" t="str">
            <v>mid-2009</v>
          </cell>
          <cell r="EE317">
            <v>1775</v>
          </cell>
          <cell r="EF317">
            <v>325</v>
          </cell>
          <cell r="EG317">
            <v>285</v>
          </cell>
          <cell r="EH317">
            <v>40</v>
          </cell>
          <cell r="EI317">
            <v>0.87692307692307692</v>
          </cell>
          <cell r="EJ317">
            <v>1750</v>
          </cell>
          <cell r="EK317" t="str">
            <v>Cotai</v>
          </cell>
          <cell r="EL317" t="str">
            <v>LVS</v>
          </cell>
        </row>
        <row r="318">
          <cell r="EC318" t="str">
            <v>Arc de Triomphe</v>
          </cell>
          <cell r="ED318">
            <v>2008</v>
          </cell>
          <cell r="EE318">
            <v>125</v>
          </cell>
          <cell r="EF318">
            <v>100</v>
          </cell>
          <cell r="EG318">
            <v>60</v>
          </cell>
          <cell r="EH318">
            <v>40</v>
          </cell>
          <cell r="EI318">
            <v>0.6</v>
          </cell>
          <cell r="EJ318">
            <v>200</v>
          </cell>
          <cell r="EK318" t="str">
            <v>Macau</v>
          </cell>
          <cell r="EL318" t="str">
            <v>SJM</v>
          </cell>
        </row>
        <row r="319">
          <cell r="EC319" t="str">
            <v>PBL/Melco NAPE Project</v>
          </cell>
          <cell r="ED319">
            <v>2009</v>
          </cell>
          <cell r="EE319">
            <v>675</v>
          </cell>
          <cell r="EF319">
            <v>200</v>
          </cell>
          <cell r="EG319">
            <v>160</v>
          </cell>
          <cell r="EH319">
            <v>40</v>
          </cell>
          <cell r="EI319">
            <v>0.8</v>
          </cell>
          <cell r="EJ319">
            <v>500</v>
          </cell>
          <cell r="EK319" t="str">
            <v>Macau</v>
          </cell>
          <cell r="EL319" t="str">
            <v>PBL/Melco</v>
          </cell>
        </row>
        <row r="320">
          <cell r="EC320" t="str">
            <v>City of Dreams</v>
          </cell>
          <cell r="ED320">
            <v>2009</v>
          </cell>
          <cell r="EE320">
            <v>2100</v>
          </cell>
          <cell r="EF320">
            <v>450</v>
          </cell>
          <cell r="EG320">
            <v>400</v>
          </cell>
          <cell r="EH320">
            <v>50</v>
          </cell>
          <cell r="EI320">
            <v>0.88888888888888884</v>
          </cell>
          <cell r="EJ320">
            <v>2500</v>
          </cell>
          <cell r="EK320" t="str">
            <v>Cotai</v>
          </cell>
          <cell r="EL320" t="str">
            <v>PBL/Melco</v>
          </cell>
        </row>
        <row r="321">
          <cell r="EC321" t="str">
            <v>Macau Studio City (eSun)</v>
          </cell>
          <cell r="ED321">
            <v>2009</v>
          </cell>
          <cell r="EE321">
            <v>2000</v>
          </cell>
          <cell r="EF321">
            <v>650</v>
          </cell>
          <cell r="EG321">
            <v>585</v>
          </cell>
          <cell r="EH321">
            <v>65</v>
          </cell>
          <cell r="EI321">
            <v>0.9</v>
          </cell>
          <cell r="EJ321">
            <v>1600</v>
          </cell>
          <cell r="EK321" t="str">
            <v>Cotai</v>
          </cell>
          <cell r="EL321" t="str">
            <v>TBD</v>
          </cell>
        </row>
        <row r="322">
          <cell r="EC322" t="str">
            <v>Wynn Cotai</v>
          </cell>
          <cell r="ED322">
            <v>2010</v>
          </cell>
          <cell r="EE322">
            <v>1500</v>
          </cell>
          <cell r="EF322">
            <v>500</v>
          </cell>
          <cell r="EG322">
            <v>425</v>
          </cell>
          <cell r="EH322">
            <v>75</v>
          </cell>
          <cell r="EI322">
            <v>0.85</v>
          </cell>
          <cell r="EJ322">
            <v>3500</v>
          </cell>
          <cell r="EK322" t="str">
            <v>Cotai</v>
          </cell>
          <cell r="EL322" t="str">
            <v>WYNN</v>
          </cell>
        </row>
        <row r="323">
          <cell r="EC323" t="str">
            <v>Wynn Cotai #2</v>
          </cell>
          <cell r="ED323">
            <v>2010</v>
          </cell>
          <cell r="EE323">
            <v>1500</v>
          </cell>
          <cell r="EF323">
            <v>500</v>
          </cell>
          <cell r="EG323">
            <v>425</v>
          </cell>
          <cell r="EH323">
            <v>75</v>
          </cell>
          <cell r="EI323">
            <v>0.85</v>
          </cell>
          <cell r="EJ323">
            <v>3500</v>
          </cell>
          <cell r="EK323" t="str">
            <v>Cotai</v>
          </cell>
          <cell r="EL323" t="str">
            <v>WYNN</v>
          </cell>
        </row>
        <row r="324">
          <cell r="EC324" t="str">
            <v>Shun Tak Nam Van</v>
          </cell>
          <cell r="ED324">
            <v>2010</v>
          </cell>
          <cell r="EE324">
            <v>550</v>
          </cell>
          <cell r="EF324">
            <v>180</v>
          </cell>
          <cell r="EG324">
            <v>150</v>
          </cell>
          <cell r="EH324">
            <v>30</v>
          </cell>
          <cell r="EI324">
            <v>0.83333333333333337</v>
          </cell>
          <cell r="EJ324">
            <v>300</v>
          </cell>
          <cell r="EK324" t="str">
            <v>Macau</v>
          </cell>
          <cell r="EL324" t="str">
            <v>SJM</v>
          </cell>
        </row>
        <row r="325">
          <cell r="EC325" t="str">
            <v>Shun Tak Cotai</v>
          </cell>
          <cell r="ED325">
            <v>2011</v>
          </cell>
          <cell r="EE325">
            <v>300</v>
          </cell>
          <cell r="EF325">
            <v>600</v>
          </cell>
          <cell r="EG325">
            <v>500</v>
          </cell>
          <cell r="EH325">
            <v>100</v>
          </cell>
          <cell r="EI325">
            <v>0.83333333333333337</v>
          </cell>
          <cell r="EJ325">
            <v>1000</v>
          </cell>
          <cell r="EK325" t="str">
            <v>Cotai</v>
          </cell>
          <cell r="EL325" t="str">
            <v>SJM</v>
          </cell>
        </row>
        <row r="326">
          <cell r="EC326" t="str">
            <v>MGM Cotai</v>
          </cell>
          <cell r="ED326">
            <v>2011</v>
          </cell>
          <cell r="EE326">
            <v>1500</v>
          </cell>
          <cell r="EF326">
            <v>500</v>
          </cell>
          <cell r="EG326">
            <v>400</v>
          </cell>
          <cell r="EH326">
            <v>100</v>
          </cell>
          <cell r="EI326">
            <v>0.8</v>
          </cell>
          <cell r="EJ326">
            <v>3000</v>
          </cell>
          <cell r="EK326" t="str">
            <v>Cotai</v>
          </cell>
          <cell r="EL326" t="str">
            <v>MGM</v>
          </cell>
        </row>
        <row r="327">
          <cell r="EC327" t="str">
            <v>Mocha Slot Lounges</v>
          </cell>
          <cell r="ED327" t="str">
            <v>2006-2009</v>
          </cell>
          <cell r="EE327" t="str">
            <v>N/A</v>
          </cell>
          <cell r="EF327">
            <v>0</v>
          </cell>
          <cell r="EG327">
            <v>0</v>
          </cell>
          <cell r="EH327">
            <v>0</v>
          </cell>
          <cell r="EI327" t="str">
            <v>N.M.</v>
          </cell>
          <cell r="EJ327">
            <v>3000</v>
          </cell>
          <cell r="EL327" t="str">
            <v>PBL/Melco</v>
          </cell>
        </row>
        <row r="328">
          <cell r="EF328" t="str">
            <v>______</v>
          </cell>
          <cell r="EG328" t="str">
            <v>______</v>
          </cell>
          <cell r="EH328" t="str">
            <v>______</v>
          </cell>
          <cell r="EI328" t="str">
            <v>______</v>
          </cell>
          <cell r="EJ328" t="str">
            <v>______</v>
          </cell>
        </row>
        <row r="329">
          <cell r="EC329" t="str">
            <v>Total</v>
          </cell>
          <cell r="EF329">
            <v>8046</v>
          </cell>
          <cell r="EG329">
            <v>6757</v>
          </cell>
          <cell r="EH329">
            <v>1289</v>
          </cell>
          <cell r="EI329">
            <v>0.83979617201093715</v>
          </cell>
          <cell r="EJ329">
            <v>38571</v>
          </cell>
        </row>
        <row r="333">
          <cell r="EM333" t="str">
            <v>Current Properies</v>
          </cell>
        </row>
        <row r="334">
          <cell r="EM334" t="str">
            <v>Property</v>
          </cell>
          <cell r="EN334" t="str">
            <v>Tables</v>
          </cell>
          <cell r="EO334" t="str">
            <v>Slots</v>
          </cell>
          <cell r="EP334" t="str">
            <v>Location</v>
          </cell>
          <cell r="EQ334" t="str">
            <v>Casino Operator</v>
          </cell>
        </row>
        <row r="336">
          <cell r="EM336" t="str">
            <v>Mass Market Focus</v>
          </cell>
        </row>
        <row r="337">
          <cell r="EM337" t="str">
            <v>Sands Macao</v>
          </cell>
          <cell r="EN337">
            <v>772</v>
          </cell>
          <cell r="EO337">
            <v>1233</v>
          </cell>
          <cell r="EP337" t="str">
            <v>Macau</v>
          </cell>
          <cell r="EQ337" t="str">
            <v>LVS</v>
          </cell>
        </row>
        <row r="338">
          <cell r="EM338" t="str">
            <v>Wynn Macau</v>
          </cell>
          <cell r="EN338">
            <v>224</v>
          </cell>
          <cell r="EO338">
            <v>366</v>
          </cell>
          <cell r="EP338" t="str">
            <v>Macau</v>
          </cell>
          <cell r="EQ338" t="str">
            <v>WYNN</v>
          </cell>
        </row>
        <row r="339">
          <cell r="EM339" t="str">
            <v>Mocha Slot Lounges</v>
          </cell>
          <cell r="EN339">
            <v>0</v>
          </cell>
          <cell r="EO339">
            <v>937</v>
          </cell>
          <cell r="EQ339" t="str">
            <v>PBL/Melco</v>
          </cell>
        </row>
        <row r="340">
          <cell r="EM340" t="str">
            <v>Greek Mythology Casino</v>
          </cell>
          <cell r="EN340">
            <v>228</v>
          </cell>
          <cell r="EO340">
            <v>100</v>
          </cell>
          <cell r="EP340" t="str">
            <v>Taipa</v>
          </cell>
          <cell r="EQ340" t="str">
            <v>SJM</v>
          </cell>
        </row>
        <row r="341">
          <cell r="EM341" t="str">
            <v>Hotel Emperor Casino</v>
          </cell>
          <cell r="EN341">
            <v>86</v>
          </cell>
          <cell r="EO341">
            <v>333</v>
          </cell>
          <cell r="EP341" t="str">
            <v>Macau</v>
          </cell>
          <cell r="EQ341" t="str">
            <v>SJM</v>
          </cell>
        </row>
        <row r="342">
          <cell r="EM342" t="str">
            <v>Grand Waldo</v>
          </cell>
          <cell r="EN342">
            <v>168</v>
          </cell>
          <cell r="EO342">
            <v>334</v>
          </cell>
          <cell r="EP342" t="str">
            <v>Cotai</v>
          </cell>
          <cell r="EQ342" t="str">
            <v>Galaxy</v>
          </cell>
        </row>
        <row r="343">
          <cell r="EN343" t="str">
            <v>______</v>
          </cell>
          <cell r="EO343" t="str">
            <v>______</v>
          </cell>
        </row>
        <row r="344">
          <cell r="EM344" t="str">
            <v>Total</v>
          </cell>
          <cell r="EN344">
            <v>1478</v>
          </cell>
          <cell r="EO344">
            <v>3303</v>
          </cell>
        </row>
        <row r="346">
          <cell r="EM346" t="str">
            <v>VIP Focus</v>
          </cell>
        </row>
        <row r="347">
          <cell r="EM347" t="str">
            <v>Casa Real Casino</v>
          </cell>
          <cell r="EN347">
            <v>49</v>
          </cell>
          <cell r="EO347">
            <v>123</v>
          </cell>
          <cell r="EP347" t="str">
            <v>Macau</v>
          </cell>
          <cell r="EQ347" t="str">
            <v>SJM</v>
          </cell>
        </row>
        <row r="348">
          <cell r="EM348" t="str">
            <v>Casino Lisboa</v>
          </cell>
          <cell r="EN348">
            <v>260</v>
          </cell>
          <cell r="EO348">
            <v>217</v>
          </cell>
          <cell r="EP348" t="str">
            <v>Macau</v>
          </cell>
          <cell r="EQ348" t="str">
            <v>SJM</v>
          </cell>
        </row>
        <row r="349">
          <cell r="EM349" t="str">
            <v>Casino Macau Palace</v>
          </cell>
          <cell r="EN349">
            <v>25</v>
          </cell>
          <cell r="EO349">
            <v>51</v>
          </cell>
          <cell r="EP349" t="str">
            <v>Macau</v>
          </cell>
          <cell r="EQ349" t="str">
            <v>SJM</v>
          </cell>
        </row>
        <row r="350">
          <cell r="EM350" t="str">
            <v>Casino Marina</v>
          </cell>
          <cell r="EN350">
            <v>20</v>
          </cell>
          <cell r="EO350">
            <v>37</v>
          </cell>
          <cell r="EP350" t="str">
            <v>Taipa</v>
          </cell>
          <cell r="EQ350" t="str">
            <v>SJM</v>
          </cell>
        </row>
        <row r="351">
          <cell r="EM351" t="str">
            <v>Casino Taipa</v>
          </cell>
          <cell r="EN351">
            <v>8</v>
          </cell>
          <cell r="EO351">
            <v>10</v>
          </cell>
          <cell r="EP351" t="str">
            <v>Taipa</v>
          </cell>
          <cell r="EQ351" t="str">
            <v>SJM</v>
          </cell>
        </row>
        <row r="352">
          <cell r="EM352" t="str">
            <v>Diamond Casino</v>
          </cell>
          <cell r="EN352">
            <v>54</v>
          </cell>
          <cell r="EO352">
            <v>47</v>
          </cell>
          <cell r="EP352" t="str">
            <v>Macau</v>
          </cell>
          <cell r="EQ352" t="str">
            <v>SJM</v>
          </cell>
        </row>
        <row r="353">
          <cell r="EM353" t="str">
            <v>Golden Dragon</v>
          </cell>
          <cell r="EN353">
            <v>90</v>
          </cell>
          <cell r="EO353">
            <v>123</v>
          </cell>
          <cell r="EP353" t="str">
            <v>Macau</v>
          </cell>
          <cell r="EQ353" t="str">
            <v>SJM</v>
          </cell>
        </row>
        <row r="354">
          <cell r="EM354" t="str">
            <v>Hotel Fortuna Casino</v>
          </cell>
          <cell r="EN354">
            <v>40</v>
          </cell>
          <cell r="EO354">
            <v>0</v>
          </cell>
          <cell r="EP354" t="str">
            <v>Macau</v>
          </cell>
          <cell r="EQ354" t="str">
            <v>SJM</v>
          </cell>
        </row>
        <row r="355">
          <cell r="EM355" t="str">
            <v>Jai Alai Casino</v>
          </cell>
          <cell r="EN355">
            <v>116</v>
          </cell>
          <cell r="EO355">
            <v>208</v>
          </cell>
          <cell r="EP355" t="str">
            <v>Macau</v>
          </cell>
          <cell r="EQ355" t="str">
            <v>SJM</v>
          </cell>
        </row>
        <row r="356">
          <cell r="EM356" t="str">
            <v>Kam Pek Casino</v>
          </cell>
          <cell r="EN356">
            <v>67</v>
          </cell>
          <cell r="EO356">
            <v>71</v>
          </cell>
          <cell r="EP356" t="str">
            <v>Macau</v>
          </cell>
          <cell r="EQ356" t="str">
            <v>SJM</v>
          </cell>
        </row>
        <row r="357">
          <cell r="EM357" t="str">
            <v>Kingsway Hotel &amp; Casino</v>
          </cell>
          <cell r="EN357">
            <v>9</v>
          </cell>
          <cell r="EO357">
            <v>20</v>
          </cell>
          <cell r="EP357" t="str">
            <v>Macau</v>
          </cell>
          <cell r="EQ357" t="str">
            <v>SJM</v>
          </cell>
        </row>
        <row r="358">
          <cell r="EM358" t="str">
            <v>Macau Jockey Club Casino</v>
          </cell>
          <cell r="EN358">
            <v>21</v>
          </cell>
          <cell r="EO358">
            <v>0</v>
          </cell>
          <cell r="EP358" t="str">
            <v>Taipa</v>
          </cell>
          <cell r="EQ358" t="str">
            <v>SJM</v>
          </cell>
        </row>
        <row r="359">
          <cell r="EM359" t="str">
            <v>Mandarin Oriental Casino</v>
          </cell>
          <cell r="EN359">
            <v>13</v>
          </cell>
          <cell r="EO359">
            <v>59</v>
          </cell>
          <cell r="EP359" t="str">
            <v>Macau</v>
          </cell>
          <cell r="EQ359" t="str">
            <v>SJM</v>
          </cell>
        </row>
        <row r="360">
          <cell r="EM360" t="str">
            <v>Pharaoh's Palace</v>
          </cell>
          <cell r="EN360">
            <v>103</v>
          </cell>
          <cell r="EO360">
            <v>383</v>
          </cell>
          <cell r="EP360" t="str">
            <v>Macau</v>
          </cell>
          <cell r="EQ360" t="str">
            <v>SJM</v>
          </cell>
        </row>
        <row r="361">
          <cell r="EM361" t="str">
            <v>Galaxy Waldo</v>
          </cell>
          <cell r="EN361">
            <v>63</v>
          </cell>
          <cell r="EO361">
            <v>75</v>
          </cell>
          <cell r="EP361" t="str">
            <v>Macau</v>
          </cell>
          <cell r="EQ361" t="str">
            <v>Galaxy</v>
          </cell>
        </row>
        <row r="362">
          <cell r="EM362" t="str">
            <v>Galaxy Rio</v>
          </cell>
          <cell r="EN362">
            <v>90</v>
          </cell>
          <cell r="EO362">
            <v>150</v>
          </cell>
          <cell r="EP362" t="str">
            <v>Macau</v>
          </cell>
          <cell r="EQ362" t="str">
            <v>Galaxy</v>
          </cell>
        </row>
        <row r="363">
          <cell r="EM363" t="str">
            <v>Hotel Presidente Casino</v>
          </cell>
          <cell r="EN363">
            <v>75</v>
          </cell>
          <cell r="EO363">
            <v>0</v>
          </cell>
          <cell r="EP363" t="str">
            <v>Macau</v>
          </cell>
          <cell r="EQ363" t="str">
            <v>Galaxy</v>
          </cell>
        </row>
        <row r="364">
          <cell r="EN364" t="str">
            <v>______</v>
          </cell>
          <cell r="EO364" t="str">
            <v>______</v>
          </cell>
        </row>
        <row r="365">
          <cell r="EM365" t="str">
            <v>Total</v>
          </cell>
          <cell r="EN365">
            <v>1103</v>
          </cell>
          <cell r="EO365">
            <v>1574</v>
          </cell>
        </row>
        <row r="367">
          <cell r="EM367" t="str">
            <v>total</v>
          </cell>
          <cell r="EN367">
            <v>2581</v>
          </cell>
          <cell r="EO367">
            <v>4877</v>
          </cell>
        </row>
        <row r="368">
          <cell r="ER368" t="str">
            <v>Future Hotel Properties</v>
          </cell>
        </row>
        <row r="369">
          <cell r="ER369" t="str">
            <v>Property</v>
          </cell>
          <cell r="ES369" t="str">
            <v>Rooms</v>
          </cell>
          <cell r="ET369" t="str">
            <v>Open Date</v>
          </cell>
          <cell r="EU369" t="str">
            <v>Location</v>
          </cell>
          <cell r="EV369" t="str">
            <v>Casino Operator</v>
          </cell>
        </row>
        <row r="371">
          <cell r="ER371" t="str">
            <v>Galaxy StarWorld</v>
          </cell>
          <cell r="ES371">
            <v>507</v>
          </cell>
          <cell r="ET371" t="str">
            <v>4Q06</v>
          </cell>
          <cell r="EU371" t="str">
            <v>Macau</v>
          </cell>
          <cell r="EV371" t="str">
            <v>Galaxy</v>
          </cell>
        </row>
        <row r="372">
          <cell r="ER372" t="str">
            <v>Grand Lisboa</v>
          </cell>
          <cell r="ES372">
            <v>650</v>
          </cell>
          <cell r="ET372" t="str">
            <v>4Q06</v>
          </cell>
          <cell r="EU372" t="str">
            <v>Macau</v>
          </cell>
          <cell r="EV372" t="str">
            <v>SJM</v>
          </cell>
        </row>
        <row r="373">
          <cell r="ER373" t="str">
            <v>Crown Macau</v>
          </cell>
          <cell r="ES373">
            <v>248</v>
          </cell>
          <cell r="ET373" t="str">
            <v>2Q07</v>
          </cell>
          <cell r="EU373" t="str">
            <v>Taipa</v>
          </cell>
          <cell r="EV373" t="str">
            <v>Melco/PBL</v>
          </cell>
        </row>
        <row r="374">
          <cell r="ER374" t="str">
            <v>Sands Macao</v>
          </cell>
          <cell r="ES374">
            <v>180</v>
          </cell>
          <cell r="ET374" t="str">
            <v>3Q07</v>
          </cell>
          <cell r="EU374" t="str">
            <v>Macau</v>
          </cell>
          <cell r="EV374" t="str">
            <v>LVS</v>
          </cell>
        </row>
        <row r="375">
          <cell r="ER375" t="str">
            <v>Venetian Macao</v>
          </cell>
          <cell r="ES375">
            <v>3000</v>
          </cell>
          <cell r="ET375" t="str">
            <v>3Q07</v>
          </cell>
          <cell r="EU375" t="str">
            <v>Cotai</v>
          </cell>
          <cell r="EV375" t="str">
            <v>LVS</v>
          </cell>
        </row>
        <row r="376">
          <cell r="ER376" t="str">
            <v>MGM Grand</v>
          </cell>
          <cell r="ES376">
            <v>600</v>
          </cell>
          <cell r="ET376" t="str">
            <v>4Q07</v>
          </cell>
          <cell r="EU376" t="str">
            <v>Macau</v>
          </cell>
          <cell r="EV376" t="str">
            <v>MGM</v>
          </cell>
        </row>
        <row r="377">
          <cell r="ER377" t="str">
            <v>Cotai Site 2 - Four Seasons</v>
          </cell>
          <cell r="ES377">
            <v>400</v>
          </cell>
          <cell r="ET377" t="str">
            <v>1Q08</v>
          </cell>
          <cell r="EU377" t="str">
            <v>Cotai</v>
          </cell>
          <cell r="EV377" t="str">
            <v>LVS</v>
          </cell>
        </row>
        <row r="378">
          <cell r="ER378" t="str">
            <v>Ponte 16</v>
          </cell>
          <cell r="ES378">
            <v>420</v>
          </cell>
          <cell r="ET378" t="str">
            <v>1Q08</v>
          </cell>
          <cell r="EU378" t="str">
            <v>Macau</v>
          </cell>
          <cell r="EV378" t="str">
            <v>SJM</v>
          </cell>
        </row>
        <row r="379">
          <cell r="ER379" t="str">
            <v>Arc de Triomphe</v>
          </cell>
          <cell r="ES379">
            <v>400</v>
          </cell>
          <cell r="ET379" t="str">
            <v>1Q08</v>
          </cell>
          <cell r="EU379" t="str">
            <v>Macau</v>
          </cell>
          <cell r="EV379" t="str">
            <v>SJM</v>
          </cell>
        </row>
        <row r="380">
          <cell r="ER380" t="str">
            <v>Cotai Site 5 - Shangri-La</v>
          </cell>
          <cell r="ES380">
            <v>2200</v>
          </cell>
          <cell r="ET380" t="str">
            <v>2Q08</v>
          </cell>
          <cell r="EU380" t="str">
            <v>Cotai</v>
          </cell>
          <cell r="EV380" t="str">
            <v>LVS</v>
          </cell>
        </row>
        <row r="381">
          <cell r="ER381" t="str">
            <v>Cotai Site 6 - Sheraton</v>
          </cell>
          <cell r="ES381">
            <v>4000</v>
          </cell>
          <cell r="ET381" t="str">
            <v>2Q08</v>
          </cell>
          <cell r="EU381" t="str">
            <v>Cotai</v>
          </cell>
          <cell r="EV381" t="str">
            <v>LVS</v>
          </cell>
        </row>
        <row r="382">
          <cell r="ER382" t="str">
            <v>Galaxy Cotai Mega Resort</v>
          </cell>
          <cell r="ES382">
            <v>1500</v>
          </cell>
          <cell r="ET382" t="str">
            <v>2Q08</v>
          </cell>
          <cell r="EU382" t="str">
            <v>Cotai</v>
          </cell>
          <cell r="EV382" t="str">
            <v>Galaxy</v>
          </cell>
        </row>
        <row r="383">
          <cell r="ER383" t="str">
            <v>Cotai Site 3 - Far East</v>
          </cell>
          <cell r="ES383">
            <v>3600</v>
          </cell>
          <cell r="ET383" t="str">
            <v>4Q08</v>
          </cell>
          <cell r="EU383" t="str">
            <v>Cotai</v>
          </cell>
          <cell r="EV383" t="str">
            <v>LVS</v>
          </cell>
        </row>
        <row r="384">
          <cell r="ER384" t="str">
            <v>Cotai Site 7 - Hilton</v>
          </cell>
          <cell r="ES384">
            <v>3000</v>
          </cell>
          <cell r="ET384" t="str">
            <v>4Q08</v>
          </cell>
          <cell r="EU384" t="str">
            <v>Cotai</v>
          </cell>
          <cell r="EV384" t="str">
            <v>LVS</v>
          </cell>
        </row>
        <row r="385">
          <cell r="ER385" t="str">
            <v>Cotai Site 8 - FHR/Raffles</v>
          </cell>
          <cell r="ES385">
            <v>3000</v>
          </cell>
          <cell r="ET385" t="str">
            <v>4Q08</v>
          </cell>
          <cell r="EU385" t="str">
            <v>Cotai</v>
          </cell>
          <cell r="EV385" t="str">
            <v>LVS</v>
          </cell>
        </row>
        <row r="386">
          <cell r="ER386" t="str">
            <v>Oceanus</v>
          </cell>
          <cell r="ES386">
            <v>600</v>
          </cell>
          <cell r="ET386">
            <v>2009</v>
          </cell>
          <cell r="EU386" t="str">
            <v>Macau</v>
          </cell>
          <cell r="EV386" t="str">
            <v>SJM</v>
          </cell>
        </row>
        <row r="387">
          <cell r="ER387" t="str">
            <v>Penninsula Project</v>
          </cell>
          <cell r="ES387">
            <v>150</v>
          </cell>
          <cell r="ET387">
            <v>2009</v>
          </cell>
          <cell r="EU387" t="str">
            <v>Macau</v>
          </cell>
          <cell r="EV387" t="str">
            <v>Melco/PBL</v>
          </cell>
        </row>
        <row r="388">
          <cell r="ER388" t="str">
            <v>City of Dreams</v>
          </cell>
          <cell r="ES388">
            <v>1640</v>
          </cell>
          <cell r="ET388">
            <v>2009</v>
          </cell>
          <cell r="EU388" t="str">
            <v>Cotai</v>
          </cell>
          <cell r="EV388" t="str">
            <v>Melco/PBL</v>
          </cell>
        </row>
        <row r="389">
          <cell r="ER389" t="str">
            <v>eSun Casino</v>
          </cell>
          <cell r="ES389">
            <v>1500</v>
          </cell>
          <cell r="ET389">
            <v>2009</v>
          </cell>
          <cell r="EU389" t="str">
            <v>Cotai</v>
          </cell>
          <cell r="EV389" t="str">
            <v>TBD</v>
          </cell>
        </row>
        <row r="390">
          <cell r="ER390" t="str">
            <v>Mandarin Oriental</v>
          </cell>
          <cell r="ES390">
            <v>210</v>
          </cell>
          <cell r="ET390">
            <v>2009</v>
          </cell>
          <cell r="EU390" t="str">
            <v>Macau</v>
          </cell>
          <cell r="EV390" t="str">
            <v>None</v>
          </cell>
        </row>
        <row r="391">
          <cell r="ER391" t="str">
            <v>Wynn Cotai</v>
          </cell>
          <cell r="ES391">
            <v>3000</v>
          </cell>
          <cell r="ET391">
            <v>2010</v>
          </cell>
          <cell r="EU391" t="str">
            <v>Cotai</v>
          </cell>
          <cell r="EV391" t="str">
            <v>WYNN</v>
          </cell>
        </row>
        <row r="392">
          <cell r="ER392" t="str">
            <v>Nova de Taipa Phase 5</v>
          </cell>
          <cell r="ES392">
            <v>600</v>
          </cell>
          <cell r="ET392">
            <v>2010</v>
          </cell>
          <cell r="EU392" t="str">
            <v>Macau</v>
          </cell>
          <cell r="EV392" t="str">
            <v>None</v>
          </cell>
        </row>
        <row r="393">
          <cell r="ER393" t="str">
            <v>Shun Tak Nam Van</v>
          </cell>
          <cell r="ES393">
            <v>500</v>
          </cell>
          <cell r="ET393">
            <v>2010</v>
          </cell>
          <cell r="EU393" t="str">
            <v>Macau</v>
          </cell>
          <cell r="EV393" t="str">
            <v>SJM</v>
          </cell>
        </row>
        <row r="394">
          <cell r="ER394" t="str">
            <v>Shun Tak Cotai</v>
          </cell>
          <cell r="ES394">
            <v>2000</v>
          </cell>
          <cell r="ET394">
            <v>2011</v>
          </cell>
          <cell r="EU394" t="str">
            <v>Cotai</v>
          </cell>
          <cell r="EV394" t="str">
            <v>SJM</v>
          </cell>
        </row>
        <row r="395">
          <cell r="ES395" t="str">
            <v>_____</v>
          </cell>
        </row>
        <row r="396">
          <cell r="ER396" t="str">
            <v>Total</v>
          </cell>
          <cell r="ES396">
            <v>33905</v>
          </cell>
        </row>
        <row r="398">
          <cell r="ER398" t="str">
            <v>Note: excludes Cotai hotel expansions</v>
          </cell>
        </row>
        <row r="399">
          <cell r="EW399" t="str">
            <v>Infrastructure Projects</v>
          </cell>
        </row>
        <row r="400">
          <cell r="EW400" t="str">
            <v>Project</v>
          </cell>
          <cell r="EX400" t="str">
            <v>Completion</v>
          </cell>
          <cell r="EY400" t="str">
            <v>Status</v>
          </cell>
          <cell r="EZ400" t="str">
            <v>Details</v>
          </cell>
          <cell r="FA400" t="str">
            <v>Est. Cost</v>
          </cell>
        </row>
        <row r="402">
          <cell r="EW402" t="str">
            <v>Land reclamation</v>
          </cell>
          <cell r="EX402" t="str">
            <v>2026</v>
          </cell>
          <cell r="EY402" t="str">
            <v>Proposed</v>
          </cell>
          <cell r="EZ402" t="str">
            <v>Add 1,000 acres to Macau land, helping traffic and housing</v>
          </cell>
        </row>
        <row r="403">
          <cell r="EW403" t="str">
            <v>Roundabout</v>
          </cell>
          <cell r="EX403" t="str">
            <v>1Q07</v>
          </cell>
          <cell r="EY403" t="str">
            <v>In Process</v>
          </cell>
          <cell r="EZ403" t="str">
            <v>Make traffic and pedestrian flow easier by Casino Lisboa</v>
          </cell>
        </row>
        <row r="404">
          <cell r="EW404" t="str">
            <v>New Taipa tunnel</v>
          </cell>
          <cell r="EX404" t="str">
            <v>2009</v>
          </cell>
          <cell r="EY404" t="str">
            <v>In Process</v>
          </cell>
          <cell r="EZ404" t="str">
            <v>Add 4th link to Macau-Taipa crossing</v>
          </cell>
        </row>
        <row r="405">
          <cell r="EW405" t="str">
            <v>Hong Kong-Macau-Zhuhai bridge</v>
          </cell>
          <cell r="EX405" t="str">
            <v>2011</v>
          </cell>
          <cell r="EY405" t="str">
            <v>Proposed</v>
          </cell>
          <cell r="EZ405" t="str">
            <v>Shorten HK to Macau drive time to 1/2 hour from 4.5 hours</v>
          </cell>
          <cell r="FA405" t="str">
            <v>$4-5b</v>
          </cell>
        </row>
        <row r="406">
          <cell r="EW406" t="str">
            <v>Gongbei Expansion</v>
          </cell>
          <cell r="EY406" t="str">
            <v>Proposed</v>
          </cell>
          <cell r="EZ406" t="str">
            <v>Double border gate capacity to 600,000 people per day</v>
          </cell>
        </row>
        <row r="407">
          <cell r="EW407" t="str">
            <v>Expansion of airport</v>
          </cell>
          <cell r="EX407" t="str">
            <v>2009</v>
          </cell>
          <cell r="EY407" t="str">
            <v>Proposed</v>
          </cell>
          <cell r="EZ407" t="str">
            <v>Double passenger capacity to 12 million annually</v>
          </cell>
        </row>
        <row r="408">
          <cell r="EW408" t="str">
            <v>Lotus Bridge Expansion</v>
          </cell>
          <cell r="EX408" t="str">
            <v>Late '06/ early '07</v>
          </cell>
          <cell r="EY408" t="str">
            <v>In Process</v>
          </cell>
          <cell r="EZ408" t="str">
            <v>Make link to Cotai more usable for bus traffic</v>
          </cell>
        </row>
        <row r="409">
          <cell r="EW409" t="str">
            <v>New Taipa ferry terminal</v>
          </cell>
          <cell r="EX409">
            <v>2007</v>
          </cell>
          <cell r="EY409" t="str">
            <v>In Process</v>
          </cell>
          <cell r="EZ409" t="str">
            <v>Make Cotai a 5 mintue drive from terminal, bypassing old Macau</v>
          </cell>
          <cell r="FA409" t="str">
            <v>$60mm</v>
          </cell>
        </row>
        <row r="410">
          <cell r="EW410" t="str">
            <v>Subway to Wanzi</v>
          </cell>
          <cell r="EY410" t="str">
            <v>Proposed</v>
          </cell>
          <cell r="EZ410" t="str">
            <v>Pedestrian link between Zhuhai and Inner Harbor</v>
          </cell>
        </row>
        <row r="411">
          <cell r="EW411" t="str">
            <v>Internal Macau light rail system</v>
          </cell>
          <cell r="EX411" t="str">
            <v>Phase I 2009</v>
          </cell>
          <cell r="EY411" t="str">
            <v>Proposed</v>
          </cell>
          <cell r="EZ411" t="str">
            <v>3 lines, 17 miles, linking peninsula to Cotai, city loop line</v>
          </cell>
          <cell r="FA411" t="str">
            <v>$2-2.5b</v>
          </cell>
        </row>
        <row r="412">
          <cell r="EW412" t="str">
            <v>Expansion/ modernization of China road/rail network</v>
          </cell>
          <cell r="EX412" t="str">
            <v>2020</v>
          </cell>
          <cell r="EY412" t="str">
            <v>In Process</v>
          </cell>
          <cell r="EZ412" t="str">
            <v>10,000 km rail, 30,000 km road construction in Southern China</v>
          </cell>
        </row>
        <row r="414">
          <cell r="FB414" t="str">
            <v>Gaming &amp; Hotel employees needed</v>
          </cell>
        </row>
        <row r="415">
          <cell r="FC415">
            <v>2004</v>
          </cell>
          <cell r="FD415">
            <v>2005</v>
          </cell>
          <cell r="FE415" t="str">
            <v>2006E</v>
          </cell>
          <cell r="FF415" t="str">
            <v>2007E</v>
          </cell>
          <cell r="FG415" t="str">
            <v>2008E</v>
          </cell>
          <cell r="FH415" t="str">
            <v>2009E</v>
          </cell>
          <cell r="FI415" t="str">
            <v>2010E</v>
          </cell>
        </row>
        <row r="417">
          <cell r="FB417" t="str">
            <v>Gaming Tables</v>
          </cell>
          <cell r="FC417">
            <v>660.54586717630195</v>
          </cell>
          <cell r="FD417">
            <v>1251.75</v>
          </cell>
          <cell r="FE417">
            <v>2064.4426328502418</v>
          </cell>
          <cell r="FF417">
            <v>3839.166666666667</v>
          </cell>
          <cell r="FG417">
            <v>5581</v>
          </cell>
          <cell r="FH417">
            <v>8198.5</v>
          </cell>
          <cell r="FI417">
            <v>9966</v>
          </cell>
        </row>
        <row r="418">
          <cell r="FB418" t="str">
            <v xml:space="preserve">  Employees/Table</v>
          </cell>
          <cell r="FC418">
            <v>37.070097955006155</v>
          </cell>
          <cell r="FD418">
            <v>24.26323147593369</v>
          </cell>
          <cell r="FE418">
            <v>20.437357965580738</v>
          </cell>
          <cell r="FF418">
            <v>20.047988212869072</v>
          </cell>
          <cell r="FG418">
            <v>17.454695707879562</v>
          </cell>
          <cell r="FH418">
            <v>15.709226137091607</v>
          </cell>
          <cell r="FI418">
            <v>14.138303523382445</v>
          </cell>
        </row>
        <row r="419">
          <cell r="FB419" t="str">
            <v>Gaming Employees</v>
          </cell>
          <cell r="FC419">
            <v>20518</v>
          </cell>
          <cell r="FD419">
            <v>24136.249999999996</v>
          </cell>
          <cell r="FE419">
            <v>42191.753086966361</v>
          </cell>
          <cell r="FF419">
            <v>76967.568080573183</v>
          </cell>
          <cell r="FG419">
            <v>97414.656745675835</v>
          </cell>
          <cell r="FH419">
            <v>128792.09048494554</v>
          </cell>
          <cell r="FI419">
            <v>140902.33291402945</v>
          </cell>
          <cell r="FJ419">
            <v>73278.406745675835</v>
          </cell>
          <cell r="FK419">
            <v>116766.08291402945</v>
          </cell>
        </row>
        <row r="420">
          <cell r="FB420" t="str">
            <v xml:space="preserve">  % Change</v>
          </cell>
          <cell r="FD420">
            <v>0.17634516034701231</v>
          </cell>
          <cell r="FE420">
            <v>0.74806579675659512</v>
          </cell>
          <cell r="FF420">
            <v>0.82423252055742546</v>
          </cell>
          <cell r="FG420">
            <v>0.26565849974235523</v>
          </cell>
          <cell r="FH420">
            <v>0.32210177387564953</v>
          </cell>
          <cell r="FI420">
            <v>9.4029395621150202E-2</v>
          </cell>
        </row>
        <row r="421">
          <cell r="FB421" t="str">
            <v xml:space="preserve"> </v>
          </cell>
        </row>
        <row r="422">
          <cell r="FB422" t="str">
            <v>Hotel Rooms</v>
          </cell>
          <cell r="FC422">
            <v>9232.5</v>
          </cell>
          <cell r="FD422">
            <v>10534.833333333332</v>
          </cell>
          <cell r="FE422">
            <v>11819.416666666666</v>
          </cell>
          <cell r="FF422">
            <v>15220.325250836122</v>
          </cell>
          <cell r="FG422">
            <v>21337.818840579712</v>
          </cell>
          <cell r="FH422">
            <v>33922.818840579712</v>
          </cell>
          <cell r="FI422">
            <v>48497.818840579712</v>
          </cell>
        </row>
        <row r="423">
          <cell r="FB423" t="str">
            <v xml:space="preserve">  Employees/Room</v>
          </cell>
          <cell r="FC423">
            <v>0.80794746818304897</v>
          </cell>
          <cell r="FD423">
            <v>0.85471214542232909</v>
          </cell>
          <cell r="FE423">
            <v>0.77858858359416339</v>
          </cell>
          <cell r="FF423">
            <v>0.678779490405788</v>
          </cell>
          <cell r="FG423">
            <v>0.61090154136520936</v>
          </cell>
          <cell r="FH423">
            <v>0.54981138722868839</v>
          </cell>
          <cell r="FI423">
            <v>0.49483024850581958</v>
          </cell>
        </row>
        <row r="424">
          <cell r="FB424" t="str">
            <v>Hotel Employees</v>
          </cell>
          <cell r="FC424">
            <v>7459.375</v>
          </cell>
          <cell r="FD424">
            <v>9004.2499999999982</v>
          </cell>
          <cell r="FE424">
            <v>9202.4628814092484</v>
          </cell>
          <cell r="FF424">
            <v>10331.244617572891</v>
          </cell>
          <cell r="FG424">
            <v>13035.306419081749</v>
          </cell>
          <cell r="FH424">
            <v>18651.152085446618</v>
          </cell>
          <cell r="FI424">
            <v>23998.187748874279</v>
          </cell>
          <cell r="FJ424">
            <v>131760.02066290373</v>
          </cell>
        </row>
        <row r="425">
          <cell r="FB425" t="str">
            <v xml:space="preserve">  % Change</v>
          </cell>
          <cell r="FD425">
            <v>0.20710515291160436</v>
          </cell>
          <cell r="FE425">
            <v>2.2013258340144892E-2</v>
          </cell>
          <cell r="FF425">
            <v>0.12266083011798945</v>
          </cell>
          <cell r="FG425">
            <v>0.26173630589574803</v>
          </cell>
          <cell r="FH425">
            <v>0.43081807867163802</v>
          </cell>
          <cell r="FI425">
            <v>0.28668661533246098</v>
          </cell>
        </row>
        <row r="427">
          <cell r="FJ427" t="str">
            <v>Macau spend per visitor</v>
          </cell>
        </row>
        <row r="428">
          <cell r="FK428">
            <v>1999</v>
          </cell>
          <cell r="FL428">
            <v>2000</v>
          </cell>
          <cell r="FM428">
            <v>2001</v>
          </cell>
          <cell r="FN428">
            <v>2002</v>
          </cell>
          <cell r="FO428">
            <v>2003</v>
          </cell>
          <cell r="FP428">
            <v>2004</v>
          </cell>
          <cell r="FQ428">
            <v>2005</v>
          </cell>
          <cell r="FR428" t="str">
            <v>2006E</v>
          </cell>
          <cell r="FS428" t="str">
            <v>2007E</v>
          </cell>
          <cell r="FT428" t="str">
            <v>2008E</v>
          </cell>
          <cell r="FU428" t="str">
            <v>2009E</v>
          </cell>
          <cell r="FV428" t="str">
            <v>2010E</v>
          </cell>
        </row>
        <row r="430">
          <cell r="FJ430" t="str">
            <v>Total Gaming Revenue/Visitor</v>
          </cell>
          <cell r="FK430">
            <v>217.86376862885368</v>
          </cell>
          <cell r="FL430">
            <v>216.84155772657923</v>
          </cell>
          <cell r="FM430">
            <v>219.47156798001637</v>
          </cell>
          <cell r="FN430">
            <v>233.6752566583952</v>
          </cell>
          <cell r="FO430">
            <v>292.57303766303806</v>
          </cell>
          <cell r="FP430">
            <v>300.64740025553272</v>
          </cell>
          <cell r="FQ430">
            <v>298.38041359532156</v>
          </cell>
          <cell r="FR430">
            <v>312.40935136002508</v>
          </cell>
          <cell r="FS430">
            <v>324.40477229611457</v>
          </cell>
          <cell r="FT430">
            <v>320.62196092006934</v>
          </cell>
          <cell r="FU430">
            <v>319.86097383534667</v>
          </cell>
          <cell r="FV430">
            <v>312.01678956696031</v>
          </cell>
        </row>
        <row r="431">
          <cell r="FJ431" t="str">
            <v xml:space="preserve">  % Change</v>
          </cell>
          <cell r="FK431">
            <v>-0.16593356360145228</v>
          </cell>
          <cell r="FL431">
            <v>-4.6919729182499648E-3</v>
          </cell>
          <cell r="FM431">
            <v>1.212871868755605E-2</v>
          </cell>
          <cell r="FN431">
            <v>6.4717670763039914E-2</v>
          </cell>
          <cell r="FO431">
            <v>0.25204971141101273</v>
          </cell>
          <cell r="FP431">
            <v>2.7597767234430082E-2</v>
          </cell>
          <cell r="FQ431">
            <v>-7.5403501187250033E-3</v>
          </cell>
          <cell r="FR431">
            <v>4.7016952606447893E-2</v>
          </cell>
          <cell r="FS431">
            <v>3.8396484880715898E-2</v>
          </cell>
          <cell r="FT431">
            <v>-1.1660775978327154E-2</v>
          </cell>
          <cell r="FU431">
            <v>-2.373471494400814E-3</v>
          </cell>
          <cell r="FV431">
            <v>-2.4523730339245042E-2</v>
          </cell>
        </row>
        <row r="433">
          <cell r="FJ433" t="str">
            <v>Mass Market Gaming Revenue/Visitor</v>
          </cell>
          <cell r="FK433">
            <v>74.093968535002972</v>
          </cell>
          <cell r="FL433">
            <v>69.485441851167352</v>
          </cell>
          <cell r="FM433">
            <v>64.879130958528137</v>
          </cell>
          <cell r="FN433">
            <v>61.631618489333086</v>
          </cell>
          <cell r="FO433">
            <v>66.388826584460716</v>
          </cell>
          <cell r="FP433">
            <v>84.303626644021449</v>
          </cell>
          <cell r="FQ433">
            <v>111.44221269958217</v>
          </cell>
          <cell r="FR433">
            <v>109.56058503486751</v>
          </cell>
          <cell r="FS433">
            <v>117.91681169731642</v>
          </cell>
          <cell r="FT433">
            <v>128.14735361515733</v>
          </cell>
          <cell r="FU433">
            <v>143.23197396120545</v>
          </cell>
          <cell r="FV433">
            <v>152.8036252338226</v>
          </cell>
        </row>
        <row r="434">
          <cell r="FJ434" t="str">
            <v xml:space="preserve">  % Change</v>
          </cell>
          <cell r="FK434">
            <v>-0.22325466096502977</v>
          </cell>
          <cell r="FL434">
            <v>-6.2198405281240876E-2</v>
          </cell>
          <cell r="FM434">
            <v>-6.6291740685848866E-2</v>
          </cell>
          <cell r="FN434">
            <v>-5.0054808398573014E-2</v>
          </cell>
          <cell r="FO434">
            <v>7.7187784642569257E-2</v>
          </cell>
          <cell r="FP434">
            <v>0.26984661397455634</v>
          </cell>
          <cell r="FQ434">
            <v>0.32191481121156862</v>
          </cell>
          <cell r="FR434">
            <v>-1.6884335110852633E-2</v>
          </cell>
          <cell r="FS434">
            <v>7.6270372778582285E-2</v>
          </cell>
          <cell r="FT434">
            <v>8.6760672804671257E-2</v>
          </cell>
          <cell r="FU434">
            <v>0.11771308513595335</v>
          </cell>
          <cell r="FV434">
            <v>6.6826219089947347E-2</v>
          </cell>
        </row>
        <row r="436">
          <cell r="FJ436" t="str">
            <v>Las Vegas Gaming Revenue/Visitor</v>
          </cell>
          <cell r="FK436">
            <v>132.7643113840183</v>
          </cell>
          <cell r="FL436">
            <v>134.04751552809759</v>
          </cell>
          <cell r="FM436">
            <v>134.33016420084542</v>
          </cell>
          <cell r="FN436">
            <v>132.73488993415023</v>
          </cell>
          <cell r="FO436">
            <v>134.04098511074497</v>
          </cell>
          <cell r="FP436">
            <v>142.65024663414405</v>
          </cell>
          <cell r="FQ436">
            <v>145.42860799220509</v>
          </cell>
          <cell r="FR436">
            <v>148.3371801520492</v>
          </cell>
          <cell r="FS436">
            <v>151.30392375509018</v>
          </cell>
          <cell r="FT436">
            <v>154.33000223019198</v>
          </cell>
          <cell r="FU436">
            <v>157.41660227479582</v>
          </cell>
          <cell r="FV436">
            <v>160.56493432029174</v>
          </cell>
        </row>
        <row r="437">
          <cell r="FJ437" t="str">
            <v xml:space="preserve">  % Change</v>
          </cell>
          <cell r="FK437">
            <v>6.5798123042734913E-2</v>
          </cell>
          <cell r="FL437">
            <v>9.665279250894887E-3</v>
          </cell>
          <cell r="FM437">
            <v>2.1085707678676346E-3</v>
          </cell>
          <cell r="FN437">
            <v>-1.1875770986998768E-2</v>
          </cell>
          <cell r="FO437">
            <v>9.8398784015467644E-3</v>
          </cell>
          <cell r="FP437">
            <v>6.4228575433745716E-2</v>
          </cell>
          <cell r="FQ437">
            <v>1.947673714989584E-2</v>
          </cell>
          <cell r="FR437">
            <v>2.0000000000000018E-2</v>
          </cell>
          <cell r="FS437">
            <v>2.0000000000000018E-2</v>
          </cell>
          <cell r="FT437">
            <v>2.0000000000000018E-2</v>
          </cell>
          <cell r="FU437">
            <v>2.0000000000000018E-2</v>
          </cell>
          <cell r="FV437">
            <v>2.0000000000000018E-2</v>
          </cell>
        </row>
        <row r="439">
          <cell r="FJ439" t="str">
            <v>US Personal Disposable Income per capita</v>
          </cell>
          <cell r="FK439">
            <v>23968</v>
          </cell>
          <cell r="FL439">
            <v>25472</v>
          </cell>
          <cell r="FM439">
            <v>26236</v>
          </cell>
          <cell r="FN439">
            <v>27159</v>
          </cell>
          <cell r="FO439">
            <v>28034</v>
          </cell>
          <cell r="FP439">
            <v>29416</v>
          </cell>
        </row>
        <row r="440">
          <cell r="FJ440" t="str">
            <v xml:space="preserve">  % Change</v>
          </cell>
          <cell r="FL440">
            <v>6.2750333778371248E-2</v>
          </cell>
          <cell r="FM440">
            <v>2.9993718592964846E-2</v>
          </cell>
          <cell r="FN440">
            <v>3.5180667784723285E-2</v>
          </cell>
          <cell r="FO440">
            <v>3.2217681063367642E-2</v>
          </cell>
          <cell r="FP440">
            <v>4.9297281872012544E-2</v>
          </cell>
        </row>
        <row r="442">
          <cell r="FJ442" t="str">
            <v>China Personal Disposable Income per capita, yuan</v>
          </cell>
          <cell r="FK442">
            <v>5854.02</v>
          </cell>
          <cell r="FL442">
            <v>6280</v>
          </cell>
          <cell r="FM442">
            <v>6859.6</v>
          </cell>
          <cell r="FN442">
            <v>7702.8</v>
          </cell>
          <cell r="FO442">
            <v>8472.2000000000007</v>
          </cell>
        </row>
        <row r="443">
          <cell r="FK443">
            <v>8.2782841897233155</v>
          </cell>
          <cell r="FL443">
            <v>8.2784197628458553</v>
          </cell>
          <cell r="FM443">
            <v>8.2770746987951913</v>
          </cell>
          <cell r="FN443">
            <v>8.2763569169960558</v>
          </cell>
          <cell r="FO443">
            <v>8.2770482213438719</v>
          </cell>
          <cell r="FP443">
            <v>8.2767809525691511</v>
          </cell>
        </row>
        <row r="444">
          <cell r="FJ444" t="str">
            <v>China Personal Disposable Income per capita, USD</v>
          </cell>
          <cell r="FK444">
            <v>707.15378523332129</v>
          </cell>
          <cell r="FL444">
            <v>758.59888479986148</v>
          </cell>
          <cell r="FM444">
            <v>828.74690027848624</v>
          </cell>
          <cell r="FN444">
            <v>930.69934963556034</v>
          </cell>
          <cell r="FO444">
            <v>1023.5774606402431</v>
          </cell>
        </row>
        <row r="445">
          <cell r="FJ445" t="str">
            <v xml:space="preserve">  % Change</v>
          </cell>
          <cell r="FL445">
            <v>7.2749521590365518E-2</v>
          </cell>
          <cell r="FM445">
            <v>9.2470496443099348E-2</v>
          </cell>
          <cell r="FN445">
            <v>0.12302000685953063</v>
          </cell>
          <cell r="FO445">
            <v>9.9793892669046702E-2</v>
          </cell>
        </row>
        <row r="447">
          <cell r="FJ447" t="str">
            <v>LV Revenue/Visitor as Share of Income</v>
          </cell>
          <cell r="FK447">
            <v>5.5392319502677858E-3</v>
          </cell>
          <cell r="FL447">
            <v>5.2625437942877508E-3</v>
          </cell>
          <cell r="FM447">
            <v>5.1200702927597739E-3</v>
          </cell>
          <cell r="FN447">
            <v>4.8873261141481727E-3</v>
          </cell>
          <cell r="FO447">
            <v>4.7813720878485044E-3</v>
          </cell>
        </row>
        <row r="448">
          <cell r="FJ448" t="str">
            <v>Macau Mass Revenue/Visitor as Share of Income</v>
          </cell>
          <cell r="FK448">
            <v>0.10477773022250896</v>
          </cell>
          <cell r="FL448">
            <v>9.1597078829742093E-2</v>
          </cell>
          <cell r="FM448">
            <v>7.8285820359299818E-2</v>
          </cell>
          <cell r="FN448">
            <v>6.6220760241711307E-2</v>
          </cell>
          <cell r="FO448">
            <v>6.4859601874131548E-2</v>
          </cell>
        </row>
        <row r="451">
          <cell r="FW451" t="str">
            <v>% Impact of revaluation to EBITDA</v>
          </cell>
        </row>
        <row r="452">
          <cell r="FW452" t="str">
            <v>% Change in EBITDA = % RMB Appreciation * (RMB Revenue Share - RMB Expense Share * (1- Margin))/Margin</v>
          </cell>
        </row>
        <row r="453">
          <cell r="FY453" t="str">
            <v>Margin:</v>
          </cell>
          <cell r="FZ453">
            <v>0.35</v>
          </cell>
          <cell r="GI453" t="str">
            <v>% RMB Revenues</v>
          </cell>
          <cell r="GJ453">
            <v>0.7</v>
          </cell>
        </row>
        <row r="454">
          <cell r="FY454" t="str">
            <v>% Appreciation:</v>
          </cell>
          <cell r="FZ454">
            <v>0.2</v>
          </cell>
          <cell r="GI454" t="str">
            <v>% RMB Expenses</v>
          </cell>
          <cell r="GJ454">
            <v>0.2</v>
          </cell>
        </row>
        <row r="455">
          <cell r="FW455" t="str">
            <v>EBITDA Impact from 20% RMB Appreciation, Assumes 35% Margin</v>
          </cell>
          <cell r="GG455" t="str">
            <v>EBITDA Impact Assuming 70% Revenue, 20% Expense Exposure to RMB</v>
          </cell>
        </row>
        <row r="456">
          <cell r="FY456" t="str">
            <v>% of Revenue Denominated in RMB</v>
          </cell>
          <cell r="GI456" t="str">
            <v>% RMB Appreciation</v>
          </cell>
        </row>
        <row r="457">
          <cell r="FY457">
            <v>0.4</v>
          </cell>
          <cell r="FZ457">
            <v>0.5</v>
          </cell>
          <cell r="GA457">
            <v>0.6</v>
          </cell>
          <cell r="GB457">
            <v>0.7</v>
          </cell>
          <cell r="GC457">
            <v>0.79999999999999993</v>
          </cell>
          <cell r="GD457">
            <v>0.89999999999999991</v>
          </cell>
          <cell r="GE457">
            <v>0.99999999999999989</v>
          </cell>
          <cell r="GI457">
            <v>0.05</v>
          </cell>
          <cell r="GJ457">
            <v>0.1</v>
          </cell>
          <cell r="GK457">
            <v>0.15000000000000002</v>
          </cell>
          <cell r="GL457">
            <v>0.2</v>
          </cell>
          <cell r="GM457">
            <v>0.25</v>
          </cell>
          <cell r="GN457">
            <v>0.3</v>
          </cell>
          <cell r="GO457">
            <v>0.35</v>
          </cell>
        </row>
        <row r="458">
          <cell r="FW458" t="str">
            <v>% of Expense Denominated in RMB</v>
          </cell>
          <cell r="FX458">
            <v>0.05</v>
          </cell>
          <cell r="FY458">
            <v>0.21000000000000005</v>
          </cell>
          <cell r="FZ458">
            <v>0.26714285714285718</v>
          </cell>
          <cell r="GA458">
            <v>0.32428571428571434</v>
          </cell>
          <cell r="GB458">
            <v>0.38142857142857145</v>
          </cell>
          <cell r="GC458">
            <v>0.43857142857142861</v>
          </cell>
          <cell r="GD458">
            <v>0.49571428571428572</v>
          </cell>
          <cell r="GE458">
            <v>0.55285714285714294</v>
          </cell>
          <cell r="GG458" t="str">
            <v>EBITDA Margin</v>
          </cell>
          <cell r="GH458">
            <v>0.2</v>
          </cell>
          <cell r="GI458">
            <v>0.13499999999999998</v>
          </cell>
          <cell r="GJ458">
            <v>0.26999999999999996</v>
          </cell>
          <cell r="GK458">
            <v>0.40499999999999997</v>
          </cell>
          <cell r="GL458">
            <v>0.53999999999999992</v>
          </cell>
          <cell r="GM458">
            <v>0.67499999999999982</v>
          </cell>
          <cell r="GN458">
            <v>0.80999999999999983</v>
          </cell>
          <cell r="GO458">
            <v>0.94499999999999984</v>
          </cell>
        </row>
        <row r="459">
          <cell r="FX459">
            <v>0.1</v>
          </cell>
          <cell r="FY459">
            <v>0.19142857142857145</v>
          </cell>
          <cell r="FZ459">
            <v>0.24857142857142861</v>
          </cell>
          <cell r="GA459">
            <v>0.30571428571428566</v>
          </cell>
          <cell r="GB459">
            <v>0.36285714285714288</v>
          </cell>
          <cell r="GC459">
            <v>0.42</v>
          </cell>
          <cell r="GD459">
            <v>0.4771428571428572</v>
          </cell>
          <cell r="GE459">
            <v>0.53428571428571425</v>
          </cell>
          <cell r="GH459">
            <v>0.25</v>
          </cell>
          <cell r="GI459">
            <v>0.10999999999999999</v>
          </cell>
          <cell r="GJ459">
            <v>0.21999999999999997</v>
          </cell>
          <cell r="GK459">
            <v>0.33</v>
          </cell>
          <cell r="GL459">
            <v>0.43999999999999995</v>
          </cell>
          <cell r="GM459">
            <v>0.54999999999999993</v>
          </cell>
          <cell r="GN459">
            <v>0.65999999999999992</v>
          </cell>
          <cell r="GO459">
            <v>0.76999999999999991</v>
          </cell>
        </row>
        <row r="460">
          <cell r="FX460">
            <v>0.15000000000000002</v>
          </cell>
          <cell r="FY460">
            <v>0.17285714285714288</v>
          </cell>
          <cell r="FZ460">
            <v>0.23</v>
          </cell>
          <cell r="GA460">
            <v>0.28714285714285714</v>
          </cell>
          <cell r="GB460">
            <v>0.34428571428571431</v>
          </cell>
          <cell r="GC460">
            <v>0.40142857142857141</v>
          </cell>
          <cell r="GD460">
            <v>0.45857142857142852</v>
          </cell>
          <cell r="GE460">
            <v>0.51571428571428568</v>
          </cell>
          <cell r="GH460">
            <v>0.3</v>
          </cell>
          <cell r="GI460">
            <v>9.3333333333333324E-2</v>
          </cell>
          <cell r="GJ460">
            <v>0.18666666666666665</v>
          </cell>
          <cell r="GK460">
            <v>0.28000000000000003</v>
          </cell>
          <cell r="GL460">
            <v>0.37333333333333329</v>
          </cell>
          <cell r="GM460">
            <v>0.46666666666666662</v>
          </cell>
          <cell r="GN460">
            <v>0.55999999999999994</v>
          </cell>
          <cell r="GO460">
            <v>0.65333333333333332</v>
          </cell>
        </row>
        <row r="461">
          <cell r="FX461">
            <v>0.2</v>
          </cell>
          <cell r="FY461">
            <v>0.1542857142857143</v>
          </cell>
          <cell r="FZ461">
            <v>0.21142857142857144</v>
          </cell>
          <cell r="GA461">
            <v>0.26857142857142857</v>
          </cell>
          <cell r="GB461">
            <v>0.32571428571428573</v>
          </cell>
          <cell r="GC461">
            <v>0.38285714285714284</v>
          </cell>
          <cell r="GD461">
            <v>0.44</v>
          </cell>
          <cell r="GE461">
            <v>0.49714285714285716</v>
          </cell>
          <cell r="GH461">
            <v>0.35</v>
          </cell>
          <cell r="GI461">
            <v>8.1428571428571433E-2</v>
          </cell>
          <cell r="GJ461">
            <v>0.16285714285714287</v>
          </cell>
          <cell r="GK461">
            <v>0.24428571428571433</v>
          </cell>
          <cell r="GL461">
            <v>0.32571428571428573</v>
          </cell>
          <cell r="GM461">
            <v>0.40714285714285714</v>
          </cell>
          <cell r="GN461">
            <v>0.48857142857142855</v>
          </cell>
          <cell r="GO461">
            <v>0.56999999999999995</v>
          </cell>
        </row>
        <row r="462">
          <cell r="FX462">
            <v>0.25</v>
          </cell>
          <cell r="FY462">
            <v>0.13571428571428573</v>
          </cell>
          <cell r="FZ462">
            <v>0.19285714285714289</v>
          </cell>
          <cell r="GA462">
            <v>0.25000000000000006</v>
          </cell>
          <cell r="GB462">
            <v>0.30714285714285716</v>
          </cell>
          <cell r="GC462">
            <v>0.36428571428571432</v>
          </cell>
          <cell r="GD462">
            <v>0.42142857142857143</v>
          </cell>
          <cell r="GE462">
            <v>0.47857142857142854</v>
          </cell>
          <cell r="GH462">
            <v>0.39999999999999997</v>
          </cell>
          <cell r="GI462">
            <v>7.2499999999999995E-2</v>
          </cell>
          <cell r="GJ462">
            <v>0.14499999999999999</v>
          </cell>
          <cell r="GK462">
            <v>0.21750000000000003</v>
          </cell>
          <cell r="GL462">
            <v>0.28999999999999998</v>
          </cell>
          <cell r="GM462">
            <v>0.36249999999999999</v>
          </cell>
          <cell r="GN462">
            <v>0.435</v>
          </cell>
          <cell r="GO462">
            <v>0.50750000000000006</v>
          </cell>
        </row>
        <row r="463">
          <cell r="FX463">
            <v>0.3</v>
          </cell>
          <cell r="FY463">
            <v>0.11714285714285717</v>
          </cell>
          <cell r="FZ463">
            <v>0.17428571428571429</v>
          </cell>
          <cell r="GA463">
            <v>0.23142857142857146</v>
          </cell>
          <cell r="GB463">
            <v>0.28857142857142853</v>
          </cell>
          <cell r="GC463">
            <v>0.34571428571428575</v>
          </cell>
          <cell r="GD463">
            <v>0.40285714285714286</v>
          </cell>
          <cell r="GE463">
            <v>0.46</v>
          </cell>
          <cell r="GH463">
            <v>0.44999999999999996</v>
          </cell>
          <cell r="GI463">
            <v>6.5555555555555561E-2</v>
          </cell>
          <cell r="GJ463">
            <v>0.13111111111111112</v>
          </cell>
          <cell r="GK463">
            <v>0.19666666666666671</v>
          </cell>
          <cell r="GL463">
            <v>0.26222222222222225</v>
          </cell>
          <cell r="GM463">
            <v>0.32777777777777778</v>
          </cell>
          <cell r="GN463">
            <v>0.39333333333333337</v>
          </cell>
          <cell r="GO463">
            <v>0.4588888888888889</v>
          </cell>
        </row>
        <row r="464">
          <cell r="FX464">
            <v>0.35</v>
          </cell>
          <cell r="FY464">
            <v>9.8571428571428601E-2</v>
          </cell>
          <cell r="FZ464">
            <v>0.15571428571428575</v>
          </cell>
          <cell r="GA464">
            <v>0.21285714285714286</v>
          </cell>
          <cell r="GB464">
            <v>0.27</v>
          </cell>
          <cell r="GC464">
            <v>0.32714285714285718</v>
          </cell>
          <cell r="GD464">
            <v>0.38428571428571423</v>
          </cell>
          <cell r="GE464">
            <v>0.44142857142857145</v>
          </cell>
          <cell r="GH464">
            <v>0.49999999999999994</v>
          </cell>
          <cell r="GI464">
            <v>6.0000000000000005E-2</v>
          </cell>
          <cell r="GJ464">
            <v>0.12000000000000001</v>
          </cell>
          <cell r="GK464">
            <v>0.18000000000000005</v>
          </cell>
          <cell r="GL464">
            <v>0.24000000000000002</v>
          </cell>
          <cell r="GM464">
            <v>0.30000000000000004</v>
          </cell>
          <cell r="GN464">
            <v>0.36000000000000004</v>
          </cell>
          <cell r="GO464">
            <v>0.42000000000000004</v>
          </cell>
        </row>
        <row r="465">
          <cell r="GP465" t="str">
            <v>Cost of Macau Visit</v>
          </cell>
        </row>
        <row r="466">
          <cell r="GQ466" t="str">
            <v>From Guangzhou</v>
          </cell>
          <cell r="GR466" t="str">
            <v>From Beijing</v>
          </cell>
        </row>
        <row r="468">
          <cell r="GP468" t="str">
            <v>Bus Ticket</v>
          </cell>
          <cell r="GQ468" t="str">
            <v>$5-$10</v>
          </cell>
          <cell r="GR468" t="str">
            <v>CNY$4730</v>
          </cell>
        </row>
        <row r="469">
          <cell r="GR469">
            <v>591.25</v>
          </cell>
        </row>
        <row r="470">
          <cell r="GP470" t="str">
            <v>Hotel</v>
          </cell>
          <cell r="GS470" t="str">
            <v>Macau quarterly revenue breakdown</v>
          </cell>
        </row>
        <row r="471">
          <cell r="GS471" t="str">
            <v>($mm)</v>
          </cell>
          <cell r="GT471">
            <v>2003</v>
          </cell>
          <cell r="GU471">
            <v>2004</v>
          </cell>
          <cell r="GV471" t="str">
            <v>1Q05</v>
          </cell>
          <cell r="GW471" t="str">
            <v>2Q05</v>
          </cell>
          <cell r="GX471" t="str">
            <v>3Q05</v>
          </cell>
        </row>
        <row r="473">
          <cell r="GS473" t="str">
            <v>VIP Table Revenues</v>
          </cell>
          <cell r="GT473">
            <v>2688.8498544599533</v>
          </cell>
          <cell r="GU473">
            <v>3607.0036807892443</v>
          </cell>
          <cell r="GV473">
            <v>871.38028739791866</v>
          </cell>
          <cell r="GW473">
            <v>926.51373647604282</v>
          </cell>
          <cell r="GX473">
            <v>873.66750231017863</v>
          </cell>
        </row>
        <row r="474">
          <cell r="GS474" t="str">
            <v xml:space="preserve">  % Share</v>
          </cell>
          <cell r="GT474">
            <v>0.77330928187941317</v>
          </cell>
          <cell r="GU474">
            <v>0.719518947138583</v>
          </cell>
          <cell r="GV474">
            <v>0.66021107044983496</v>
          </cell>
          <cell r="GW474">
            <v>0.65546324614351004</v>
          </cell>
          <cell r="GX474">
            <v>0.61355943536736657</v>
          </cell>
        </row>
        <row r="476">
          <cell r="GS476" t="str">
            <v>Mass Market Table Revenues</v>
          </cell>
          <cell r="GT476">
            <v>759.50589422411349</v>
          </cell>
          <cell r="GU476">
            <v>1328.4804978068</v>
          </cell>
          <cell r="GV476">
            <v>418.10835301082398</v>
          </cell>
          <cell r="GW476">
            <v>450.22017054270304</v>
          </cell>
          <cell r="GX476">
            <v>509.53095927530671</v>
          </cell>
        </row>
        <row r="477">
          <cell r="GS477" t="str">
            <v xml:space="preserve">  % Share</v>
          </cell>
          <cell r="GT477">
            <v>0.21843278332236762</v>
          </cell>
          <cell r="GU477">
            <v>0.26500302568777451</v>
          </cell>
          <cell r="GV477">
            <v>0.31678449386271129</v>
          </cell>
          <cell r="GW477">
            <v>0.3185087957633701</v>
          </cell>
          <cell r="GX477">
            <v>0.35783353146190106</v>
          </cell>
        </row>
        <row r="479">
          <cell r="GS479" t="str">
            <v>Slot Revenues</v>
          </cell>
          <cell r="GT479">
            <v>28.71341040465337</v>
          </cell>
          <cell r="GU479">
            <v>77.592537637416328</v>
          </cell>
          <cell r="GV479">
            <v>30.362429044248191</v>
          </cell>
          <cell r="GW479">
            <v>36.791171507453747</v>
          </cell>
          <cell r="GX479">
            <v>40.734497390320115</v>
          </cell>
        </row>
        <row r="480">
          <cell r="GS480" t="str">
            <v xml:space="preserve">  % Share</v>
          </cell>
          <cell r="GT480">
            <v>8.2579347982191572E-3</v>
          </cell>
          <cell r="GU480">
            <v>1.5478027173642562E-2</v>
          </cell>
          <cell r="GV480">
            <v>2.3004435687453605E-2</v>
          </cell>
          <cell r="GW480">
            <v>2.6027958093119762E-2</v>
          </cell>
          <cell r="GX480">
            <v>2.8607033170732481E-2</v>
          </cell>
        </row>
        <row r="482">
          <cell r="GY482" t="str">
            <v>Sands growth contribution</v>
          </cell>
        </row>
        <row r="483">
          <cell r="GY483" t="str">
            <v>($mm)</v>
          </cell>
          <cell r="GZ483" t="str">
            <v>1Q03</v>
          </cell>
          <cell r="HA483" t="str">
            <v>2Q03</v>
          </cell>
          <cell r="HB483" t="str">
            <v>3Q03</v>
          </cell>
          <cell r="HC483" t="str">
            <v>4Q03</v>
          </cell>
          <cell r="HD483">
            <v>2003</v>
          </cell>
          <cell r="HE483" t="str">
            <v>1Q04</v>
          </cell>
          <cell r="HF483" t="str">
            <v>2Q04</v>
          </cell>
          <cell r="HG483" t="str">
            <v>3Q04</v>
          </cell>
          <cell r="HH483" t="str">
            <v>4Q04</v>
          </cell>
          <cell r="HI483">
            <v>2004</v>
          </cell>
          <cell r="HJ483" t="str">
            <v>1Q05</v>
          </cell>
          <cell r="HK483" t="str">
            <v>2Q05</v>
          </cell>
          <cell r="HL483" t="str">
            <v>3Q05</v>
          </cell>
        </row>
        <row r="485">
          <cell r="GY485" t="str">
            <v>Sand Macau Mass Market Revenues</v>
          </cell>
          <cell r="GZ485" t="str">
            <v>N.M.</v>
          </cell>
          <cell r="HA485" t="str">
            <v>N.M.</v>
          </cell>
          <cell r="HB485" t="str">
            <v>N.M.</v>
          </cell>
          <cell r="HC485" t="str">
            <v>N.M.</v>
          </cell>
          <cell r="HD485" t="str">
            <v>N.M.</v>
          </cell>
          <cell r="HE485" t="str">
            <v>N.M.</v>
          </cell>
          <cell r="HF485">
            <v>57.6</v>
          </cell>
          <cell r="HG485">
            <v>161.45427947878929</v>
          </cell>
          <cell r="HH485">
            <v>159.43351093841301</v>
          </cell>
          <cell r="HI485">
            <v>378.48779041720229</v>
          </cell>
          <cell r="HJ485">
            <v>159.43683999999999</v>
          </cell>
          <cell r="HK485">
            <v>168.69997400000003</v>
          </cell>
          <cell r="HL485">
            <v>187.61291200000002</v>
          </cell>
        </row>
        <row r="486">
          <cell r="GY486" t="str">
            <v xml:space="preserve">  % Share</v>
          </cell>
          <cell r="GZ486" t="str">
            <v>N.M.</v>
          </cell>
          <cell r="HA486" t="str">
            <v>N.M.</v>
          </cell>
          <cell r="HB486" t="str">
            <v>N.M.</v>
          </cell>
          <cell r="HC486" t="str">
            <v>N.M.</v>
          </cell>
          <cell r="HD486" t="str">
            <v>N.M.</v>
          </cell>
          <cell r="HE486" t="str">
            <v>N.M.</v>
          </cell>
          <cell r="HF486">
            <v>0.1707328432166498</v>
          </cell>
          <cell r="HG486">
            <v>0.40015800358857484</v>
          </cell>
          <cell r="HH486">
            <v>0.41545205130517049</v>
          </cell>
          <cell r="HI486">
            <v>0.26927958637775812</v>
          </cell>
          <cell r="HJ486">
            <v>0.35551221256688498</v>
          </cell>
          <cell r="HK486">
            <v>0.34639844996181995</v>
          </cell>
          <cell r="HL486">
            <v>0.34094982653800221</v>
          </cell>
        </row>
        <row r="487">
          <cell r="GY487" t="str">
            <v xml:space="preserve">  % Growth</v>
          </cell>
          <cell r="GZ487" t="str">
            <v>N.M.</v>
          </cell>
          <cell r="HA487" t="str">
            <v>N.M.</v>
          </cell>
          <cell r="HB487" t="str">
            <v>N.M.</v>
          </cell>
          <cell r="HC487" t="str">
            <v>N.M.</v>
          </cell>
          <cell r="HD487" t="str">
            <v>N.M.</v>
          </cell>
          <cell r="HE487" t="str">
            <v>N.M.</v>
          </cell>
          <cell r="HF487" t="str">
            <v>N.M.</v>
          </cell>
          <cell r="HG487" t="str">
            <v>N.M.</v>
          </cell>
          <cell r="HH487" t="str">
            <v>N.M.</v>
          </cell>
          <cell r="HI487" t="str">
            <v>N.M.</v>
          </cell>
          <cell r="HJ487" t="str">
            <v>N.M.</v>
          </cell>
          <cell r="HK487">
            <v>1.9288189930555562</v>
          </cell>
          <cell r="HL487">
            <v>0.16201882418760705</v>
          </cell>
        </row>
        <row r="488">
          <cell r="GY488" t="str">
            <v xml:space="preserve">  Contribution to growth</v>
          </cell>
          <cell r="HK488">
            <v>0.32931275073465061</v>
          </cell>
          <cell r="HL488">
            <v>6.483312923068113E-2</v>
          </cell>
        </row>
        <row r="490">
          <cell r="GY490" t="str">
            <v>Mass Market Revenues</v>
          </cell>
          <cell r="GZ490">
            <v>189.65527202686269</v>
          </cell>
          <cell r="HA490">
            <v>147.12338809600604</v>
          </cell>
          <cell r="HB490">
            <v>215.50208627736168</v>
          </cell>
          <cell r="HC490">
            <v>236.94139182134211</v>
          </cell>
          <cell r="HD490">
            <v>789.22213822157244</v>
          </cell>
          <cell r="HE490">
            <v>280.95231671690618</v>
          </cell>
          <cell r="HF490">
            <v>337.36918401170789</v>
          </cell>
          <cell r="HG490">
            <v>403.47632193004841</v>
          </cell>
          <cell r="HH490">
            <v>383.7591135668772</v>
          </cell>
          <cell r="HI490">
            <v>1405.5569362255396</v>
          </cell>
          <cell r="HJ490">
            <v>448.47078205507222</v>
          </cell>
          <cell r="HK490">
            <v>487.01134205015683</v>
          </cell>
          <cell r="HL490">
            <v>550.26545666562674</v>
          </cell>
        </row>
        <row r="491">
          <cell r="GY491" t="str">
            <v xml:space="preserve">  % Growth</v>
          </cell>
          <cell r="GZ491">
            <v>0.17961350655231589</v>
          </cell>
          <cell r="HA491">
            <v>-0.16653363672271004</v>
          </cell>
          <cell r="HB491">
            <v>0.22419881485991899</v>
          </cell>
          <cell r="HC491">
            <v>0.20072561908201503</v>
          </cell>
          <cell r="HD491">
            <v>0.11054127036749239</v>
          </cell>
          <cell r="HE491">
            <v>0.4813841646179613</v>
          </cell>
          <cell r="HF491">
            <v>1.2931036892078374</v>
          </cell>
          <cell r="HG491">
            <v>0.87226179059238773</v>
          </cell>
          <cell r="HH491">
            <v>0.61963728927632111</v>
          </cell>
          <cell r="HI491">
            <v>0.78093957094616173</v>
          </cell>
          <cell r="HJ491">
            <v>0.59625230108695404</v>
          </cell>
          <cell r="HK491">
            <v>0.44355609560728526</v>
          </cell>
          <cell r="HL491">
            <v>0.36381102621686812</v>
          </cell>
        </row>
        <row r="493">
          <cell r="GY493" t="str">
            <v>Mass Market Revenues, ex Sands</v>
          </cell>
          <cell r="GZ493">
            <v>189.65527202686269</v>
          </cell>
          <cell r="HA493">
            <v>147.12338809600604</v>
          </cell>
          <cell r="HB493">
            <v>215.50208627736168</v>
          </cell>
          <cell r="HC493">
            <v>236.94139182134211</v>
          </cell>
          <cell r="HD493">
            <v>789.22213822157244</v>
          </cell>
          <cell r="HE493">
            <v>280.95231671690618</v>
          </cell>
          <cell r="HF493">
            <v>279.76918401170786</v>
          </cell>
          <cell r="HG493">
            <v>242.02204245125913</v>
          </cell>
          <cell r="HH493">
            <v>224.3256026284642</v>
          </cell>
          <cell r="HI493">
            <v>1027.0691458083375</v>
          </cell>
          <cell r="HJ493">
            <v>289.0339420550722</v>
          </cell>
          <cell r="HK493">
            <v>318.31136805015683</v>
          </cell>
          <cell r="HL493">
            <v>362.65254466562669</v>
          </cell>
        </row>
        <row r="494">
          <cell r="GY494" t="str">
            <v xml:space="preserve">  % Growth</v>
          </cell>
          <cell r="GZ494">
            <v>0.17961350655231589</v>
          </cell>
          <cell r="HA494">
            <v>-0.16653363672271004</v>
          </cell>
          <cell r="HB494">
            <v>0.22419881485991899</v>
          </cell>
          <cell r="HC494">
            <v>0.20072561908201503</v>
          </cell>
          <cell r="HD494">
            <v>0.11054127036749239</v>
          </cell>
          <cell r="HE494">
            <v>0.4813841646179613</v>
          </cell>
          <cell r="HF494">
            <v>0.90159557655879441</v>
          </cell>
          <cell r="HG494">
            <v>0.12306125027376758</v>
          </cell>
          <cell r="HH494">
            <v>-5.3244344923872311E-2</v>
          </cell>
          <cell r="HI494">
            <v>0.30136889991799753</v>
          </cell>
          <cell r="HJ494">
            <v>2.8765113712549528E-2</v>
          </cell>
          <cell r="HK494">
            <v>0.13776422222697704</v>
          </cell>
          <cell r="HL494">
            <v>0.49842775059904465</v>
          </cell>
        </row>
        <row r="496">
          <cell r="HM496" t="str">
            <v>Asian Convention Market</v>
          </cell>
        </row>
        <row r="497">
          <cell r="HM497" t="str">
            <v>Country</v>
          </cell>
          <cell r="HN497" t="str">
            <v>Facilities</v>
          </cell>
          <cell r="HO497" t="str">
            <v>Sq. Meters (000s)</v>
          </cell>
          <cell r="HP497" t="str">
            <v>Sq. Feet (000s)</v>
          </cell>
          <cell r="HQ497" t="str">
            <v>Share</v>
          </cell>
        </row>
        <row r="498">
          <cell r="HM498" t="str">
            <v>China</v>
          </cell>
          <cell r="HN498">
            <v>19</v>
          </cell>
          <cell r="HO498">
            <v>1554.652</v>
          </cell>
          <cell r="HP498">
            <v>16734.13485715857</v>
          </cell>
          <cell r="HQ498">
            <v>0.57960033111319331</v>
          </cell>
        </row>
        <row r="499">
          <cell r="HM499" t="str">
            <v>Thailand</v>
          </cell>
          <cell r="HN499">
            <v>4</v>
          </cell>
          <cell r="HO499">
            <v>298.45499999999998</v>
          </cell>
          <cell r="HP499">
            <v>3212.5428834190934</v>
          </cell>
          <cell r="HQ499">
            <v>0.11126902793833481</v>
          </cell>
        </row>
        <row r="500">
          <cell r="HM500" t="str">
            <v>Korea</v>
          </cell>
          <cell r="HN500">
            <v>9</v>
          </cell>
          <cell r="HO500">
            <v>275.38099999999997</v>
          </cell>
          <cell r="HP500">
            <v>2964.1764144639337</v>
          </cell>
          <cell r="HQ500">
            <v>0.10266665387641881</v>
          </cell>
        </row>
        <row r="501">
          <cell r="HM501" t="str">
            <v>Macau</v>
          </cell>
          <cell r="HN501">
            <v>2</v>
          </cell>
          <cell r="HP501">
            <v>1852.0039999999999</v>
          </cell>
          <cell r="HQ501">
            <v>6.4145660399274676E-2</v>
          </cell>
        </row>
        <row r="502">
          <cell r="HM502" t="str">
            <v>Singapore</v>
          </cell>
          <cell r="HN502">
            <v>3</v>
          </cell>
          <cell r="HO502">
            <v>138.83099999999999</v>
          </cell>
          <cell r="HP502">
            <v>1494.3644470622244</v>
          </cell>
          <cell r="HQ502">
            <v>5.1758524459992163E-2</v>
          </cell>
        </row>
        <row r="503">
          <cell r="HM503" t="str">
            <v>Malaysia</v>
          </cell>
          <cell r="HN503">
            <v>4</v>
          </cell>
          <cell r="HO503">
            <v>83.397000000000006</v>
          </cell>
          <cell r="HP503">
            <v>897.67783702233896</v>
          </cell>
          <cell r="HQ503">
            <v>3.1091799845783481E-2</v>
          </cell>
        </row>
        <row r="504">
          <cell r="HM504" t="str">
            <v>Taiwan</v>
          </cell>
          <cell r="HN504">
            <v>3</v>
          </cell>
          <cell r="HO504">
            <v>70.239999999999995</v>
          </cell>
          <cell r="HP504">
            <v>756.05706766968933</v>
          </cell>
          <cell r="HQ504">
            <v>2.6186649653678569E-2</v>
          </cell>
        </row>
        <row r="505">
          <cell r="HM505" t="str">
            <v>Indonesia</v>
          </cell>
          <cell r="HN505">
            <v>2</v>
          </cell>
          <cell r="HO505">
            <v>62.683999999999997</v>
          </cell>
          <cell r="HP505">
            <v>674.7249605610308</v>
          </cell>
          <cell r="HQ505">
            <v>2.3369646168724192E-2</v>
          </cell>
        </row>
        <row r="506">
          <cell r="HM506" t="str">
            <v>Philippines</v>
          </cell>
          <cell r="HN506">
            <v>2</v>
          </cell>
          <cell r="HO506">
            <v>18.452000000000002</v>
          </cell>
          <cell r="HP506">
            <v>198.61567500912741</v>
          </cell>
          <cell r="HQ506">
            <v>6.8792149688165858E-3</v>
          </cell>
        </row>
        <row r="507">
          <cell r="HM507" t="str">
            <v>Vietnam</v>
          </cell>
          <cell r="HN507">
            <v>1</v>
          </cell>
          <cell r="HO507">
            <v>8.1340000000000003</v>
          </cell>
          <cell r="HP507">
            <v>87.553647329516707</v>
          </cell>
          <cell r="HQ507">
            <v>3.0324915757833355E-3</v>
          </cell>
        </row>
        <row r="508">
          <cell r="HN508" t="str">
            <v>______</v>
          </cell>
          <cell r="HO508" t="str">
            <v>______</v>
          </cell>
          <cell r="HP508" t="str">
            <v>______</v>
          </cell>
          <cell r="HQ508" t="str">
            <v>______</v>
          </cell>
        </row>
        <row r="509">
          <cell r="HM509" t="str">
            <v>Total</v>
          </cell>
          <cell r="HN509">
            <v>49</v>
          </cell>
          <cell r="HO509">
            <v>2510.2260000000001</v>
          </cell>
          <cell r="HP509">
            <v>28871.851789695527</v>
          </cell>
          <cell r="HQ509">
            <v>1</v>
          </cell>
        </row>
        <row r="510">
          <cell r="HM510" t="str">
            <v>Australia</v>
          </cell>
          <cell r="HN510">
            <v>17</v>
          </cell>
          <cell r="HO510">
            <v>299.928</v>
          </cell>
          <cell r="HP510">
            <v>3228.3981234629073</v>
          </cell>
          <cell r="HQ510">
            <v>0.11181818703485914</v>
          </cell>
        </row>
        <row r="511">
          <cell r="HM511" t="str">
            <v>New Zealand</v>
          </cell>
          <cell r="HN511">
            <v>4</v>
          </cell>
          <cell r="HO511">
            <v>41.606999999999999</v>
          </cell>
          <cell r="HP511">
            <v>447.85402070804048</v>
          </cell>
          <cell r="HQ511">
            <v>1.5511787188789922E-2</v>
          </cell>
        </row>
        <row r="513">
          <cell r="HM513" t="str">
            <v>conversion</v>
          </cell>
          <cell r="HO513">
            <v>10.763910416709701</v>
          </cell>
        </row>
        <row r="514">
          <cell r="HR514" t="str">
            <v>Actuals versus Estimates</v>
          </cell>
        </row>
        <row r="515">
          <cell r="HS515" t="str">
            <v>2Q05</v>
          </cell>
          <cell r="HU515" t="str">
            <v>3Q05</v>
          </cell>
          <cell r="HW515" t="str">
            <v>4Q05</v>
          </cell>
          <cell r="HY515" t="str">
            <v>1Q06</v>
          </cell>
          <cell r="IA515" t="str">
            <v>2Q06</v>
          </cell>
          <cell r="IC515" t="str">
            <v>3Q06</v>
          </cell>
        </row>
        <row r="516">
          <cell r="HR516" t="str">
            <v>US$mm</v>
          </cell>
          <cell r="HS516" t="str">
            <v>Rev.</v>
          </cell>
          <cell r="HT516" t="str">
            <v>Growth</v>
          </cell>
          <cell r="HU516" t="str">
            <v>Rev.</v>
          </cell>
          <cell r="HV516" t="str">
            <v>Growth</v>
          </cell>
          <cell r="HW516" t="str">
            <v>Rev.</v>
          </cell>
          <cell r="HX516" t="str">
            <v>Growth</v>
          </cell>
          <cell r="HY516" t="str">
            <v>Rev.</v>
          </cell>
          <cell r="HZ516" t="str">
            <v>Growth</v>
          </cell>
          <cell r="IA516" t="str">
            <v>Rev.</v>
          </cell>
          <cell r="IB516" t="str">
            <v>Growth</v>
          </cell>
          <cell r="IC516" t="str">
            <v>Rev.</v>
          </cell>
          <cell r="ID516" t="str">
            <v>Growth</v>
          </cell>
        </row>
        <row r="518">
          <cell r="HR518" t="str">
            <v>Mass, Est.</v>
          </cell>
          <cell r="HS518">
            <v>429.0037339906437</v>
          </cell>
          <cell r="HT518">
            <v>0.27161505650663043</v>
          </cell>
          <cell r="HU518">
            <v>487.89444755603216</v>
          </cell>
          <cell r="HV518">
            <v>0.20922696336222546</v>
          </cell>
          <cell r="HW518">
            <v>489.76528729658878</v>
          </cell>
          <cell r="HX518">
            <v>0.27623102613623796</v>
          </cell>
          <cell r="HY518">
            <v>531.40952611841635</v>
          </cell>
          <cell r="HZ518">
            <v>0.18460542010210812</v>
          </cell>
          <cell r="IA518">
            <v>657.4653117677118</v>
          </cell>
          <cell r="IB518">
            <v>0.35</v>
          </cell>
          <cell r="IC518">
            <v>737.18629472862926</v>
          </cell>
          <cell r="ID518">
            <v>0.33969211732036175</v>
          </cell>
        </row>
        <row r="519">
          <cell r="HR519" t="str">
            <v>Mass, Actual.</v>
          </cell>
          <cell r="HS519">
            <v>487.01134205015683</v>
          </cell>
          <cell r="HT519">
            <v>0.44355609560728526</v>
          </cell>
          <cell r="HU519">
            <v>550.26545666562674</v>
          </cell>
          <cell r="HV519">
            <v>0.36381102621686812</v>
          </cell>
          <cell r="HW519">
            <v>599.46850074480096</v>
          </cell>
          <cell r="HX519">
            <v>0.56209580320581076</v>
          </cell>
          <cell r="HY519">
            <v>572.49378186415947</v>
          </cell>
          <cell r="HZ519">
            <v>0.27654644354034463</v>
          </cell>
          <cell r="IA519">
            <v>571.01356755050801</v>
          </cell>
          <cell r="IB519">
            <v>0.17248515228973837</v>
          </cell>
          <cell r="IC519">
            <v>586.73964501081116</v>
          </cell>
          <cell r="ID519">
            <v>6.6284713865562894E-2</v>
          </cell>
        </row>
        <row r="520">
          <cell r="HS520" t="str">
            <v xml:space="preserve">_____ </v>
          </cell>
          <cell r="HT520" t="str">
            <v xml:space="preserve">_____ </v>
          </cell>
          <cell r="HU520" t="str">
            <v xml:space="preserve">_____ </v>
          </cell>
          <cell r="HV520" t="str">
            <v xml:space="preserve">_____ </v>
          </cell>
          <cell r="HW520" t="str">
            <v xml:space="preserve">_____ </v>
          </cell>
          <cell r="HX520" t="str">
            <v xml:space="preserve">_____ </v>
          </cell>
          <cell r="HY520" t="str">
            <v xml:space="preserve">_____ </v>
          </cell>
          <cell r="HZ520" t="str">
            <v xml:space="preserve">_____ </v>
          </cell>
          <cell r="IA520" t="str">
            <v xml:space="preserve">_____ </v>
          </cell>
          <cell r="IB520" t="str">
            <v xml:space="preserve">_____ </v>
          </cell>
          <cell r="IC520" t="str">
            <v xml:space="preserve">_____ </v>
          </cell>
          <cell r="ID520" t="str">
            <v xml:space="preserve">_____ </v>
          </cell>
        </row>
        <row r="521">
          <cell r="HR521" t="str">
            <v xml:space="preserve">  Abs. Diff</v>
          </cell>
          <cell r="HS521">
            <v>58.007608059513132</v>
          </cell>
          <cell r="HT521">
            <v>0.17194103910065484</v>
          </cell>
          <cell r="HU521">
            <v>62.371009109594581</v>
          </cell>
          <cell r="HV521">
            <v>0.15458406285464266</v>
          </cell>
          <cell r="HW521">
            <v>109.70321344821218</v>
          </cell>
          <cell r="HX521">
            <v>0.28586477706957281</v>
          </cell>
          <cell r="HY521">
            <v>41.084255745743121</v>
          </cell>
          <cell r="HZ521">
            <v>9.1941023438236513E-2</v>
          </cell>
          <cell r="IA521">
            <v>-86.451744217203782</v>
          </cell>
          <cell r="IB521">
            <v>-0.1775148477102616</v>
          </cell>
          <cell r="IC521">
            <v>-150.4466497178181</v>
          </cell>
          <cell r="ID521">
            <v>-0.27340740345479886</v>
          </cell>
        </row>
        <row r="522">
          <cell r="HR522" t="str">
            <v xml:space="preserve">  Relative Diff.</v>
          </cell>
          <cell r="HS522">
            <v>0.13521469270190137</v>
          </cell>
          <cell r="HU522">
            <v>0.1278370955480726</v>
          </cell>
          <cell r="HW522">
            <v>0.22399140219543334</v>
          </cell>
          <cell r="HY522">
            <v>7.7311854090828122E-2</v>
          </cell>
          <cell r="IA522">
            <v>-0.13149247978537906</v>
          </cell>
          <cell r="IC522">
            <v>-0.20408226630583259</v>
          </cell>
        </row>
        <row r="524">
          <cell r="HR524" t="str">
            <v>VIP, Est.</v>
          </cell>
          <cell r="HS524">
            <v>927.07869405345832</v>
          </cell>
          <cell r="HT524">
            <v>0.12</v>
          </cell>
          <cell r="HU524">
            <v>1068.8126920716857</v>
          </cell>
          <cell r="HV524">
            <v>0.12</v>
          </cell>
          <cell r="HW524">
            <v>1021.8505219370035</v>
          </cell>
          <cell r="HX524">
            <v>0.05</v>
          </cell>
          <cell r="HY524">
            <v>915.20523592324048</v>
          </cell>
          <cell r="HZ524">
            <v>0.05</v>
          </cell>
          <cell r="IA524">
            <v>972.83942329984495</v>
          </cell>
          <cell r="IB524">
            <v>0.05</v>
          </cell>
          <cell r="IC524">
            <v>891.01026264514792</v>
          </cell>
          <cell r="ID524">
            <v>1.9850526990086159E-2</v>
          </cell>
        </row>
        <row r="525">
          <cell r="HR525" t="str">
            <v>VIP, Actual.</v>
          </cell>
          <cell r="HS525">
            <v>926.51373647604282</v>
          </cell>
          <cell r="HT525">
            <v>0.11931747704831985</v>
          </cell>
          <cell r="HU525">
            <v>873.66750231017863</v>
          </cell>
          <cell r="HV525">
            <v>-8.4491033980188424E-2</v>
          </cell>
          <cell r="HW525">
            <v>826.27410821960814</v>
          </cell>
          <cell r="HX525">
            <v>-0.15096406469900991</v>
          </cell>
          <cell r="HY525">
            <v>973.27110396866146</v>
          </cell>
          <cell r="HZ525">
            <v>0.11693036673460355</v>
          </cell>
          <cell r="IA525">
            <v>1013.2898875543249</v>
          </cell>
          <cell r="IB525">
            <v>9.3658785252695331E-2</v>
          </cell>
          <cell r="IC525">
            <v>1104.6934295107803</v>
          </cell>
          <cell r="ID525">
            <v>0.2644323230401906</v>
          </cell>
        </row>
        <row r="526">
          <cell r="HS526" t="str">
            <v xml:space="preserve">_____ </v>
          </cell>
          <cell r="HT526" t="str">
            <v xml:space="preserve">_____ </v>
          </cell>
          <cell r="HU526" t="str">
            <v xml:space="preserve">_____ </v>
          </cell>
          <cell r="HV526" t="str">
            <v xml:space="preserve">_____ </v>
          </cell>
          <cell r="HW526" t="str">
            <v xml:space="preserve">_____ </v>
          </cell>
          <cell r="HX526" t="str">
            <v xml:space="preserve">_____ </v>
          </cell>
          <cell r="HY526" t="str">
            <v xml:space="preserve">_____ </v>
          </cell>
          <cell r="HZ526" t="str">
            <v xml:space="preserve">_____ </v>
          </cell>
          <cell r="IA526" t="str">
            <v xml:space="preserve">_____ </v>
          </cell>
          <cell r="IB526" t="str">
            <v xml:space="preserve">_____ </v>
          </cell>
          <cell r="IC526" t="str">
            <v xml:space="preserve">_____ </v>
          </cell>
          <cell r="ID526" t="str">
            <v xml:space="preserve">_____ </v>
          </cell>
        </row>
        <row r="527">
          <cell r="HR527" t="str">
            <v xml:space="preserve">  Abs. Diff</v>
          </cell>
          <cell r="HS527">
            <v>-0.56495757741549824</v>
          </cell>
          <cell r="HT527">
            <v>-6.8252295168014232E-4</v>
          </cell>
          <cell r="HU527">
            <v>-195.14518976150703</v>
          </cell>
          <cell r="HV527">
            <v>-0.20449103398018842</v>
          </cell>
          <cell r="HW527">
            <v>-195.57641371739533</v>
          </cell>
          <cell r="HX527">
            <v>-0.2009640646990099</v>
          </cell>
          <cell r="HY527">
            <v>58.065868045420984</v>
          </cell>
          <cell r="HZ527">
            <v>6.693036673460355E-2</v>
          </cell>
          <cell r="IA527">
            <v>40.450464254479925</v>
          </cell>
          <cell r="IB527">
            <v>4.3658785252695329E-2</v>
          </cell>
          <cell r="IC527">
            <v>213.68316686563242</v>
          </cell>
          <cell r="ID527">
            <v>0.24458179605010444</v>
          </cell>
        </row>
        <row r="528">
          <cell r="HR528" t="str">
            <v xml:space="preserve">  Relative Diff.</v>
          </cell>
          <cell r="HS528">
            <v>-6.0939549257176754E-4</v>
          </cell>
          <cell r="HU528">
            <v>-0.18258128033945406</v>
          </cell>
          <cell r="HW528">
            <v>-0.19139434733239047</v>
          </cell>
          <cell r="HY528">
            <v>6.3445734100117238E-2</v>
          </cell>
          <cell r="IA528">
            <v>4.1579795478757481E-2</v>
          </cell>
          <cell r="IC528">
            <v>0.23982121847987453</v>
          </cell>
        </row>
        <row r="530">
          <cell r="HS530">
            <v>411.95813247164057</v>
          </cell>
          <cell r="HU530">
            <v>483.33945536276292</v>
          </cell>
          <cell r="HW530">
            <v>510.48493974671209</v>
          </cell>
        </row>
        <row r="531">
          <cell r="HS531">
            <v>942.09145952717051</v>
          </cell>
          <cell r="HU531">
            <v>1072.9080726047741</v>
          </cell>
          <cell r="HW531">
            <v>1004.8567349453626</v>
          </cell>
        </row>
        <row r="533">
          <cell r="IE533" t="str">
            <v>Airport Usage</v>
          </cell>
        </row>
        <row r="534">
          <cell r="IF534" t="str">
            <v>Passengers</v>
          </cell>
          <cell r="IG534" t="str">
            <v>Share of Total</v>
          </cell>
          <cell r="IH534" t="str">
            <v>Share of Capacity</v>
          </cell>
        </row>
        <row r="535">
          <cell r="IE535" t="str">
            <v>Visitors</v>
          </cell>
          <cell r="IF535">
            <v>2059080</v>
          </cell>
          <cell r="IG535">
            <v>0.48440484037845616</v>
          </cell>
          <cell r="IH535">
            <v>0.34317999999999999</v>
          </cell>
        </row>
        <row r="536">
          <cell r="IE536" t="str">
            <v>Transit</v>
          </cell>
          <cell r="IF536">
            <v>1961501.0000000009</v>
          </cell>
          <cell r="IG536">
            <v>0.46144908347766117</v>
          </cell>
          <cell r="IH536">
            <v>0.32691683333333349</v>
          </cell>
        </row>
        <row r="537">
          <cell r="IE537" t="str">
            <v>Residents</v>
          </cell>
          <cell r="IF537">
            <v>230161</v>
          </cell>
          <cell r="IG537">
            <v>5.4146076143882629E-2</v>
          </cell>
          <cell r="IH537">
            <v>3.8360166666666667E-2</v>
          </cell>
        </row>
        <row r="538">
          <cell r="IF538" t="str">
            <v xml:space="preserve">_____ </v>
          </cell>
          <cell r="IG538" t="str">
            <v xml:space="preserve">_____ </v>
          </cell>
          <cell r="IH538" t="str">
            <v xml:space="preserve">_____ </v>
          </cell>
        </row>
        <row r="539">
          <cell r="IE539" t="str">
            <v>Total</v>
          </cell>
          <cell r="IF539">
            <v>4250742.0000000009</v>
          </cell>
          <cell r="IG539">
            <v>1</v>
          </cell>
          <cell r="IH539">
            <v>0.70845700000000011</v>
          </cell>
        </row>
        <row r="541">
          <cell r="IE541" t="str">
            <v>Capacity</v>
          </cell>
          <cell r="IF541">
            <v>6000000</v>
          </cell>
        </row>
        <row r="542">
          <cell r="IF542">
            <v>3808337.9999999991</v>
          </cell>
          <cell r="IG542">
            <v>5.3350167810084708</v>
          </cell>
        </row>
        <row r="543">
          <cell r="IE543" t="str">
            <v>2006 YTD growth</v>
          </cell>
          <cell r="IF543">
            <v>0.12216927646183851</v>
          </cell>
          <cell r="IG543">
            <v>2.9902390339775282</v>
          </cell>
        </row>
        <row r="544">
          <cell r="IE544" t="str">
            <v>2005 growth</v>
          </cell>
          <cell r="IF544">
            <v>0.14443876961730462</v>
          </cell>
          <cell r="IG544">
            <v>2.5547014793890397</v>
          </cell>
        </row>
        <row r="545">
          <cell r="II545" t="str">
            <v>Gongbei Usage</v>
          </cell>
        </row>
        <row r="546">
          <cell r="IJ546" t="str">
            <v>Passengers</v>
          </cell>
          <cell r="IK546" t="str">
            <v>Share of Total</v>
          </cell>
          <cell r="IL546" t="str">
            <v>Share of Capacity</v>
          </cell>
        </row>
        <row r="547">
          <cell r="II547" t="str">
            <v>Visitors</v>
          </cell>
          <cell r="IJ547">
            <v>20683628</v>
          </cell>
          <cell r="IK547">
            <v>0.29134074764079332</v>
          </cell>
          <cell r="IL547">
            <v>0.18889157990867581</v>
          </cell>
        </row>
        <row r="548">
          <cell r="II548" t="str">
            <v>Residents</v>
          </cell>
          <cell r="IJ548">
            <v>50311000</v>
          </cell>
          <cell r="IK548">
            <v>0.70865925235920668</v>
          </cell>
          <cell r="IL548">
            <v>0.45946118721461188</v>
          </cell>
        </row>
        <row r="549">
          <cell r="IJ549" t="str">
            <v xml:space="preserve">_____ </v>
          </cell>
          <cell r="IK549" t="str">
            <v xml:space="preserve">_____ </v>
          </cell>
          <cell r="IL549" t="str">
            <v xml:space="preserve">_____ </v>
          </cell>
        </row>
        <row r="550">
          <cell r="II550" t="str">
            <v>Total</v>
          </cell>
          <cell r="IJ550">
            <v>70994628</v>
          </cell>
          <cell r="IK550">
            <v>1</v>
          </cell>
          <cell r="IL550">
            <v>0.64835276712328771</v>
          </cell>
        </row>
        <row r="552">
          <cell r="II552" t="str">
            <v>Capacity</v>
          </cell>
          <cell r="IJ552">
            <v>109500000</v>
          </cell>
        </row>
        <row r="553">
          <cell r="IJ553">
            <v>59189000</v>
          </cell>
          <cell r="IK553">
            <v>7.0839051886568658</v>
          </cell>
        </row>
        <row r="554">
          <cell r="II554" t="str">
            <v>2006 YTD growth</v>
          </cell>
          <cell r="IJ554">
            <v>0.25469967959915674</v>
          </cell>
          <cell r="IK554">
            <v>1.909773065603966</v>
          </cell>
        </row>
        <row r="555">
          <cell r="II555" t="str">
            <v>2005 growth</v>
          </cell>
          <cell r="IJ555">
            <v>0.17375041908251521</v>
          </cell>
          <cell r="IK555">
            <v>2.7048016488088877</v>
          </cell>
        </row>
        <row r="556">
          <cell r="IK556" t="e">
            <v>#DIV/0!</v>
          </cell>
        </row>
        <row r="557">
          <cell r="IM557" t="str">
            <v>New Retail Space</v>
          </cell>
        </row>
        <row r="558">
          <cell r="IM558" t="str">
            <v>Property</v>
          </cell>
          <cell r="IN558" t="str">
            <v>Square Feet</v>
          </cell>
          <cell r="IO558" t="str">
            <v>Opening</v>
          </cell>
        </row>
        <row r="560">
          <cell r="IM560" t="str">
            <v>Wynn Macau</v>
          </cell>
          <cell r="IN560">
            <v>26000</v>
          </cell>
          <cell r="IO560" t="str">
            <v>3Q06</v>
          </cell>
        </row>
        <row r="561">
          <cell r="IM561" t="str">
            <v>Crown Macau</v>
          </cell>
          <cell r="IN561">
            <v>312500</v>
          </cell>
          <cell r="IO561" t="str">
            <v>2Q07</v>
          </cell>
        </row>
        <row r="562">
          <cell r="IM562" t="str">
            <v>Venetian Macao</v>
          </cell>
          <cell r="IN562">
            <v>1000000</v>
          </cell>
          <cell r="IO562" t="str">
            <v>3Q07</v>
          </cell>
        </row>
        <row r="563">
          <cell r="IM563" t="str">
            <v>Four Seasons</v>
          </cell>
          <cell r="IN563">
            <v>190000</v>
          </cell>
          <cell r="IO563" t="str">
            <v>1Q08</v>
          </cell>
        </row>
        <row r="564">
          <cell r="IM564" t="str">
            <v>Cotai - Shangri-La</v>
          </cell>
          <cell r="IN564">
            <v>375000</v>
          </cell>
          <cell r="IO564" t="str">
            <v>2Q08</v>
          </cell>
        </row>
        <row r="565">
          <cell r="IM565" t="str">
            <v>Cotai - Starwood</v>
          </cell>
          <cell r="IN565">
            <v>375000</v>
          </cell>
          <cell r="IO565" t="str">
            <v>2Q08</v>
          </cell>
        </row>
        <row r="566">
          <cell r="IM566" t="str">
            <v>Galaxy Cotai Megaresort</v>
          </cell>
          <cell r="IN566">
            <v>187500</v>
          </cell>
          <cell r="IO566" t="str">
            <v>3Q08</v>
          </cell>
        </row>
        <row r="567">
          <cell r="IM567" t="str">
            <v>Cotai - Far East</v>
          </cell>
          <cell r="IN567">
            <v>300000</v>
          </cell>
          <cell r="IO567" t="str">
            <v>4Q08</v>
          </cell>
        </row>
        <row r="568">
          <cell r="IM568" t="str">
            <v>Cotai - Hilton</v>
          </cell>
          <cell r="IN568">
            <v>375000</v>
          </cell>
          <cell r="IO568" t="str">
            <v>4Q08</v>
          </cell>
        </row>
        <row r="569">
          <cell r="IM569" t="str">
            <v>Cotai - Fairmont/Raffles</v>
          </cell>
          <cell r="IN569">
            <v>375000</v>
          </cell>
          <cell r="IO569" t="str">
            <v>4Q08</v>
          </cell>
        </row>
        <row r="570">
          <cell r="IM570" t="str">
            <v>City of Dreams</v>
          </cell>
          <cell r="IN570">
            <v>67250</v>
          </cell>
          <cell r="IO570">
            <v>2009</v>
          </cell>
        </row>
        <row r="571">
          <cell r="IM571" t="str">
            <v>Landmark Center</v>
          </cell>
          <cell r="IN571">
            <v>237500</v>
          </cell>
          <cell r="IO571">
            <v>2009</v>
          </cell>
        </row>
        <row r="572">
          <cell r="IM572" t="str">
            <v>Shun Tak Nam Van</v>
          </cell>
          <cell r="IN572">
            <v>312500</v>
          </cell>
          <cell r="IO572">
            <v>2011</v>
          </cell>
        </row>
        <row r="573">
          <cell r="IN573" t="str">
            <v xml:space="preserve">_____ </v>
          </cell>
        </row>
        <row r="574">
          <cell r="IM574" t="str">
            <v>Total</v>
          </cell>
          <cell r="IN574">
            <v>4133250</v>
          </cell>
        </row>
        <row r="576">
          <cell r="IP576" t="str">
            <v>2010 LVS Total Market Share</v>
          </cell>
        </row>
        <row r="577">
          <cell r="IP577" t="str">
            <v>Property</v>
          </cell>
          <cell r="IQ577" t="str">
            <v>Market Share</v>
          </cell>
        </row>
        <row r="578">
          <cell r="IP578" t="str">
            <v>Sands Macao</v>
          </cell>
          <cell r="IQ578">
            <v>6.3853869920850292E-2</v>
          </cell>
        </row>
        <row r="579">
          <cell r="IP579" t="str">
            <v>Venetian Macao</v>
          </cell>
          <cell r="IQ579">
            <v>0.10494703815738311</v>
          </cell>
        </row>
        <row r="580">
          <cell r="IP580" t="str">
            <v>LVS Cotai Strip</v>
          </cell>
          <cell r="IQ580">
            <v>0.13509998321921712</v>
          </cell>
        </row>
        <row r="581">
          <cell r="IQ581" t="str">
            <v xml:space="preserve">_____   </v>
          </cell>
        </row>
        <row r="582">
          <cell r="IP582" t="str">
            <v>Total LVS Market Share</v>
          </cell>
          <cell r="IQ582">
            <v>0.30390089129745051</v>
          </cell>
        </row>
      </sheetData>
      <sheetData sheetId="10" refreshError="1"/>
      <sheetData sheetId="11" refreshError="1">
        <row r="2">
          <cell r="C2" t="str">
            <v>1Q00</v>
          </cell>
          <cell r="D2" t="str">
            <v>2Q00</v>
          </cell>
          <cell r="E2" t="str">
            <v>3Q00</v>
          </cell>
          <cell r="F2" t="str">
            <v>4Q00</v>
          </cell>
          <cell r="G2" t="str">
            <v>1Q01</v>
          </cell>
          <cell r="H2" t="str">
            <v>2Q01</v>
          </cell>
          <cell r="I2" t="str">
            <v>3Q01</v>
          </cell>
          <cell r="J2" t="str">
            <v>4Q01</v>
          </cell>
          <cell r="K2" t="str">
            <v>1Q02</v>
          </cell>
          <cell r="L2" t="str">
            <v>2Q02</v>
          </cell>
          <cell r="M2" t="str">
            <v>3Q02</v>
          </cell>
          <cell r="N2" t="str">
            <v>4Q02</v>
          </cell>
          <cell r="O2" t="str">
            <v>1Q03</v>
          </cell>
          <cell r="P2" t="str">
            <v>2Q03</v>
          </cell>
          <cell r="Q2" t="str">
            <v>3Q03</v>
          </cell>
          <cell r="R2" t="str">
            <v>4Q03</v>
          </cell>
          <cell r="S2" t="str">
            <v>1Q04</v>
          </cell>
          <cell r="T2" t="str">
            <v>2Q04</v>
          </cell>
          <cell r="U2" t="str">
            <v>3Q04</v>
          </cell>
          <cell r="V2" t="str">
            <v>4Q04</v>
          </cell>
          <cell r="W2" t="str">
            <v>1Q05</v>
          </cell>
          <cell r="X2" t="str">
            <v>2Q05</v>
          </cell>
          <cell r="Y2" t="str">
            <v>3Q05</v>
          </cell>
          <cell r="Z2" t="str">
            <v>4Q05</v>
          </cell>
          <cell r="AA2" t="str">
            <v>1Q06</v>
          </cell>
          <cell r="AB2" t="str">
            <v>2Q06</v>
          </cell>
        </row>
        <row r="3">
          <cell r="B3" t="str">
            <v>Visitors</v>
          </cell>
          <cell r="C3">
            <v>0.57844899999999999</v>
          </cell>
          <cell r="D3">
            <v>0.54893999999999998</v>
          </cell>
          <cell r="E3">
            <v>0.55027999999999999</v>
          </cell>
          <cell r="F3">
            <v>0.59704400000000002</v>
          </cell>
          <cell r="G3">
            <v>0.65302700000000002</v>
          </cell>
          <cell r="H3">
            <v>0.70688700000000004</v>
          </cell>
          <cell r="I3">
            <v>0.79081500000000005</v>
          </cell>
          <cell r="J3">
            <v>0.854993</v>
          </cell>
          <cell r="K3">
            <v>0.87337799999999999</v>
          </cell>
          <cell r="L3">
            <v>0.99712999999999996</v>
          </cell>
          <cell r="M3">
            <v>1.074287</v>
          </cell>
          <cell r="N3">
            <v>1.2956510000000001</v>
          </cell>
          <cell r="O3">
            <v>1.3382860000000001</v>
          </cell>
          <cell r="P3">
            <v>0.93695799999999996</v>
          </cell>
          <cell r="Q3">
            <v>1.5344089999999999</v>
          </cell>
          <cell r="R3">
            <v>1.932383</v>
          </cell>
          <cell r="S3">
            <v>2.1895210000000001</v>
          </cell>
          <cell r="T3">
            <v>2.2764180000000001</v>
          </cell>
          <cell r="U3">
            <v>2.4935589999999999</v>
          </cell>
          <cell r="V3">
            <v>2.5702410000000002</v>
          </cell>
          <cell r="W3">
            <v>2.4850150000000002</v>
          </cell>
          <cell r="X3">
            <v>2.5055670000000001</v>
          </cell>
          <cell r="Y3">
            <v>2.6505230000000002</v>
          </cell>
          <cell r="Z3">
            <v>2.8218610000000002</v>
          </cell>
          <cell r="AA3">
            <v>2.9777629999999999</v>
          </cell>
          <cell r="AB3">
            <v>2.8476919999999999</v>
          </cell>
        </row>
        <row r="4">
          <cell r="B4" t="str">
            <v>Growth</v>
          </cell>
          <cell r="G4">
            <v>0.12892752861531442</v>
          </cell>
          <cell r="H4">
            <v>0.28773089955186371</v>
          </cell>
          <cell r="I4">
            <v>0.43711383295776707</v>
          </cell>
          <cell r="J4">
            <v>0.43204353447987076</v>
          </cell>
          <cell r="K4">
            <v>0.33743015219891359</v>
          </cell>
          <cell r="L4">
            <v>0.41059320655210785</v>
          </cell>
          <cell r="M4">
            <v>0.35845551740925496</v>
          </cell>
          <cell r="N4">
            <v>0.51539369328169959</v>
          </cell>
          <cell r="O4">
            <v>0.53231017955570215</v>
          </cell>
          <cell r="P4">
            <v>-6.0345190697301265E-2</v>
          </cell>
          <cell r="Q4">
            <v>0.42830454059296996</v>
          </cell>
          <cell r="R4">
            <v>0.49143789492695156</v>
          </cell>
          <cell r="S4">
            <v>0.63606359178830219</v>
          </cell>
          <cell r="T4">
            <v>1.4295838233944318</v>
          </cell>
          <cell r="U4">
            <v>0.62509409160139184</v>
          </cell>
          <cell r="V4">
            <v>0.33008880744655711</v>
          </cell>
          <cell r="W4">
            <v>0.1349582853966691</v>
          </cell>
          <cell r="X4">
            <v>0.10066209281423721</v>
          </cell>
          <cell r="Y4">
            <v>6.2947778656931908E-2</v>
          </cell>
          <cell r="Z4">
            <v>9.7897434520731741E-2</v>
          </cell>
          <cell r="AA4">
            <v>0.19828773669374211</v>
          </cell>
          <cell r="AB4">
            <v>0.13654593950191707</v>
          </cell>
        </row>
        <row r="28">
          <cell r="AE28" t="str">
            <v>Macau visitor stats</v>
          </cell>
        </row>
        <row r="29">
          <cell r="AE29" t="str">
            <v>($mm)</v>
          </cell>
          <cell r="AF29">
            <v>1996</v>
          </cell>
          <cell r="AG29">
            <v>1997</v>
          </cell>
          <cell r="AH29">
            <v>1998</v>
          </cell>
          <cell r="AI29">
            <v>1999</v>
          </cell>
          <cell r="AJ29">
            <v>2000</v>
          </cell>
          <cell r="AK29">
            <v>2001</v>
          </cell>
          <cell r="AL29">
            <v>2002</v>
          </cell>
          <cell r="AM29">
            <v>2003</v>
          </cell>
          <cell r="AN29">
            <v>2004</v>
          </cell>
        </row>
        <row r="31">
          <cell r="AE31" t="str">
            <v>Mainland China Visitors</v>
          </cell>
          <cell r="AF31">
            <v>0.60419999999999996</v>
          </cell>
          <cell r="AG31">
            <v>0.52980000000000005</v>
          </cell>
          <cell r="AH31">
            <v>0.81679999999999997</v>
          </cell>
          <cell r="AI31">
            <v>1.6452</v>
          </cell>
          <cell r="AJ31">
            <v>2.2747129999999998</v>
          </cell>
          <cell r="AK31">
            <v>3.005722</v>
          </cell>
          <cell r="AL31">
            <v>4.2404460000000004</v>
          </cell>
          <cell r="AM31">
            <v>5.7420359999999997</v>
          </cell>
          <cell r="AN31">
            <v>9.5297389999999993</v>
          </cell>
        </row>
        <row r="32">
          <cell r="AE32" t="str">
            <v>Mainland China Visitor Growth</v>
          </cell>
          <cell r="AF32">
            <v>0.1122974963181147</v>
          </cell>
          <cell r="AG32">
            <v>-0.12313803376365429</v>
          </cell>
          <cell r="AH32">
            <v>0.54171385428463559</v>
          </cell>
          <cell r="AI32">
            <v>1.0142017629774731</v>
          </cell>
          <cell r="AJ32">
            <v>0.3826361536591294</v>
          </cell>
          <cell r="AK32">
            <v>0.32136317856362551</v>
          </cell>
          <cell r="AL32">
            <v>0.41079115101130448</v>
          </cell>
          <cell r="AM32">
            <v>0.3541113364018782</v>
          </cell>
          <cell r="AN32">
            <v>0.65964459296319289</v>
          </cell>
        </row>
        <row r="33">
          <cell r="AE33" t="str">
            <v>Total Visitors</v>
          </cell>
          <cell r="AF33">
            <v>8.1510999999999996</v>
          </cell>
          <cell r="AG33">
            <v>7.0004</v>
          </cell>
          <cell r="AH33">
            <v>6.9485000000000001</v>
          </cell>
          <cell r="AI33">
            <v>7.4439000000000002</v>
          </cell>
          <cell r="AJ33">
            <v>9.1622120000000002</v>
          </cell>
          <cell r="AK33">
            <v>10.278973000000001</v>
          </cell>
          <cell r="AL33">
            <v>11.530841000000001</v>
          </cell>
          <cell r="AM33">
            <v>11.887875999999999</v>
          </cell>
          <cell r="AN33">
            <v>16.672556</v>
          </cell>
        </row>
        <row r="34">
          <cell r="AE34" t="str">
            <v>Total Visitor Growth</v>
          </cell>
          <cell r="AF34">
            <v>5.1415672363753551E-2</v>
          </cell>
          <cell r="AG34">
            <v>-0.1411711302768951</v>
          </cell>
          <cell r="AH34">
            <v>-7.4138620650248122E-3</v>
          </cell>
          <cell r="AI34">
            <v>7.1295963157516073E-2</v>
          </cell>
          <cell r="AJ34">
            <v>0.23083491180698301</v>
          </cell>
          <cell r="AK34">
            <v>0.12188770571997254</v>
          </cell>
          <cell r="AL34">
            <v>0.12178920987534458</v>
          </cell>
          <cell r="AM34">
            <v>3.0963483062510289E-2</v>
          </cell>
          <cell r="AN34">
            <v>0.40248400975918686</v>
          </cell>
        </row>
        <row r="58">
          <cell r="AO58" t="str">
            <v>Macau vs LV vs AC</v>
          </cell>
        </row>
        <row r="59">
          <cell r="AO59">
            <v>2005</v>
          </cell>
          <cell r="AP59" t="str">
            <v>Macau</v>
          </cell>
          <cell r="AQ59" t="str">
            <v>Las Vegas</v>
          </cell>
          <cell r="AR59" t="str">
            <v>Atlantic City</v>
          </cell>
        </row>
        <row r="61">
          <cell r="AO61" t="str">
            <v>Revenue</v>
          </cell>
          <cell r="AP61">
            <v>5583.0517159194042</v>
          </cell>
          <cell r="AQ61">
            <v>6035.5789210000003</v>
          </cell>
          <cell r="AR61">
            <v>5017.7659150000009</v>
          </cell>
        </row>
        <row r="62">
          <cell r="AO62" t="str">
            <v>dummy</v>
          </cell>
          <cell r="AP62">
            <v>0</v>
          </cell>
          <cell r="AQ62">
            <v>0</v>
          </cell>
          <cell r="AR62">
            <v>0</v>
          </cell>
        </row>
        <row r="63">
          <cell r="AO63" t="str">
            <v>dummy</v>
          </cell>
          <cell r="AP63">
            <v>0</v>
          </cell>
          <cell r="AQ63">
            <v>0</v>
          </cell>
          <cell r="AR63">
            <v>0</v>
          </cell>
        </row>
        <row r="64">
          <cell r="AO64" t="str">
            <v>dummy</v>
          </cell>
          <cell r="AP64">
            <v>0</v>
          </cell>
          <cell r="AQ64">
            <v>0</v>
          </cell>
          <cell r="AR64">
            <v>0</v>
          </cell>
        </row>
        <row r="65">
          <cell r="AO65" t="str">
            <v>Table Positions</v>
          </cell>
          <cell r="AP65">
            <v>13880</v>
          </cell>
          <cell r="AQ65">
            <v>19188</v>
          </cell>
          <cell r="AR65">
            <v>9636</v>
          </cell>
        </row>
        <row r="66">
          <cell r="AO66" t="str">
            <v>Slots</v>
          </cell>
          <cell r="AP66">
            <v>3421</v>
          </cell>
          <cell r="AQ66">
            <v>55067</v>
          </cell>
          <cell r="AR66">
            <v>41231</v>
          </cell>
        </row>
        <row r="68">
          <cell r="AO68" t="str">
            <v>Tables</v>
          </cell>
          <cell r="AP68">
            <v>1388</v>
          </cell>
          <cell r="AQ68">
            <v>3198</v>
          </cell>
          <cell r="AR68">
            <v>1606</v>
          </cell>
        </row>
        <row r="92">
          <cell r="AZ92" t="str">
            <v>Mass market/VIP/Total forecast</v>
          </cell>
        </row>
        <row r="93">
          <cell r="BA93">
            <v>1996</v>
          </cell>
          <cell r="BB93">
            <v>1997</v>
          </cell>
          <cell r="BC93">
            <v>1998</v>
          </cell>
          <cell r="BD93">
            <v>1999</v>
          </cell>
          <cell r="BE93">
            <v>2000</v>
          </cell>
          <cell r="BF93">
            <v>2001</v>
          </cell>
          <cell r="BG93">
            <v>2002</v>
          </cell>
          <cell r="BH93">
            <v>2003</v>
          </cell>
          <cell r="BI93">
            <v>2004</v>
          </cell>
          <cell r="BJ93">
            <v>2005</v>
          </cell>
          <cell r="BK93" t="str">
            <v>2006E</v>
          </cell>
          <cell r="BL93" t="str">
            <v>2007E</v>
          </cell>
          <cell r="BM93" t="str">
            <v>2008E</v>
          </cell>
          <cell r="BN93" t="str">
            <v>2009E</v>
          </cell>
          <cell r="BO93" t="str">
            <v>2010E</v>
          </cell>
        </row>
        <row r="94">
          <cell r="AZ94" t="str">
            <v>Mass Market</v>
          </cell>
          <cell r="BA94">
            <v>743.50329546010403</v>
          </cell>
          <cell r="BB94">
            <v>680.70481053873436</v>
          </cell>
          <cell r="BC94">
            <v>662.81947826698092</v>
          </cell>
          <cell r="BD94">
            <v>551.5480923777086</v>
          </cell>
          <cell r="BE94">
            <v>636.64034915406774</v>
          </cell>
          <cell r="BF94">
            <v>666.8908353861749</v>
          </cell>
          <cell r="BG94">
            <v>710.66439337316001</v>
          </cell>
          <cell r="BH94">
            <v>789.22213822157244</v>
          </cell>
          <cell r="BI94">
            <v>1405.5569362255396</v>
          </cell>
          <cell r="BJ94">
            <v>2085.2160815156567</v>
          </cell>
          <cell r="BK94">
            <v>2410.12711598839</v>
          </cell>
          <cell r="BL94">
            <v>3166.4450790961996</v>
          </cell>
          <cell r="BM94">
            <v>3987.0430218892116</v>
          </cell>
          <cell r="BN94">
            <v>5147.5260704163238</v>
          </cell>
          <cell r="BO94">
            <v>6335.90432669035</v>
          </cell>
        </row>
        <row r="95">
          <cell r="AZ95" t="str">
            <v>Mass Market Growth</v>
          </cell>
          <cell r="BA95">
            <v>-8.5061861588807242E-2</v>
          </cell>
          <cell r="BB95">
            <v>-8.446295437400575E-2</v>
          </cell>
          <cell r="BC95">
            <v>-2.6274725835415125E-2</v>
          </cell>
          <cell r="BD95">
            <v>-0.16787585389042037</v>
          </cell>
          <cell r="BE95">
            <v>0.15427894312811197</v>
          </cell>
          <cell r="BF95">
            <v>4.7515816853742177E-2</v>
          </cell>
          <cell r="BG95">
            <v>6.5638265911447391E-2</v>
          </cell>
          <cell r="BH95">
            <v>0.11054127036749239</v>
          </cell>
          <cell r="BI95">
            <v>0.78093957094616173</v>
          </cell>
          <cell r="BJ95">
            <v>0.48355148608583787</v>
          </cell>
          <cell r="BK95">
            <v>0.15581648221155531</v>
          </cell>
          <cell r="BL95">
            <v>0.31380832906717648</v>
          </cell>
          <cell r="BM95">
            <v>0.25915432679073525</v>
          </cell>
          <cell r="BN95">
            <v>0.29106358826728473</v>
          </cell>
          <cell r="BO95">
            <v>0.23086396067109427</v>
          </cell>
        </row>
        <row r="96">
          <cell r="AZ96" t="str">
            <v>VIP</v>
          </cell>
          <cell r="BA96">
            <v>1311.6412933882118</v>
          </cell>
          <cell r="BB96">
            <v>1543.9553513896376</v>
          </cell>
          <cell r="BC96">
            <v>1152.1755032529654</v>
          </cell>
          <cell r="BD96">
            <v>1070.2080149186154</v>
          </cell>
          <cell r="BE96">
            <v>1350.1079731470891</v>
          </cell>
          <cell r="BF96">
            <v>1589.0514861480779</v>
          </cell>
          <cell r="BG96">
            <v>1983.8078367889864</v>
          </cell>
          <cell r="BH96">
            <v>2688.8498544599533</v>
          </cell>
          <cell r="BI96">
            <v>3607.0036807892443</v>
          </cell>
          <cell r="BJ96">
            <v>3497.8356344037484</v>
          </cell>
          <cell r="BK96">
            <v>4462.2919091703079</v>
          </cell>
          <cell r="BL96">
            <v>5544.8648697270928</v>
          </cell>
          <cell r="BM96">
            <v>5988.4540593052607</v>
          </cell>
          <cell r="BN96">
            <v>6347.7613028635769</v>
          </cell>
          <cell r="BO96">
            <v>6601.6717549781206</v>
          </cell>
        </row>
        <row r="97">
          <cell r="AZ97" t="str">
            <v>VIP Growth</v>
          </cell>
          <cell r="BA97">
            <v>-4.4825780687432371E-2</v>
          </cell>
          <cell r="BB97">
            <v>0.17711706635990065</v>
          </cell>
          <cell r="BC97">
            <v>-0.2537507627950838</v>
          </cell>
          <cell r="BD97">
            <v>-7.114149546048254E-2</v>
          </cell>
          <cell r="BE97">
            <v>0.26153790134879418</v>
          </cell>
          <cell r="BF97">
            <v>0.17698103985269698</v>
          </cell>
          <cell r="BG97">
            <v>0.24842263078448967</v>
          </cell>
          <cell r="BH97">
            <v>0.35539834282142757</v>
          </cell>
          <cell r="BI97">
            <v>0.34146712387319189</v>
          </cell>
          <cell r="BJ97">
            <v>-3.0265576652145021E-2</v>
          </cell>
          <cell r="BK97">
            <v>0.27572944402545185</v>
          </cell>
          <cell r="BL97">
            <v>0.24260469341596069</v>
          </cell>
          <cell r="BM97">
            <v>0.08</v>
          </cell>
          <cell r="BN97">
            <v>0.06</v>
          </cell>
          <cell r="BO97">
            <v>3.9999999999999994E-2</v>
          </cell>
        </row>
        <row r="121">
          <cell r="BS121">
            <v>1996</v>
          </cell>
          <cell r="BT121">
            <v>1997</v>
          </cell>
          <cell r="BU121">
            <v>1998</v>
          </cell>
          <cell r="BV121">
            <v>1999</v>
          </cell>
          <cell r="BW121">
            <v>2000</v>
          </cell>
          <cell r="BX121">
            <v>2001</v>
          </cell>
          <cell r="BY121">
            <v>2002</v>
          </cell>
          <cell r="BZ121">
            <v>2003</v>
          </cell>
          <cell r="CA121">
            <v>2004</v>
          </cell>
          <cell r="CB121">
            <v>2005</v>
          </cell>
          <cell r="CC121">
            <v>2006</v>
          </cell>
          <cell r="CD121" t="str">
            <v>2007E</v>
          </cell>
          <cell r="CE121" t="str">
            <v>2008E</v>
          </cell>
          <cell r="CF121" t="str">
            <v>2009E</v>
          </cell>
          <cell r="CG121" t="str">
            <v>2010E</v>
          </cell>
        </row>
        <row r="122">
          <cell r="BR122" t="str">
            <v>Mass Market Growth</v>
          </cell>
          <cell r="BS122">
            <v>-8.5061861588807242E-2</v>
          </cell>
          <cell r="BT122">
            <v>-8.446295437400575E-2</v>
          </cell>
          <cell r="BU122">
            <v>-2.6274725835415125E-2</v>
          </cell>
          <cell r="BV122">
            <v>-0.16787585389042037</v>
          </cell>
          <cell r="BW122">
            <v>0.15427894312811197</v>
          </cell>
          <cell r="BX122">
            <v>4.7515816853742177E-2</v>
          </cell>
          <cell r="BY122">
            <v>6.5638265911447391E-2</v>
          </cell>
          <cell r="BZ122">
            <v>0.11054127036749239</v>
          </cell>
          <cell r="CA122">
            <v>0.78093957094616173</v>
          </cell>
          <cell r="CB122">
            <v>0.48355148608583787</v>
          </cell>
          <cell r="CC122">
            <v>0.15581648221155531</v>
          </cell>
          <cell r="CD122">
            <v>0.31380832906717648</v>
          </cell>
          <cell r="CE122">
            <v>0.25915432679073525</v>
          </cell>
          <cell r="CF122">
            <v>0.29106358826728473</v>
          </cell>
          <cell r="CG122">
            <v>0.23086396067109427</v>
          </cell>
        </row>
        <row r="123">
          <cell r="BR123" t="str">
            <v>VIP Growth</v>
          </cell>
          <cell r="BS123">
            <v>-4.4825780687432371E-2</v>
          </cell>
          <cell r="BT123">
            <v>0.17711706635990065</v>
          </cell>
          <cell r="BU123">
            <v>-0.2537507627950838</v>
          </cell>
          <cell r="BV123">
            <v>-7.114149546048254E-2</v>
          </cell>
          <cell r="BW123">
            <v>0.26153790134879418</v>
          </cell>
          <cell r="BX123">
            <v>0.17698103985269698</v>
          </cell>
          <cell r="BY123">
            <v>0.24842263078448967</v>
          </cell>
          <cell r="BZ123">
            <v>0.35539834282142757</v>
          </cell>
          <cell r="CA123">
            <v>0.34146712387319189</v>
          </cell>
          <cell r="CB123">
            <v>-3.0265576652145021E-2</v>
          </cell>
          <cell r="CC123">
            <v>0.27572944402545185</v>
          </cell>
          <cell r="CD123">
            <v>0.24260469341596069</v>
          </cell>
          <cell r="CE123">
            <v>0.08</v>
          </cell>
          <cell r="CF123">
            <v>0.06</v>
          </cell>
          <cell r="CG123">
            <v>3.9999999999999994E-2</v>
          </cell>
        </row>
        <row r="124">
          <cell r="BR124" t="str">
            <v>Mass Market</v>
          </cell>
          <cell r="BS124">
            <v>743.50329546010403</v>
          </cell>
          <cell r="BT124">
            <v>680.70481053873436</v>
          </cell>
          <cell r="BU124">
            <v>662.81947826698092</v>
          </cell>
          <cell r="BV124">
            <v>551.5480923777086</v>
          </cell>
          <cell r="BW124">
            <v>636.64034915406774</v>
          </cell>
          <cell r="BX124">
            <v>666.8908353861749</v>
          </cell>
          <cell r="BY124">
            <v>710.66439337316001</v>
          </cell>
          <cell r="BZ124">
            <v>789.22213822157244</v>
          </cell>
          <cell r="CA124">
            <v>1405.5569362255396</v>
          </cell>
          <cell r="CB124">
            <v>2085.2160815156567</v>
          </cell>
          <cell r="CC124">
            <v>2410.12711598839</v>
          </cell>
        </row>
        <row r="125">
          <cell r="BR125" t="str">
            <v>VIP</v>
          </cell>
          <cell r="BS125">
            <v>1311.6412933882118</v>
          </cell>
          <cell r="BT125">
            <v>1543.9553513896376</v>
          </cell>
          <cell r="BU125">
            <v>1152.1755032529654</v>
          </cell>
          <cell r="BV125">
            <v>1070.2080149186154</v>
          </cell>
          <cell r="BW125">
            <v>1350.1079731470891</v>
          </cell>
          <cell r="BX125">
            <v>1589.0514861480779</v>
          </cell>
          <cell r="BY125">
            <v>1983.8078367889864</v>
          </cell>
          <cell r="BZ125">
            <v>2688.8498544599533</v>
          </cell>
          <cell r="CA125">
            <v>3607.0036807892443</v>
          </cell>
          <cell r="CB125">
            <v>3497.8356344037484</v>
          </cell>
          <cell r="CC125">
            <v>4462.2919091703079</v>
          </cell>
        </row>
        <row r="126">
          <cell r="BR126" t="str">
            <v>Mass Market</v>
          </cell>
          <cell r="CD126">
            <v>3166.4450790961996</v>
          </cell>
          <cell r="CE126">
            <v>3987.0430218892116</v>
          </cell>
          <cell r="CF126">
            <v>5147.5260704163238</v>
          </cell>
          <cell r="CG126">
            <v>6335.90432669035</v>
          </cell>
        </row>
        <row r="127">
          <cell r="BR127" t="str">
            <v>VIP</v>
          </cell>
          <cell r="CD127">
            <v>5544.8648697270928</v>
          </cell>
          <cell r="CE127">
            <v>5988.4540593052607</v>
          </cell>
          <cell r="CF127">
            <v>6347.7613028635769</v>
          </cell>
          <cell r="CG127">
            <v>6601.6717549781206</v>
          </cell>
        </row>
        <row r="149">
          <cell r="CH149" t="str">
            <v>Visitor Volume forecast</v>
          </cell>
        </row>
        <row r="150">
          <cell r="CI150">
            <v>2003</v>
          </cell>
          <cell r="CJ150">
            <v>2004</v>
          </cell>
          <cell r="CK150">
            <v>2005</v>
          </cell>
          <cell r="CL150" t="str">
            <v>2006E</v>
          </cell>
          <cell r="CM150" t="str">
            <v>2007E</v>
          </cell>
          <cell r="CN150" t="str">
            <v>2008E</v>
          </cell>
          <cell r="CO150" t="str">
            <v>2009E</v>
          </cell>
          <cell r="CP150" t="str">
            <v>2010E</v>
          </cell>
        </row>
        <row r="151">
          <cell r="CH151" t="str">
            <v>China Visitors</v>
          </cell>
          <cell r="CI151">
            <v>5.7420359999999997</v>
          </cell>
          <cell r="CJ151">
            <v>9.5297389999999993</v>
          </cell>
          <cell r="CK151">
            <v>10.462966</v>
          </cell>
          <cell r="CL151">
            <v>11.985617</v>
          </cell>
          <cell r="CM151">
            <v>14.484650159144822</v>
          </cell>
          <cell r="CN151">
            <v>17.638701722452655</v>
          </cell>
          <cell r="CO151">
            <v>21.558132326615485</v>
          </cell>
          <cell r="CP151">
            <v>26.21178215894642</v>
          </cell>
        </row>
        <row r="152">
          <cell r="CH152" t="str">
            <v>China Growth</v>
          </cell>
          <cell r="CJ152">
            <v>0.65964459296319289</v>
          </cell>
          <cell r="CK152">
            <v>9.7927865600516473E-2</v>
          </cell>
          <cell r="CL152">
            <v>0.14552766395303207</v>
          </cell>
          <cell r="CM152">
            <v>0.20850267108859089</v>
          </cell>
          <cell r="CN152">
            <v>0.21775131112272916</v>
          </cell>
          <cell r="CO152">
            <v>0.22220629759693189</v>
          </cell>
          <cell r="CP152">
            <v>0.21586516688115776</v>
          </cell>
        </row>
        <row r="153">
          <cell r="CH153" t="str">
            <v>Other Visitors</v>
          </cell>
          <cell r="CI153">
            <v>6.1458399999999989</v>
          </cell>
          <cell r="CJ153">
            <v>7.1428170000000009</v>
          </cell>
          <cell r="CK153">
            <v>8.2482209999999991</v>
          </cell>
          <cell r="CL153">
            <v>10.012505000000003</v>
          </cell>
          <cell r="CM153">
            <v>12.368561300000001</v>
          </cell>
          <cell r="CN153">
            <v>13.474254647000002</v>
          </cell>
          <cell r="CO153">
            <v>14.380254390099999</v>
          </cell>
          <cell r="CP153">
            <v>15.252576536700005</v>
          </cell>
        </row>
        <row r="154">
          <cell r="CH154" t="str">
            <v>Other Growth</v>
          </cell>
          <cell r="CJ154">
            <v>0.16221981047342626</v>
          </cell>
          <cell r="CK154">
            <v>0.15475742973675488</v>
          </cell>
          <cell r="CL154">
            <v>0.2138987304050175</v>
          </cell>
          <cell r="CM154">
            <v>0.23531137312790329</v>
          </cell>
          <cell r="CN154">
            <v>8.9395469705922936E-2</v>
          </cell>
          <cell r="CO154">
            <v>6.7239321716523692E-2</v>
          </cell>
          <cell r="CP154">
            <v>6.0661106746522586E-2</v>
          </cell>
        </row>
        <row r="176">
          <cell r="CQ176" t="str">
            <v>Mass Market Fair shares - major properties</v>
          </cell>
        </row>
        <row r="177">
          <cell r="CR177">
            <v>2005</v>
          </cell>
          <cell r="CS177" t="str">
            <v>2006E</v>
          </cell>
          <cell r="CT177" t="str">
            <v>2007E</v>
          </cell>
          <cell r="CU177" t="str">
            <v>2008E</v>
          </cell>
          <cell r="CV177" t="str">
            <v>2009E</v>
          </cell>
          <cell r="CW177" t="str">
            <v>2010E</v>
          </cell>
        </row>
        <row r="178">
          <cell r="CQ178" t="str">
            <v>Sands Macao</v>
          </cell>
          <cell r="CR178">
            <v>1.0965861639373129</v>
          </cell>
          <cell r="CS178">
            <v>1.166517758723717</v>
          </cell>
          <cell r="CT178">
            <v>1.0919373183163483</v>
          </cell>
          <cell r="CU178">
            <v>1.2</v>
          </cell>
          <cell r="CV178">
            <v>1.2</v>
          </cell>
          <cell r="CW178">
            <v>1.2</v>
          </cell>
        </row>
        <row r="179">
          <cell r="CQ179" t="str">
            <v>Wynn Macau</v>
          </cell>
          <cell r="CR179" t="str">
            <v>N.M.</v>
          </cell>
          <cell r="CS179">
            <v>1.5032113619893295</v>
          </cell>
          <cell r="CT179">
            <v>1.8491700905658222</v>
          </cell>
          <cell r="CU179">
            <v>1.9</v>
          </cell>
          <cell r="CV179">
            <v>2.12</v>
          </cell>
          <cell r="CW179">
            <v>2.14</v>
          </cell>
        </row>
        <row r="180">
          <cell r="CQ180" t="str">
            <v>MGM Grand</v>
          </cell>
          <cell r="CR180" t="str">
            <v>N.M.</v>
          </cell>
          <cell r="CS180" t="str">
            <v>N.M.</v>
          </cell>
          <cell r="CT180">
            <v>1.0768169205587728</v>
          </cell>
          <cell r="CU180">
            <v>1.8</v>
          </cell>
          <cell r="CV180">
            <v>2</v>
          </cell>
          <cell r="CW180">
            <v>2</v>
          </cell>
        </row>
        <row r="181">
          <cell r="CQ181" t="str">
            <v>PBL/Melco NAPE</v>
          </cell>
          <cell r="CR181" t="str">
            <v>N.M.</v>
          </cell>
          <cell r="CS181" t="str">
            <v>N.M.</v>
          </cell>
          <cell r="CT181" t="str">
            <v>N.M.</v>
          </cell>
          <cell r="CU181">
            <v>0</v>
          </cell>
          <cell r="CV181">
            <v>1.5</v>
          </cell>
          <cell r="CW181">
            <v>1.5</v>
          </cell>
        </row>
        <row r="182">
          <cell r="CQ182" t="str">
            <v>Venetian Macao</v>
          </cell>
          <cell r="CR182" t="str">
            <v>N.M.</v>
          </cell>
          <cell r="CS182" t="str">
            <v>N.M.</v>
          </cell>
          <cell r="CT182">
            <v>0.87730964062357364</v>
          </cell>
          <cell r="CU182">
            <v>1.05</v>
          </cell>
          <cell r="CV182">
            <v>1.1000000000000001</v>
          </cell>
          <cell r="CW182">
            <v>1.1000000000000001</v>
          </cell>
        </row>
        <row r="183">
          <cell r="CQ183" t="str">
            <v>Wynn Cotai</v>
          </cell>
          <cell r="CR183" t="str">
            <v>N.M.</v>
          </cell>
          <cell r="CS183" t="str">
            <v>N.M.</v>
          </cell>
          <cell r="CT183" t="str">
            <v>N.M.</v>
          </cell>
          <cell r="CU183">
            <v>0</v>
          </cell>
          <cell r="CV183">
            <v>0</v>
          </cell>
          <cell r="CW183">
            <v>1</v>
          </cell>
        </row>
        <row r="184">
          <cell r="CQ184" t="str">
            <v>LVS Cotai Strip</v>
          </cell>
          <cell r="CR184" t="str">
            <v>N.M.</v>
          </cell>
          <cell r="CS184" t="str">
            <v>N.M.</v>
          </cell>
          <cell r="CT184" t="str">
            <v>N.M.</v>
          </cell>
          <cell r="CU184">
            <v>0.9</v>
          </cell>
          <cell r="CV184">
            <v>1</v>
          </cell>
          <cell r="CW184">
            <v>1</v>
          </cell>
        </row>
        <row r="185">
          <cell r="CQ185" t="str">
            <v>City of Dreams</v>
          </cell>
          <cell r="CR185" t="str">
            <v>N.M.</v>
          </cell>
          <cell r="CS185" t="str">
            <v>N.M.</v>
          </cell>
          <cell r="CT185" t="str">
            <v>N.M.</v>
          </cell>
          <cell r="CU185">
            <v>0</v>
          </cell>
          <cell r="CV185">
            <v>1</v>
          </cell>
          <cell r="CW185">
            <v>1</v>
          </cell>
        </row>
        <row r="207">
          <cell r="CY207" t="str">
            <v>China Visitation Forecast Components</v>
          </cell>
        </row>
        <row r="208">
          <cell r="CY208" t="str">
            <v>millions</v>
          </cell>
          <cell r="CZ208">
            <v>2003</v>
          </cell>
          <cell r="DA208">
            <v>2004</v>
          </cell>
          <cell r="DB208">
            <v>2005</v>
          </cell>
          <cell r="DC208" t="str">
            <v>2006E</v>
          </cell>
          <cell r="DD208" t="str">
            <v>2007E</v>
          </cell>
          <cell r="DE208" t="str">
            <v>2008E</v>
          </cell>
          <cell r="DF208" t="str">
            <v>2009E</v>
          </cell>
          <cell r="DG208" t="str">
            <v>2010E</v>
          </cell>
        </row>
        <row r="210">
          <cell r="CY210" t="str">
            <v>IVS Visitors</v>
          </cell>
          <cell r="CZ210">
            <v>0.60830000000000006</v>
          </cell>
          <cell r="DA210">
            <v>3.5187520000000001</v>
          </cell>
          <cell r="DB210">
            <v>5.3315089999999996</v>
          </cell>
          <cell r="DC210">
            <v>5.7748499999999998</v>
          </cell>
          <cell r="DD210">
            <v>7.8961822091448219</v>
          </cell>
          <cell r="DE210">
            <v>10.519358044952657</v>
          </cell>
          <cell r="DF210">
            <v>13.865754056090488</v>
          </cell>
          <cell r="DG210">
            <v>17.989030775247421</v>
          </cell>
        </row>
        <row r="211">
          <cell r="CY211" t="str">
            <v>Non-IVS Individual Visitors</v>
          </cell>
          <cell r="CZ211">
            <v>3.875521</v>
          </cell>
          <cell r="DA211">
            <v>3.9427409999999989</v>
          </cell>
          <cell r="DB211">
            <v>2.8527119999999995</v>
          </cell>
          <cell r="DC211">
            <v>3.9166359999999996</v>
          </cell>
          <cell r="DD211">
            <v>3.7208041999999995</v>
          </cell>
          <cell r="DE211">
            <v>3.5347639899999992</v>
          </cell>
          <cell r="DF211">
            <v>3.5701116298999991</v>
          </cell>
          <cell r="DG211">
            <v>3.6058127461989993</v>
          </cell>
        </row>
        <row r="212">
          <cell r="CZ212" t="str">
            <v>_____</v>
          </cell>
          <cell r="DA212" t="str">
            <v>_____</v>
          </cell>
          <cell r="DB212" t="str">
            <v>_____</v>
          </cell>
          <cell r="DC212" t="str">
            <v>_____</v>
          </cell>
          <cell r="DD212" t="str">
            <v>_____</v>
          </cell>
          <cell r="DE212" t="str">
            <v>_____</v>
          </cell>
          <cell r="DF212" t="str">
            <v>_____</v>
          </cell>
          <cell r="DG212" t="str">
            <v>_____</v>
          </cell>
        </row>
        <row r="213">
          <cell r="CY213" t="str">
            <v>Total Individuals</v>
          </cell>
          <cell r="CZ213">
            <v>4.4838209999999998</v>
          </cell>
          <cell r="DA213">
            <v>7.461492999999999</v>
          </cell>
          <cell r="DB213">
            <v>8.1842209999999991</v>
          </cell>
          <cell r="DC213">
            <v>9.6914859999999994</v>
          </cell>
          <cell r="DD213">
            <v>11.616986409144822</v>
          </cell>
          <cell r="DE213">
            <v>14.054122034952655</v>
          </cell>
          <cell r="DF213">
            <v>17.435865685990485</v>
          </cell>
          <cell r="DG213">
            <v>21.594843521446421</v>
          </cell>
        </row>
        <row r="214">
          <cell r="CY214" t="str">
            <v>Package Tour Visitors</v>
          </cell>
          <cell r="CZ214">
            <v>1.2582150000000001</v>
          </cell>
          <cell r="DA214">
            <v>2.0682459999999998</v>
          </cell>
          <cell r="DB214">
            <v>2.2787450000000002</v>
          </cell>
          <cell r="DC214">
            <v>2.2941310000000001</v>
          </cell>
          <cell r="DD214">
            <v>2.8676637500000002</v>
          </cell>
          <cell r="DE214">
            <v>3.5845796875000002</v>
          </cell>
          <cell r="DF214">
            <v>4.1222666406249999</v>
          </cell>
          <cell r="DG214">
            <v>4.6169386375000006</v>
          </cell>
        </row>
        <row r="215">
          <cell r="CZ215" t="str">
            <v>_____</v>
          </cell>
          <cell r="DA215" t="str">
            <v>_____</v>
          </cell>
          <cell r="DB215" t="str">
            <v>_____</v>
          </cell>
          <cell r="DC215" t="str">
            <v>_____</v>
          </cell>
          <cell r="DD215" t="str">
            <v>_____</v>
          </cell>
          <cell r="DE215" t="str">
            <v>_____</v>
          </cell>
          <cell r="DF215" t="str">
            <v>_____</v>
          </cell>
          <cell r="DG215" t="str">
            <v>_____</v>
          </cell>
        </row>
        <row r="216">
          <cell r="CY216" t="str">
            <v>Total Mainland China Visitation</v>
          </cell>
          <cell r="CZ216">
            <v>5.7420359999999997</v>
          </cell>
          <cell r="DA216">
            <v>9.5297389999999993</v>
          </cell>
          <cell r="DB216">
            <v>10.462966</v>
          </cell>
          <cell r="DC216">
            <v>11.985617</v>
          </cell>
          <cell r="DD216">
            <v>14.484650159144822</v>
          </cell>
          <cell r="DE216">
            <v>17.638701722452655</v>
          </cell>
          <cell r="DF216">
            <v>21.558132326615485</v>
          </cell>
          <cell r="DG216">
            <v>26.21178215894642</v>
          </cell>
        </row>
        <row r="218">
          <cell r="DG218">
            <v>1.7505246637863241</v>
          </cell>
        </row>
        <row r="219">
          <cell r="DG219">
            <v>0.20579878746169999</v>
          </cell>
        </row>
        <row r="238">
          <cell r="DH238" t="str">
            <v>Position forecast</v>
          </cell>
        </row>
        <row r="239">
          <cell r="DI239">
            <v>2004</v>
          </cell>
          <cell r="DJ239">
            <v>2005</v>
          </cell>
          <cell r="DK239" t="str">
            <v>2006E</v>
          </cell>
          <cell r="DL239" t="str">
            <v>2007E</v>
          </cell>
          <cell r="DM239" t="str">
            <v>2008E</v>
          </cell>
          <cell r="DN239" t="str">
            <v>2009E</v>
          </cell>
          <cell r="DO239" t="str">
            <v>2010E</v>
          </cell>
        </row>
        <row r="240">
          <cell r="DH240" t="str">
            <v>Total Tables</v>
          </cell>
          <cell r="DI240">
            <v>660.54586717630195</v>
          </cell>
          <cell r="DJ240">
            <v>1251.75</v>
          </cell>
          <cell r="DK240">
            <v>2064.4426328502418</v>
          </cell>
          <cell r="DL240">
            <v>3839.166666666667</v>
          </cell>
          <cell r="DM240">
            <v>5581</v>
          </cell>
          <cell r="DN240">
            <v>8198.5</v>
          </cell>
          <cell r="DO240">
            <v>9966</v>
          </cell>
          <cell r="DP240">
            <v>7.961653684841222</v>
          </cell>
          <cell r="DQ240">
            <v>6.961653684841222</v>
          </cell>
          <cell r="DR240">
            <v>0.53000867023692599</v>
          </cell>
        </row>
        <row r="241">
          <cell r="DH241" t="str">
            <v>Mass Market Tables</v>
          </cell>
          <cell r="DI241">
            <v>465.75</v>
          </cell>
          <cell r="DJ241">
            <v>965.625</v>
          </cell>
          <cell r="DK241">
            <v>1572.2832125603863</v>
          </cell>
          <cell r="DL241">
            <v>3120.7500000000005</v>
          </cell>
          <cell r="DM241">
            <v>4653.833333333333</v>
          </cell>
          <cell r="DN241">
            <v>6896.333333333333</v>
          </cell>
          <cell r="DO241">
            <v>8341.3333333333339</v>
          </cell>
          <cell r="DP241">
            <v>8.6382740021574982</v>
          </cell>
          <cell r="DQ241">
            <v>7.6382740021574982</v>
          </cell>
          <cell r="DR241">
            <v>0.56231993756419785</v>
          </cell>
        </row>
        <row r="242">
          <cell r="DH242" t="str">
            <v>VIP Tables</v>
          </cell>
          <cell r="DI242">
            <v>194.79586717630195</v>
          </cell>
          <cell r="DJ242">
            <v>286.125</v>
          </cell>
          <cell r="DK242">
            <v>492.15942028985546</v>
          </cell>
          <cell r="DL242">
            <v>718.41666666666652</v>
          </cell>
          <cell r="DM242">
            <v>927.16666666666697</v>
          </cell>
          <cell r="DN242">
            <v>1302.166666666667</v>
          </cell>
          <cell r="DO242">
            <v>1624.6666666666661</v>
          </cell>
          <cell r="DP242">
            <v>5.6781709625746304</v>
          </cell>
          <cell r="DQ242">
            <v>4.6781709625746304</v>
          </cell>
          <cell r="DR242">
            <v>0.40322962265607054</v>
          </cell>
        </row>
        <row r="243">
          <cell r="DH243" t="str">
            <v>Slots</v>
          </cell>
          <cell r="DI243">
            <v>1548.6654323936932</v>
          </cell>
          <cell r="DJ243">
            <v>2918.5</v>
          </cell>
          <cell r="DK243">
            <v>4767.75</v>
          </cell>
          <cell r="DL243">
            <v>11066.615942028986</v>
          </cell>
          <cell r="DM243">
            <v>17875.782608695652</v>
          </cell>
          <cell r="DN243">
            <v>27650.782608695652</v>
          </cell>
          <cell r="DO243">
            <v>38425.782608695648</v>
          </cell>
          <cell r="DP243">
            <v>13.166278091038427</v>
          </cell>
          <cell r="DQ243">
            <v>12.166278091038427</v>
          </cell>
          <cell r="DR243">
            <v>0.70336242574887442</v>
          </cell>
        </row>
        <row r="244">
          <cell r="DH244" t="str">
            <v>Positions</v>
          </cell>
          <cell r="DI244">
            <v>7121.6804825609161</v>
          </cell>
          <cell r="DJ244">
            <v>13490.333333333334</v>
          </cell>
          <cell r="DK244">
            <v>22233.676328502414</v>
          </cell>
          <cell r="DL244">
            <v>43066.113043478254</v>
          </cell>
          <cell r="DM244">
            <v>64954.391304347824</v>
          </cell>
          <cell r="DN244">
            <v>96016.891304347824</v>
          </cell>
          <cell r="DO244">
            <v>119079.39130434782</v>
          </cell>
          <cell r="DP244">
            <v>8.8270162316978436</v>
          </cell>
          <cell r="DQ244">
            <v>7.8270162316978436</v>
          </cell>
          <cell r="DR244">
            <v>0.56557148117633949</v>
          </cell>
        </row>
        <row r="267">
          <cell r="DS267" t="str">
            <v>Win/Position forecast</v>
          </cell>
        </row>
        <row r="268">
          <cell r="DT268">
            <v>2004</v>
          </cell>
          <cell r="DU268">
            <v>2005</v>
          </cell>
          <cell r="DV268" t="str">
            <v>2006E</v>
          </cell>
          <cell r="DW268" t="str">
            <v>2007E</v>
          </cell>
          <cell r="DX268" t="str">
            <v>2008E</v>
          </cell>
          <cell r="DY268" t="str">
            <v>2009E</v>
          </cell>
          <cell r="DZ268" t="str">
            <v>2010E</v>
          </cell>
        </row>
        <row r="269">
          <cell r="DS269" t="str">
            <v>All Tables</v>
          </cell>
          <cell r="DT269">
            <v>20414.826766476152</v>
          </cell>
          <cell r="DU269">
            <v>11887.951376957966</v>
          </cell>
          <cell r="DV269">
            <v>8789.413707071848</v>
          </cell>
          <cell r="DW269">
            <v>5794.6280674243335</v>
          </cell>
          <cell r="DX269">
            <v>4418.7291130811236</v>
          </cell>
          <cell r="DY269">
            <v>3327.7505285950278</v>
          </cell>
          <cell r="DZ269">
            <v>2957.6453872411762</v>
          </cell>
          <cell r="EA269">
            <v>-0.75120647002528251</v>
          </cell>
        </row>
        <row r="270">
          <cell r="DS270" t="str">
            <v>Mass Market Tables</v>
          </cell>
          <cell r="DT270">
            <v>7793.2971252477782</v>
          </cell>
          <cell r="DU270">
            <v>5486.2206435972312</v>
          </cell>
          <cell r="DV270">
            <v>3765.0870033772258</v>
          </cell>
          <cell r="DW270">
            <v>2260.7169174700166</v>
          </cell>
          <cell r="DX270">
            <v>1773.6354395919532</v>
          </cell>
          <cell r="DY270">
            <v>1434.3036180858212</v>
          </cell>
          <cell r="DZ270">
            <v>1365.3838712194677</v>
          </cell>
          <cell r="EA270">
            <v>-0.75112487085021673</v>
          </cell>
        </row>
        <row r="271">
          <cell r="DS271" t="str">
            <v>VIP Tables</v>
          </cell>
          <cell r="DT271">
            <v>50592.455869262696</v>
          </cell>
          <cell r="DU271">
            <v>33492.743825717982</v>
          </cell>
          <cell r="DV271">
            <v>24840.441493932929</v>
          </cell>
          <cell r="DW271">
            <v>21145.682313409634</v>
          </cell>
          <cell r="DX271">
            <v>17695.549290114752</v>
          </cell>
          <cell r="DY271">
            <v>13355.530672336219</v>
          </cell>
          <cell r="DZ271">
            <v>11132.604799823705</v>
          </cell>
          <cell r="EA271">
            <v>-0.66761144271269468</v>
          </cell>
        </row>
        <row r="272">
          <cell r="DS272" t="str">
            <v>Slots</v>
          </cell>
          <cell r="DT272">
            <v>136.89300769567095</v>
          </cell>
          <cell r="DU272">
            <v>142.29534428720078</v>
          </cell>
          <cell r="DV272">
            <v>143.3181059766107</v>
          </cell>
          <cell r="DW272">
            <v>146.39160569190702</v>
          </cell>
          <cell r="DX272">
            <v>149.31943780574517</v>
          </cell>
          <cell r="DY272">
            <v>152.30582656186007</v>
          </cell>
          <cell r="DZ272">
            <v>155.35194309309728</v>
          </cell>
          <cell r="EA272">
            <v>9.1757034436374951E-2</v>
          </cell>
        </row>
        <row r="294">
          <cell r="EB294" t="str">
            <v>Hotel/Room forecast</v>
          </cell>
        </row>
        <row r="295">
          <cell r="EC295">
            <v>1999</v>
          </cell>
          <cell r="ED295">
            <v>2000</v>
          </cell>
          <cell r="EE295">
            <v>2001</v>
          </cell>
          <cell r="EF295">
            <v>2002</v>
          </cell>
          <cell r="EG295">
            <v>2003</v>
          </cell>
          <cell r="EH295">
            <v>2004</v>
          </cell>
          <cell r="EI295">
            <v>2005</v>
          </cell>
          <cell r="EJ295" t="str">
            <v>2006E</v>
          </cell>
          <cell r="EK295" t="str">
            <v>2007E</v>
          </cell>
          <cell r="EL295" t="str">
            <v>2008E</v>
          </cell>
          <cell r="EM295" t="str">
            <v>2009E</v>
          </cell>
          <cell r="EN295" t="str">
            <v>2010E</v>
          </cell>
        </row>
        <row r="296">
          <cell r="EB296" t="str">
            <v>Hotels</v>
          </cell>
          <cell r="EC296">
            <v>74</v>
          </cell>
          <cell r="ED296">
            <v>72.416666666666671</v>
          </cell>
          <cell r="EE296">
            <v>70.333333333333329</v>
          </cell>
          <cell r="EF296">
            <v>68.083333333333329</v>
          </cell>
          <cell r="EG296">
            <v>68.083333333333329</v>
          </cell>
          <cell r="EH296">
            <v>70</v>
          </cell>
          <cell r="EI296">
            <v>73.833333333333329</v>
          </cell>
        </row>
        <row r="297">
          <cell r="EB297" t="str">
            <v>Rooms</v>
          </cell>
          <cell r="EC297">
            <v>9431</v>
          </cell>
          <cell r="ED297">
            <v>9309.75</v>
          </cell>
          <cell r="EE297">
            <v>9049</v>
          </cell>
          <cell r="EF297">
            <v>8903.9166666666661</v>
          </cell>
          <cell r="EG297">
            <v>8953.1666666666679</v>
          </cell>
          <cell r="EH297">
            <v>9232.5</v>
          </cell>
          <cell r="EI297">
            <v>10534.833333333332</v>
          </cell>
        </row>
        <row r="298">
          <cell r="EB298" t="str">
            <v>Hotel Forecast</v>
          </cell>
          <cell r="EI298">
            <v>73.833333333333329</v>
          </cell>
          <cell r="EJ298">
            <v>78</v>
          </cell>
          <cell r="EK298">
            <v>0</v>
          </cell>
          <cell r="EL298">
            <v>0</v>
          </cell>
          <cell r="EM298">
            <v>0</v>
          </cell>
          <cell r="EN298">
            <v>0</v>
          </cell>
        </row>
        <row r="299">
          <cell r="EB299" t="str">
            <v>Room Forecast</v>
          </cell>
          <cell r="EI299">
            <v>10534.833333333332</v>
          </cell>
          <cell r="EJ299">
            <v>11819.416666666666</v>
          </cell>
          <cell r="EK299">
            <v>15220.325250836122</v>
          </cell>
          <cell r="EL299">
            <v>21337.818840579712</v>
          </cell>
          <cell r="EM299">
            <v>33922.818840579712</v>
          </cell>
          <cell r="EN299">
            <v>48497.818840579712</v>
          </cell>
        </row>
        <row r="321">
          <cell r="EO321" t="str">
            <v>Sands market share estimates</v>
          </cell>
        </row>
        <row r="322">
          <cell r="EP322">
            <v>2004</v>
          </cell>
          <cell r="EQ322">
            <v>2005</v>
          </cell>
          <cell r="ER322" t="str">
            <v>2006E</v>
          </cell>
          <cell r="ES322" t="str">
            <v>2007E</v>
          </cell>
          <cell r="ET322" t="str">
            <v>2008E</v>
          </cell>
          <cell r="EU322" t="str">
            <v>2009E</v>
          </cell>
          <cell r="EV322" t="str">
            <v>2010E</v>
          </cell>
        </row>
        <row r="323">
          <cell r="EO323" t="str">
            <v>Mass Share</v>
          </cell>
          <cell r="EP323">
            <v>0.40761349902224442</v>
          </cell>
          <cell r="EQ323">
            <v>0.34588086116991928</v>
          </cell>
          <cell r="ER323">
            <v>0.35498371240437149</v>
          </cell>
          <cell r="ES323">
            <v>0.228694873391485</v>
          </cell>
          <cell r="ET323">
            <v>0.16410273156577451</v>
          </cell>
          <cell r="EU323">
            <v>0.10996424984008536</v>
          </cell>
          <cell r="EV323">
            <v>8.8708320238230498E-2</v>
          </cell>
        </row>
        <row r="324">
          <cell r="EO324" t="str">
            <v>VIP Share</v>
          </cell>
          <cell r="EP324">
            <v>6.5167720220255859E-3</v>
          </cell>
          <cell r="EQ324">
            <v>6.8900807582138485E-2</v>
          </cell>
          <cell r="ER324">
            <v>0.12165721361356163</v>
          </cell>
          <cell r="ES324">
            <v>9.6370420552783886E-2</v>
          </cell>
          <cell r="ET324">
            <v>0.06</v>
          </cell>
          <cell r="EU324">
            <v>0.05</v>
          </cell>
          <cell r="EV324">
            <v>0.04</v>
          </cell>
        </row>
        <row r="325">
          <cell r="EO325" t="str">
            <v>Mass Revenue</v>
          </cell>
          <cell r="EP325">
            <v>378.48779041720229</v>
          </cell>
          <cell r="EQ325">
            <v>721.23633399999994</v>
          </cell>
          <cell r="ER325">
            <v>855.55587099999991</v>
          </cell>
          <cell r="ES325">
            <v>724.14975646499602</v>
          </cell>
          <cell r="ET325">
            <v>654.28465076227974</v>
          </cell>
          <cell r="EU325">
            <v>566.04384286561344</v>
          </cell>
          <cell r="EV325">
            <v>562.04743001083773</v>
          </cell>
        </row>
        <row r="326">
          <cell r="EO326" t="str">
            <v>VIP Revenue</v>
          </cell>
          <cell r="EP326">
            <v>12.561</v>
          </cell>
          <cell r="EQ326">
            <v>241.00369999999998</v>
          </cell>
          <cell r="ER326">
            <v>542.87</v>
          </cell>
          <cell r="ES326">
            <v>534.36095940395705</v>
          </cell>
          <cell r="ET326">
            <v>359.30724355831563</v>
          </cell>
          <cell r="EU326">
            <v>317.38806514317889</v>
          </cell>
          <cell r="EV326">
            <v>264.06687019912482</v>
          </cell>
        </row>
        <row r="348">
          <cell r="EX348" t="str">
            <v>Venetian market share estimates</v>
          </cell>
        </row>
        <row r="349">
          <cell r="EY349" t="str">
            <v>2007E</v>
          </cell>
          <cell r="EZ349" t="str">
            <v>2008E</v>
          </cell>
          <cell r="FA349" t="str">
            <v>2009E</v>
          </cell>
          <cell r="FB349" t="str">
            <v>2010E</v>
          </cell>
        </row>
        <row r="350">
          <cell r="EX350" t="str">
            <v>Mass Share</v>
          </cell>
          <cell r="EY350">
            <v>9.7125563095070658E-2</v>
          </cell>
          <cell r="EZ350">
            <v>0.17602135083589143</v>
          </cell>
          <cell r="FA350">
            <v>0.12356755155694032</v>
          </cell>
          <cell r="FB350">
            <v>9.9682123512939425E-2</v>
          </cell>
        </row>
        <row r="351">
          <cell r="EX351" t="str">
            <v>VIP Share</v>
          </cell>
          <cell r="EY351">
            <v>6.0989677027676929E-2</v>
          </cell>
          <cell r="EZ351">
            <v>0.13</v>
          </cell>
          <cell r="FA351">
            <v>0.14000000000000001</v>
          </cell>
          <cell r="FB351">
            <v>0.11000000000000001</v>
          </cell>
        </row>
        <row r="352">
          <cell r="EX352" t="str">
            <v>Mass Revenue</v>
          </cell>
          <cell r="EY352">
            <v>307.54276131683389</v>
          </cell>
          <cell r="EZ352">
            <v>701.80469855375372</v>
          </cell>
          <cell r="FA352">
            <v>636.06719309686355</v>
          </cell>
          <cell r="FB352">
            <v>631.57639765931481</v>
          </cell>
        </row>
        <row r="353">
          <cell r="EX353" t="str">
            <v>VIP Revenue</v>
          </cell>
          <cell r="EY353">
            <v>338.17951756676723</v>
          </cell>
          <cell r="EZ353">
            <v>778.4990277096839</v>
          </cell>
          <cell r="FA353">
            <v>888.68658240090087</v>
          </cell>
          <cell r="FB353">
            <v>726.18389304759341</v>
          </cell>
        </row>
        <row r="375">
          <cell r="FG375" t="str">
            <v>Cotai strip market share estimates</v>
          </cell>
        </row>
        <row r="376">
          <cell r="FH376" t="str">
            <v>2007E</v>
          </cell>
          <cell r="FI376" t="str">
            <v>2008E</v>
          </cell>
          <cell r="FJ376" t="str">
            <v>2009E</v>
          </cell>
          <cell r="FK376" t="str">
            <v>2010E</v>
          </cell>
        </row>
        <row r="377">
          <cell r="FG377" t="str">
            <v>Mass Share</v>
          </cell>
          <cell r="FH377">
            <v>0</v>
          </cell>
          <cell r="FI377">
            <v>8.7605096268554269E-2</v>
          </cell>
          <cell r="FJ377">
            <v>0.1684181639591753</v>
          </cell>
          <cell r="FK377">
            <v>0.1841756341201316</v>
          </cell>
        </row>
        <row r="378">
          <cell r="FG378" t="str">
            <v>Mass Revenue</v>
          </cell>
          <cell r="FH378">
            <v>0</v>
          </cell>
          <cell r="FI378">
            <v>349.28528775947194</v>
          </cell>
          <cell r="FJ378">
            <v>866.93688971150573</v>
          </cell>
          <cell r="FK378">
            <v>1166.9191970926806</v>
          </cell>
        </row>
        <row r="400">
          <cell r="FP400" t="str">
            <v>Wynn market share estimates</v>
          </cell>
        </row>
        <row r="401">
          <cell r="FQ401" t="str">
            <v>2006E</v>
          </cell>
          <cell r="FR401" t="str">
            <v>2007E</v>
          </cell>
          <cell r="FS401" t="str">
            <v>2008E</v>
          </cell>
          <cell r="FT401" t="str">
            <v>2009E</v>
          </cell>
          <cell r="FU401" t="str">
            <v>2010E</v>
          </cell>
        </row>
        <row r="402">
          <cell r="FP402" t="str">
            <v>Mass Share</v>
          </cell>
          <cell r="FQ402">
            <v>5.3355499445208295E-2</v>
          </cell>
          <cell r="FR402">
            <v>0.16743861775519664</v>
          </cell>
          <cell r="FS402">
            <v>0.14350291592468326</v>
          </cell>
          <cell r="FT402">
            <v>0.10729480420038999</v>
          </cell>
          <cell r="FU402">
            <v>8.7371429979581888E-2</v>
          </cell>
        </row>
        <row r="403">
          <cell r="FP403" t="str">
            <v>VIP Share</v>
          </cell>
          <cell r="FQ403">
            <v>4.4674352117198425E-2</v>
          </cell>
          <cell r="FR403">
            <v>0.11505452620455096</v>
          </cell>
          <cell r="FS403">
            <v>9.505452620455096E-2</v>
          </cell>
          <cell r="FT403">
            <v>0.10505452620455095</v>
          </cell>
          <cell r="FU403">
            <v>7.5054526204550956E-2</v>
          </cell>
        </row>
        <row r="404">
          <cell r="FP404" t="str">
            <v>Mass Revenue</v>
          </cell>
          <cell r="FQ404">
            <v>128.593536</v>
          </cell>
          <cell r="FR404">
            <v>530.18518724161186</v>
          </cell>
          <cell r="FS404">
            <v>572.1522995582626</v>
          </cell>
          <cell r="FT404">
            <v>552.30280184172238</v>
          </cell>
          <cell r="FU404">
            <v>553.57702123675585</v>
          </cell>
        </row>
        <row r="405">
          <cell r="FP405" t="str">
            <v>VIP Revenue</v>
          </cell>
          <cell r="FQ405">
            <v>199.35</v>
          </cell>
          <cell r="FR405">
            <v>637.96180045470976</v>
          </cell>
          <cell r="FS405">
            <v>569.2296633049815</v>
          </cell>
          <cell r="FT405">
            <v>666.86105613191614</v>
          </cell>
          <cell r="FU405">
            <v>495.48534572784922</v>
          </cell>
        </row>
        <row r="426">
          <cell r="FX426" t="str">
            <v>Quarterly Mass &amp; VIP revenues</v>
          </cell>
        </row>
        <row r="427">
          <cell r="FY427" t="str">
            <v>1Q04</v>
          </cell>
          <cell r="FZ427" t="str">
            <v>2Q04</v>
          </cell>
          <cell r="GA427" t="str">
            <v>3Q04</v>
          </cell>
          <cell r="GB427" t="str">
            <v>4Q04</v>
          </cell>
          <cell r="GC427" t="str">
            <v>1Q05</v>
          </cell>
          <cell r="GD427" t="str">
            <v>2Q05</v>
          </cell>
        </row>
        <row r="428">
          <cell r="FX428" t="str">
            <v>Mass Market</v>
          </cell>
          <cell r="FY428">
            <v>280.95231671690618</v>
          </cell>
          <cell r="FZ428">
            <v>337.36918401170789</v>
          </cell>
          <cell r="GA428">
            <v>403.47632193004841</v>
          </cell>
          <cell r="GB428">
            <v>383.7591135668772</v>
          </cell>
          <cell r="GC428">
            <v>448.47078205507222</v>
          </cell>
          <cell r="GD428">
            <v>487.01134205015683</v>
          </cell>
        </row>
        <row r="429">
          <cell r="FY429">
            <v>0.4813841646179613</v>
          </cell>
          <cell r="FZ429">
            <v>1.2931036892078374</v>
          </cell>
          <cell r="GA429">
            <v>0.87226179059238773</v>
          </cell>
          <cell r="GB429">
            <v>0.61963728927632111</v>
          </cell>
          <cell r="GC429">
            <v>0.59625230108695404</v>
          </cell>
          <cell r="GD429">
            <v>0.44355609560728526</v>
          </cell>
        </row>
        <row r="430">
          <cell r="FX430" t="str">
            <v>VIP</v>
          </cell>
          <cell r="FY430">
            <v>851.76682704702944</v>
          </cell>
          <cell r="FZ430">
            <v>827.74883397630197</v>
          </cell>
          <cell r="GA430">
            <v>954.29704649257633</v>
          </cell>
          <cell r="GB430">
            <v>973.19097327333657</v>
          </cell>
          <cell r="GC430">
            <v>871.38028739791866</v>
          </cell>
          <cell r="GD430">
            <v>926.51373647604282</v>
          </cell>
        </row>
        <row r="431">
          <cell r="FY431">
            <v>0.31822186062360713</v>
          </cell>
          <cell r="FZ431">
            <v>0.65138968326619362</v>
          </cell>
          <cell r="GA431">
            <v>0.29976490958524837</v>
          </cell>
          <cell r="GB431">
            <v>0.20556281508449858</v>
          </cell>
          <cell r="GC431">
            <v>2.3026795277865775E-2</v>
          </cell>
          <cell r="GD431">
            <v>0.11931747704831985</v>
          </cell>
        </row>
        <row r="472">
          <cell r="GH472" t="str">
            <v>Chinese Travel - Synovate</v>
          </cell>
        </row>
        <row r="473">
          <cell r="GI473">
            <v>1999</v>
          </cell>
          <cell r="GJ473">
            <v>2000</v>
          </cell>
          <cell r="GK473">
            <v>2001</v>
          </cell>
          <cell r="GL473">
            <v>2002</v>
          </cell>
          <cell r="GM473">
            <v>2003</v>
          </cell>
          <cell r="GN473">
            <v>2004</v>
          </cell>
        </row>
        <row r="474">
          <cell r="GH474" t="str">
            <v>Raw</v>
          </cell>
        </row>
        <row r="475">
          <cell r="GH475" t="str">
            <v>International</v>
          </cell>
          <cell r="GI475">
            <v>9.1999999999999993</v>
          </cell>
          <cell r="GJ475">
            <v>10.5</v>
          </cell>
          <cell r="GK475">
            <v>12.1</v>
          </cell>
          <cell r="GL475">
            <v>16.600000000000001</v>
          </cell>
          <cell r="GM475">
            <v>20.2</v>
          </cell>
          <cell r="GN475">
            <v>25.3</v>
          </cell>
          <cell r="GO475">
            <v>0.2332242853591473</v>
          </cell>
        </row>
        <row r="476">
          <cell r="GH476" t="str">
            <v>Domestic</v>
          </cell>
          <cell r="GI476">
            <v>719</v>
          </cell>
          <cell r="GJ476">
            <v>744</v>
          </cell>
          <cell r="GK476">
            <v>784</v>
          </cell>
          <cell r="GL476">
            <v>878</v>
          </cell>
          <cell r="GM476">
            <v>870</v>
          </cell>
          <cell r="GN476">
            <v>913.5</v>
          </cell>
          <cell r="GO476">
            <v>5.2163679681155983E-2</v>
          </cell>
        </row>
        <row r="477">
          <cell r="GH477" t="str">
            <v>Total</v>
          </cell>
          <cell r="GI477">
            <v>728.2</v>
          </cell>
          <cell r="GJ477">
            <v>754.5</v>
          </cell>
          <cell r="GK477">
            <v>796.1</v>
          </cell>
          <cell r="GL477">
            <v>894.6</v>
          </cell>
          <cell r="GM477">
            <v>890.2</v>
          </cell>
          <cell r="GN477">
            <v>938.8</v>
          </cell>
          <cell r="GO477">
            <v>5.5272264875848354E-2</v>
          </cell>
        </row>
        <row r="478">
          <cell r="GH478" t="str">
            <v>Indexed</v>
          </cell>
        </row>
        <row r="479">
          <cell r="GH479" t="str">
            <v>International</v>
          </cell>
          <cell r="GI479">
            <v>100</v>
          </cell>
          <cell r="GJ479">
            <v>114.13043478260872</v>
          </cell>
          <cell r="GK479">
            <v>131.52173913043478</v>
          </cell>
          <cell r="GL479">
            <v>180.43478260869568</v>
          </cell>
          <cell r="GM479">
            <v>219.56521739130434</v>
          </cell>
          <cell r="GN479">
            <v>275.00000000000006</v>
          </cell>
          <cell r="GO479">
            <v>0.2332242853591473</v>
          </cell>
        </row>
        <row r="480">
          <cell r="GH480" t="str">
            <v>Domestic</v>
          </cell>
          <cell r="GI480">
            <v>100</v>
          </cell>
          <cell r="GJ480">
            <v>103.47705146036161</v>
          </cell>
          <cell r="GK480">
            <v>109.0403337969402</v>
          </cell>
          <cell r="GL480">
            <v>122.11404728789985</v>
          </cell>
          <cell r="GM480">
            <v>121.00139082058415</v>
          </cell>
          <cell r="GN480">
            <v>127.05146036161335</v>
          </cell>
          <cell r="GO480">
            <v>5.2163679681155761E-2</v>
          </cell>
        </row>
        <row r="482">
          <cell r="GH482" t="str">
            <v>International Components</v>
          </cell>
        </row>
        <row r="483">
          <cell r="GH483" t="str">
            <v>Hong Kong</v>
          </cell>
          <cell r="GJ483">
            <v>3.786</v>
          </cell>
          <cell r="GK483">
            <v>4.4489999999999998</v>
          </cell>
          <cell r="GL483">
            <v>6.8250000000000002</v>
          </cell>
          <cell r="GM483">
            <v>8.4670000000000005</v>
          </cell>
          <cell r="GN483">
            <v>12.246</v>
          </cell>
          <cell r="GO483">
            <v>0.48403162055335969</v>
          </cell>
        </row>
        <row r="484">
          <cell r="GH484" t="str">
            <v>Macau</v>
          </cell>
          <cell r="GJ484">
            <v>2.2749999999999999</v>
          </cell>
          <cell r="GK484">
            <v>3.0059999999999998</v>
          </cell>
          <cell r="GL484">
            <v>4.24</v>
          </cell>
          <cell r="GM484">
            <v>5.742</v>
          </cell>
          <cell r="GN484">
            <v>9.5299999999999994</v>
          </cell>
          <cell r="GO484">
            <v>0.37667984189723319</v>
          </cell>
        </row>
        <row r="485">
          <cell r="GH485" t="str">
            <v>Singapore</v>
          </cell>
          <cell r="GJ485">
            <v>0.434</v>
          </cell>
          <cell r="GK485">
            <v>0.49700000000000005</v>
          </cell>
          <cell r="GL485">
            <v>0.67</v>
          </cell>
          <cell r="GM485">
            <v>0.56800000000000006</v>
          </cell>
          <cell r="GN485">
            <v>0.88</v>
          </cell>
          <cell r="GO485">
            <v>3.4782608695652174E-2</v>
          </cell>
        </row>
        <row r="486">
          <cell r="GH486" t="str">
            <v>Thailand</v>
          </cell>
          <cell r="GJ486">
            <v>0.70399999999999996</v>
          </cell>
          <cell r="GK486">
            <v>0.69499999999999995</v>
          </cell>
          <cell r="GL486">
            <v>0.76400000000000001</v>
          </cell>
          <cell r="GM486">
            <v>0.625</v>
          </cell>
          <cell r="GN486">
            <v>0.87200000000000011</v>
          </cell>
          <cell r="GO486">
            <v>3.4466403162055341E-2</v>
          </cell>
        </row>
        <row r="487">
          <cell r="GH487" t="str">
            <v>Malaysia</v>
          </cell>
          <cell r="GJ487">
            <v>0.42499999999999999</v>
          </cell>
          <cell r="GK487">
            <v>0.45300000000000001</v>
          </cell>
          <cell r="GL487">
            <v>0.55800000000000005</v>
          </cell>
          <cell r="GM487">
            <v>0.35100000000000003</v>
          </cell>
          <cell r="GN487">
            <v>0.55000000000000004</v>
          </cell>
          <cell r="GO487">
            <v>2.1739130434782612E-2</v>
          </cell>
        </row>
        <row r="488">
          <cell r="GH488" t="str">
            <v>Other</v>
          </cell>
          <cell r="GJ488">
            <v>2.8760000000000003</v>
          </cell>
          <cell r="GK488">
            <v>3</v>
          </cell>
          <cell r="GL488">
            <v>3.543000000000001</v>
          </cell>
          <cell r="GM488">
            <v>4.4469999999999992</v>
          </cell>
          <cell r="GN488">
            <v>1.2220000000000013</v>
          </cell>
          <cell r="GO488">
            <v>4.8300395256917046E-2</v>
          </cell>
        </row>
        <row r="526">
          <cell r="GR526" t="str">
            <v>Chinese spending components, leisure - Synovate</v>
          </cell>
        </row>
        <row r="527">
          <cell r="GR527" t="str">
            <v>Retail</v>
          </cell>
          <cell r="GS527">
            <v>0.36</v>
          </cell>
        </row>
        <row r="528">
          <cell r="GR528" t="str">
            <v>International Transport</v>
          </cell>
          <cell r="GS528">
            <v>0.14000000000000001</v>
          </cell>
        </row>
        <row r="529">
          <cell r="GR529" t="str">
            <v>Tour Package</v>
          </cell>
          <cell r="GS529">
            <v>0.11</v>
          </cell>
        </row>
        <row r="530">
          <cell r="GR530" t="str">
            <v>F&amp;B</v>
          </cell>
          <cell r="GS530">
            <v>0.11</v>
          </cell>
        </row>
        <row r="531">
          <cell r="GR531" t="str">
            <v>Hotel</v>
          </cell>
          <cell r="GS531">
            <v>7.0000000000000007E-2</v>
          </cell>
        </row>
        <row r="532">
          <cell r="GR532" t="str">
            <v>Other</v>
          </cell>
          <cell r="GS532">
            <v>0.21</v>
          </cell>
        </row>
        <row r="547">
          <cell r="GZ547" t="str">
            <v>2004 Macau Non-gaming spending components</v>
          </cell>
        </row>
        <row r="548">
          <cell r="HA548" t="str">
            <v>all tourists</v>
          </cell>
          <cell r="HB548" t="str">
            <v>Chinese</v>
          </cell>
        </row>
        <row r="549">
          <cell r="GZ549" t="str">
            <v>Retail</v>
          </cell>
          <cell r="HA549">
            <v>0.44320603179806589</v>
          </cell>
          <cell r="HB549">
            <v>0.58650610943864001</v>
          </cell>
        </row>
        <row r="550">
          <cell r="GZ550" t="str">
            <v>Accomodation</v>
          </cell>
          <cell r="HA550">
            <v>0.20357318472381578</v>
          </cell>
          <cell r="HB550">
            <v>0.1835487869665309</v>
          </cell>
        </row>
        <row r="551">
          <cell r="GZ551" t="str">
            <v>F&amp;B</v>
          </cell>
          <cell r="HA551">
            <v>0.21947221766923455</v>
          </cell>
          <cell r="HB551">
            <v>0.16380378962280856</v>
          </cell>
        </row>
        <row r="552">
          <cell r="GZ552" t="str">
            <v>Entertainment</v>
          </cell>
          <cell r="HA552">
            <v>1.868546139977053E-2</v>
          </cell>
          <cell r="HB552">
            <v>1.9479369576766426E-2</v>
          </cell>
        </row>
        <row r="553">
          <cell r="GZ553" t="str">
            <v>Other</v>
          </cell>
          <cell r="HA553">
            <v>0.11506310440911327</v>
          </cell>
          <cell r="HB553">
            <v>4.6661944395254118E-2</v>
          </cell>
        </row>
        <row r="554">
          <cell r="GZ554" t="str">
            <v>Outbound Transport</v>
          </cell>
          <cell r="HA554">
            <v>8.3592853630552369E-2</v>
          </cell>
          <cell r="HB554">
            <v>2.665131928457588E-2</v>
          </cell>
        </row>
        <row r="582">
          <cell r="HH582" t="str">
            <v>Length of Stay</v>
          </cell>
          <cell r="HI582" t="str">
            <v>1Q00</v>
          </cell>
          <cell r="HJ582" t="str">
            <v>2Q00</v>
          </cell>
          <cell r="HK582" t="str">
            <v>3Q00</v>
          </cell>
          <cell r="HL582" t="str">
            <v>4Q00</v>
          </cell>
          <cell r="HM582" t="str">
            <v>1Q01</v>
          </cell>
          <cell r="HN582" t="str">
            <v>2Q01</v>
          </cell>
          <cell r="HO582" t="str">
            <v>3Q01</v>
          </cell>
          <cell r="HP582" t="str">
            <v>4Q01</v>
          </cell>
          <cell r="HQ582" t="str">
            <v>1Q02</v>
          </cell>
          <cell r="HR582" t="str">
            <v>2Q02</v>
          </cell>
          <cell r="HS582" t="str">
            <v>3Q02</v>
          </cell>
          <cell r="HT582" t="str">
            <v>4Q02</v>
          </cell>
          <cell r="HU582" t="str">
            <v>1Q03</v>
          </cell>
          <cell r="HV582" t="str">
            <v>2Q03</v>
          </cell>
          <cell r="HW582" t="str">
            <v>3Q03</v>
          </cell>
          <cell r="HX582" t="str">
            <v>4Q03</v>
          </cell>
          <cell r="HY582" t="str">
            <v>1Q04</v>
          </cell>
          <cell r="HZ582" t="str">
            <v>2Q04</v>
          </cell>
          <cell r="IA582" t="str">
            <v>3Q04</v>
          </cell>
          <cell r="IB582" t="str">
            <v>4Q04</v>
          </cell>
          <cell r="IC582" t="str">
            <v>1Q05</v>
          </cell>
          <cell r="ID582" t="str">
            <v>2Q05</v>
          </cell>
          <cell r="IE582" t="str">
            <v>3Q05</v>
          </cell>
          <cell r="IF582" t="str">
            <v>4Q05</v>
          </cell>
          <cell r="IG582" t="str">
            <v>1Q06</v>
          </cell>
          <cell r="IH582" t="str">
            <v>2Q06</v>
          </cell>
        </row>
        <row r="583">
          <cell r="HH583" t="str">
            <v>Avg Days Stayed for All Guests (incl. day trippers)</v>
          </cell>
          <cell r="HI583">
            <v>1.5232597975794282</v>
          </cell>
          <cell r="HJ583">
            <v>1.5132306225435557</v>
          </cell>
          <cell r="HK583">
            <v>1.500360645483001</v>
          </cell>
          <cell r="HL583">
            <v>1.517526692588324</v>
          </cell>
          <cell r="HM583">
            <v>1.4894279794424594</v>
          </cell>
          <cell r="HN583">
            <v>1.4860305442341841</v>
          </cell>
          <cell r="HO583">
            <v>1.4987913754352666</v>
          </cell>
          <cell r="HP583">
            <v>1.5150468461031128</v>
          </cell>
          <cell r="HQ583">
            <v>1.4957646062348318</v>
          </cell>
          <cell r="HR583">
            <v>1.4955896072035468</v>
          </cell>
          <cell r="HS583">
            <v>1.4758884166147859</v>
          </cell>
          <cell r="HT583">
            <v>1.4702494428907067</v>
          </cell>
          <cell r="HU583">
            <v>1.4437517054253473</v>
          </cell>
          <cell r="HV583">
            <v>1.4415942323304582</v>
          </cell>
          <cell r="HW583">
            <v>1.4531459649543277</v>
          </cell>
          <cell r="HX583">
            <v>1.4519682554838729</v>
          </cell>
          <cell r="HY583">
            <v>1.418854215453397</v>
          </cell>
          <cell r="HZ583">
            <v>1.4150729633364536</v>
          </cell>
          <cell r="IA583">
            <v>1.4096909023939745</v>
          </cell>
          <cell r="IB583">
            <v>1.3976647600426821</v>
          </cell>
          <cell r="IC583">
            <v>1.3753959751600955</v>
          </cell>
          <cell r="ID583">
            <v>1.3844091296130736</v>
          </cell>
          <cell r="IE583">
            <v>1.3939428261280047</v>
          </cell>
          <cell r="IF583">
            <v>1.4036516869864517</v>
          </cell>
          <cell r="IG583">
            <v>1.3711201231906343</v>
          </cell>
          <cell r="IH583">
            <v>1.3802034684958553</v>
          </cell>
        </row>
        <row r="584">
          <cell r="HH584" t="str">
            <v>Hotel Growth</v>
          </cell>
          <cell r="HM584">
            <v>-1.2441945886718098E-2</v>
          </cell>
          <cell r="HN584">
            <v>2.7061554212731265E-2</v>
          </cell>
          <cell r="HO584">
            <v>-3.3701750557322274E-3</v>
          </cell>
          <cell r="HP584">
            <v>0.10470101213935656</v>
          </cell>
          <cell r="HQ584">
            <v>0.13731068068273156</v>
          </cell>
          <cell r="HR584">
            <v>0.15090315605453997</v>
          </cell>
          <cell r="HS584">
            <v>0.13624545774560048</v>
          </cell>
          <cell r="HT584">
            <v>0.13677694050004363</v>
          </cell>
          <cell r="HU584">
            <v>5.7240848905610209E-2</v>
          </cell>
          <cell r="HV584">
            <v>-0.39573917412765258</v>
          </cell>
          <cell r="HW584">
            <v>7.4585268098362301E-2</v>
          </cell>
          <cell r="HX584">
            <v>0.11251047728524566</v>
          </cell>
          <cell r="HY584">
            <v>0.19121899174511303</v>
          </cell>
          <cell r="HZ584">
            <v>1.0530293846804946</v>
          </cell>
          <cell r="IA584">
            <v>0.19181468689026415</v>
          </cell>
          <cell r="IB584">
            <v>0.11070366870375925</v>
          </cell>
          <cell r="IC584">
            <v>9.6607620118582815E-4</v>
          </cell>
          <cell r="ID584">
            <v>3.0932597992245459E-2</v>
          </cell>
          <cell r="IE584">
            <v>3.8091102076267758E-2</v>
          </cell>
          <cell r="IF584">
            <v>9.1281904187868301E-2</v>
          </cell>
          <cell r="IG584">
            <v>0.17274644968885666</v>
          </cell>
          <cell r="IH584">
            <v>9.7458044368168517E-2</v>
          </cell>
        </row>
        <row r="585">
          <cell r="HH585" t="str">
            <v>Other Overnight Growth</v>
          </cell>
          <cell r="HM585">
            <v>0.16388574878408679</v>
          </cell>
          <cell r="HN585">
            <v>0.28666934151768264</v>
          </cell>
          <cell r="HO585">
            <v>0.25928857149868745</v>
          </cell>
          <cell r="HP585">
            <v>0.20258409912169895</v>
          </cell>
          <cell r="HQ585">
            <v>8.7928301297573563E-2</v>
          </cell>
          <cell r="HR585">
            <v>0.15351562816390318</v>
          </cell>
          <cell r="HS585">
            <v>8.3255789027521399E-2</v>
          </cell>
          <cell r="HT585">
            <v>0.11466103373159919</v>
          </cell>
          <cell r="HU585">
            <v>3.1272235446083485E-2</v>
          </cell>
          <cell r="HV585">
            <v>-0.26603307903227502</v>
          </cell>
          <cell r="HW585">
            <v>1.3559825138971249E-2</v>
          </cell>
          <cell r="HX585">
            <v>5.2634134786213149E-2</v>
          </cell>
          <cell r="HY585">
            <v>0.15535607717148014</v>
          </cell>
          <cell r="HZ585">
            <v>0.60925995018926193</v>
          </cell>
          <cell r="IA585">
            <v>0.33951780017127908</v>
          </cell>
          <cell r="IB585">
            <v>0.31746103186649877</v>
          </cell>
          <cell r="IC585">
            <v>0.22435869297805988</v>
          </cell>
          <cell r="ID585">
            <v>0.11451858046183072</v>
          </cell>
          <cell r="IE585">
            <v>6.5049510936132204E-2</v>
          </cell>
          <cell r="IF585">
            <v>9.5472717505395766E-2</v>
          </cell>
          <cell r="IG585">
            <v>0.19002186957794054</v>
          </cell>
          <cell r="IH585">
            <v>0.25174776062613602</v>
          </cell>
        </row>
        <row r="586">
          <cell r="HH586" t="str">
            <v>Day Tripper Growth</v>
          </cell>
          <cell r="HM586">
            <v>0.20238201631979824</v>
          </cell>
          <cell r="HN586">
            <v>0.1923480105789992</v>
          </cell>
          <cell r="HO586">
            <v>4.3569990497791977E-2</v>
          </cell>
          <cell r="HP586">
            <v>5.9416410497094008E-2</v>
          </cell>
          <cell r="HQ586">
            <v>6.2374512397751714E-2</v>
          </cell>
          <cell r="HR586">
            <v>2.7644678967424285E-2</v>
          </cell>
          <cell r="HS586">
            <v>0.1373628290489306</v>
          </cell>
          <cell r="HT586">
            <v>0.25114406222742636</v>
          </cell>
          <cell r="HU586">
            <v>0.22638110647930443</v>
          </cell>
          <cell r="HV586">
            <v>-0.16694728573624085</v>
          </cell>
          <cell r="HW586">
            <v>0.17999289908339899</v>
          </cell>
          <cell r="HX586">
            <v>0.23424837062242521</v>
          </cell>
          <cell r="HY586">
            <v>0.34536351602832815</v>
          </cell>
          <cell r="HZ586">
            <v>1.0588507801674303</v>
          </cell>
          <cell r="IA586">
            <v>0.42821576601693034</v>
          </cell>
          <cell r="IB586">
            <v>0.35680555291025429</v>
          </cell>
          <cell r="IC586">
            <v>0.26028507553616032</v>
          </cell>
          <cell r="ID586">
            <v>0.16797076457738869</v>
          </cell>
          <cell r="IE586">
            <v>0.12620472155751417</v>
          </cell>
          <cell r="IF586">
            <v>0.10892359955027331</v>
          </cell>
          <cell r="IG586">
            <v>0.17289186645257759</v>
          </cell>
          <cell r="IH586">
            <v>0.13979366767325252</v>
          </cell>
        </row>
        <row r="587">
          <cell r="HH587" t="str">
            <v>Total Visitor Growth</v>
          </cell>
          <cell r="HM587">
            <v>0.12745620280112724</v>
          </cell>
          <cell r="HN587">
            <v>0.16745810202552347</v>
          </cell>
          <cell r="HO587">
            <v>8.667080997335419E-2</v>
          </cell>
          <cell r="HP587">
            <v>0.11122380772722673</v>
          </cell>
          <cell r="HQ587">
            <v>8.9629698477262432E-2</v>
          </cell>
          <cell r="HR587">
            <v>9.6712847431374316E-2</v>
          </cell>
          <cell r="HS587">
            <v>0.12054339725921448</v>
          </cell>
          <cell r="HT587">
            <v>0.17851181052007359</v>
          </cell>
          <cell r="HU587">
            <v>0.12070404582800065</v>
          </cell>
          <cell r="HV587">
            <v>-0.26064079820876662</v>
          </cell>
          <cell r="HW587">
            <v>0.10219007896948074</v>
          </cell>
          <cell r="HX587">
            <v>0.15038431990570578</v>
          </cell>
          <cell r="HY587">
            <v>0.25232450267677087</v>
          </cell>
          <cell r="HZ587">
            <v>0.92151410008234169</v>
          </cell>
          <cell r="IA587">
            <v>0.34143199828257265</v>
          </cell>
          <cell r="IB587">
            <v>0.28144160225548021</v>
          </cell>
          <cell r="IC587">
            <v>0.18808075923770207</v>
          </cell>
          <cell r="ID587">
            <v>0.12121737021704093</v>
          </cell>
          <cell r="IE587">
            <v>8.8863036608460177E-2</v>
          </cell>
          <cell r="IF587">
            <v>0.10134852802366923</v>
          </cell>
          <cell r="IG587">
            <v>0.17747186349988842</v>
          </cell>
          <cell r="IH587">
            <v>0.15855648779605325</v>
          </cell>
        </row>
        <row r="589">
          <cell r="HH589" t="str">
            <v>Hotel Share</v>
          </cell>
          <cell r="HM589">
            <v>0.25865829189566431</v>
          </cell>
          <cell r="HN589">
            <v>0.26446206319280924</v>
          </cell>
          <cell r="HO589">
            <v>0.26832136179529936</v>
          </cell>
          <cell r="HP589">
            <v>0.28473769580038094</v>
          </cell>
          <cell r="HQ589">
            <v>0.26997689070993075</v>
          </cell>
          <cell r="HR589">
            <v>0.2775295501444785</v>
          </cell>
          <cell r="HS589">
            <v>0.27208132170671778</v>
          </cell>
          <cell r="HT589">
            <v>0.27465422390136995</v>
          </cell>
          <cell r="HU589">
            <v>0.25468864699973659</v>
          </cell>
          <cell r="HV589">
            <v>0.22681835130745517</v>
          </cell>
          <cell r="HW589">
            <v>0.26526693136644158</v>
          </cell>
          <cell r="HX589">
            <v>0.26561184504493895</v>
          </cell>
          <cell r="HY589">
            <v>0.24226145271411273</v>
          </cell>
          <cell r="HZ589">
            <v>0.24234260898685783</v>
          </cell>
          <cell r="IA589">
            <v>0.23568024704465115</v>
          </cell>
          <cell r="IB589">
            <v>0.230222001707551</v>
          </cell>
          <cell r="IC589">
            <v>0.20410691264256714</v>
          </cell>
          <cell r="ID589">
            <v>0.22282824198369078</v>
          </cell>
          <cell r="IE589">
            <v>0.22469085566008098</v>
          </cell>
          <cell r="IF589">
            <v>0.22811771025852728</v>
          </cell>
          <cell r="IG589">
            <v>0.20328779360131768</v>
          </cell>
          <cell r="IH589">
            <v>0.21107701631589909</v>
          </cell>
        </row>
        <row r="590">
          <cell r="HH590" t="str">
            <v>Other Overnight Share</v>
          </cell>
          <cell r="HM590">
            <v>0.30806878856882897</v>
          </cell>
          <cell r="HN590">
            <v>0.28974896543092055</v>
          </cell>
          <cell r="HO590">
            <v>0.30531363743866102</v>
          </cell>
          <cell r="HP590">
            <v>0.29357218573590715</v>
          </cell>
          <cell r="HQ590">
            <v>0.30758775600450583</v>
          </cell>
          <cell r="HR590">
            <v>0.30475612704975041</v>
          </cell>
          <cell r="HS590">
            <v>0.29515391017735942</v>
          </cell>
          <cell r="HT590">
            <v>0.27766669209944039</v>
          </cell>
          <cell r="HU590">
            <v>0.2830423553046531</v>
          </cell>
          <cell r="HV590">
            <v>0.30253348531383129</v>
          </cell>
          <cell r="HW590">
            <v>0.27141974083830561</v>
          </cell>
          <cell r="HX590">
            <v>0.25407286342446139</v>
          </cell>
          <cell r="HY590">
            <v>0.26112617344720584</v>
          </cell>
          <cell r="HZ590">
            <v>0.25337051728418591</v>
          </cell>
          <cell r="IA590">
            <v>0.27103242999739408</v>
          </cell>
          <cell r="IB590">
            <v>0.26121447612384585</v>
          </cell>
          <cell r="IC590">
            <v>0.26909963648373297</v>
          </cell>
          <cell r="ID590">
            <v>0.25185673782398449</v>
          </cell>
          <cell r="IE590">
            <v>0.26510492808688779</v>
          </cell>
          <cell r="IF590">
            <v>0.25982086935243809</v>
          </cell>
          <cell r="IG590">
            <v>0.27196781718355384</v>
          </cell>
          <cell r="IH590">
            <v>0.27211543924759718</v>
          </cell>
        </row>
        <row r="591">
          <cell r="HH591" t="str">
            <v>Day Tripper Share</v>
          </cell>
          <cell r="HM591">
            <v>0.56672708046449327</v>
          </cell>
          <cell r="HN591">
            <v>0.55421102862372984</v>
          </cell>
          <cell r="HO591">
            <v>0.57363499923396033</v>
          </cell>
          <cell r="HP591">
            <v>0.57830988153628815</v>
          </cell>
          <cell r="HQ591">
            <v>0.57756464671443664</v>
          </cell>
          <cell r="HR591">
            <v>0.58228567719422886</v>
          </cell>
          <cell r="HS591">
            <v>0.56723523188407721</v>
          </cell>
          <cell r="HT591">
            <v>0.55232091600081035</v>
          </cell>
          <cell r="HU591">
            <v>0.53773100230438975</v>
          </cell>
          <cell r="HV591">
            <v>0.52935183662128638</v>
          </cell>
          <cell r="HW591">
            <v>0.53668667220474719</v>
          </cell>
          <cell r="HX591">
            <v>0.5196847084694004</v>
          </cell>
          <cell r="HY591">
            <v>0.5033876261613186</v>
          </cell>
          <cell r="HZ591">
            <v>0.49571312627104375</v>
          </cell>
          <cell r="IA591">
            <v>0.50671267704204526</v>
          </cell>
          <cell r="IB591">
            <v>0.49143647783139688</v>
          </cell>
          <cell r="IC591">
            <v>0.47320654912630011</v>
          </cell>
          <cell r="ID591">
            <v>0.47468497980767527</v>
          </cell>
          <cell r="IE591">
            <v>0.48979578374696875</v>
          </cell>
          <cell r="IF591">
            <v>0.48793857961096537</v>
          </cell>
          <cell r="IG591">
            <v>0.4752556107848715</v>
          </cell>
          <cell r="IH591">
            <v>0.48319245556349627</v>
          </cell>
        </row>
        <row r="593">
          <cell r="HH593" t="str">
            <v>Quarter</v>
          </cell>
          <cell r="HI593">
            <v>1</v>
          </cell>
          <cell r="HJ593">
            <v>2</v>
          </cell>
          <cell r="HK593">
            <v>3</v>
          </cell>
          <cell r="HL593">
            <v>4</v>
          </cell>
          <cell r="HM593">
            <v>1</v>
          </cell>
          <cell r="HN593">
            <v>2</v>
          </cell>
          <cell r="HO593">
            <v>3</v>
          </cell>
          <cell r="HP593">
            <v>4</v>
          </cell>
          <cell r="HQ593">
            <v>1</v>
          </cell>
          <cell r="HR593">
            <v>2</v>
          </cell>
          <cell r="HS593">
            <v>3</v>
          </cell>
          <cell r="HT593">
            <v>4</v>
          </cell>
          <cell r="HU593">
            <v>1</v>
          </cell>
          <cell r="HV593">
            <v>2</v>
          </cell>
          <cell r="HW593">
            <v>3</v>
          </cell>
          <cell r="HX593">
            <v>4</v>
          </cell>
          <cell r="HY593">
            <v>1</v>
          </cell>
          <cell r="HZ593">
            <v>2</v>
          </cell>
          <cell r="IA593">
            <v>3</v>
          </cell>
          <cell r="IB593">
            <v>4</v>
          </cell>
          <cell r="IC593">
            <v>1</v>
          </cell>
          <cell r="ID593">
            <v>2</v>
          </cell>
          <cell r="IE593">
            <v>3</v>
          </cell>
          <cell r="IF593">
            <v>4</v>
          </cell>
          <cell r="IG593">
            <v>1</v>
          </cell>
          <cell r="IH593">
            <v>2</v>
          </cell>
        </row>
        <row r="595">
          <cell r="HJ595" t="str">
            <v>CORR</v>
          </cell>
          <cell r="HK595" t="str">
            <v>Hotel</v>
          </cell>
          <cell r="HL595" t="str">
            <v>Other</v>
          </cell>
          <cell r="HM595" t="str">
            <v>Day Tripper</v>
          </cell>
          <cell r="HO595" t="str">
            <v>Total Avg</v>
          </cell>
          <cell r="HP595" t="str">
            <v>Seasonality</v>
          </cell>
          <cell r="HQ595">
            <v>1</v>
          </cell>
          <cell r="HR595">
            <v>2</v>
          </cell>
          <cell r="HS595">
            <v>3</v>
          </cell>
          <cell r="HT595">
            <v>4</v>
          </cell>
          <cell r="HV595" t="str">
            <v>none are statistically significant from 0</v>
          </cell>
        </row>
        <row r="596">
          <cell r="HJ596" t="str">
            <v>Hotel</v>
          </cell>
          <cell r="HK596">
            <v>0.99999999999999989</v>
          </cell>
          <cell r="HO596">
            <v>0.24839738087926574</v>
          </cell>
          <cell r="HP596" t="str">
            <v>Hotel Share</v>
          </cell>
          <cell r="HQ596">
            <v>-9.5673827853774984E-3</v>
          </cell>
          <cell r="HR596">
            <v>-1.6012177562074181E-3</v>
          </cell>
          <cell r="HS596">
            <v>4.8107626353724176E-3</v>
          </cell>
          <cell r="HT596">
            <v>8.2713144632878544E-3</v>
          </cell>
        </row>
        <row r="597">
          <cell r="HJ597" t="str">
            <v>Other</v>
          </cell>
          <cell r="HK597">
            <v>0.78307741260457886</v>
          </cell>
          <cell r="HL597">
            <v>0.99999999999999989</v>
          </cell>
          <cell r="HO597">
            <v>0.27893000443665972</v>
          </cell>
          <cell r="HP597" t="str">
            <v>Other Share</v>
          </cell>
          <cell r="HQ597">
            <v>4.5520833954204032E-3</v>
          </cell>
          <cell r="HR597">
            <v>1.5231621438748233E-3</v>
          </cell>
          <cell r="HS597">
            <v>2.6749248710618567E-3</v>
          </cell>
          <cell r="HT597">
            <v>-9.6605870894411749E-3</v>
          </cell>
        </row>
        <row r="598">
          <cell r="HJ598" t="str">
            <v>Day Tripper</v>
          </cell>
          <cell r="HK598">
            <v>0.89410661997004615</v>
          </cell>
          <cell r="HL598">
            <v>0.79115021612132541</v>
          </cell>
          <cell r="HM598">
            <v>1</v>
          </cell>
          <cell r="HO598">
            <v>0.52732738531592538</v>
          </cell>
          <cell r="HP598" t="str">
            <v>Day Share</v>
          </cell>
          <cell r="HQ598">
            <v>-5.0152993899570397E-3</v>
          </cell>
          <cell r="HR598">
            <v>-7.8055612332539326E-5</v>
          </cell>
          <cell r="HS598">
            <v>7.485687506434302E-3</v>
          </cell>
          <cell r="HT598">
            <v>-1.3892726261531818E-3</v>
          </cell>
        </row>
        <row r="599">
          <cell r="HJ599" t="str">
            <v>Total</v>
          </cell>
          <cell r="HK599">
            <v>0.95178004247969206</v>
          </cell>
          <cell r="HL599">
            <v>0.88069548427840649</v>
          </cell>
          <cell r="HM599">
            <v>0.97396907415496647</v>
          </cell>
          <cell r="HO599">
            <v>1.4536571726740792</v>
          </cell>
          <cell r="HP599" t="str">
            <v>Days Stayed</v>
          </cell>
          <cell r="HQ599">
            <v>-8.2894008903373617E-3</v>
          </cell>
          <cell r="HR599">
            <v>2.3306772027993361E-3</v>
          </cell>
          <cell r="HS599">
            <v>1.6461824941471637E-3</v>
          </cell>
          <cell r="HT599">
            <v>5.6941080084458306E-3</v>
          </cell>
        </row>
      </sheetData>
      <sheetData sheetId="12" refreshError="1">
        <row r="2">
          <cell r="C2" t="str">
            <v>1Q00</v>
          </cell>
          <cell r="D2" t="str">
            <v>2Q00</v>
          </cell>
          <cell r="E2" t="str">
            <v>3Q00</v>
          </cell>
          <cell r="F2" t="str">
            <v>4Q00</v>
          </cell>
          <cell r="G2" t="str">
            <v>1Q01</v>
          </cell>
          <cell r="H2" t="str">
            <v>2Q01</v>
          </cell>
          <cell r="I2" t="str">
            <v>3Q01</v>
          </cell>
          <cell r="J2" t="str">
            <v>4Q01</v>
          </cell>
          <cell r="K2" t="str">
            <v>1Q02</v>
          </cell>
          <cell r="L2" t="str">
            <v>2Q02</v>
          </cell>
          <cell r="M2" t="str">
            <v>3Q02</v>
          </cell>
          <cell r="N2" t="str">
            <v>4Q02</v>
          </cell>
          <cell r="O2" t="str">
            <v>1Q03</v>
          </cell>
          <cell r="P2" t="str">
            <v>2Q03</v>
          </cell>
          <cell r="Q2" t="str">
            <v>3Q03</v>
          </cell>
          <cell r="R2" t="str">
            <v>4Q03</v>
          </cell>
          <cell r="S2" t="str">
            <v>1Q04</v>
          </cell>
          <cell r="T2" t="str">
            <v>2Q04</v>
          </cell>
          <cell r="U2" t="str">
            <v>3Q04</v>
          </cell>
          <cell r="V2" t="str">
            <v>4Q04</v>
          </cell>
          <cell r="W2" t="str">
            <v>1Q05</v>
          </cell>
          <cell r="X2" t="str">
            <v>2Q05</v>
          </cell>
          <cell r="Y2" t="str">
            <v>3Q05</v>
          </cell>
          <cell r="Z2" t="str">
            <v>4Q05</v>
          </cell>
          <cell r="AA2" t="str">
            <v>1Q06</v>
          </cell>
        </row>
        <row r="3">
          <cell r="B3" t="str">
            <v>Occupancy</v>
          </cell>
          <cell r="C3">
            <v>0.54488524984387665</v>
          </cell>
          <cell r="D3">
            <v>0.56857131157548613</v>
          </cell>
          <cell r="E3">
            <v>0.60272981654378599</v>
          </cell>
          <cell r="F3">
            <v>0.58658794292937144</v>
          </cell>
          <cell r="G3">
            <v>0.55606307283241474</v>
          </cell>
          <cell r="H3">
            <v>0.59575597146118309</v>
          </cell>
          <cell r="I3">
            <v>0.63266172123134856</v>
          </cell>
          <cell r="J3">
            <v>0.64147226224862008</v>
          </cell>
          <cell r="K3">
            <v>0.62039213501105894</v>
          </cell>
          <cell r="L3">
            <v>0.66436800407143515</v>
          </cell>
          <cell r="M3">
            <v>0.69655375011736109</v>
          </cell>
          <cell r="N3">
            <v>0.70357624717407674</v>
          </cell>
          <cell r="O3">
            <v>0.65081805181156627</v>
          </cell>
          <cell r="P3">
            <v>0.42114635430201353</v>
          </cell>
          <cell r="Q3">
            <v>0.73179237407935516</v>
          </cell>
          <cell r="R3">
            <v>0.76343145665259871</v>
          </cell>
          <cell r="S3">
            <v>0.69876780482057055</v>
          </cell>
          <cell r="T3">
            <v>0.7430798428550015</v>
          </cell>
          <cell r="U3">
            <v>0.78663331340738429</v>
          </cell>
          <cell r="V3">
            <v>0.79345733116261807</v>
          </cell>
          <cell r="W3">
            <v>0.65672049831872303</v>
          </cell>
          <cell r="X3">
            <v>0.67234752552369925</v>
          </cell>
          <cell r="Y3">
            <v>0.7227681795753228</v>
          </cell>
          <cell r="Z3">
            <v>0.77966560703183452</v>
          </cell>
          <cell r="AA3">
            <v>0.70592520103515133</v>
          </cell>
        </row>
        <row r="4">
          <cell r="B4" t="str">
            <v>ADR</v>
          </cell>
          <cell r="C4">
            <v>47.749307373616297</v>
          </cell>
          <cell r="D4">
            <v>48.335675406915442</v>
          </cell>
          <cell r="E4">
            <v>50.783381206347201</v>
          </cell>
          <cell r="F4">
            <v>52.389399776054503</v>
          </cell>
          <cell r="G4">
            <v>52.939835851369047</v>
          </cell>
          <cell r="H4">
            <v>52.500572441544328</v>
          </cell>
          <cell r="I4">
            <v>51.403055409518565</v>
          </cell>
          <cell r="J4">
            <v>50.483305164764261</v>
          </cell>
          <cell r="K4">
            <v>50.648412514415647</v>
          </cell>
          <cell r="L4">
            <v>47.973118895419333</v>
          </cell>
          <cell r="M4">
            <v>47.510847858151898</v>
          </cell>
          <cell r="N4">
            <v>48.547335694693956</v>
          </cell>
          <cell r="O4">
            <v>50.261874235043663</v>
          </cell>
          <cell r="P4">
            <v>45.919385013897511</v>
          </cell>
          <cell r="Q4">
            <v>51.695933513572228</v>
          </cell>
          <cell r="R4">
            <v>56.788558904483885</v>
          </cell>
          <cell r="S4">
            <v>58.592998889701121</v>
          </cell>
          <cell r="T4">
            <v>58.382028402147647</v>
          </cell>
          <cell r="U4">
            <v>59.527013301190301</v>
          </cell>
          <cell r="V4">
            <v>67.196477919640145</v>
          </cell>
          <cell r="W4">
            <v>66.973341949573197</v>
          </cell>
          <cell r="X4">
            <v>61.907683767053449</v>
          </cell>
          <cell r="Y4">
            <v>65.256919906916337</v>
          </cell>
          <cell r="Z4">
            <v>72.182763832568668</v>
          </cell>
          <cell r="AA4">
            <v>72.292429237858357</v>
          </cell>
        </row>
        <row r="26">
          <cell r="AB26" t="str">
            <v>New vs Old</v>
          </cell>
        </row>
        <row r="27">
          <cell r="AC27">
            <v>2005</v>
          </cell>
          <cell r="AD27" t="str">
            <v>2006E</v>
          </cell>
          <cell r="AE27" t="str">
            <v>2007E</v>
          </cell>
          <cell r="AF27" t="str">
            <v>2008E</v>
          </cell>
          <cell r="AG27" t="str">
            <v>2009E</v>
          </cell>
          <cell r="AH27" t="str">
            <v>2010E</v>
          </cell>
        </row>
        <row r="28">
          <cell r="AB28" t="str">
            <v>New</v>
          </cell>
        </row>
        <row r="29">
          <cell r="AB29" t="str">
            <v>Visitation</v>
          </cell>
          <cell r="AC29">
            <v>18.711186999999999</v>
          </cell>
          <cell r="AD29">
            <v>21.998122000000002</v>
          </cell>
          <cell r="AE29">
            <v>26.853211459144823</v>
          </cell>
          <cell r="AF29">
            <v>31.112956369452657</v>
          </cell>
          <cell r="AG29">
            <v>35.938386716715485</v>
          </cell>
          <cell r="AH29">
            <v>41.464358695646425</v>
          </cell>
        </row>
        <row r="30">
          <cell r="AB30" t="str">
            <v>Win per Mass Visitor</v>
          </cell>
          <cell r="AC30">
            <v>111.44221269958217</v>
          </cell>
          <cell r="AD30">
            <v>109.56058503486751</v>
          </cell>
          <cell r="AE30">
            <v>117.91681169731642</v>
          </cell>
          <cell r="AF30">
            <v>128.14735361515733</v>
          </cell>
          <cell r="AG30">
            <v>143.23197396120545</v>
          </cell>
          <cell r="AH30">
            <v>152.8036252338226</v>
          </cell>
        </row>
        <row r="31">
          <cell r="AB31" t="str">
            <v>Mass Revenue</v>
          </cell>
          <cell r="AC31">
            <v>2085.2160815156567</v>
          </cell>
          <cell r="AD31">
            <v>2410.12711598839</v>
          </cell>
          <cell r="AE31">
            <v>3166.4450790961996</v>
          </cell>
          <cell r="AF31">
            <v>3987.0430218892116</v>
          </cell>
          <cell r="AG31">
            <v>5147.5260704163238</v>
          </cell>
          <cell r="AH31">
            <v>6335.90432669035</v>
          </cell>
          <cell r="AI31">
            <v>0.48972885544362743</v>
          </cell>
        </row>
        <row r="32">
          <cell r="AB32" t="str">
            <v>VIP Revenue</v>
          </cell>
          <cell r="AC32">
            <v>3497.8356344037484</v>
          </cell>
          <cell r="AD32">
            <v>4462.2919091703079</v>
          </cell>
          <cell r="AE32">
            <v>5544.8648697270928</v>
          </cell>
          <cell r="AF32">
            <v>5988.4540593052607</v>
          </cell>
          <cell r="AG32">
            <v>6347.7613028635769</v>
          </cell>
          <cell r="AH32">
            <v>6601.6717549781206</v>
          </cell>
          <cell r="AJ32">
            <v>531.90432669034999</v>
          </cell>
          <cell r="AK32">
            <v>1053.5760816684706</v>
          </cell>
        </row>
        <row r="33">
          <cell r="AC33">
            <v>1.1730759231534966</v>
          </cell>
          <cell r="AD33">
            <v>1.0741233826947796</v>
          </cell>
          <cell r="AE33">
            <v>1.0078359974129609</v>
          </cell>
          <cell r="AF33">
            <v>0.95632353444147256</v>
          </cell>
          <cell r="AG33">
            <v>0.99466648584170458</v>
          </cell>
          <cell r="AH33">
            <v>1.0119445379723351</v>
          </cell>
          <cell r="AJ33">
            <v>521.67175497812059</v>
          </cell>
        </row>
        <row r="34">
          <cell r="AB34" t="str">
            <v>Old - just before 7/2006</v>
          </cell>
          <cell r="AH34">
            <v>0.48972885544362743</v>
          </cell>
        </row>
        <row r="35">
          <cell r="AB35" t="str">
            <v>Visitation</v>
          </cell>
          <cell r="AC35">
            <v>18.711186999999999</v>
          </cell>
          <cell r="AD35">
            <v>21.632217972379454</v>
          </cell>
          <cell r="AE35">
            <v>24.640252608957702</v>
          </cell>
          <cell r="AF35">
            <v>28.319635388651172</v>
          </cell>
          <cell r="AG35">
            <v>32.205298519054921</v>
          </cell>
          <cell r="AH35">
            <v>36.33204378008724</v>
          </cell>
        </row>
        <row r="36">
          <cell r="AB36" t="str">
            <v>Win per Mass Visitor</v>
          </cell>
          <cell r="AC36">
            <v>111.42495853909043</v>
          </cell>
          <cell r="AD36">
            <v>132.92823720522313</v>
          </cell>
          <cell r="AE36">
            <v>154.19675515805881</v>
          </cell>
          <cell r="AF36">
            <v>178.8682359833482</v>
          </cell>
          <cell r="AG36">
            <v>194.96637722184954</v>
          </cell>
          <cell r="AH36">
            <v>212.51335117181603</v>
          </cell>
        </row>
        <row r="37">
          <cell r="AB37" t="str">
            <v>Mass Revenue</v>
          </cell>
          <cell r="AC37">
            <v>2084.8932356921678</v>
          </cell>
          <cell r="AD37">
            <v>2875.5326019075469</v>
          </cell>
          <cell r="AE37">
            <v>3799.4469985761707</v>
          </cell>
          <cell r="AF37">
            <v>5065.4832256596364</v>
          </cell>
          <cell r="AG37">
            <v>6278.9503796083345</v>
          </cell>
          <cell r="AH37">
            <v>7721.0443786274736</v>
          </cell>
          <cell r="AI37">
            <v>0.6060985360576765</v>
          </cell>
        </row>
        <row r="38">
          <cell r="AB38" t="str">
            <v>VIP Revenue</v>
          </cell>
          <cell r="AC38">
            <v>3497.3427297378967</v>
          </cell>
          <cell r="AD38">
            <v>3655.7088883012116</v>
          </cell>
          <cell r="AE38">
            <v>4021.279777131333</v>
          </cell>
          <cell r="AF38">
            <v>4383.1949570731531</v>
          </cell>
          <cell r="AG38">
            <v>4733.8505536390057</v>
          </cell>
          <cell r="AH38">
            <v>5017.8815868573465</v>
          </cell>
        </row>
        <row r="40">
          <cell r="AB40" t="str">
            <v>Old - 7/11/2005</v>
          </cell>
        </row>
        <row r="41">
          <cell r="AB41" t="str">
            <v>Visitation</v>
          </cell>
          <cell r="AC41">
            <v>19.8</v>
          </cell>
          <cell r="AD41">
            <v>22.5</v>
          </cell>
          <cell r="AE41">
            <v>25.9</v>
          </cell>
          <cell r="AF41">
            <v>30.1</v>
          </cell>
          <cell r="AG41">
            <v>34.200000000000003</v>
          </cell>
          <cell r="AH41">
            <v>38.5</v>
          </cell>
        </row>
        <row r="42">
          <cell r="AB42" t="str">
            <v>Win per Mass Visitor</v>
          </cell>
          <cell r="AC42">
            <v>95</v>
          </cell>
          <cell r="AD42">
            <v>102</v>
          </cell>
          <cell r="AE42">
            <v>117</v>
          </cell>
          <cell r="AF42">
            <v>134</v>
          </cell>
          <cell r="AG42">
            <v>144</v>
          </cell>
          <cell r="AH42">
            <v>151</v>
          </cell>
        </row>
        <row r="43">
          <cell r="AB43" t="str">
            <v>Mass Revenue</v>
          </cell>
          <cell r="AC43">
            <v>1881</v>
          </cell>
          <cell r="AD43">
            <v>2281</v>
          </cell>
          <cell r="AE43">
            <v>3028</v>
          </cell>
          <cell r="AF43">
            <v>4042</v>
          </cell>
          <cell r="AG43">
            <v>4920</v>
          </cell>
          <cell r="AH43">
            <v>5804</v>
          </cell>
          <cell r="AI43">
            <v>0.4883877482329182</v>
          </cell>
        </row>
        <row r="44">
          <cell r="AB44" t="str">
            <v>VIP Revenue</v>
          </cell>
          <cell r="AC44">
            <v>3955</v>
          </cell>
          <cell r="AD44">
            <v>4430</v>
          </cell>
          <cell r="AE44">
            <v>4873</v>
          </cell>
          <cell r="AF44">
            <v>5311</v>
          </cell>
          <cell r="AG44">
            <v>5736</v>
          </cell>
          <cell r="AH44">
            <v>6080</v>
          </cell>
        </row>
        <row r="45">
          <cell r="AH45">
            <v>0.4883877482329182</v>
          </cell>
        </row>
        <row r="118">
          <cell r="AK118" t="str">
            <v>Days Stayed</v>
          </cell>
          <cell r="AL118">
            <v>2005</v>
          </cell>
          <cell r="AM118" t="str">
            <v>2006E</v>
          </cell>
          <cell r="AN118" t="str">
            <v>2007E</v>
          </cell>
          <cell r="AO118" t="str">
            <v>2008E</v>
          </cell>
          <cell r="AP118" t="str">
            <v>2009E</v>
          </cell>
          <cell r="AQ118" t="str">
            <v>2010E</v>
          </cell>
        </row>
        <row r="119">
          <cell r="AK119" t="str">
            <v>Hotel Guests</v>
          </cell>
          <cell r="AL119">
            <v>2.1758333333333333</v>
          </cell>
          <cell r="AM119">
            <v>2.17</v>
          </cell>
          <cell r="AN119">
            <v>2.2749478692713261</v>
          </cell>
          <cell r="AO119">
            <v>2.439017908256258</v>
          </cell>
          <cell r="AP119">
            <v>2.8461329551184145</v>
          </cell>
          <cell r="AQ119">
            <v>3.1697667219533114</v>
          </cell>
        </row>
        <row r="120">
          <cell r="AK120" t="str">
            <v>Other Overnight</v>
          </cell>
          <cell r="AL120">
            <v>1.5</v>
          </cell>
          <cell r="AM120">
            <v>1.5</v>
          </cell>
          <cell r="AN120">
            <v>1.5</v>
          </cell>
          <cell r="AO120">
            <v>1.5</v>
          </cell>
          <cell r="AP120">
            <v>1.5</v>
          </cell>
          <cell r="AQ120">
            <v>1.5</v>
          </cell>
        </row>
        <row r="121">
          <cell r="AK121" t="str">
            <v>Day Trippers</v>
          </cell>
          <cell r="AL121">
            <v>1</v>
          </cell>
          <cell r="AM121">
            <v>1</v>
          </cell>
          <cell r="AN121">
            <v>1</v>
          </cell>
          <cell r="AO121">
            <v>1</v>
          </cell>
          <cell r="AP121">
            <v>1</v>
          </cell>
          <cell r="AQ121">
            <v>1</v>
          </cell>
        </row>
        <row r="122">
          <cell r="AK122" t="str">
            <v>Overall</v>
          </cell>
          <cell r="AL122">
            <v>1.3898108575367241</v>
          </cell>
          <cell r="AM122">
            <v>1.3857101947157124</v>
          </cell>
          <cell r="AN122">
            <v>1.409808216231297</v>
          </cell>
          <cell r="AO122">
            <v>1.4591658339019791</v>
          </cell>
          <cell r="AP122">
            <v>1.5834259669277251</v>
          </cell>
          <cell r="AQ122">
            <v>1.6892403375063489</v>
          </cell>
        </row>
        <row r="145">
          <cell r="AU145" t="str">
            <v>Win per Visitor</v>
          </cell>
          <cell r="AV145">
            <v>2003</v>
          </cell>
          <cell r="AW145">
            <v>2004</v>
          </cell>
          <cell r="AX145">
            <v>2005</v>
          </cell>
          <cell r="AY145" t="str">
            <v>2006E</v>
          </cell>
          <cell r="AZ145" t="str">
            <v>2007E</v>
          </cell>
          <cell r="BA145" t="str">
            <v>2008E</v>
          </cell>
          <cell r="BB145" t="str">
            <v>2009E</v>
          </cell>
          <cell r="BC145" t="str">
            <v>2010E</v>
          </cell>
        </row>
        <row r="146">
          <cell r="AU146" t="str">
            <v>Revenue</v>
          </cell>
        </row>
        <row r="147">
          <cell r="AU147" t="str">
            <v>Total Win/Visitor/Day</v>
          </cell>
          <cell r="AV147">
            <v>201.99492775148218</v>
          </cell>
          <cell r="AW147">
            <v>213.25454479961729</v>
          </cell>
          <cell r="AX147">
            <v>214.69138190801422</v>
          </cell>
          <cell r="AY147">
            <v>225.4507129639166</v>
          </cell>
          <cell r="AZ147">
            <v>230.10560483419101</v>
          </cell>
          <cell r="BA147">
            <v>219.72962460523692</v>
          </cell>
          <cell r="BB147">
            <v>202.00563873280637</v>
          </cell>
          <cell r="BC147">
            <v>184.70834649115616</v>
          </cell>
        </row>
        <row r="148">
          <cell r="AU148" t="str">
            <v>Mass Win/Visitor/Day</v>
          </cell>
          <cell r="AV148">
            <v>45.835413736513246</v>
          </cell>
          <cell r="AW148">
            <v>59.798060816914834</v>
          </cell>
          <cell r="AX148">
            <v>80.18516483394032</v>
          </cell>
          <cell r="AY148">
            <v>79.064573135614836</v>
          </cell>
          <cell r="AZ148">
            <v>83.640320959777029</v>
          </cell>
          <cell r="BA148">
            <v>87.822337007765881</v>
          </cell>
          <cell r="BB148">
            <v>90.457007117998856</v>
          </cell>
          <cell r="BC148">
            <v>90.457007117998856</v>
          </cell>
        </row>
        <row r="149">
          <cell r="AU149" t="str">
            <v>Total Win/Visitor/Trip</v>
          </cell>
          <cell r="AV149">
            <v>292.57303766303806</v>
          </cell>
          <cell r="AW149">
            <v>300.64740025553272</v>
          </cell>
          <cell r="AX149">
            <v>298.38041359532156</v>
          </cell>
          <cell r="AY149">
            <v>312.40935136002508</v>
          </cell>
          <cell r="AZ149">
            <v>324.40477229611457</v>
          </cell>
          <cell r="BA149">
            <v>320.62196092006934</v>
          </cell>
          <cell r="BB149">
            <v>319.86097383534667</v>
          </cell>
          <cell r="BC149">
            <v>312.01678956696031</v>
          </cell>
        </row>
        <row r="150">
          <cell r="AU150" t="str">
            <v>Mass Win/Visitor/Trip</v>
          </cell>
          <cell r="AV150">
            <v>66.388826584460716</v>
          </cell>
          <cell r="AW150">
            <v>84.303626644021449</v>
          </cell>
          <cell r="AX150">
            <v>111.44221269958217</v>
          </cell>
          <cell r="AY150">
            <v>109.56058503486751</v>
          </cell>
          <cell r="AZ150">
            <v>117.91681169731642</v>
          </cell>
          <cell r="BA150">
            <v>128.14735361515733</v>
          </cell>
          <cell r="BB150">
            <v>143.23197396120545</v>
          </cell>
          <cell r="BC150">
            <v>152.8036252338226</v>
          </cell>
        </row>
        <row r="152">
          <cell r="AU152" t="str">
            <v>Growth</v>
          </cell>
        </row>
        <row r="153">
          <cell r="AU153" t="str">
            <v>Mass Win/Visitor/Day</v>
          </cell>
          <cell r="AV153">
            <v>0.10350118198328628</v>
          </cell>
          <cell r="AW153">
            <v>0.30462574551342403</v>
          </cell>
          <cell r="AX153">
            <v>0.34093252755210868</v>
          </cell>
          <cell r="AY153">
            <v>-1.3975050131108113E-2</v>
          </cell>
          <cell r="AZ153">
            <v>5.7873553763626573E-2</v>
          </cell>
          <cell r="BA153">
            <v>0.05</v>
          </cell>
          <cell r="BB153">
            <v>0.03</v>
          </cell>
          <cell r="BC153">
            <v>0</v>
          </cell>
        </row>
        <row r="154">
          <cell r="AU154" t="str">
            <v>Total Win/Visitor/Day</v>
          </cell>
          <cell r="AV154">
            <v>0.28263461222068931</v>
          </cell>
          <cell r="AW154">
            <v>5.5742078147566154E-2</v>
          </cell>
          <cell r="AX154">
            <v>6.7376623074881792E-3</v>
          </cell>
          <cell r="AY154">
            <v>5.0115337468516818E-2</v>
          </cell>
          <cell r="AZ154">
            <v>2.064704878985868E-2</v>
          </cell>
          <cell r="BA154">
            <v>-4.5092253343549715E-2</v>
          </cell>
          <cell r="BB154">
            <v>-8.0662704923258333E-2</v>
          </cell>
          <cell r="BC154">
            <v>-8.562776935414862E-2</v>
          </cell>
        </row>
        <row r="155">
          <cell r="AU155" t="str">
            <v>Mass Win/Visitor/Trip</v>
          </cell>
          <cell r="AV155">
            <v>7.7187784642569257E-2</v>
          </cell>
          <cell r="AW155">
            <v>0.26984661397455634</v>
          </cell>
          <cell r="AX155">
            <v>0.32191481121156862</v>
          </cell>
          <cell r="AY155">
            <v>-1.6884335110852633E-2</v>
          </cell>
          <cell r="AZ155">
            <v>7.6270372778582285E-2</v>
          </cell>
          <cell r="BA155">
            <v>8.6760672804671257E-2</v>
          </cell>
          <cell r="BB155">
            <v>0.11771308513595335</v>
          </cell>
          <cell r="BC155">
            <v>6.6826219089947347E-2</v>
          </cell>
        </row>
        <row r="156">
          <cell r="AU156" t="str">
            <v>Total Win/Visitor/Trip</v>
          </cell>
          <cell r="AV156">
            <v>0.25204971141101273</v>
          </cell>
          <cell r="AW156">
            <v>2.7597767234430082E-2</v>
          </cell>
          <cell r="AX156">
            <v>-7.5403501187250033E-3</v>
          </cell>
          <cell r="AY156">
            <v>4.7016952606447893E-2</v>
          </cell>
          <cell r="AZ156">
            <v>3.8396484880715898E-2</v>
          </cell>
          <cell r="BA156">
            <v>-1.1660775978327154E-2</v>
          </cell>
          <cell r="BB156">
            <v>-2.373471494400814E-3</v>
          </cell>
          <cell r="BC156">
            <v>-2.4523730339245042E-2</v>
          </cell>
        </row>
        <row r="180">
          <cell r="BD180" t="str">
            <v>Shares</v>
          </cell>
        </row>
        <row r="181">
          <cell r="BE181">
            <v>2001</v>
          </cell>
          <cell r="BF181">
            <v>2002</v>
          </cell>
          <cell r="BG181">
            <v>2003</v>
          </cell>
          <cell r="BH181">
            <v>2004</v>
          </cell>
          <cell r="BI181">
            <v>2005</v>
          </cell>
          <cell r="BJ181" t="str">
            <v>2006E</v>
          </cell>
          <cell r="BK181" t="str">
            <v>2007E</v>
          </cell>
          <cell r="BL181" t="str">
            <v>2008E</v>
          </cell>
          <cell r="BM181" t="str">
            <v>2009E</v>
          </cell>
          <cell r="BN181" t="str">
            <v>2010E</v>
          </cell>
        </row>
        <row r="182">
          <cell r="BD182" t="str">
            <v>Hotel Guest</v>
          </cell>
          <cell r="BE182">
            <v>2.7668530000000002</v>
          </cell>
          <cell r="BF182">
            <v>3.154801</v>
          </cell>
          <cell r="BG182">
            <v>3.043272</v>
          </cell>
          <cell r="BH182">
            <v>3.9561540000000006</v>
          </cell>
          <cell r="BI182">
            <v>4.1210880000000003</v>
          </cell>
          <cell r="BJ182">
            <v>4.6808540000000001</v>
          </cell>
          <cell r="BK182">
            <v>5.718392947220277</v>
          </cell>
          <cell r="BL182">
            <v>7.2477650018330273</v>
          </cell>
          <cell r="BM182">
            <v>9.0906170171459291</v>
          </cell>
          <cell r="BN182">
            <v>11.12696307559267</v>
          </cell>
        </row>
        <row r="183">
          <cell r="BD183" t="str">
            <v>Other Overnight</v>
          </cell>
          <cell r="BE183">
            <v>3.0749820000000003</v>
          </cell>
          <cell r="BF183">
            <v>3.410358</v>
          </cell>
          <cell r="BG183">
            <v>3.2652429999999999</v>
          </cell>
          <cell r="BH183">
            <v>4.3672770000000005</v>
          </cell>
          <cell r="BI183">
            <v>4.8929760000000009</v>
          </cell>
          <cell r="BJ183">
            <v>6.0018090000000006</v>
          </cell>
          <cell r="BK183">
            <v>7.059522834707419</v>
          </cell>
          <cell r="BL183">
            <v>7.7126858481298948</v>
          </cell>
          <cell r="BM183">
            <v>8.3698007246177593</v>
          </cell>
          <cell r="BN183">
            <v>8.8719887680948251</v>
          </cell>
        </row>
        <row r="184">
          <cell r="BD184" t="str">
            <v>Day Trippers</v>
          </cell>
          <cell r="BE184">
            <v>4.4371380000000009</v>
          </cell>
          <cell r="BF184">
            <v>4.9656820000000002</v>
          </cell>
          <cell r="BG184">
            <v>5.5793609999999996</v>
          </cell>
          <cell r="BH184">
            <v>8.3491250000000008</v>
          </cell>
          <cell r="BI184">
            <v>9.6971229999999995</v>
          </cell>
          <cell r="BJ184">
            <v>11.315459000000001</v>
          </cell>
          <cell r="BK184">
            <v>14.075295677217126</v>
          </cell>
          <cell r="BL184">
            <v>16.152505519489736</v>
          </cell>
          <cell r="BM184">
            <v>18.477968974951796</v>
          </cell>
          <cell r="BN184">
            <v>21.465406851958932</v>
          </cell>
        </row>
        <row r="185">
          <cell r="BE185">
            <v>0.26917601593077439</v>
          </cell>
          <cell r="BI185">
            <v>0.22024727773817876</v>
          </cell>
          <cell r="BN185">
            <v>0.26835005835411491</v>
          </cell>
        </row>
        <row r="186">
          <cell r="BE186">
            <v>0.2991526488103432</v>
          </cell>
          <cell r="BI186">
            <v>0.26150003203965627</v>
          </cell>
          <cell r="BN186">
            <v>0.2139666221107224</v>
          </cell>
        </row>
        <row r="187">
          <cell r="BE187">
            <v>0.43167133525888246</v>
          </cell>
          <cell r="BI187">
            <v>0.51825269022216491</v>
          </cell>
          <cell r="BN187">
            <v>0.51768331953516278</v>
          </cell>
        </row>
        <row r="210">
          <cell r="BO210" t="str">
            <v>Chinese Tourism (mm person-times)</v>
          </cell>
          <cell r="BP210">
            <v>1995</v>
          </cell>
          <cell r="BQ210">
            <v>1996</v>
          </cell>
          <cell r="BR210">
            <v>1997</v>
          </cell>
          <cell r="BS210">
            <v>1998</v>
          </cell>
          <cell r="BT210">
            <v>1999</v>
          </cell>
          <cell r="BU210">
            <v>2000</v>
          </cell>
          <cell r="BV210">
            <v>2001</v>
          </cell>
          <cell r="BW210">
            <v>2002</v>
          </cell>
          <cell r="BX210">
            <v>2003</v>
          </cell>
          <cell r="BY210">
            <v>2004</v>
          </cell>
        </row>
        <row r="211">
          <cell r="BO211" t="str">
            <v>Outbound Total</v>
          </cell>
          <cell r="BP211">
            <v>7.1390000000000002</v>
          </cell>
          <cell r="BQ211">
            <v>7.5882000000000005</v>
          </cell>
          <cell r="BR211">
            <v>8.1753999999999998</v>
          </cell>
          <cell r="BS211">
            <v>8.4255999999999993</v>
          </cell>
          <cell r="BT211">
            <v>9.2324000000000002</v>
          </cell>
          <cell r="BU211">
            <v>10.4726</v>
          </cell>
          <cell r="BV211">
            <v>12.134399999999999</v>
          </cell>
          <cell r="BW211">
            <v>16.6023</v>
          </cell>
          <cell r="BX211">
            <v>20.221900000000002</v>
          </cell>
          <cell r="BY211">
            <v>28.85</v>
          </cell>
          <cell r="BZ211">
            <v>0.28883886992131336</v>
          </cell>
        </row>
        <row r="212">
          <cell r="BO212" t="str">
            <v xml:space="preserve">  Growth</v>
          </cell>
          <cell r="BQ212">
            <v>6.2921977868048762E-2</v>
          </cell>
          <cell r="BR212">
            <v>7.7383305658785817E-2</v>
          </cell>
          <cell r="BS212">
            <v>3.0604007143381295E-2</v>
          </cell>
          <cell r="BT212">
            <v>9.5755791872389029E-2</v>
          </cell>
          <cell r="BU212">
            <v>0.13433126814262808</v>
          </cell>
          <cell r="BV212">
            <v>0.15868074785631081</v>
          </cell>
          <cell r="BW212">
            <v>0.36820114715189867</v>
          </cell>
          <cell r="BX212">
            <v>0.21801798545984608</v>
          </cell>
          <cell r="BY212">
            <v>0.42667108431947542</v>
          </cell>
        </row>
        <row r="213">
          <cell r="BO213" t="str">
            <v xml:space="preserve">  Private Purpose</v>
          </cell>
          <cell r="BP213">
            <v>2.0538999999999996</v>
          </cell>
          <cell r="BQ213">
            <v>2.4138999999999999</v>
          </cell>
          <cell r="BR213">
            <v>2.4396</v>
          </cell>
          <cell r="BS213">
            <v>3.1901999999999999</v>
          </cell>
          <cell r="BT213">
            <v>4.2660999999999998</v>
          </cell>
          <cell r="BU213">
            <v>5.6308999999999996</v>
          </cell>
          <cell r="BV213">
            <v>6.9466999999999999</v>
          </cell>
          <cell r="BW213">
            <v>10.0739</v>
          </cell>
          <cell r="BX213">
            <v>14.8109</v>
          </cell>
          <cell r="BY213">
            <v>22.98</v>
          </cell>
        </row>
        <row r="214">
          <cell r="BO214" t="str">
            <v xml:space="preserve">  Growth</v>
          </cell>
          <cell r="BQ214">
            <v>0.17527630361750823</v>
          </cell>
          <cell r="BR214">
            <v>1.0646671361696836E-2</v>
          </cell>
          <cell r="BS214">
            <v>0.30767338908017705</v>
          </cell>
          <cell r="BT214">
            <v>0.3372515829728544</v>
          </cell>
          <cell r="BU214">
            <v>0.31991748904151329</v>
          </cell>
          <cell r="BV214">
            <v>0.23367490099273658</v>
          </cell>
          <cell r="BW214">
            <v>0.45017058459412396</v>
          </cell>
          <cell r="BX214">
            <v>0.47022503697674178</v>
          </cell>
          <cell r="BY214">
            <v>0.55155999972992875</v>
          </cell>
        </row>
        <row r="215">
          <cell r="BO215" t="str">
            <v>Domestic</v>
          </cell>
          <cell r="BP215">
            <v>629</v>
          </cell>
          <cell r="BQ215">
            <v>639</v>
          </cell>
          <cell r="BR215">
            <v>644</v>
          </cell>
          <cell r="BS215">
            <v>694.5</v>
          </cell>
          <cell r="BT215">
            <v>719</v>
          </cell>
          <cell r="BU215">
            <v>744</v>
          </cell>
          <cell r="BV215">
            <v>784</v>
          </cell>
          <cell r="BW215">
            <v>878</v>
          </cell>
          <cell r="BX215">
            <v>870</v>
          </cell>
          <cell r="BY215">
            <v>1102</v>
          </cell>
        </row>
        <row r="216">
          <cell r="BO216" t="str">
            <v xml:space="preserve">  Growth</v>
          </cell>
          <cell r="BQ216">
            <v>1.5898251192368873E-2</v>
          </cell>
          <cell r="BR216">
            <v>7.8247261345851804E-3</v>
          </cell>
          <cell r="BS216">
            <v>7.841614906832306E-2</v>
          </cell>
          <cell r="BT216">
            <v>3.5277177825773887E-2</v>
          </cell>
          <cell r="BU216">
            <v>3.4770514603616132E-2</v>
          </cell>
          <cell r="BV216">
            <v>5.3763440860215006E-2</v>
          </cell>
          <cell r="BW216">
            <v>0.11989795918367352</v>
          </cell>
          <cell r="BX216">
            <v>-9.1116173120728838E-3</v>
          </cell>
          <cell r="BY216">
            <v>0.26666666666666661</v>
          </cell>
        </row>
        <row r="218">
          <cell r="BO218" t="str">
            <v>Outbound Share of Total</v>
          </cell>
          <cell r="BP218">
            <v>1.1222390075125091E-2</v>
          </cell>
          <cell r="BQ218">
            <v>1.1735753915707092E-2</v>
          </cell>
          <cell r="BR218">
            <v>1.2535584752200098E-2</v>
          </cell>
          <cell r="BS218">
            <v>1.1986474813266153E-2</v>
          </cell>
          <cell r="BT218">
            <v>1.2677820981324094E-2</v>
          </cell>
          <cell r="BU218">
            <v>1.3880689636707813E-2</v>
          </cell>
          <cell r="BV218">
            <v>1.5241647641403259E-2</v>
          </cell>
          <cell r="BW218">
            <v>1.8558302387552548E-2</v>
          </cell>
          <cell r="BX218">
            <v>2.2715572375831241E-2</v>
          </cell>
          <cell r="BY218">
            <v>2.5511783171950308E-2</v>
          </cell>
        </row>
        <row r="241">
          <cell r="CA241" t="str">
            <v>China Population and IVS forecast</v>
          </cell>
        </row>
        <row r="242">
          <cell r="CA242" t="str">
            <v>millions</v>
          </cell>
          <cell r="CB242">
            <v>2004</v>
          </cell>
          <cell r="CC242">
            <v>2005</v>
          </cell>
          <cell r="CD242" t="str">
            <v>2006E</v>
          </cell>
          <cell r="CE242" t="str">
            <v>2007E</v>
          </cell>
          <cell r="CF242" t="str">
            <v>2008E</v>
          </cell>
          <cell r="CG242" t="str">
            <v>2009E</v>
          </cell>
          <cell r="CH242" t="str">
            <v>2010E</v>
          </cell>
        </row>
        <row r="244">
          <cell r="CA244" t="str">
            <v>Population</v>
          </cell>
        </row>
        <row r="245">
          <cell r="CA245" t="str">
            <v>Total China</v>
          </cell>
          <cell r="CB245">
            <v>1299.8800000000001</v>
          </cell>
          <cell r="CC245">
            <v>1306.3794</v>
          </cell>
          <cell r="CD245">
            <v>1312.9112969999999</v>
          </cell>
          <cell r="CE245">
            <v>1319.4758534849998</v>
          </cell>
          <cell r="CF245">
            <v>1326.0732327524247</v>
          </cell>
          <cell r="CG245">
            <v>1332.7035989161866</v>
          </cell>
          <cell r="CH245">
            <v>1339.3671169107674</v>
          </cell>
        </row>
        <row r="246">
          <cell r="CA246" t="str">
            <v>Urban</v>
          </cell>
          <cell r="CB246">
            <v>542.83000000000004</v>
          </cell>
          <cell r="CC246">
            <v>564.54320000000007</v>
          </cell>
          <cell r="CD246">
            <v>587.12492800000007</v>
          </cell>
          <cell r="CE246">
            <v>610.60992512000007</v>
          </cell>
          <cell r="CF246">
            <v>635.03432212480004</v>
          </cell>
          <cell r="CG246">
            <v>660.43569500979208</v>
          </cell>
          <cell r="CH246">
            <v>686.85312281018378</v>
          </cell>
        </row>
        <row r="247">
          <cell r="CA247" t="str">
            <v>Covered Under IVS Program</v>
          </cell>
          <cell r="CB247">
            <v>157.501823</v>
          </cell>
          <cell r="CC247">
            <v>229.114823</v>
          </cell>
          <cell r="CD247">
            <v>244.32482300000001</v>
          </cell>
          <cell r="CE247">
            <v>344.32482300000004</v>
          </cell>
          <cell r="CF247">
            <v>444.32482300000004</v>
          </cell>
          <cell r="CG247">
            <v>544.32482300000004</v>
          </cell>
          <cell r="CH247">
            <v>644.32482300000004</v>
          </cell>
        </row>
        <row r="249">
          <cell r="CA249" t="str">
            <v>Growth</v>
          </cell>
        </row>
        <row r="250">
          <cell r="CA250" t="str">
            <v>China Population</v>
          </cell>
          <cell r="CB250">
            <v>5.8888622346724429E-3</v>
          </cell>
          <cell r="CC250">
            <v>4.9999999999998934E-3</v>
          </cell>
          <cell r="CD250">
            <v>4.9999999999998934E-3</v>
          </cell>
          <cell r="CE250">
            <v>4.9999999999998934E-3</v>
          </cell>
          <cell r="CF250">
            <v>4.9999999999998934E-3</v>
          </cell>
          <cell r="CG250">
            <v>4.9999999999998934E-3</v>
          </cell>
          <cell r="CH250">
            <v>4.9999999999998934E-3</v>
          </cell>
        </row>
        <row r="251">
          <cell r="CA251" t="str">
            <v>Urban Population</v>
          </cell>
          <cell r="CB251">
            <v>3.6409806018023572E-2</v>
          </cell>
          <cell r="CC251">
            <v>4.0000000000000036E-2</v>
          </cell>
          <cell r="CD251">
            <v>4.0000000000000036E-2</v>
          </cell>
          <cell r="CE251">
            <v>4.0000000000000036E-2</v>
          </cell>
          <cell r="CF251">
            <v>4.0000000000000036E-2</v>
          </cell>
          <cell r="CG251">
            <v>4.0000000000000036E-2</v>
          </cell>
          <cell r="CH251">
            <v>4.0000000000000036E-2</v>
          </cell>
        </row>
        <row r="252">
          <cell r="CA252" t="str">
            <v>Covered Under IVS Program</v>
          </cell>
          <cell r="CB252">
            <v>1.9172406556769772</v>
          </cell>
          <cell r="CC252">
            <v>0.45468045153991654</v>
          </cell>
          <cell r="CD252">
            <v>6.6385927374066123E-2</v>
          </cell>
          <cell r="CE252">
            <v>0.40929120001859176</v>
          </cell>
          <cell r="CF252">
            <v>0.29042344123995956</v>
          </cell>
          <cell r="CG252">
            <v>0.22506057465981377</v>
          </cell>
          <cell r="CH252">
            <v>0.18371383367904937</v>
          </cell>
        </row>
        <row r="254">
          <cell r="CA254" t="str">
            <v>Urban Share of Total</v>
          </cell>
          <cell r="CB254">
            <v>0.41760008616179956</v>
          </cell>
          <cell r="CC254">
            <v>0.43214337274454884</v>
          </cell>
          <cell r="CD254">
            <v>0.4471931419446078</v>
          </cell>
          <cell r="CE254">
            <v>0.46276703246009165</v>
          </cell>
          <cell r="CF254">
            <v>0.47888329727213469</v>
          </cell>
          <cell r="CG254">
            <v>0.49556082503783105</v>
          </cell>
          <cell r="CH254">
            <v>0.51281916222820334</v>
          </cell>
        </row>
        <row r="255">
          <cell r="CA255" t="str">
            <v>IVS Share of Urban</v>
          </cell>
          <cell r="CB255">
            <v>0.29014944457749203</v>
          </cell>
          <cell r="CC255">
            <v>0.40584108178080963</v>
          </cell>
          <cell r="CD255">
            <v>0.41613770996281046</v>
          </cell>
          <cell r="CE255">
            <v>0.56390308908315179</v>
          </cell>
          <cell r="CF255">
            <v>0.69968631225050404</v>
          </cell>
          <cell r="CG255">
            <v>0.82419049593000804</v>
          </cell>
          <cell r="CH255">
            <v>0.93808239578764108</v>
          </cell>
        </row>
        <row r="279">
          <cell r="CI279" t="str">
            <v>Visitor Growth forecast</v>
          </cell>
        </row>
        <row r="280">
          <cell r="CI280" t="str">
            <v>(mm)</v>
          </cell>
          <cell r="CJ280">
            <v>2002</v>
          </cell>
          <cell r="CK280">
            <v>2003</v>
          </cell>
          <cell r="CL280">
            <v>2004</v>
          </cell>
          <cell r="CM280">
            <v>2005</v>
          </cell>
          <cell r="CN280" t="str">
            <v>2006E</v>
          </cell>
          <cell r="CO280" t="str">
            <v>2007E</v>
          </cell>
          <cell r="CP280" t="str">
            <v>2008E</v>
          </cell>
          <cell r="CQ280" t="str">
            <v>2009E</v>
          </cell>
          <cell r="CR280" t="str">
            <v>2010E</v>
          </cell>
        </row>
        <row r="282">
          <cell r="CI282" t="str">
            <v>Total Visitors</v>
          </cell>
          <cell r="CJ282">
            <v>11.530841000000001</v>
          </cell>
          <cell r="CK282">
            <v>11.887875999999999</v>
          </cell>
          <cell r="CL282">
            <v>16.672556</v>
          </cell>
          <cell r="CM282">
            <v>18.711186999999999</v>
          </cell>
          <cell r="CN282">
            <v>21.998122000000002</v>
          </cell>
          <cell r="CO282">
            <v>26.853211459144823</v>
          </cell>
          <cell r="CP282">
            <v>31.112956369452657</v>
          </cell>
          <cell r="CQ282">
            <v>35.938386716715485</v>
          </cell>
          <cell r="CR282">
            <v>41.464358695646425</v>
          </cell>
        </row>
        <row r="283">
          <cell r="CI283" t="str">
            <v xml:space="preserve">  Year-over-Year growth</v>
          </cell>
          <cell r="CJ283">
            <v>0.12178920987534458</v>
          </cell>
          <cell r="CK283">
            <v>3.0963483062510289E-2</v>
          </cell>
          <cell r="CL283">
            <v>0.40248400975918686</v>
          </cell>
          <cell r="CM283">
            <v>0.12227465302860563</v>
          </cell>
          <cell r="CN283">
            <v>0.17566683503296732</v>
          </cell>
          <cell r="CO283">
            <v>0.22070472466444269</v>
          </cell>
          <cell r="CP283">
            <v>0.15863074391637366</v>
          </cell>
          <cell r="CQ283">
            <v>0.15509391939367534</v>
          </cell>
          <cell r="CR283">
            <v>0.15376238289407484</v>
          </cell>
        </row>
        <row r="285">
          <cell r="CI285" t="str">
            <v>China Visitors</v>
          </cell>
          <cell r="CJ285">
            <v>4.2404460000000004</v>
          </cell>
          <cell r="CK285">
            <v>5.7420359999999997</v>
          </cell>
          <cell r="CL285">
            <v>9.5297389999999993</v>
          </cell>
          <cell r="CM285">
            <v>10.462966</v>
          </cell>
          <cell r="CN285">
            <v>11.985617</v>
          </cell>
          <cell r="CO285">
            <v>14.484650159144822</v>
          </cell>
          <cell r="CP285">
            <v>17.638701722452655</v>
          </cell>
          <cell r="CQ285">
            <v>21.558132326615485</v>
          </cell>
          <cell r="CR285">
            <v>26.21178215894642</v>
          </cell>
        </row>
        <row r="286">
          <cell r="CI286" t="str">
            <v xml:space="preserve">  Year-over-Year growth</v>
          </cell>
          <cell r="CJ286">
            <v>0.41079115101130448</v>
          </cell>
          <cell r="CK286">
            <v>0.3541113364018782</v>
          </cell>
          <cell r="CL286">
            <v>0.65964459296319289</v>
          </cell>
          <cell r="CM286">
            <v>9.7927865600516473E-2</v>
          </cell>
          <cell r="CN286">
            <v>0.14552766395303207</v>
          </cell>
          <cell r="CO286">
            <v>0.20850267108859089</v>
          </cell>
          <cell r="CP286">
            <v>0.21775131112272916</v>
          </cell>
          <cell r="CQ286">
            <v>0.22220629759693189</v>
          </cell>
          <cell r="CR286">
            <v>0.21586516688115776</v>
          </cell>
        </row>
        <row r="287">
          <cell r="CI287" t="str">
            <v xml:space="preserve">  Share</v>
          </cell>
          <cell r="CJ287">
            <v>0.36774819807158909</v>
          </cell>
          <cell r="CK287">
            <v>0.48301614182382119</v>
          </cell>
          <cell r="CL287">
            <v>0.57158236565527198</v>
          </cell>
          <cell r="CM287">
            <v>0.55918237576269214</v>
          </cell>
          <cell r="CN287">
            <v>0.54484728287260153</v>
          </cell>
          <cell r="CO287">
            <v>0.53940103891045388</v>
          </cell>
          <cell r="CP287">
            <v>0.56692464428647793</v>
          </cell>
          <cell r="CQ287">
            <v>0.59986366379068634</v>
          </cell>
          <cell r="CR287">
            <v>0.63215211771015622</v>
          </cell>
        </row>
        <row r="288">
          <cell r="CI288" t="str">
            <v xml:space="preserve">  Contribution</v>
          </cell>
          <cell r="CK288">
            <v>4.2057221280826873</v>
          </cell>
          <cell r="CL288">
            <v>0.79163141526706027</v>
          </cell>
          <cell r="CM288">
            <v>0.45777141621019279</v>
          </cell>
          <cell r="CN288">
            <v>0.46324341673930247</v>
          </cell>
          <cell r="CO288">
            <v>0.51472443096548126</v>
          </cell>
          <cell r="CP288">
            <v>0.74043202814224462</v>
          </cell>
          <cell r="CQ288">
            <v>0.81224477862085054</v>
          </cell>
          <cell r="CR288">
            <v>0.84214140970567009</v>
          </cell>
        </row>
        <row r="290">
          <cell r="CI290" t="str">
            <v>Hong Kong Visitors</v>
          </cell>
          <cell r="CJ290">
            <v>5.1014369999999998</v>
          </cell>
          <cell r="CK290">
            <v>4.6231620000000007</v>
          </cell>
          <cell r="CL290">
            <v>5.0510589999999995</v>
          </cell>
          <cell r="CM290">
            <v>5.6148919999999993</v>
          </cell>
          <cell r="CN290">
            <v>6.9406560000000006</v>
          </cell>
          <cell r="CO290">
            <v>8.3287872000000007</v>
          </cell>
          <cell r="CP290">
            <v>8.8285144320000004</v>
          </cell>
          <cell r="CQ290">
            <v>9.2699401536000003</v>
          </cell>
          <cell r="CR290">
            <v>9.7334371612800012</v>
          </cell>
        </row>
        <row r="291">
          <cell r="CI291" t="str">
            <v xml:space="preserve">  Year-over-Year growth</v>
          </cell>
          <cell r="CJ291">
            <v>-1.8224888648026183E-2</v>
          </cell>
          <cell r="CK291">
            <v>-9.3752995479508883E-2</v>
          </cell>
          <cell r="CL291">
            <v>9.2555052148291406E-2</v>
          </cell>
          <cell r="CM291">
            <v>0.1116266905613259</v>
          </cell>
          <cell r="CN291">
            <v>0.23611567239405518</v>
          </cell>
          <cell r="CO291">
            <v>0.19999999999999996</v>
          </cell>
          <cell r="CP291">
            <v>0.06</v>
          </cell>
          <cell r="CQ291">
            <v>0.05</v>
          </cell>
          <cell r="CR291">
            <v>0.05</v>
          </cell>
        </row>
        <row r="292">
          <cell r="CI292" t="str">
            <v xml:space="preserve">  Share</v>
          </cell>
          <cell r="CJ292">
            <v>0.44241673265636039</v>
          </cell>
          <cell r="CK292">
            <v>0.38889722604778187</v>
          </cell>
          <cell r="CL292">
            <v>0.30295648729564917</v>
          </cell>
          <cell r="CM292">
            <v>0.30008208458394431</v>
          </cell>
          <cell r="CN292">
            <v>0.31551129682797469</v>
          </cell>
          <cell r="CO292">
            <v>0.3101598187863539</v>
          </cell>
          <cell r="CP292">
            <v>0.28375684802065348</v>
          </cell>
          <cell r="CQ292">
            <v>0.25793979642632126</v>
          </cell>
          <cell r="CR292">
            <v>0.23474225738602753</v>
          </cell>
        </row>
        <row r="293">
          <cell r="CI293" t="str">
            <v xml:space="preserve">  Contribution</v>
          </cell>
          <cell r="CK293">
            <v>-1.3395745515145585</v>
          </cell>
          <cell r="CL293">
            <v>8.9430641129605123E-2</v>
          </cell>
          <cell r="CM293">
            <v>0.27657432855676234</v>
          </cell>
          <cell r="CN293">
            <v>0.40334354041074738</v>
          </cell>
          <cell r="CO293">
            <v>0.28591258959922577</v>
          </cell>
          <cell r="CP293">
            <v>0.1173138867519386</v>
          </cell>
          <cell r="CQ293">
            <v>9.1479037066692692E-2</v>
          </cell>
          <cell r="CR293">
            <v>8.3876105316348093E-2</v>
          </cell>
        </row>
        <row r="295">
          <cell r="CI295" t="str">
            <v>Other Visitors</v>
          </cell>
          <cell r="CJ295">
            <v>2.1889580000000004</v>
          </cell>
          <cell r="CK295">
            <v>1.5226780000000002</v>
          </cell>
          <cell r="CL295">
            <v>2.091758</v>
          </cell>
          <cell r="CM295">
            <v>2.6333289999999989</v>
          </cell>
          <cell r="CN295">
            <v>3.0718490000000003</v>
          </cell>
          <cell r="CO295">
            <v>4.0397741000000007</v>
          </cell>
          <cell r="CP295">
            <v>4.645740215</v>
          </cell>
          <cell r="CQ295">
            <v>5.1103142365000007</v>
          </cell>
          <cell r="CR295">
            <v>5.5191393754200009</v>
          </cell>
        </row>
        <row r="296">
          <cell r="CI296" t="str">
            <v xml:space="preserve">  Year-over-Year growth</v>
          </cell>
          <cell r="CJ296">
            <v>5.3845357623434342E-2</v>
          </cell>
          <cell r="CK296">
            <v>-0.30438226772738453</v>
          </cell>
          <cell r="CL296">
            <v>0.37373627254087838</v>
          </cell>
          <cell r="CM296">
            <v>0.25890710110825377</v>
          </cell>
          <cell r="CN296">
            <v>0.16652685631001729</v>
          </cell>
          <cell r="CO296">
            <v>0.31509527323771458</v>
          </cell>
          <cell r="CP296">
            <v>0.15</v>
          </cell>
          <cell r="CQ296">
            <v>0.1</v>
          </cell>
          <cell r="CR296">
            <v>0.08</v>
          </cell>
        </row>
        <row r="297">
          <cell r="CI297" t="str">
            <v xml:space="preserve">  Share</v>
          </cell>
          <cell r="CJ297">
            <v>0.18983506927205052</v>
          </cell>
          <cell r="CK297">
            <v>0.12808663212839708</v>
          </cell>
          <cell r="CL297">
            <v>0.12546114704907874</v>
          </cell>
          <cell r="CM297">
            <v>0.14073553965336347</v>
          </cell>
          <cell r="CN297">
            <v>0.13964142029942375</v>
          </cell>
          <cell r="CO297">
            <v>0.15043914230319225</v>
          </cell>
          <cell r="CP297">
            <v>0.14931850769286856</v>
          </cell>
          <cell r="CQ297">
            <v>0.14219653978299246</v>
          </cell>
          <cell r="CR297">
            <v>0.13310562490381617</v>
          </cell>
        </row>
        <row r="298">
          <cell r="CI298" t="str">
            <v xml:space="preserve">  Contribution</v>
          </cell>
          <cell r="CK298">
            <v>-1.8661475765681284</v>
          </cell>
          <cell r="CL298">
            <v>0.11893794360333386</v>
          </cell>
          <cell r="CM298">
            <v>0.26565425523304587</v>
          </cell>
          <cell r="CN298">
            <v>0.1334130428499502</v>
          </cell>
          <cell r="CO298">
            <v>0.19936297943529382</v>
          </cell>
          <cell r="CP298">
            <v>0.14225408510581672</v>
          </cell>
          <cell r="CQ298">
            <v>9.627618431245713E-2</v>
          </cell>
          <cell r="CR298">
            <v>7.3982484977980628E-2</v>
          </cell>
        </row>
        <row r="300">
          <cell r="CI300" t="str">
            <v>check</v>
          </cell>
          <cell r="CJ300">
            <v>1</v>
          </cell>
          <cell r="CK300">
            <v>1.0000000000000002</v>
          </cell>
          <cell r="CL300">
            <v>0.99999999999999989</v>
          </cell>
          <cell r="CM300">
            <v>0.99999999999999989</v>
          </cell>
          <cell r="CN300">
            <v>1</v>
          </cell>
          <cell r="CO300">
            <v>1</v>
          </cell>
          <cell r="CP300">
            <v>1</v>
          </cell>
          <cell r="CQ300">
            <v>1</v>
          </cell>
          <cell r="CR300">
            <v>0.99999999999999989</v>
          </cell>
        </row>
        <row r="301">
          <cell r="CJ301">
            <v>0</v>
          </cell>
          <cell r="CK301">
            <v>1.0000000000000004</v>
          </cell>
          <cell r="CL301">
            <v>0.99999999999999922</v>
          </cell>
          <cell r="CM301">
            <v>1.0000000000000009</v>
          </cell>
          <cell r="CN301">
            <v>1</v>
          </cell>
          <cell r="CO301">
            <v>1.0000000000000009</v>
          </cell>
          <cell r="CP301">
            <v>1</v>
          </cell>
          <cell r="CQ301">
            <v>1.0000000000000004</v>
          </cell>
          <cell r="CR301">
            <v>0.99999999999999878</v>
          </cell>
        </row>
        <row r="343">
          <cell r="CS343" t="str">
            <v>VIP &amp; Mass Market Revenue</v>
          </cell>
        </row>
        <row r="344">
          <cell r="CS344" t="str">
            <v>($mm)</v>
          </cell>
          <cell r="CT344">
            <v>1995</v>
          </cell>
          <cell r="CU344">
            <v>1996</v>
          </cell>
          <cell r="CV344">
            <v>1997</v>
          </cell>
          <cell r="CW344">
            <v>1998</v>
          </cell>
          <cell r="CX344">
            <v>1999</v>
          </cell>
          <cell r="CY344">
            <v>2000</v>
          </cell>
          <cell r="CZ344">
            <v>2001</v>
          </cell>
          <cell r="DA344">
            <v>2002</v>
          </cell>
          <cell r="DB344">
            <v>2003</v>
          </cell>
          <cell r="DC344">
            <v>2004</v>
          </cell>
          <cell r="DD344">
            <v>2005</v>
          </cell>
        </row>
        <row r="346">
          <cell r="CS346" t="str">
            <v>VIP Revenue</v>
          </cell>
          <cell r="CT346">
            <v>1373.1958703116916</v>
          </cell>
          <cell r="CU346">
            <v>1311.6412933882118</v>
          </cell>
          <cell r="CV346">
            <v>1543.9553513896376</v>
          </cell>
          <cell r="CW346">
            <v>1152.1755032529654</v>
          </cell>
          <cell r="CX346">
            <v>1070.2080149186154</v>
          </cell>
          <cell r="CY346">
            <v>1350.1079731470891</v>
          </cell>
          <cell r="CZ346">
            <v>1589.0514861480779</v>
          </cell>
          <cell r="DA346">
            <v>1983.8078367889864</v>
          </cell>
          <cell r="DB346">
            <v>2688.8498544599533</v>
          </cell>
          <cell r="DC346">
            <v>3607.0036807892443</v>
          </cell>
          <cell r="DD346">
            <v>3497.8356344037484</v>
          </cell>
        </row>
        <row r="347">
          <cell r="CS347" t="str">
            <v xml:space="preserve">  Year-over-Year growth</v>
          </cell>
          <cell r="CT347">
            <v>0.18539911279643562</v>
          </cell>
          <cell r="CU347">
            <v>-4.4825780687432371E-2</v>
          </cell>
          <cell r="CV347">
            <v>0.17711706635990065</v>
          </cell>
          <cell r="CW347">
            <v>-0.2537507627950838</v>
          </cell>
          <cell r="CX347">
            <v>-7.114149546048254E-2</v>
          </cell>
          <cell r="CY347">
            <v>0.26153790134879418</v>
          </cell>
          <cell r="CZ347">
            <v>0.17698103985269698</v>
          </cell>
          <cell r="DA347">
            <v>0.24842263078448967</v>
          </cell>
          <cell r="DB347">
            <v>0.35539834282142757</v>
          </cell>
          <cell r="DC347">
            <v>0.34146712387319189</v>
          </cell>
          <cell r="DD347">
            <v>-3.0265576652145021E-2</v>
          </cell>
        </row>
        <row r="349">
          <cell r="CS349" t="str">
            <v>Mass Market Revenue</v>
          </cell>
          <cell r="CT349">
            <v>812.62684792133757</v>
          </cell>
          <cell r="CU349">
            <v>743.50329546010403</v>
          </cell>
          <cell r="CV349">
            <v>680.70481053873436</v>
          </cell>
          <cell r="CW349">
            <v>662.81947826698092</v>
          </cell>
          <cell r="CX349">
            <v>551.5480923777086</v>
          </cell>
          <cell r="CY349">
            <v>636.64034915406774</v>
          </cell>
          <cell r="CZ349">
            <v>666.8908353861749</v>
          </cell>
          <cell r="DA349">
            <v>710.66439337316001</v>
          </cell>
          <cell r="DB349">
            <v>789.22213822157244</v>
          </cell>
          <cell r="DC349">
            <v>1405.5569362255396</v>
          </cell>
          <cell r="DD349">
            <v>2085.2160815156567</v>
          </cell>
        </row>
        <row r="350">
          <cell r="CS350" t="str">
            <v xml:space="preserve">  Year-over-Year growth</v>
          </cell>
          <cell r="CT350">
            <v>4.9656657911086644E-2</v>
          </cell>
          <cell r="CU350">
            <v>-8.5061861588807242E-2</v>
          </cell>
          <cell r="CV350">
            <v>-8.446295437400575E-2</v>
          </cell>
          <cell r="CW350">
            <v>-2.6274725835415125E-2</v>
          </cell>
          <cell r="CX350">
            <v>-0.16787585389042037</v>
          </cell>
          <cell r="CY350">
            <v>0.15427894312811197</v>
          </cell>
          <cell r="CZ350">
            <v>4.7515816853742177E-2</v>
          </cell>
          <cell r="DA350">
            <v>6.5638265911447391E-2</v>
          </cell>
          <cell r="DB350">
            <v>0.11054127036749239</v>
          </cell>
          <cell r="DC350">
            <v>0.78093957094616173</v>
          </cell>
          <cell r="DD350">
            <v>0.48355148608583787</v>
          </cell>
        </row>
        <row r="352">
          <cell r="CS352" t="str">
            <v>VIP Share of Total</v>
          </cell>
          <cell r="CT352">
            <v>0.62822838231901657</v>
          </cell>
          <cell r="CU352">
            <v>0.6382233641883287</v>
          </cell>
          <cell r="CV352">
            <v>0.69401851923815261</v>
          </cell>
          <cell r="CW352">
            <v>0.63480919505798827</v>
          </cell>
          <cell r="CX352">
            <v>0.6599068812528105</v>
          </cell>
          <cell r="CY352">
            <v>0.6795566192215643</v>
          </cell>
          <cell r="CZ352">
            <v>0.70438480229732703</v>
          </cell>
          <cell r="DA352">
            <v>0.73625098621617857</v>
          </cell>
          <cell r="DB352">
            <v>0.77308631337067357</v>
          </cell>
          <cell r="DC352">
            <v>0.71959302966741678</v>
          </cell>
          <cell r="DD352">
            <v>0.6265096245535553</v>
          </cell>
        </row>
        <row r="353">
          <cell r="CS353" t="str">
            <v>Mass Market Share of Total</v>
          </cell>
          <cell r="CT353">
            <v>0.37177161768098338</v>
          </cell>
          <cell r="CU353">
            <v>0.36177663581167124</v>
          </cell>
          <cell r="CV353">
            <v>0.30598148076184734</v>
          </cell>
          <cell r="CW353">
            <v>0.36519080494201173</v>
          </cell>
          <cell r="CX353">
            <v>0.34009311874718956</v>
          </cell>
          <cell r="CY353">
            <v>0.32044338077843559</v>
          </cell>
          <cell r="CZ353">
            <v>0.29561519770267281</v>
          </cell>
          <cell r="DA353">
            <v>0.26374901378382143</v>
          </cell>
          <cell r="DB353">
            <v>0.22691368662932634</v>
          </cell>
          <cell r="DC353">
            <v>0.28040697033258322</v>
          </cell>
          <cell r="DD353">
            <v>0.37349037544644492</v>
          </cell>
        </row>
        <row r="376">
          <cell r="DE376" t="str">
            <v>Non-gaming shares</v>
          </cell>
        </row>
        <row r="377">
          <cell r="DF377" t="str">
            <v>2007E</v>
          </cell>
          <cell r="DG377" t="str">
            <v>2008E</v>
          </cell>
          <cell r="DH377" t="str">
            <v>2009E</v>
          </cell>
          <cell r="DI377" t="str">
            <v>2010E</v>
          </cell>
          <cell r="DJ377" t="str">
            <v>2011E</v>
          </cell>
          <cell r="DK377" t="str">
            <v>2012E</v>
          </cell>
        </row>
        <row r="378">
          <cell r="DE378" t="str">
            <v>Venetian</v>
          </cell>
        </row>
        <row r="379">
          <cell r="DE379" t="str">
            <v xml:space="preserve">  Gaming Revenue</v>
          </cell>
          <cell r="DF379">
            <v>675.26604458739473</v>
          </cell>
          <cell r="DG379">
            <v>1131.185381629107</v>
          </cell>
          <cell r="DH379">
            <v>1122.3258353710896</v>
          </cell>
          <cell r="DI379">
            <v>1261.1466103435439</v>
          </cell>
          <cell r="DJ379">
            <v>1353.8487799700065</v>
          </cell>
          <cell r="DK379">
            <v>1508.7577601373475</v>
          </cell>
        </row>
        <row r="380">
          <cell r="DE380" t="str">
            <v xml:space="preserve">  Net Revenue</v>
          </cell>
          <cell r="DF380">
            <v>793.21570761013243</v>
          </cell>
          <cell r="DG380">
            <v>1406.0387470550534</v>
          </cell>
          <cell r="DH380">
            <v>1425.9170625738727</v>
          </cell>
          <cell r="DI380">
            <v>1575.9252026818071</v>
          </cell>
          <cell r="DJ380">
            <v>1683.3584112717938</v>
          </cell>
          <cell r="DK380">
            <v>1850.8382742813437</v>
          </cell>
        </row>
        <row r="381">
          <cell r="DE381" t="str">
            <v xml:space="preserve">  Retail</v>
          </cell>
          <cell r="DF381">
            <v>75</v>
          </cell>
          <cell r="DG381">
            <v>157.5</v>
          </cell>
          <cell r="DH381">
            <v>162.22499999999999</v>
          </cell>
          <cell r="DI381">
            <v>167.09174999999999</v>
          </cell>
          <cell r="DJ381">
            <v>172.1045025</v>
          </cell>
          <cell r="DK381">
            <v>177.26763757500001</v>
          </cell>
        </row>
        <row r="383">
          <cell r="DE383" t="str">
            <v>FS</v>
          </cell>
        </row>
        <row r="384">
          <cell r="DE384" t="str">
            <v xml:space="preserve">  Gaming Revenue</v>
          </cell>
          <cell r="DG384">
            <v>138.12597872539345</v>
          </cell>
          <cell r="DH384">
            <v>140.87975896322413</v>
          </cell>
          <cell r="DI384">
            <v>153.94577497057816</v>
          </cell>
          <cell r="DJ384">
            <v>162.64232470154889</v>
          </cell>
          <cell r="DK384">
            <v>174.38824050930393</v>
          </cell>
        </row>
        <row r="385">
          <cell r="DE385" t="str">
            <v xml:space="preserve">  Net Revenue</v>
          </cell>
          <cell r="DG385">
            <v>195.33745701318315</v>
          </cell>
          <cell r="DH385">
            <v>202.53351942926253</v>
          </cell>
          <cell r="DI385">
            <v>218.10229728887015</v>
          </cell>
          <cell r="DJ385">
            <v>229.70762618621711</v>
          </cell>
          <cell r="DK385">
            <v>244.38348984342576</v>
          </cell>
        </row>
        <row r="386">
          <cell r="DE386" t="str">
            <v xml:space="preserve">  Retail</v>
          </cell>
          <cell r="DG386">
            <v>38.475000000000001</v>
          </cell>
          <cell r="DH386">
            <v>39.629249999999999</v>
          </cell>
          <cell r="DI386">
            <v>40.818127500000003</v>
          </cell>
          <cell r="DJ386">
            <v>42.042671325000001</v>
          </cell>
          <cell r="DK386">
            <v>43.303951464750007</v>
          </cell>
        </row>
        <row r="388">
          <cell r="DE388" t="str">
            <v>5&amp;6</v>
          </cell>
        </row>
        <row r="389">
          <cell r="DE389" t="str">
            <v xml:space="preserve">  Gaming Revenue</v>
          </cell>
          <cell r="DG389">
            <v>334.0140610646614</v>
          </cell>
          <cell r="DH389">
            <v>414.68764677020408</v>
          </cell>
          <cell r="DI389">
            <v>477.56434830699123</v>
          </cell>
          <cell r="DJ389">
            <v>540.46500438401461</v>
          </cell>
          <cell r="DK389">
            <v>614.59600973406191</v>
          </cell>
        </row>
        <row r="390">
          <cell r="DE390" t="str">
            <v xml:space="preserve">  Net Revenue</v>
          </cell>
          <cell r="DG390">
            <v>484.23391082366749</v>
          </cell>
          <cell r="DH390">
            <v>637.96140182206864</v>
          </cell>
          <cell r="DI390">
            <v>719.26077338140271</v>
          </cell>
          <cell r="DJ390">
            <v>850.96190881908728</v>
          </cell>
          <cell r="DK390">
            <v>1017.8251892094318</v>
          </cell>
        </row>
        <row r="391">
          <cell r="DE391" t="str">
            <v xml:space="preserve">  Retail</v>
          </cell>
          <cell r="DG391">
            <v>75.9375</v>
          </cell>
          <cell r="DH391">
            <v>106.3125</v>
          </cell>
          <cell r="DI391">
            <v>109.501875</v>
          </cell>
          <cell r="DJ391">
            <v>112.78693124999999</v>
          </cell>
          <cell r="DK391">
            <v>116.17053918750001</v>
          </cell>
        </row>
        <row r="393">
          <cell r="DE393" t="str">
            <v>7&amp;8</v>
          </cell>
        </row>
        <row r="394">
          <cell r="DE394" t="str">
            <v xml:space="preserve">  Gaming Revenue</v>
          </cell>
          <cell r="DG394">
            <v>111.33802035488718</v>
          </cell>
          <cell r="DH394">
            <v>414.68764677020408</v>
          </cell>
          <cell r="DI394">
            <v>477.56434830699123</v>
          </cell>
          <cell r="DJ394">
            <v>540.46500438401461</v>
          </cell>
          <cell r="DK394">
            <v>614.59600973406191</v>
          </cell>
        </row>
        <row r="395">
          <cell r="DE395" t="str">
            <v xml:space="preserve">  Net Revenue</v>
          </cell>
          <cell r="DG395">
            <v>159.53630360788921</v>
          </cell>
          <cell r="DH395">
            <v>630.08640182206864</v>
          </cell>
          <cell r="DI395">
            <v>711.14952338140267</v>
          </cell>
          <cell r="DJ395">
            <v>842.6073213190873</v>
          </cell>
          <cell r="DK395">
            <v>1009.2199640844317</v>
          </cell>
        </row>
        <row r="396">
          <cell r="DE396" t="str">
            <v xml:space="preserve">  Retail</v>
          </cell>
          <cell r="DG396">
            <v>23.4375</v>
          </cell>
          <cell r="DH396">
            <v>98.4375</v>
          </cell>
          <cell r="DI396">
            <v>101.390625</v>
          </cell>
          <cell r="DJ396">
            <v>104.43234375</v>
          </cell>
          <cell r="DK396">
            <v>107.56531406249998</v>
          </cell>
        </row>
        <row r="398">
          <cell r="DE398" t="str">
            <v>Far East</v>
          </cell>
        </row>
        <row r="399">
          <cell r="DE399" t="str">
            <v xml:space="preserve">  Gaming Revenue</v>
          </cell>
          <cell r="DG399">
            <v>55.669010177443589</v>
          </cell>
          <cell r="DH399">
            <v>207.34382338510204</v>
          </cell>
          <cell r="DI399">
            <v>238.78217415349562</v>
          </cell>
          <cell r="DJ399">
            <v>258.50460988625264</v>
          </cell>
          <cell r="DK399">
            <v>293.77034941164044</v>
          </cell>
        </row>
        <row r="400">
          <cell r="DE400" t="str">
            <v xml:space="preserve">  Net Revenue</v>
          </cell>
          <cell r="DG400">
            <v>70.393151803944605</v>
          </cell>
          <cell r="DH400">
            <v>305.19945091103432</v>
          </cell>
          <cell r="DI400">
            <v>345.43569919070131</v>
          </cell>
          <cell r="DJ400">
            <v>399.75753783901683</v>
          </cell>
          <cell r="DK400">
            <v>481.04671217563532</v>
          </cell>
        </row>
        <row r="401">
          <cell r="DE401" t="str">
            <v xml:space="preserve">  Retail</v>
          </cell>
          <cell r="DG401">
            <v>2.34375</v>
          </cell>
          <cell r="DH401">
            <v>39.375</v>
          </cell>
          <cell r="DI401">
            <v>40.556249999999999</v>
          </cell>
          <cell r="DJ401">
            <v>41.772937499999998</v>
          </cell>
          <cell r="DK401">
            <v>43.026125624999992</v>
          </cell>
        </row>
        <row r="403">
          <cell r="DE403" t="str">
            <v>Sands</v>
          </cell>
        </row>
        <row r="404">
          <cell r="DE404" t="str">
            <v xml:space="preserve">  Gaming Revenue</v>
          </cell>
          <cell r="DF404">
            <v>955.47842204483641</v>
          </cell>
          <cell r="DG404">
            <v>886.37105393025058</v>
          </cell>
          <cell r="DH404">
            <v>848.40778024303279</v>
          </cell>
          <cell r="DI404">
            <v>927.01330162231625</v>
          </cell>
          <cell r="DJ404">
            <v>1027.7150945205597</v>
          </cell>
          <cell r="DK404">
            <v>1160.7307601833147</v>
          </cell>
        </row>
        <row r="405">
          <cell r="DE405" t="str">
            <v xml:space="preserve">  Net Revenue</v>
          </cell>
          <cell r="DF405">
            <v>965.84525402872896</v>
          </cell>
          <cell r="DG405">
            <v>895.98807884622454</v>
          </cell>
          <cell r="DH405">
            <v>857.61290796615162</v>
          </cell>
          <cell r="DI405">
            <v>937.07129029377688</v>
          </cell>
          <cell r="DJ405">
            <v>1038.865686168044</v>
          </cell>
          <cell r="DK405">
            <v>1173.3245566435257</v>
          </cell>
        </row>
        <row r="407">
          <cell r="DE407" t="str">
            <v>Wynn Macau</v>
          </cell>
        </row>
        <row r="408">
          <cell r="DE408" t="str">
            <v xml:space="preserve">  Gaming Revenue</v>
          </cell>
          <cell r="DF408">
            <v>745.42999651018567</v>
          </cell>
          <cell r="DG408">
            <v>995.86963108554619</v>
          </cell>
          <cell r="DH408">
            <v>972.84174899949767</v>
          </cell>
          <cell r="DI408">
            <v>1064.7873752616485</v>
          </cell>
          <cell r="DJ408">
            <v>1146.6622959639712</v>
          </cell>
          <cell r="DK408">
            <v>1287.3147311859273</v>
          </cell>
        </row>
        <row r="409">
          <cell r="DE409" t="str">
            <v xml:space="preserve">  Net Revenue</v>
          </cell>
          <cell r="DF409">
            <v>747.96696996957451</v>
          </cell>
          <cell r="DG409">
            <v>986.61376658406334</v>
          </cell>
          <cell r="DH409">
            <v>968.38496187258056</v>
          </cell>
          <cell r="DI409">
            <v>1057.8551372048669</v>
          </cell>
          <cell r="DJ409">
            <v>1136.5262127988174</v>
          </cell>
          <cell r="DK409">
            <v>1270.4994115452369</v>
          </cell>
        </row>
        <row r="411">
          <cell r="DE411" t="str">
            <v>Wynn Cotai</v>
          </cell>
        </row>
        <row r="412">
          <cell r="DE412" t="str">
            <v xml:space="preserve">  Gaming Revenue</v>
          </cell>
          <cell r="DI412">
            <v>787.30447279356304</v>
          </cell>
          <cell r="DJ412">
            <v>998.72983700127429</v>
          </cell>
          <cell r="DK412">
            <v>1112.2662422025619</v>
          </cell>
        </row>
        <row r="413">
          <cell r="DE413" t="str">
            <v xml:space="preserve">  Net Revenue</v>
          </cell>
          <cell r="DI413">
            <v>1000.829472793563</v>
          </cell>
          <cell r="DJ413">
            <v>1239.5593463762746</v>
          </cell>
          <cell r="DK413">
            <v>1382.6930256759993</v>
          </cell>
        </row>
        <row r="414">
          <cell r="DE414" t="str">
            <v xml:space="preserve">  Retail</v>
          </cell>
          <cell r="DI414">
            <v>60.498750000000001</v>
          </cell>
          <cell r="DJ414">
            <v>66.699871875000014</v>
          </cell>
          <cell r="DK414">
            <v>72.135911432812506</v>
          </cell>
        </row>
        <row r="416">
          <cell r="DE416" t="str">
            <v>MGM Grand</v>
          </cell>
        </row>
        <row r="417">
          <cell r="DE417" t="str">
            <v xml:space="preserve">  Gaming Revenue</v>
          </cell>
          <cell r="DF417">
            <v>182.14759156347085</v>
          </cell>
          <cell r="DG417">
            <v>687.5663531603393</v>
          </cell>
          <cell r="DH417">
            <v>754.23809840063927</v>
          </cell>
          <cell r="DI417">
            <v>819.682934468957</v>
          </cell>
          <cell r="DJ417">
            <v>876.09351650982046</v>
          </cell>
          <cell r="DK417">
            <v>966.27178049792565</v>
          </cell>
        </row>
        <row r="418">
          <cell r="DE418" t="str">
            <v xml:space="preserve">  Net Revenue</v>
          </cell>
          <cell r="DF418">
            <v>192.70459156347087</v>
          </cell>
          <cell r="DG418">
            <v>730.70661566033925</v>
          </cell>
          <cell r="DH418">
            <v>798.67256877563921</v>
          </cell>
          <cell r="DI418">
            <v>865.45043895520701</v>
          </cell>
          <cell r="DJ418">
            <v>923.23404613065793</v>
          </cell>
          <cell r="DK418">
            <v>1014.8265260073883</v>
          </cell>
        </row>
        <row r="420">
          <cell r="DE420" t="str">
            <v>Total Non-Gaming</v>
          </cell>
        </row>
        <row r="421">
          <cell r="DE421" t="str">
            <v>Venetian</v>
          </cell>
          <cell r="DF421">
            <v>0.14869809295394121</v>
          </cell>
          <cell r="DG421">
            <v>0.19548064802739351</v>
          </cell>
          <cell r="DH421">
            <v>0.2129094567777885</v>
          </cell>
          <cell r="DI421">
            <v>0.1997420891566386</v>
          </cell>
          <cell r="DJ421">
            <v>0.19574537965021932</v>
          </cell>
          <cell r="DK421">
            <v>0.18482463805586768</v>
          </cell>
        </row>
        <row r="422">
          <cell r="DE422" t="str">
            <v>FS</v>
          </cell>
          <cell r="DG422">
            <v>0.29288534397132315</v>
          </cell>
          <cell r="DH422">
            <v>0.30441262582005235</v>
          </cell>
          <cell r="DI422">
            <v>0.29415793925966105</v>
          </cell>
          <cell r="DJ422">
            <v>0.29195940334301473</v>
          </cell>
          <cell r="DK422">
            <v>0.28641562234407547</v>
          </cell>
        </row>
        <row r="423">
          <cell r="DE423" t="str">
            <v>5&amp;6</v>
          </cell>
          <cell r="DG423">
            <v>0.31022166436771559</v>
          </cell>
          <cell r="DH423">
            <v>0.34998003705894576</v>
          </cell>
          <cell r="DI423">
            <v>0.33603448710005912</v>
          </cell>
          <cell r="DJ423">
            <v>0.36487755940328892</v>
          </cell>
          <cell r="DK423">
            <v>0.39616742025078711</v>
          </cell>
        </row>
        <row r="424">
          <cell r="DE424" t="str">
            <v>7&amp;8</v>
          </cell>
          <cell r="DG424">
            <v>0.30211483006065198</v>
          </cell>
          <cell r="DH424">
            <v>0.3418559017128121</v>
          </cell>
          <cell r="DI424">
            <v>0.32846140986462469</v>
          </cell>
          <cell r="DJ424">
            <v>0.35858021796211559</v>
          </cell>
          <cell r="DK424">
            <v>0.39101877528589535</v>
          </cell>
        </row>
        <row r="425">
          <cell r="DE425" t="str">
            <v>Far East</v>
          </cell>
          <cell r="DG425">
            <v>0.20917008614005439</v>
          </cell>
          <cell r="DH425">
            <v>0.32062845209527324</v>
          </cell>
          <cell r="DI425">
            <v>0.30875073215384874</v>
          </cell>
          <cell r="DJ425">
            <v>0.35334650277350621</v>
          </cell>
          <cell r="DK425">
            <v>0.38931013979286544</v>
          </cell>
        </row>
        <row r="426">
          <cell r="DE426" t="str">
            <v>Sands</v>
          </cell>
          <cell r="DF426">
            <v>1.0733429543346107E-2</v>
          </cell>
          <cell r="DG426">
            <v>1.0733429543346107E-2</v>
          </cell>
          <cell r="DH426">
            <v>1.0733429543346107E-2</v>
          </cell>
          <cell r="DI426">
            <v>1.0733429543346107E-2</v>
          </cell>
          <cell r="DJ426">
            <v>1.0733429543345885E-2</v>
          </cell>
          <cell r="DK426">
            <v>1.0733429543345996E-2</v>
          </cell>
        </row>
        <row r="427">
          <cell r="DE427" t="str">
            <v>Wynn Macau</v>
          </cell>
          <cell r="DF427">
            <v>3.3918255233811312E-3</v>
          </cell>
          <cell r="DG427">
            <v>-9.3814467372872468E-3</v>
          </cell>
          <cell r="DH427">
            <v>-4.6022886583234612E-3</v>
          </cell>
          <cell r="DI427">
            <v>-6.5531071438555966E-3</v>
          </cell>
          <cell r="DJ427">
            <v>-8.9184772432064907E-3</v>
          </cell>
          <cell r="DK427">
            <v>-1.3235204587965121E-2</v>
          </cell>
        </row>
        <row r="428">
          <cell r="DE428" t="str">
            <v>Wynn Cotai</v>
          </cell>
          <cell r="DI428">
            <v>0.21334803361055987</v>
          </cell>
          <cell r="DJ428">
            <v>0.19428638901319306</v>
          </cell>
          <cell r="DK428">
            <v>0.19557976966089463</v>
          </cell>
        </row>
        <row r="429">
          <cell r="DE429" t="str">
            <v>MGM Grand</v>
          </cell>
          <cell r="DF429">
            <v>5.4783333984664617E-2</v>
          </cell>
          <cell r="DG429">
            <v>5.9039102117631859E-2</v>
          </cell>
          <cell r="DH429">
            <v>5.5635403182956122E-2</v>
          </cell>
          <cell r="DI429">
            <v>5.2882871654096886E-2</v>
          </cell>
          <cell r="DJ429">
            <v>5.1060215790792118E-2</v>
          </cell>
          <cell r="DK429">
            <v>4.7845364961527581E-2</v>
          </cell>
        </row>
        <row r="431">
          <cell r="DE431" t="str">
            <v>Non-Gaming ex Retail</v>
          </cell>
        </row>
        <row r="432">
          <cell r="DE432" t="str">
            <v>Wynn Macau</v>
          </cell>
          <cell r="DF432">
            <v>3.3918255233811312E-3</v>
          </cell>
          <cell r="DG432">
            <v>-9.3814467372872468E-3</v>
          </cell>
          <cell r="DH432">
            <v>-4.6022886583234612E-3</v>
          </cell>
          <cell r="DI432">
            <v>-6.5531071438555966E-3</v>
          </cell>
          <cell r="DJ432">
            <v>-8.9184772432064907E-3</v>
          </cell>
          <cell r="DK432">
            <v>-1.3235204587965121E-2</v>
          </cell>
        </row>
        <row r="433">
          <cell r="DE433" t="str">
            <v>Sands</v>
          </cell>
          <cell r="DF433">
            <v>1.0733429543346107E-2</v>
          </cell>
          <cell r="DG433">
            <v>1.0733429543346107E-2</v>
          </cell>
          <cell r="DH433">
            <v>1.0733429543346107E-2</v>
          </cell>
          <cell r="DI433">
            <v>1.0733429543346107E-2</v>
          </cell>
          <cell r="DJ433">
            <v>1.0733429543345885E-2</v>
          </cell>
          <cell r="DK433">
            <v>1.0733429543345996E-2</v>
          </cell>
        </row>
        <row r="434">
          <cell r="DE434" t="str">
            <v>MGM Grand</v>
          </cell>
          <cell r="DF434">
            <v>5.4783333984664617E-2</v>
          </cell>
          <cell r="DG434">
            <v>5.9039102117631859E-2</v>
          </cell>
          <cell r="DH434">
            <v>5.5635403182956122E-2</v>
          </cell>
          <cell r="DI434">
            <v>5.2882871654096886E-2</v>
          </cell>
          <cell r="DJ434">
            <v>5.1060215790792118E-2</v>
          </cell>
          <cell r="DK434">
            <v>4.7845364961527581E-2</v>
          </cell>
        </row>
        <row r="435">
          <cell r="DE435" t="str">
            <v>Venetian</v>
          </cell>
          <cell r="DF435">
            <v>5.9800506404479759E-2</v>
          </cell>
          <cell r="DG435">
            <v>9.3992569876385046E-2</v>
          </cell>
          <cell r="DH435">
            <v>0.11186762296729957</v>
          </cell>
          <cell r="DI435">
            <v>0.10482917058587127</v>
          </cell>
          <cell r="DJ435">
            <v>0.1041553162497435</v>
          </cell>
          <cell r="DK435">
            <v>9.8479785050097912E-2</v>
          </cell>
        </row>
        <row r="436">
          <cell r="DE436" t="str">
            <v>Four Seasons</v>
          </cell>
          <cell r="DG436">
            <v>0.11944526845078707</v>
          </cell>
          <cell r="DH436">
            <v>0.13519909909790317</v>
          </cell>
          <cell r="DI436">
            <v>0.13164398629661045</v>
          </cell>
          <cell r="DJ436">
            <v>0.13333672330123159</v>
          </cell>
          <cell r="DK436">
            <v>0.13273999972640882</v>
          </cell>
        </row>
        <row r="437">
          <cell r="DE437" t="str">
            <v>Wynn Cotai</v>
          </cell>
          <cell r="DI437">
            <v>0.1627366269022722</v>
          </cell>
          <cell r="DJ437">
            <v>0.14846590003806204</v>
          </cell>
          <cell r="DK437">
            <v>0.15130273216298007</v>
          </cell>
        </row>
        <row r="438">
          <cell r="DE438" t="str">
            <v>Plots 5&amp;6</v>
          </cell>
          <cell r="DG438">
            <v>0.181932409371795</v>
          </cell>
          <cell r="DH438">
            <v>0.21999717228986015</v>
          </cell>
          <cell r="DI438">
            <v>0.21679806629361242</v>
          </cell>
          <cell r="DJ438">
            <v>0.26783618951181343</v>
          </cell>
          <cell r="DK438">
            <v>0.31836872385772919</v>
          </cell>
        </row>
        <row r="439">
          <cell r="DE439" t="str">
            <v>Plots 7&amp;8</v>
          </cell>
          <cell r="DG439">
            <v>0.181932409371795</v>
          </cell>
          <cell r="DH439">
            <v>0.21999717228986015</v>
          </cell>
          <cell r="DI439">
            <v>0.21679806629361242</v>
          </cell>
          <cell r="DJ439">
            <v>0.26783618951181343</v>
          </cell>
          <cell r="DK439">
            <v>0.31836872385772919</v>
          </cell>
        </row>
        <row r="440">
          <cell r="DE440" t="str">
            <v>Far East</v>
          </cell>
          <cell r="DG440">
            <v>0.181932409371795</v>
          </cell>
          <cell r="DH440">
            <v>0.21999717228986015</v>
          </cell>
          <cell r="DI440">
            <v>0.21679806629361242</v>
          </cell>
          <cell r="DJ440">
            <v>0.27788902192595755</v>
          </cell>
          <cell r="DK440">
            <v>0.32932296236336722</v>
          </cell>
        </row>
      </sheetData>
      <sheetData sheetId="13" refreshError="1">
        <row r="2">
          <cell r="C2">
            <v>1847</v>
          </cell>
          <cell r="D2">
            <v>1937</v>
          </cell>
          <cell r="E2">
            <v>1962</v>
          </cell>
          <cell r="F2">
            <v>1986</v>
          </cell>
          <cell r="G2">
            <v>1996</v>
          </cell>
          <cell r="H2">
            <v>1997</v>
          </cell>
          <cell r="I2">
            <v>1998</v>
          </cell>
          <cell r="J2">
            <v>1999</v>
          </cell>
          <cell r="K2">
            <v>2000</v>
          </cell>
          <cell r="L2">
            <v>2001</v>
          </cell>
          <cell r="M2">
            <v>2002</v>
          </cell>
          <cell r="N2">
            <v>2003</v>
          </cell>
          <cell r="O2">
            <v>2004</v>
          </cell>
          <cell r="P2">
            <v>2005</v>
          </cell>
          <cell r="Q2" t="str">
            <v>2006E</v>
          </cell>
          <cell r="R2" t="str">
            <v>2007E</v>
          </cell>
          <cell r="S2" t="str">
            <v>2008E</v>
          </cell>
          <cell r="T2" t="str">
            <v>2009E</v>
          </cell>
          <cell r="U2" t="str">
            <v>2010E</v>
          </cell>
        </row>
        <row r="3">
          <cell r="B3" t="str">
            <v>Actual</v>
          </cell>
          <cell r="G3">
            <v>2055.1445888483158</v>
          </cell>
          <cell r="H3">
            <v>2224.660161928372</v>
          </cell>
          <cell r="I3">
            <v>1814.9949815199464</v>
          </cell>
          <cell r="J3">
            <v>1621.756107296324</v>
          </cell>
          <cell r="K3">
            <v>1986.748322301157</v>
          </cell>
          <cell r="L3">
            <v>2255.9423215342531</v>
          </cell>
          <cell r="M3">
            <v>2694.4722301621464</v>
          </cell>
          <cell r="N3">
            <v>3478.0719926815259</v>
          </cell>
          <cell r="O3">
            <v>5012.5606170147839</v>
          </cell>
          <cell r="P3">
            <v>5583.0517159194042</v>
          </cell>
          <cell r="Q3">
            <v>6872.4190251586988</v>
          </cell>
        </row>
        <row r="4">
          <cell r="B4" t="str">
            <v>Forecast</v>
          </cell>
          <cell r="Q4">
            <v>6872.4190251586988</v>
          </cell>
          <cell r="R4">
            <v>8711.3099488232911</v>
          </cell>
          <cell r="S4">
            <v>9975.4970811944731</v>
          </cell>
          <cell r="T4">
            <v>11495.287373279902</v>
          </cell>
          <cell r="U4">
            <v>12937.576081668471</v>
          </cell>
        </row>
        <row r="5">
          <cell r="B5" t="str">
            <v>Tables</v>
          </cell>
          <cell r="G5">
            <v>0</v>
          </cell>
          <cell r="H5">
            <v>0</v>
          </cell>
          <cell r="I5">
            <v>0</v>
          </cell>
          <cell r="J5">
            <v>0</v>
          </cell>
          <cell r="K5">
            <v>0</v>
          </cell>
          <cell r="L5">
            <v>0</v>
          </cell>
          <cell r="M5">
            <v>0</v>
          </cell>
          <cell r="N5">
            <v>441</v>
          </cell>
          <cell r="O5">
            <v>660.54586717630195</v>
          </cell>
          <cell r="P5">
            <v>1251.75</v>
          </cell>
          <cell r="Q5">
            <v>2064.4426328502418</v>
          </cell>
          <cell r="R5">
            <v>3839.166666666667</v>
          </cell>
          <cell r="S5">
            <v>5581</v>
          </cell>
          <cell r="T5">
            <v>8198.5</v>
          </cell>
          <cell r="U5">
            <v>9966</v>
          </cell>
        </row>
        <row r="6">
          <cell r="B6" t="str">
            <v>Slots</v>
          </cell>
          <cell r="G6">
            <v>0</v>
          </cell>
          <cell r="H6">
            <v>0</v>
          </cell>
          <cell r="I6">
            <v>0</v>
          </cell>
          <cell r="J6">
            <v>0</v>
          </cell>
          <cell r="K6">
            <v>0</v>
          </cell>
          <cell r="L6">
            <v>0</v>
          </cell>
          <cell r="M6">
            <v>0</v>
          </cell>
          <cell r="N6">
            <v>824.25</v>
          </cell>
          <cell r="O6">
            <v>1548.6654323936932</v>
          </cell>
          <cell r="P6">
            <v>2918.5</v>
          </cell>
          <cell r="Q6">
            <v>4767.75</v>
          </cell>
          <cell r="R6">
            <v>11066.615942028986</v>
          </cell>
          <cell r="S6">
            <v>17875.782608695652</v>
          </cell>
          <cell r="T6">
            <v>27650.782608695652</v>
          </cell>
          <cell r="U6">
            <v>38425.782608695648</v>
          </cell>
        </row>
      </sheetData>
      <sheetData sheetId="14" refreshError="1"/>
      <sheetData sheetId="15" refreshError="1"/>
      <sheetData sheetId="16" refreshError="1"/>
      <sheetData sheetId="17" refreshError="1">
        <row r="1">
          <cell r="A1" t="str">
            <v>Macau Gaming Market</v>
          </cell>
        </row>
        <row r="2">
          <cell r="A2" t="str">
            <v>Days in Quarter</v>
          </cell>
          <cell r="B2">
            <v>365</v>
          </cell>
          <cell r="C2">
            <v>365</v>
          </cell>
          <cell r="D2">
            <v>366</v>
          </cell>
          <cell r="E2">
            <v>365</v>
          </cell>
          <cell r="F2">
            <v>365</v>
          </cell>
          <cell r="G2">
            <v>365</v>
          </cell>
          <cell r="H2">
            <v>366</v>
          </cell>
          <cell r="I2">
            <v>365</v>
          </cell>
          <cell r="J2">
            <v>365</v>
          </cell>
          <cell r="K2">
            <v>365</v>
          </cell>
          <cell r="L2">
            <v>366</v>
          </cell>
          <cell r="M2">
            <v>90</v>
          </cell>
          <cell r="N2">
            <v>91</v>
          </cell>
          <cell r="O2">
            <v>92</v>
          </cell>
          <cell r="P2">
            <v>92</v>
          </cell>
          <cell r="Q2">
            <v>365</v>
          </cell>
          <cell r="R2">
            <v>89</v>
          </cell>
          <cell r="S2">
            <v>181</v>
          </cell>
          <cell r="T2">
            <v>184</v>
          </cell>
          <cell r="U2">
            <v>184</v>
          </cell>
          <cell r="V2">
            <v>638</v>
          </cell>
        </row>
        <row r="3">
          <cell r="B3">
            <v>34699</v>
          </cell>
          <cell r="C3">
            <v>35064</v>
          </cell>
          <cell r="D3">
            <v>35430</v>
          </cell>
          <cell r="E3">
            <v>35795</v>
          </cell>
          <cell r="F3">
            <v>36160</v>
          </cell>
          <cell r="G3">
            <v>36525</v>
          </cell>
          <cell r="H3">
            <v>36891</v>
          </cell>
          <cell r="I3">
            <v>37256</v>
          </cell>
          <cell r="J3">
            <v>37621</v>
          </cell>
          <cell r="K3">
            <v>37986</v>
          </cell>
          <cell r="L3">
            <v>38352</v>
          </cell>
          <cell r="M3">
            <v>38442</v>
          </cell>
          <cell r="N3">
            <v>38533</v>
          </cell>
          <cell r="O3">
            <v>38625</v>
          </cell>
          <cell r="P3">
            <v>38717</v>
          </cell>
          <cell r="Q3">
            <v>38717</v>
          </cell>
          <cell r="R3">
            <v>38806</v>
          </cell>
          <cell r="S3">
            <v>38898</v>
          </cell>
          <cell r="T3">
            <v>38990</v>
          </cell>
          <cell r="U3">
            <v>39082</v>
          </cell>
          <cell r="V3">
            <v>39082</v>
          </cell>
        </row>
        <row r="5">
          <cell r="B5">
            <v>1994</v>
          </cell>
          <cell r="C5">
            <v>1995</v>
          </cell>
          <cell r="D5">
            <v>1996</v>
          </cell>
          <cell r="E5">
            <v>1997</v>
          </cell>
          <cell r="F5">
            <v>1998</v>
          </cell>
          <cell r="G5">
            <v>1999</v>
          </cell>
          <cell r="H5">
            <v>2000</v>
          </cell>
          <cell r="I5">
            <v>2001</v>
          </cell>
          <cell r="J5">
            <v>2002</v>
          </cell>
          <cell r="K5">
            <v>2003</v>
          </cell>
          <cell r="L5">
            <v>2004</v>
          </cell>
          <cell r="M5" t="str">
            <v>1Q05</v>
          </cell>
          <cell r="N5" t="str">
            <v>2Q05</v>
          </cell>
          <cell r="O5" t="str">
            <v>3Q05</v>
          </cell>
          <cell r="P5" t="str">
            <v>4Q05</v>
          </cell>
          <cell r="Q5">
            <v>2005</v>
          </cell>
          <cell r="R5" t="str">
            <v>1Q06</v>
          </cell>
          <cell r="S5" t="str">
            <v>2Q06</v>
          </cell>
          <cell r="T5" t="str">
            <v>3Q06</v>
          </cell>
          <cell r="U5" t="str">
            <v>4Q06</v>
          </cell>
          <cell r="V5">
            <v>2006</v>
          </cell>
        </row>
        <row r="7">
          <cell r="A7" t="str">
            <v>Gross Revenue (millions MOP)</v>
          </cell>
        </row>
        <row r="8">
          <cell r="A8" t="str">
            <v>VIP Baccarat</v>
          </cell>
          <cell r="B8">
            <v>9239.1136999999999</v>
          </cell>
          <cell r="C8">
            <v>10981.3902</v>
          </cell>
          <cell r="D8">
            <v>10474.283789999999</v>
          </cell>
          <cell r="E8">
            <v>12342.522059000001</v>
          </cell>
          <cell r="F8">
            <v>9246.3685659999992</v>
          </cell>
          <cell r="G8">
            <v>8603.4069400000008</v>
          </cell>
          <cell r="H8">
            <v>10790</v>
          </cell>
          <cell r="I8">
            <v>12755</v>
          </cell>
          <cell r="J8">
            <v>15864</v>
          </cell>
          <cell r="K8">
            <v>21532</v>
          </cell>
          <cell r="L8">
            <v>28916</v>
          </cell>
          <cell r="M8">
            <v>6998.2630949999993</v>
          </cell>
          <cell r="N8">
            <v>7433.2344050000002</v>
          </cell>
          <cell r="O8">
            <v>6992</v>
          </cell>
          <cell r="P8">
            <v>6600</v>
          </cell>
          <cell r="Q8">
            <v>28023.497499999998</v>
          </cell>
          <cell r="R8">
            <v>7777</v>
          </cell>
          <cell r="S8">
            <v>8097</v>
          </cell>
          <cell r="T8">
            <v>8849</v>
          </cell>
          <cell r="U8">
            <v>10988</v>
          </cell>
          <cell r="V8">
            <v>35711</v>
          </cell>
        </row>
        <row r="9">
          <cell r="A9" t="str">
            <v>Baccarat</v>
          </cell>
          <cell r="B9">
            <v>3020.9284699999998</v>
          </cell>
          <cell r="C9">
            <v>3163.5934200000002</v>
          </cell>
          <cell r="D9">
            <v>2744.5644000000002</v>
          </cell>
          <cell r="E9">
            <v>2582.4481500000002</v>
          </cell>
          <cell r="F9">
            <v>2612.9144900000001</v>
          </cell>
          <cell r="G9">
            <v>1976.75098</v>
          </cell>
          <cell r="H9">
            <v>2387</v>
          </cell>
          <cell r="I9">
            <v>2494</v>
          </cell>
          <cell r="J9">
            <v>2642</v>
          </cell>
          <cell r="K9">
            <v>3016</v>
          </cell>
          <cell r="L9">
            <v>5458</v>
          </cell>
          <cell r="M9">
            <v>1899.3174990000002</v>
          </cell>
          <cell r="N9">
            <v>2204.879238</v>
          </cell>
          <cell r="O9">
            <v>2596</v>
          </cell>
          <cell r="P9">
            <v>2948</v>
          </cell>
          <cell r="Q9">
            <v>9648.1967370000002</v>
          </cell>
          <cell r="R9">
            <v>2575</v>
          </cell>
          <cell r="S9">
            <v>2693</v>
          </cell>
          <cell r="T9">
            <v>2798</v>
          </cell>
          <cell r="U9">
            <v>3136</v>
          </cell>
          <cell r="V9">
            <v>11202</v>
          </cell>
        </row>
        <row r="10">
          <cell r="A10" t="str">
            <v>Other Table Games</v>
          </cell>
          <cell r="B10">
            <v>2860.811451</v>
          </cell>
          <cell r="C10">
            <v>3002.2017969999993</v>
          </cell>
          <cell r="D10">
            <v>2897.5868799999994</v>
          </cell>
          <cell r="E10">
            <v>2616.3740000000003</v>
          </cell>
          <cell r="F10">
            <v>2490.158308</v>
          </cell>
          <cell r="G10">
            <v>2283.9596200000001</v>
          </cell>
          <cell r="H10">
            <v>2484</v>
          </cell>
          <cell r="I10">
            <v>2639</v>
          </cell>
          <cell r="J10">
            <v>2816</v>
          </cell>
          <cell r="K10">
            <v>3074</v>
          </cell>
          <cell r="L10">
            <v>5190</v>
          </cell>
          <cell r="M10">
            <v>1458.6115065000001</v>
          </cell>
          <cell r="N10">
            <v>1407.146107</v>
          </cell>
          <cell r="O10">
            <v>1483.4</v>
          </cell>
          <cell r="P10">
            <v>1490.5</v>
          </cell>
          <cell r="Q10">
            <v>5839.6576134999996</v>
          </cell>
          <cell r="R10">
            <v>1574.5</v>
          </cell>
          <cell r="S10">
            <v>1426.5</v>
          </cell>
          <cell r="T10">
            <v>1382.5</v>
          </cell>
          <cell r="U10">
            <v>1703.6999999999998</v>
          </cell>
          <cell r="V10">
            <v>6087.2</v>
          </cell>
        </row>
        <row r="11">
          <cell r="B11" t="str">
            <v>______</v>
          </cell>
          <cell r="C11" t="str">
            <v>______</v>
          </cell>
          <cell r="D11" t="str">
            <v>______</v>
          </cell>
          <cell r="E11" t="str">
            <v>______</v>
          </cell>
          <cell r="F11" t="str">
            <v>______</v>
          </cell>
          <cell r="G11" t="str">
            <v>______</v>
          </cell>
          <cell r="H11" t="str">
            <v>______</v>
          </cell>
          <cell r="I11" t="str">
            <v>______</v>
          </cell>
          <cell r="J11" t="str">
            <v>______</v>
          </cell>
          <cell r="K11" t="str">
            <v>______</v>
          </cell>
          <cell r="L11" t="str">
            <v>______</v>
          </cell>
          <cell r="M11" t="str">
            <v>______</v>
          </cell>
          <cell r="N11" t="str">
            <v>______</v>
          </cell>
          <cell r="O11" t="str">
            <v>______</v>
          </cell>
          <cell r="P11" t="str">
            <v>______</v>
          </cell>
          <cell r="Q11" t="str">
            <v>______</v>
          </cell>
          <cell r="R11" t="str">
            <v>______</v>
          </cell>
          <cell r="S11" t="str">
            <v>______</v>
          </cell>
          <cell r="T11" t="str">
            <v>______</v>
          </cell>
          <cell r="U11" t="str">
            <v>______</v>
          </cell>
          <cell r="V11" t="str">
            <v>______</v>
          </cell>
        </row>
        <row r="12">
          <cell r="A12" t="str">
            <v>Total Table Games</v>
          </cell>
          <cell r="B12">
            <v>15120.853621</v>
          </cell>
          <cell r="C12">
            <v>17147.185416999997</v>
          </cell>
          <cell r="D12">
            <v>16116.43507</v>
          </cell>
          <cell r="E12">
            <v>17541.344209000003</v>
          </cell>
          <cell r="F12">
            <v>14349.441364</v>
          </cell>
          <cell r="G12">
            <v>12864.117540000001</v>
          </cell>
          <cell r="H12">
            <v>15661</v>
          </cell>
          <cell r="I12">
            <v>17888</v>
          </cell>
          <cell r="J12">
            <v>21322</v>
          </cell>
          <cell r="K12">
            <v>27622</v>
          </cell>
          <cell r="L12">
            <v>39564</v>
          </cell>
          <cell r="M12">
            <v>10356.192100499999</v>
          </cell>
          <cell r="N12">
            <v>11045.259750000001</v>
          </cell>
          <cell r="O12">
            <v>11071.4</v>
          </cell>
          <cell r="P12">
            <v>11038.5</v>
          </cell>
          <cell r="Q12">
            <v>43511.351850499996</v>
          </cell>
          <cell r="R12">
            <v>11926.5</v>
          </cell>
          <cell r="S12">
            <v>12216.5</v>
          </cell>
          <cell r="T12">
            <v>13029.5</v>
          </cell>
          <cell r="U12">
            <v>15827.7</v>
          </cell>
          <cell r="V12">
            <v>53000.2</v>
          </cell>
        </row>
        <row r="13">
          <cell r="A13" t="str">
            <v>Slot Machines</v>
          </cell>
          <cell r="B13">
            <v>292.82445200000001</v>
          </cell>
          <cell r="C13">
            <v>332.74785100000003</v>
          </cell>
          <cell r="D13">
            <v>295.19192099999998</v>
          </cell>
          <cell r="E13">
            <v>242.795143</v>
          </cell>
          <cell r="F13">
            <v>216.145647</v>
          </cell>
          <cell r="G13">
            <v>173.18694099999999</v>
          </cell>
          <cell r="H13">
            <v>217</v>
          </cell>
          <cell r="I13">
            <v>220</v>
          </cell>
          <cell r="J13">
            <v>225</v>
          </cell>
          <cell r="K13">
            <v>230</v>
          </cell>
          <cell r="L13">
            <v>622</v>
          </cell>
          <cell r="M13">
            <v>243.84791546000005</v>
          </cell>
          <cell r="N13">
            <v>295.16821077000003</v>
          </cell>
          <cell r="O13">
            <v>326</v>
          </cell>
          <cell r="P13">
            <v>349</v>
          </cell>
          <cell r="Q13">
            <v>1214.0161262300001</v>
          </cell>
          <cell r="R13">
            <v>425</v>
          </cell>
          <cell r="S13">
            <v>444</v>
          </cell>
          <cell r="T13">
            <v>519</v>
          </cell>
          <cell r="U13">
            <v>608</v>
          </cell>
          <cell r="V13">
            <v>1996</v>
          </cell>
        </row>
        <row r="14">
          <cell r="B14" t="str">
            <v>______</v>
          </cell>
          <cell r="C14" t="str">
            <v>______</v>
          </cell>
          <cell r="D14" t="str">
            <v>______</v>
          </cell>
          <cell r="E14" t="str">
            <v>______</v>
          </cell>
          <cell r="F14" t="str">
            <v>______</v>
          </cell>
          <cell r="G14" t="str">
            <v>______</v>
          </cell>
          <cell r="H14" t="str">
            <v>______</v>
          </cell>
          <cell r="I14" t="str">
            <v>______</v>
          </cell>
          <cell r="J14" t="str">
            <v>______</v>
          </cell>
          <cell r="K14" t="str">
            <v>______</v>
          </cell>
          <cell r="L14" t="str">
            <v>______</v>
          </cell>
          <cell r="M14" t="str">
            <v>______</v>
          </cell>
          <cell r="N14" t="str">
            <v>______</v>
          </cell>
          <cell r="O14" t="str">
            <v>______</v>
          </cell>
          <cell r="P14" t="str">
            <v>______</v>
          </cell>
          <cell r="Q14" t="str">
            <v>______</v>
          </cell>
          <cell r="R14" t="str">
            <v>______</v>
          </cell>
          <cell r="S14" t="str">
            <v>______</v>
          </cell>
          <cell r="T14" t="str">
            <v>______</v>
          </cell>
          <cell r="U14" t="str">
            <v>______</v>
          </cell>
          <cell r="V14" t="str">
            <v>______</v>
          </cell>
        </row>
        <row r="15">
          <cell r="A15" t="str">
            <v>Total Games of Fortune</v>
          </cell>
          <cell r="B15">
            <v>15413.678073000001</v>
          </cell>
          <cell r="C15">
            <v>17479.933267999997</v>
          </cell>
          <cell r="D15">
            <v>16411.626991000001</v>
          </cell>
          <cell r="E15">
            <v>17784.139352000002</v>
          </cell>
          <cell r="F15">
            <v>14565.587011</v>
          </cell>
          <cell r="G15">
            <v>13037.304481000001</v>
          </cell>
          <cell r="H15">
            <v>15878</v>
          </cell>
          <cell r="I15">
            <v>18108</v>
          </cell>
          <cell r="J15">
            <v>21547</v>
          </cell>
          <cell r="K15">
            <v>27852</v>
          </cell>
          <cell r="L15">
            <v>40186</v>
          </cell>
          <cell r="M15">
            <v>10600.040015959999</v>
          </cell>
          <cell r="N15">
            <v>11340.427960770001</v>
          </cell>
          <cell r="O15">
            <v>11397.4</v>
          </cell>
          <cell r="P15">
            <v>11387.5</v>
          </cell>
          <cell r="Q15">
            <v>44725.367976729998</v>
          </cell>
          <cell r="R15">
            <v>12351.5</v>
          </cell>
          <cell r="S15">
            <v>12660.5</v>
          </cell>
          <cell r="T15">
            <v>13548.5</v>
          </cell>
          <cell r="U15">
            <v>16435.7</v>
          </cell>
          <cell r="V15">
            <v>54996.2</v>
          </cell>
        </row>
        <row r="16">
          <cell r="A16" t="str">
            <v xml:space="preserve">  Year-over-Year Growth</v>
          </cell>
          <cell r="C16">
            <v>0.13405335087537851</v>
          </cell>
          <cell r="D16">
            <v>-6.1116153055098543E-2</v>
          </cell>
          <cell r="E16">
            <v>8.363048719987809E-2</v>
          </cell>
          <cell r="F16">
            <v>-0.18097880798701926</v>
          </cell>
          <cell r="G16">
            <v>-0.10492419762044825</v>
          </cell>
          <cell r="H16">
            <v>0.2178897887320117</v>
          </cell>
          <cell r="I16">
            <v>0.14044589998740387</v>
          </cell>
          <cell r="J16">
            <v>0.18991605920035348</v>
          </cell>
          <cell r="K16">
            <v>0.29261614145820758</v>
          </cell>
          <cell r="L16">
            <v>0.4428407295705874</v>
          </cell>
          <cell r="Q16">
            <v>0.1129589403456428</v>
          </cell>
          <cell r="R16">
            <v>0.16523145020234886</v>
          </cell>
          <cell r="S16">
            <v>0.11640407608923842</v>
          </cell>
          <cell r="T16">
            <v>0.18873602751504737</v>
          </cell>
          <cell r="U16">
            <v>0.4433106476399562</v>
          </cell>
          <cell r="V16">
            <v>0.22964220280118819</v>
          </cell>
        </row>
        <row r="17">
          <cell r="A17" t="str">
            <v xml:space="preserve">  % Slots</v>
          </cell>
          <cell r="B17">
            <v>1.8997701302256854E-2</v>
          </cell>
          <cell r="C17">
            <v>1.9035990921610197E-2</v>
          </cell>
          <cell r="D17">
            <v>1.7986755436367203E-2</v>
          </cell>
          <cell r="E17">
            <v>1.3652341459677962E-2</v>
          </cell>
          <cell r="F17">
            <v>1.4839473811578331E-2</v>
          </cell>
          <cell r="G17">
            <v>1.328395307882815E-2</v>
          </cell>
          <cell r="H17">
            <v>1.3666708653482806E-2</v>
          </cell>
          <cell r="I17">
            <v>1.2149326264634415E-2</v>
          </cell>
          <cell r="J17">
            <v>1.0442288949737782E-2</v>
          </cell>
          <cell r="K17">
            <v>8.2579347982191589E-3</v>
          </cell>
          <cell r="L17">
            <v>1.5478027173642562E-2</v>
          </cell>
          <cell r="M17">
            <v>2.3004433482595284E-2</v>
          </cell>
          <cell r="N17">
            <v>2.6027960478306189E-2</v>
          </cell>
          <cell r="O17">
            <v>2.8603014722656046E-2</v>
          </cell>
          <cell r="P17">
            <v>3.0647639956092206E-2</v>
          </cell>
          <cell r="Q17">
            <v>2.7143792911030629E-2</v>
          </cell>
          <cell r="R17">
            <v>3.4408776261992471E-2</v>
          </cell>
          <cell r="S17">
            <v>3.5069704987954663E-2</v>
          </cell>
          <cell r="T17">
            <v>3.8306823633612576E-2</v>
          </cell>
          <cell r="U17">
            <v>3.6992644061402923E-2</v>
          </cell>
          <cell r="V17">
            <v>3.6293416636058493E-2</v>
          </cell>
        </row>
        <row r="18">
          <cell r="A18" t="str">
            <v xml:space="preserve">  % VIP Baccarat</v>
          </cell>
          <cell r="B18">
            <v>0.59941006009357822</v>
          </cell>
          <cell r="C18">
            <v>0.62822838231901668</v>
          </cell>
          <cell r="D18">
            <v>0.6382233641883287</v>
          </cell>
          <cell r="E18">
            <v>0.69401851923815261</v>
          </cell>
          <cell r="F18">
            <v>0.63480919505798827</v>
          </cell>
          <cell r="G18">
            <v>0.65990688125281038</v>
          </cell>
          <cell r="H18">
            <v>0.67955661922156441</v>
          </cell>
          <cell r="I18">
            <v>0.70438480229732714</v>
          </cell>
          <cell r="J18">
            <v>0.73625098621617857</v>
          </cell>
          <cell r="K18">
            <v>0.77308631337067357</v>
          </cell>
          <cell r="L18">
            <v>0.71955407355795553</v>
          </cell>
          <cell r="M18">
            <v>0.66021100717195713</v>
          </cell>
          <cell r="N18">
            <v>0.65546330620976778</v>
          </cell>
          <cell r="O18">
            <v>0.61347324828469652</v>
          </cell>
          <cell r="P18">
            <v>0.57958287596048297</v>
          </cell>
          <cell r="Q18">
            <v>0.62656829373835987</v>
          </cell>
          <cell r="R18">
            <v>0.62964012468121278</v>
          </cell>
          <cell r="S18">
            <v>0.63954820109790289</v>
          </cell>
          <cell r="T18">
            <v>0.65313503339853118</v>
          </cell>
          <cell r="U18">
            <v>0.66854469234653835</v>
          </cell>
          <cell r="V18">
            <v>0.64933577228972184</v>
          </cell>
        </row>
        <row r="19">
          <cell r="A19" t="str">
            <v xml:space="preserve">  % Baccarat</v>
          </cell>
          <cell r="B19">
            <v>0.79540017067540836</v>
          </cell>
          <cell r="C19">
            <v>0.80921267851146816</v>
          </cell>
          <cell r="D19">
            <v>0.80545629005881658</v>
          </cell>
          <cell r="E19">
            <v>0.83922926567270406</v>
          </cell>
          <cell r="F19">
            <v>0.81419877187536716</v>
          </cell>
          <cell r="G19">
            <v>0.81152955623756906</v>
          </cell>
          <cell r="H19">
            <v>0.82989041440987532</v>
          </cell>
          <cell r="I19">
            <v>0.84211398277004634</v>
          </cell>
          <cell r="J19">
            <v>0.85886666357265518</v>
          </cell>
          <cell r="K19">
            <v>0.88137297142036475</v>
          </cell>
          <cell r="L19">
            <v>0.85537251779226597</v>
          </cell>
          <cell r="M19">
            <v>0.83939122688247547</v>
          </cell>
          <cell r="N19">
            <v>0.84988976397902927</v>
          </cell>
          <cell r="O19">
            <v>0.84124449435836246</v>
          </cell>
          <cell r="P19">
            <v>0.83846322722283206</v>
          </cell>
          <cell r="Q19">
            <v>0.84228919606877395</v>
          </cell>
          <cell r="R19">
            <v>0.8381168279156378</v>
          </cell>
          <cell r="S19">
            <v>0.8522570198649343</v>
          </cell>
          <cell r="T19">
            <v>0.85965236003985679</v>
          </cell>
          <cell r="U19">
            <v>0.85934885645272174</v>
          </cell>
          <cell r="V19">
            <v>0.85302257246864333</v>
          </cell>
        </row>
        <row r="21">
          <cell r="A21" t="str">
            <v>Racing Lottery, etc.</v>
          </cell>
          <cell r="B21">
            <v>379.63710399999997</v>
          </cell>
          <cell r="C21">
            <v>431.90696300000002</v>
          </cell>
          <cell r="D21">
            <v>549.1798389999999</v>
          </cell>
          <cell r="E21">
            <v>643.25811390000001</v>
          </cell>
          <cell r="F21">
            <v>968.56400000000008</v>
          </cell>
          <cell r="G21">
            <v>909.49300000000005</v>
          </cell>
          <cell r="H21">
            <v>1198.19</v>
          </cell>
          <cell r="I21">
            <v>1432.44</v>
          </cell>
          <cell r="J21">
            <v>1295.83</v>
          </cell>
          <cell r="K21">
            <v>1626.07</v>
          </cell>
          <cell r="L21">
            <v>2119.0299999999997</v>
          </cell>
          <cell r="M21">
            <v>353.34253695000001</v>
          </cell>
          <cell r="N21">
            <v>279.18853559999997</v>
          </cell>
          <cell r="O21">
            <v>209.01</v>
          </cell>
          <cell r="P21">
            <v>234.01</v>
          </cell>
          <cell r="Q21">
            <v>1075.5510725499998</v>
          </cell>
          <cell r="R21">
            <v>237.01</v>
          </cell>
          <cell r="S21">
            <v>240.01</v>
          </cell>
          <cell r="T21">
            <v>214</v>
          </cell>
          <cell r="U21">
            <v>195.01</v>
          </cell>
          <cell r="V21">
            <v>886.03</v>
          </cell>
        </row>
        <row r="22">
          <cell r="B22" t="str">
            <v>______</v>
          </cell>
          <cell r="C22" t="str">
            <v>______</v>
          </cell>
          <cell r="D22" t="str">
            <v>______</v>
          </cell>
          <cell r="E22" t="str">
            <v>______</v>
          </cell>
          <cell r="F22" t="str">
            <v>______</v>
          </cell>
          <cell r="G22" t="str">
            <v>______</v>
          </cell>
          <cell r="H22" t="str">
            <v>______</v>
          </cell>
          <cell r="I22" t="str">
            <v>______</v>
          </cell>
          <cell r="J22" t="str">
            <v>______</v>
          </cell>
          <cell r="K22" t="str">
            <v>______</v>
          </cell>
          <cell r="L22" t="str">
            <v>______</v>
          </cell>
          <cell r="M22" t="str">
            <v>______</v>
          </cell>
          <cell r="N22" t="str">
            <v>______</v>
          </cell>
          <cell r="O22" t="str">
            <v>______</v>
          </cell>
          <cell r="P22" t="str">
            <v>______</v>
          </cell>
          <cell r="Q22" t="str">
            <v>______</v>
          </cell>
          <cell r="R22" t="str">
            <v>______</v>
          </cell>
          <cell r="S22" t="str">
            <v>______</v>
          </cell>
          <cell r="T22" t="str">
            <v>______</v>
          </cell>
          <cell r="U22" t="str">
            <v>______</v>
          </cell>
          <cell r="V22" t="str">
            <v>______</v>
          </cell>
        </row>
        <row r="23">
          <cell r="A23" t="str">
            <v>Total Gaming Revenues</v>
          </cell>
          <cell r="B23">
            <v>15793.315177</v>
          </cell>
          <cell r="C23">
            <v>17911.840230999998</v>
          </cell>
          <cell r="D23">
            <v>16960.806830000001</v>
          </cell>
          <cell r="E23">
            <v>18427.397465900001</v>
          </cell>
          <cell r="F23">
            <v>15534.151011</v>
          </cell>
          <cell r="G23">
            <v>13946.797481000001</v>
          </cell>
          <cell r="H23">
            <v>17076.189999999999</v>
          </cell>
          <cell r="I23">
            <v>19540.439999999999</v>
          </cell>
          <cell r="J23">
            <v>22842.83</v>
          </cell>
          <cell r="K23">
            <v>29478.07</v>
          </cell>
          <cell r="L23">
            <v>42305.03</v>
          </cell>
          <cell r="M23">
            <v>10953.38255291</v>
          </cell>
          <cell r="N23">
            <v>11619.616496370001</v>
          </cell>
          <cell r="O23">
            <v>11606.41</v>
          </cell>
          <cell r="P23">
            <v>11621.51</v>
          </cell>
          <cell r="Q23">
            <v>45800.919049279997</v>
          </cell>
          <cell r="R23">
            <v>12588.51</v>
          </cell>
          <cell r="S23">
            <v>12900.51</v>
          </cell>
          <cell r="T23">
            <v>13762.5</v>
          </cell>
          <cell r="U23">
            <v>16630.71</v>
          </cell>
          <cell r="V23">
            <v>55882.229999999996</v>
          </cell>
        </row>
        <row r="24">
          <cell r="A24" t="str">
            <v xml:space="preserve">  Year-over-Year Growth</v>
          </cell>
          <cell r="C24">
            <v>0.13414061773966446</v>
          </cell>
          <cell r="D24">
            <v>-5.3095236934619594E-2</v>
          </cell>
          <cell r="E24">
            <v>8.6469390908097576E-2</v>
          </cell>
          <cell r="F24">
            <v>-0.15700787158110474</v>
          </cell>
          <cell r="G24">
            <v>-0.10218476239068142</v>
          </cell>
          <cell r="H24">
            <v>0.22438072419587574</v>
          </cell>
          <cell r="I24">
            <v>0.14430912281955166</v>
          </cell>
          <cell r="J24">
            <v>0.16900284742820548</v>
          </cell>
          <cell r="K24">
            <v>0.29047364096305039</v>
          </cell>
          <cell r="L24">
            <v>0.4351356788283629</v>
          </cell>
        </row>
        <row r="27">
          <cell r="A27" t="str">
            <v>Year-over-Year Growth</v>
          </cell>
        </row>
        <row r="28">
          <cell r="A28" t="str">
            <v xml:space="preserve">  VIP Baccarat</v>
          </cell>
          <cell r="C28">
            <v>0.18857615097863767</v>
          </cell>
          <cell r="D28">
            <v>-4.6178707865239144E-2</v>
          </cell>
          <cell r="E28">
            <v>0.17836429740271553</v>
          </cell>
          <cell r="F28">
            <v>-0.25085257925403737</v>
          </cell>
          <cell r="G28">
            <v>-6.9536664195308573E-2</v>
          </cell>
          <cell r="H28">
            <v>0.25415432226433765</v>
          </cell>
          <cell r="I28">
            <v>0.18211306765523627</v>
          </cell>
          <cell r="J28">
            <v>0.24374754998039982</v>
          </cell>
          <cell r="K28">
            <v>0.35728693898134134</v>
          </cell>
          <cell r="L28">
            <v>0.34293145086383059</v>
          </cell>
          <cell r="Q28">
            <v>-3.0865351362567517E-2</v>
          </cell>
          <cell r="U28">
            <v>0.6648484848484848</v>
          </cell>
          <cell r="V28">
            <v>0.27432344945522957</v>
          </cell>
        </row>
        <row r="29">
          <cell r="A29" t="str">
            <v xml:space="preserve">  Baccarat</v>
          </cell>
          <cell r="C29">
            <v>4.7225530632971413E-2</v>
          </cell>
          <cell r="D29">
            <v>-0.13245349966621178</v>
          </cell>
          <cell r="E29">
            <v>-5.9068116601672771E-2</v>
          </cell>
          <cell r="F29">
            <v>1.1797464355673526E-2</v>
          </cell>
          <cell r="G29">
            <v>-0.24346893571706596</v>
          </cell>
          <cell r="H29">
            <v>0.20753702623686054</v>
          </cell>
          <cell r="I29">
            <v>4.4826141600335045E-2</v>
          </cell>
          <cell r="J29">
            <v>5.9342421812349722E-2</v>
          </cell>
          <cell r="K29">
            <v>0.14155942467827409</v>
          </cell>
          <cell r="L29">
            <v>0.80968169761273212</v>
          </cell>
          <cell r="Q29">
            <v>0.76771651465738366</v>
          </cell>
          <cell r="U29">
            <v>6.3772048846675755E-2</v>
          </cell>
          <cell r="V29">
            <v>0.16104597629537332</v>
          </cell>
        </row>
        <row r="30">
          <cell r="A30" t="str">
            <v xml:space="preserve">  Other Table Games</v>
          </cell>
          <cell r="C30">
            <v>4.9423161372825097E-2</v>
          </cell>
          <cell r="D30">
            <v>-3.4846064346686467E-2</v>
          </cell>
          <cell r="E30">
            <v>-9.7050715525050735E-2</v>
          </cell>
          <cell r="F30">
            <v>-4.8240691888850828E-2</v>
          </cell>
          <cell r="G30">
            <v>-8.2805453507737381E-2</v>
          </cell>
          <cell r="H30">
            <v>8.7584902223446504E-2</v>
          </cell>
          <cell r="I30">
            <v>6.2399355877616802E-2</v>
          </cell>
          <cell r="J30">
            <v>6.7070860174308411E-2</v>
          </cell>
          <cell r="K30">
            <v>9.1619318181818121E-2</v>
          </cell>
          <cell r="L30">
            <v>0.68835393623942753</v>
          </cell>
          <cell r="Q30">
            <v>0.1251748773603083</v>
          </cell>
          <cell r="U30">
            <v>0.14303924857430372</v>
          </cell>
          <cell r="V30">
            <v>4.2389880175121464E-2</v>
          </cell>
        </row>
        <row r="31">
          <cell r="C31" t="str">
            <v>______</v>
          </cell>
          <cell r="D31" t="str">
            <v>______</v>
          </cell>
          <cell r="E31" t="str">
            <v>______</v>
          </cell>
          <cell r="F31" t="str">
            <v>______</v>
          </cell>
          <cell r="G31" t="str">
            <v>______</v>
          </cell>
          <cell r="H31" t="str">
            <v>______</v>
          </cell>
          <cell r="I31" t="str">
            <v>______</v>
          </cell>
          <cell r="J31" t="str">
            <v>______</v>
          </cell>
          <cell r="K31" t="str">
            <v>______</v>
          </cell>
          <cell r="L31" t="str">
            <v>______</v>
          </cell>
          <cell r="Q31" t="str">
            <v>______</v>
          </cell>
          <cell r="V31" t="str">
            <v>______</v>
          </cell>
        </row>
        <row r="32">
          <cell r="A32" t="str">
            <v>Total Table Games</v>
          </cell>
          <cell r="C32">
            <v>0.1340090875018991</v>
          </cell>
          <cell r="D32">
            <v>-6.0111926356035905E-2</v>
          </cell>
          <cell r="E32">
            <v>8.8413419767527035E-2</v>
          </cell>
          <cell r="F32">
            <v>-0.18196455225833386</v>
          </cell>
          <cell r="G32">
            <v>-0.10351091630134068</v>
          </cell>
          <cell r="H32">
            <v>0.21741735889020797</v>
          </cell>
          <cell r="I32">
            <v>0.14220037034672117</v>
          </cell>
          <cell r="J32">
            <v>0.19197227191413235</v>
          </cell>
          <cell r="K32">
            <v>0.29546946815495723</v>
          </cell>
          <cell r="L32">
            <v>0.4323365433350228</v>
          </cell>
          <cell r="Q32">
            <v>9.9771303470326478E-2</v>
          </cell>
          <cell r="V32">
            <v>0.21807753025239474</v>
          </cell>
        </row>
        <row r="33">
          <cell r="A33" t="str">
            <v xml:space="preserve">  Slot Machines</v>
          </cell>
          <cell r="C33">
            <v>0.13633902062249925</v>
          </cell>
          <cell r="D33">
            <v>-0.11286603320542565</v>
          </cell>
          <cell r="E33">
            <v>-0.17750071825305813</v>
          </cell>
          <cell r="F33">
            <v>-0.10976124015792199</v>
          </cell>
          <cell r="G33">
            <v>-0.19874888343229047</v>
          </cell>
          <cell r="H33">
            <v>0.25298130879279168</v>
          </cell>
          <cell r="I33">
            <v>1.3824884792626779E-2</v>
          </cell>
          <cell r="J33">
            <v>2.2727272727272707E-2</v>
          </cell>
          <cell r="K33">
            <v>2.2222222222222143E-2</v>
          </cell>
          <cell r="L33">
            <v>1.7043478260869565</v>
          </cell>
          <cell r="Q33">
            <v>0.95179441516077179</v>
          </cell>
          <cell r="V33">
            <v>0.64412972519431766</v>
          </cell>
        </row>
        <row r="34">
          <cell r="C34" t="str">
            <v>______</v>
          </cell>
          <cell r="D34" t="str">
            <v>______</v>
          </cell>
          <cell r="E34" t="str">
            <v>______</v>
          </cell>
          <cell r="F34" t="str">
            <v>______</v>
          </cell>
          <cell r="G34" t="str">
            <v>______</v>
          </cell>
          <cell r="H34" t="str">
            <v>______</v>
          </cell>
          <cell r="I34" t="str">
            <v>______</v>
          </cell>
          <cell r="J34" t="str">
            <v>______</v>
          </cell>
          <cell r="K34" t="str">
            <v>______</v>
          </cell>
          <cell r="L34" t="str">
            <v>______</v>
          </cell>
          <cell r="Q34" t="str">
            <v>______</v>
          </cell>
          <cell r="V34" t="str">
            <v>______</v>
          </cell>
        </row>
        <row r="35">
          <cell r="A35" t="str">
            <v>Total Games of Fortune</v>
          </cell>
          <cell r="C35">
            <v>0.13405335087537851</v>
          </cell>
          <cell r="D35">
            <v>-6.1116153055098543E-2</v>
          </cell>
          <cell r="E35">
            <v>8.363048719987809E-2</v>
          </cell>
          <cell r="F35">
            <v>-0.18097880798701926</v>
          </cell>
          <cell r="G35">
            <v>-0.10492419762044825</v>
          </cell>
          <cell r="H35">
            <v>0.2178897887320117</v>
          </cell>
          <cell r="I35">
            <v>0.14044589998740387</v>
          </cell>
          <cell r="J35">
            <v>0.18991605920035348</v>
          </cell>
          <cell r="K35">
            <v>0.29261614145820758</v>
          </cell>
          <cell r="L35">
            <v>0.4428407295705874</v>
          </cell>
          <cell r="Q35">
            <v>0.1129589403456428</v>
          </cell>
          <cell r="V35">
            <v>0.22964220280118819</v>
          </cell>
        </row>
        <row r="36">
          <cell r="A36" t="str">
            <v xml:space="preserve">  Racing Lottery, etc.</v>
          </cell>
          <cell r="C36">
            <v>0.13768374705545128</v>
          </cell>
          <cell r="D36">
            <v>0.27152346696480523</v>
          </cell>
          <cell r="E36">
            <v>0.17130686201319234</v>
          </cell>
          <cell r="F36">
            <v>0.50571594678799747</v>
          </cell>
          <cell r="G36">
            <v>-6.0988225868399026E-2</v>
          </cell>
          <cell r="H36">
            <v>0.31742630234647207</v>
          </cell>
          <cell r="I36">
            <v>0.1955032173528406</v>
          </cell>
          <cell r="J36">
            <v>-9.5368741448158434E-2</v>
          </cell>
          <cell r="K36">
            <v>0.25484824398262118</v>
          </cell>
          <cell r="L36">
            <v>0.30316038054942274</v>
          </cell>
          <cell r="Q36">
            <v>-0.49243235227910886</v>
          </cell>
          <cell r="V36">
            <v>-0.17620834322694567</v>
          </cell>
        </row>
        <row r="37">
          <cell r="C37" t="str">
            <v>______</v>
          </cell>
          <cell r="D37" t="str">
            <v>______</v>
          </cell>
          <cell r="E37" t="str">
            <v>______</v>
          </cell>
          <cell r="F37" t="str">
            <v>______</v>
          </cell>
          <cell r="G37" t="str">
            <v>______</v>
          </cell>
          <cell r="H37" t="str">
            <v>______</v>
          </cell>
          <cell r="I37" t="str">
            <v>______</v>
          </cell>
          <cell r="J37" t="str">
            <v>______</v>
          </cell>
          <cell r="K37" t="str">
            <v>______</v>
          </cell>
          <cell r="L37" t="str">
            <v>______</v>
          </cell>
          <cell r="Q37" t="str">
            <v>______</v>
          </cell>
          <cell r="V37" t="str">
            <v>______</v>
          </cell>
        </row>
        <row r="38">
          <cell r="A38" t="str">
            <v>Total Gaming Revenues</v>
          </cell>
          <cell r="C38">
            <v>0.13414061773966446</v>
          </cell>
          <cell r="D38">
            <v>-5.3095236934619594E-2</v>
          </cell>
          <cell r="E38">
            <v>8.6469390908097576E-2</v>
          </cell>
          <cell r="F38">
            <v>-0.15700787158110474</v>
          </cell>
          <cell r="G38">
            <v>-0.10218476239068142</v>
          </cell>
          <cell r="H38">
            <v>0.22438072419587574</v>
          </cell>
          <cell r="I38">
            <v>0.14430912281955166</v>
          </cell>
          <cell r="J38">
            <v>0.16900284742820548</v>
          </cell>
          <cell r="K38">
            <v>0.29047364096305039</v>
          </cell>
          <cell r="L38">
            <v>0.4351356788283629</v>
          </cell>
          <cell r="Q38">
            <v>8.2635304815526611E-2</v>
          </cell>
          <cell r="V38">
            <v>0.22011154273722977</v>
          </cell>
        </row>
        <row r="40">
          <cell r="A40" t="str">
            <v>Positions</v>
          </cell>
        </row>
        <row r="41">
          <cell r="A41" t="str">
            <v>Average Tables</v>
          </cell>
          <cell r="B41">
            <v>341</v>
          </cell>
          <cell r="C41">
            <v>341</v>
          </cell>
          <cell r="D41">
            <v>341</v>
          </cell>
          <cell r="E41">
            <v>341</v>
          </cell>
          <cell r="F41">
            <v>341</v>
          </cell>
          <cell r="G41">
            <v>341</v>
          </cell>
          <cell r="H41">
            <v>341</v>
          </cell>
          <cell r="I41">
            <v>341</v>
          </cell>
          <cell r="J41">
            <v>341</v>
          </cell>
          <cell r="K41">
            <v>441</v>
          </cell>
          <cell r="L41">
            <v>660.54586717630195</v>
          </cell>
          <cell r="M41">
            <v>1159</v>
          </cell>
          <cell r="N41">
            <v>1235.5</v>
          </cell>
          <cell r="O41">
            <v>1270.5</v>
          </cell>
          <cell r="P41">
            <v>1342</v>
          </cell>
          <cell r="Q41">
            <v>1251.75</v>
          </cell>
          <cell r="R41">
            <v>1251.75</v>
          </cell>
          <cell r="S41">
            <v>1561</v>
          </cell>
          <cell r="T41">
            <v>1890</v>
          </cell>
          <cell r="U41">
            <v>2182.5</v>
          </cell>
          <cell r="V41">
            <v>2064.4426328502418</v>
          </cell>
        </row>
        <row r="43">
          <cell r="A43" t="str">
            <v>Daily Win / Table</v>
          </cell>
          <cell r="B43">
            <v>121486.79243964166</v>
          </cell>
          <cell r="C43">
            <v>137767.12663801067</v>
          </cell>
          <cell r="D43">
            <v>129131.89325833693</v>
          </cell>
          <cell r="E43">
            <v>140933.95098220385</v>
          </cell>
          <cell r="F43">
            <v>115288.96769372917</v>
          </cell>
          <cell r="G43">
            <v>103355.30100831561</v>
          </cell>
          <cell r="H43">
            <v>125482.74922680001</v>
          </cell>
          <cell r="I43">
            <v>143719.11782428794</v>
          </cell>
          <cell r="J43">
            <v>171309.20339051139</v>
          </cell>
          <cell r="K43">
            <v>171602.52228745379</v>
          </cell>
          <cell r="L43">
            <v>163650.04464842996</v>
          </cell>
          <cell r="M43">
            <v>99282.830989358627</v>
          </cell>
          <cell r="N43">
            <v>98240.777635961786</v>
          </cell>
          <cell r="O43">
            <v>94719.641359957575</v>
          </cell>
          <cell r="P43">
            <v>89406.628652886662</v>
          </cell>
          <cell r="Q43">
            <v>95234.018895190544</v>
          </cell>
          <cell r="R43">
            <v>107054.61791693875</v>
          </cell>
          <cell r="S43">
            <v>43237.972542038151</v>
          </cell>
          <cell r="T43">
            <v>37466.931216931218</v>
          </cell>
          <cell r="U43">
            <v>39413.566412669956</v>
          </cell>
          <cell r="V43">
            <v>40239.632950425344</v>
          </cell>
        </row>
        <row r="44">
          <cell r="A44" t="str">
            <v xml:space="preserve">  Year-over-Year Growth</v>
          </cell>
          <cell r="C44">
            <v>0.1340090875018991</v>
          </cell>
          <cell r="D44">
            <v>-6.2679926557249077E-2</v>
          </cell>
          <cell r="E44">
            <v>9.139537434223266E-2</v>
          </cell>
          <cell r="F44">
            <v>-0.18196455225833374</v>
          </cell>
          <cell r="G44">
            <v>-0.10351091630134057</v>
          </cell>
          <cell r="H44">
            <v>0.21409108195334947</v>
          </cell>
          <cell r="I44">
            <v>0.14532968642986255</v>
          </cell>
          <cell r="J44">
            <v>0.19197227191413258</v>
          </cell>
          <cell r="K44">
            <v>1.7122191402276776E-3</v>
          </cell>
          <cell r="L44">
            <v>-4.6342428613622144E-2</v>
          </cell>
          <cell r="Q44">
            <v>-0.41806298250769092</v>
          </cell>
          <cell r="V44">
            <v>-0.57746576887917622</v>
          </cell>
        </row>
        <row r="46">
          <cell r="A46" t="str">
            <v>Average Slots</v>
          </cell>
          <cell r="B46">
            <v>700</v>
          </cell>
          <cell r="C46">
            <v>700</v>
          </cell>
          <cell r="D46">
            <v>700</v>
          </cell>
          <cell r="E46">
            <v>700</v>
          </cell>
          <cell r="F46">
            <v>700</v>
          </cell>
          <cell r="G46">
            <v>700</v>
          </cell>
          <cell r="H46">
            <v>700</v>
          </cell>
          <cell r="I46">
            <v>700</v>
          </cell>
          <cell r="J46">
            <v>700</v>
          </cell>
          <cell r="K46">
            <v>824.25</v>
          </cell>
          <cell r="L46">
            <v>1548.6654323936932</v>
          </cell>
          <cell r="M46">
            <v>2721</v>
          </cell>
          <cell r="N46">
            <v>2774.5</v>
          </cell>
          <cell r="O46">
            <v>2927</v>
          </cell>
          <cell r="P46">
            <v>3251.5</v>
          </cell>
          <cell r="Q46">
            <v>2918.5</v>
          </cell>
          <cell r="R46">
            <v>2918.5</v>
          </cell>
          <cell r="S46">
            <v>3988.5</v>
          </cell>
          <cell r="T46">
            <v>4378</v>
          </cell>
          <cell r="U46">
            <v>4849</v>
          </cell>
          <cell r="V46">
            <v>4767.75</v>
          </cell>
        </row>
        <row r="48">
          <cell r="A48" t="str">
            <v>Daily Win / Slot</v>
          </cell>
          <cell r="B48">
            <v>1146.0839608610568</v>
          </cell>
          <cell r="C48">
            <v>1302.339925636008</v>
          </cell>
          <cell r="D48">
            <v>1152.1932903981262</v>
          </cell>
          <cell r="E48">
            <v>950.27453228962816</v>
          </cell>
          <cell r="F48">
            <v>845.97122113502928</v>
          </cell>
          <cell r="G48">
            <v>677.8353855185909</v>
          </cell>
          <cell r="H48">
            <v>846.99453551912563</v>
          </cell>
          <cell r="I48">
            <v>861.05675146771034</v>
          </cell>
          <cell r="J48">
            <v>880.6262230919765</v>
          </cell>
          <cell r="K48">
            <v>764.49740527918698</v>
          </cell>
          <cell r="L48">
            <v>1097.3664914091933</v>
          </cell>
          <cell r="M48">
            <v>995.74468316386969</v>
          </cell>
          <cell r="N48">
            <v>1169.0779281882294</v>
          </cell>
          <cell r="O48">
            <v>1210.6177864262265</v>
          </cell>
          <cell r="P48">
            <v>1166.6856099860265</v>
          </cell>
          <cell r="Q48">
            <v>1139.6510463293914</v>
          </cell>
          <cell r="R48">
            <v>1636.2106900381716</v>
          </cell>
          <cell r="S48">
            <v>615.02787364501671</v>
          </cell>
          <cell r="T48">
            <v>644.27870578187378</v>
          </cell>
          <cell r="U48">
            <v>681.44933513857643</v>
          </cell>
          <cell r="V48">
            <v>656.18512836621574</v>
          </cell>
        </row>
        <row r="49">
          <cell r="A49" t="str">
            <v xml:space="preserve">  Year-over-Year Growth</v>
          </cell>
          <cell r="C49">
            <v>0.13633902062249925</v>
          </cell>
          <cell r="D49">
            <v>-0.11528989650267885</v>
          </cell>
          <cell r="E49">
            <v>-0.1752472955633404</v>
          </cell>
          <cell r="F49">
            <v>-0.10976124015792199</v>
          </cell>
          <cell r="G49">
            <v>-0.19874888343229047</v>
          </cell>
          <cell r="H49">
            <v>0.24955786259390433</v>
          </cell>
          <cell r="I49">
            <v>1.6602487216716089E-2</v>
          </cell>
          <cell r="J49">
            <v>2.2727272727272707E-2</v>
          </cell>
          <cell r="K49">
            <v>-0.13187072422741208</v>
          </cell>
          <cell r="L49">
            <v>0.4354090462981306</v>
          </cell>
          <cell r="Q49">
            <v>3.8532755693950538E-2</v>
          </cell>
          <cell r="V49">
            <v>-0.42422276495979305</v>
          </cell>
        </row>
        <row r="52">
          <cell r="A52" t="str">
            <v>Gaming Revenue Details (millions MOP)</v>
          </cell>
        </row>
        <row r="54">
          <cell r="A54" t="str">
            <v>Gross revenue from Different Gaming Activities</v>
          </cell>
        </row>
        <row r="55">
          <cell r="A55" t="str">
            <v>Games of Fortune</v>
          </cell>
          <cell r="B55">
            <v>15414.038073</v>
          </cell>
          <cell r="C55">
            <v>17479.870634999999</v>
          </cell>
          <cell r="D55">
            <v>16411.627327999999</v>
          </cell>
          <cell r="E55">
            <v>17784.139304</v>
          </cell>
          <cell r="F55">
            <v>14565.585999999999</v>
          </cell>
          <cell r="G55">
            <v>13037.304</v>
          </cell>
          <cell r="H55">
            <v>15878</v>
          </cell>
          <cell r="I55">
            <v>18109</v>
          </cell>
          <cell r="J55">
            <v>21546</v>
          </cell>
          <cell r="K55">
            <v>27849</v>
          </cell>
          <cell r="L55">
            <v>40187</v>
          </cell>
          <cell r="M55">
            <v>10600.040015959999</v>
          </cell>
          <cell r="N55">
            <v>11340.427959770001</v>
          </cell>
          <cell r="O55">
            <v>11396</v>
          </cell>
          <cell r="P55">
            <v>11388</v>
          </cell>
          <cell r="Q55">
            <v>44724.467975730004</v>
          </cell>
          <cell r="R55">
            <v>12352</v>
          </cell>
          <cell r="S55">
            <v>12660</v>
          </cell>
          <cell r="T55">
            <v>13549</v>
          </cell>
          <cell r="U55">
            <v>16437</v>
          </cell>
          <cell r="V55">
            <v>54998</v>
          </cell>
        </row>
        <row r="56">
          <cell r="A56" t="str">
            <v>Greyhound Racing</v>
          </cell>
          <cell r="B56">
            <v>103.246269</v>
          </cell>
          <cell r="C56">
            <v>103.437545</v>
          </cell>
          <cell r="D56">
            <v>94.963158000000007</v>
          </cell>
          <cell r="E56">
            <v>80.415359899999999</v>
          </cell>
          <cell r="F56">
            <v>73.572000000000003</v>
          </cell>
          <cell r="G56">
            <v>82.878</v>
          </cell>
          <cell r="H56">
            <v>92</v>
          </cell>
          <cell r="I56">
            <v>94</v>
          </cell>
          <cell r="J56">
            <v>76</v>
          </cell>
          <cell r="K56">
            <v>74</v>
          </cell>
          <cell r="L56">
            <v>84</v>
          </cell>
          <cell r="M56">
            <v>16.964230000000001</v>
          </cell>
          <cell r="N56">
            <v>16.809089</v>
          </cell>
          <cell r="O56">
            <v>16</v>
          </cell>
          <cell r="P56">
            <v>17</v>
          </cell>
          <cell r="Q56">
            <v>66.773319000000001</v>
          </cell>
          <cell r="R56">
            <v>18</v>
          </cell>
          <cell r="S56">
            <v>17</v>
          </cell>
          <cell r="T56">
            <v>14</v>
          </cell>
          <cell r="U56">
            <v>17</v>
          </cell>
          <cell r="V56">
            <v>66</v>
          </cell>
        </row>
        <row r="57">
          <cell r="A57" t="str">
            <v>Horse Racing</v>
          </cell>
          <cell r="B57">
            <v>262.66829999999999</v>
          </cell>
          <cell r="C57">
            <v>314.14199100000002</v>
          </cell>
          <cell r="D57">
            <v>441.95364000000001</v>
          </cell>
          <cell r="E57">
            <v>554.70159200000001</v>
          </cell>
          <cell r="F57">
            <v>777.202</v>
          </cell>
          <cell r="G57">
            <v>648.88900000000001</v>
          </cell>
          <cell r="H57">
            <v>758</v>
          </cell>
          <cell r="I57">
            <v>823</v>
          </cell>
          <cell r="J57">
            <v>539</v>
          </cell>
          <cell r="K57">
            <v>1003</v>
          </cell>
          <cell r="L57">
            <v>1566</v>
          </cell>
          <cell r="M57">
            <v>248.41574299999999</v>
          </cell>
          <cell r="N57">
            <v>150.86894899999999</v>
          </cell>
          <cell r="O57">
            <v>108</v>
          </cell>
          <cell r="P57">
            <v>129</v>
          </cell>
          <cell r="Q57">
            <v>636.28469199999995</v>
          </cell>
          <cell r="R57">
            <v>119</v>
          </cell>
          <cell r="S57">
            <v>116</v>
          </cell>
          <cell r="T57">
            <v>97</v>
          </cell>
          <cell r="U57">
            <v>104</v>
          </cell>
          <cell r="V57">
            <v>436</v>
          </cell>
        </row>
        <row r="58">
          <cell r="A58" t="str">
            <v>Chinese Lottery</v>
          </cell>
          <cell r="B58">
            <v>9.0780799999999999</v>
          </cell>
          <cell r="C58">
            <v>10.283067000000001</v>
          </cell>
          <cell r="D58">
            <v>9.0239309999999993</v>
          </cell>
          <cell r="E58">
            <v>6.8172569999999997</v>
          </cell>
          <cell r="F58">
            <v>6.8780000000000001</v>
          </cell>
          <cell r="G58">
            <v>5.3119999999999994</v>
          </cell>
          <cell r="H58">
            <v>5</v>
          </cell>
          <cell r="I58">
            <v>4</v>
          </cell>
          <cell r="J58">
            <v>4</v>
          </cell>
          <cell r="K58">
            <v>3</v>
          </cell>
          <cell r="L58">
            <v>5</v>
          </cell>
          <cell r="M58">
            <v>1.9022275</v>
          </cell>
          <cell r="N58">
            <v>1.68655925</v>
          </cell>
          <cell r="O58">
            <v>2</v>
          </cell>
          <cell r="P58">
            <v>1</v>
          </cell>
          <cell r="Q58">
            <v>6.5887867499999997</v>
          </cell>
          <cell r="R58">
            <v>2</v>
          </cell>
          <cell r="S58">
            <v>2</v>
          </cell>
          <cell r="T58">
            <v>2</v>
          </cell>
          <cell r="U58">
            <v>2</v>
          </cell>
          <cell r="V58">
            <v>8</v>
          </cell>
        </row>
        <row r="59">
          <cell r="A59" t="str">
            <v>Instant Lottery</v>
          </cell>
          <cell r="B59">
            <v>4.6444549999999998</v>
          </cell>
          <cell r="C59">
            <v>4.0443600000000002</v>
          </cell>
          <cell r="D59">
            <v>3.2391100000000002</v>
          </cell>
          <cell r="E59">
            <v>1.3239050000000001</v>
          </cell>
          <cell r="F59">
            <v>1.1739999999999999</v>
          </cell>
          <cell r="G59">
            <v>1.1869999999999998</v>
          </cell>
          <cell r="H59">
            <v>1.19</v>
          </cell>
          <cell r="I59">
            <v>1.44</v>
          </cell>
          <cell r="J59">
            <v>0.83</v>
          </cell>
          <cell r="K59">
            <v>7.0000000000000007E-2</v>
          </cell>
          <cell r="L59">
            <v>0.03</v>
          </cell>
          <cell r="M59">
            <v>5.2300000000000003E-3</v>
          </cell>
          <cell r="N59">
            <v>5.1399999999999996E-3</v>
          </cell>
          <cell r="O59">
            <v>0.01</v>
          </cell>
          <cell r="P59">
            <v>0.01</v>
          </cell>
          <cell r="Q59">
            <v>3.0370000000000001E-2</v>
          </cell>
          <cell r="R59">
            <v>0.01</v>
          </cell>
          <cell r="S59">
            <v>0.01</v>
          </cell>
          <cell r="T59">
            <v>0</v>
          </cell>
          <cell r="U59">
            <v>0.01</v>
          </cell>
          <cell r="V59">
            <v>0.03</v>
          </cell>
        </row>
        <row r="60">
          <cell r="A60" t="str">
            <v>Sports Lottery - Football</v>
          </cell>
          <cell r="B60">
            <v>0</v>
          </cell>
          <cell r="C60">
            <v>0</v>
          </cell>
          <cell r="D60">
            <v>0</v>
          </cell>
          <cell r="E60">
            <v>0</v>
          </cell>
          <cell r="F60">
            <v>109.73800000000001</v>
          </cell>
          <cell r="G60">
            <v>171.227</v>
          </cell>
          <cell r="H60">
            <v>342</v>
          </cell>
          <cell r="I60">
            <v>486</v>
          </cell>
          <cell r="J60">
            <v>622</v>
          </cell>
          <cell r="K60">
            <v>496</v>
          </cell>
          <cell r="L60">
            <v>429</v>
          </cell>
          <cell r="M60">
            <v>65.20258917000001</v>
          </cell>
          <cell r="N60">
            <v>98.774498149999971</v>
          </cell>
          <cell r="O60">
            <v>81</v>
          </cell>
          <cell r="P60">
            <v>78</v>
          </cell>
          <cell r="Q60">
            <v>322.97708732000001</v>
          </cell>
          <cell r="R60">
            <v>71</v>
          </cell>
          <cell r="S60">
            <v>94</v>
          </cell>
          <cell r="T60">
            <v>93</v>
          </cell>
          <cell r="U60">
            <v>59</v>
          </cell>
          <cell r="V60">
            <v>317</v>
          </cell>
        </row>
        <row r="61">
          <cell r="A61" t="str">
            <v>Sports Lottery - Basketball</v>
          </cell>
          <cell r="B61">
            <v>0</v>
          </cell>
          <cell r="C61">
            <v>0</v>
          </cell>
          <cell r="D61">
            <v>0</v>
          </cell>
          <cell r="E61">
            <v>0</v>
          </cell>
          <cell r="F61">
            <v>0</v>
          </cell>
          <cell r="G61">
            <v>0</v>
          </cell>
          <cell r="H61">
            <v>0</v>
          </cell>
          <cell r="I61">
            <v>24</v>
          </cell>
          <cell r="J61">
            <v>54</v>
          </cell>
          <cell r="K61">
            <v>50</v>
          </cell>
          <cell r="L61">
            <v>35</v>
          </cell>
          <cell r="M61">
            <v>20.852517280000015</v>
          </cell>
          <cell r="N61">
            <v>11.044300199999995</v>
          </cell>
          <cell r="O61">
            <v>2</v>
          </cell>
          <cell r="P61">
            <v>9</v>
          </cell>
          <cell r="Q61">
            <v>42.89681748000001</v>
          </cell>
          <cell r="R61">
            <v>27</v>
          </cell>
          <cell r="S61">
            <v>11</v>
          </cell>
          <cell r="T61">
            <v>8</v>
          </cell>
          <cell r="U61">
            <v>13</v>
          </cell>
          <cell r="V61">
            <v>59</v>
          </cell>
        </row>
        <row r="63">
          <cell r="A63" t="str">
            <v>Betting amount from Pari-Mutuels and Lotteries</v>
          </cell>
        </row>
        <row r="64">
          <cell r="A64" t="str">
            <v>Greyhound Racing</v>
          </cell>
          <cell r="B64">
            <v>550.52965200000006</v>
          </cell>
          <cell r="C64">
            <v>551.99609950000001</v>
          </cell>
          <cell r="D64">
            <v>506.08776999999998</v>
          </cell>
          <cell r="E64">
            <v>358.97035599999998</v>
          </cell>
          <cell r="F64">
            <v>320.24492900000001</v>
          </cell>
          <cell r="G64">
            <v>362.27925499999998</v>
          </cell>
          <cell r="H64">
            <v>401</v>
          </cell>
          <cell r="I64">
            <v>415</v>
          </cell>
          <cell r="J64">
            <v>334</v>
          </cell>
          <cell r="K64">
            <v>328</v>
          </cell>
          <cell r="L64">
            <v>376</v>
          </cell>
          <cell r="M64">
            <v>76.277507</v>
          </cell>
          <cell r="N64">
            <v>76.270222000000004</v>
          </cell>
          <cell r="O64">
            <v>74</v>
          </cell>
          <cell r="P64">
            <v>77</v>
          </cell>
          <cell r="Q64">
            <v>303.547729</v>
          </cell>
          <cell r="R64">
            <v>81</v>
          </cell>
          <cell r="S64">
            <v>78</v>
          </cell>
          <cell r="T64">
            <v>65</v>
          </cell>
          <cell r="U64">
            <v>78</v>
          </cell>
          <cell r="V64">
            <v>302</v>
          </cell>
        </row>
        <row r="65">
          <cell r="A65" t="str">
            <v>Horse Racing</v>
          </cell>
          <cell r="B65">
            <v>1364.1008939999999</v>
          </cell>
          <cell r="C65">
            <v>1624.7835070000001</v>
          </cell>
          <cell r="D65">
            <v>2238.271236</v>
          </cell>
          <cell r="E65">
            <v>2777.8784609999998</v>
          </cell>
          <cell r="F65">
            <v>3904.017175</v>
          </cell>
          <cell r="G65">
            <v>3269.517163</v>
          </cell>
          <cell r="H65">
            <v>3799</v>
          </cell>
          <cell r="I65">
            <v>4130</v>
          </cell>
          <cell r="J65">
            <v>2723</v>
          </cell>
          <cell r="K65">
            <v>5207</v>
          </cell>
          <cell r="L65">
            <v>8172</v>
          </cell>
          <cell r="M65">
            <v>1289.7429569999999</v>
          </cell>
          <cell r="N65">
            <v>779.04902500000003</v>
          </cell>
          <cell r="O65">
            <v>552</v>
          </cell>
          <cell r="P65">
            <v>665</v>
          </cell>
          <cell r="Q65">
            <v>3285.7919819999997</v>
          </cell>
          <cell r="R65">
            <v>616</v>
          </cell>
          <cell r="S65">
            <v>600</v>
          </cell>
          <cell r="T65">
            <v>499</v>
          </cell>
          <cell r="U65">
            <v>538</v>
          </cell>
          <cell r="V65">
            <v>2253</v>
          </cell>
        </row>
        <row r="66">
          <cell r="A66" t="str">
            <v>Chinese Lottery</v>
          </cell>
          <cell r="B66">
            <v>22.994900000000001</v>
          </cell>
          <cell r="C66">
            <v>23.673475</v>
          </cell>
          <cell r="D66">
            <v>22.069095000000001</v>
          </cell>
          <cell r="E66">
            <v>16.574525000000001</v>
          </cell>
          <cell r="F66">
            <v>14.95759</v>
          </cell>
          <cell r="G66">
            <v>12.949125</v>
          </cell>
          <cell r="H66">
            <v>12</v>
          </cell>
          <cell r="I66">
            <v>10</v>
          </cell>
          <cell r="J66">
            <v>9</v>
          </cell>
          <cell r="K66">
            <v>8</v>
          </cell>
          <cell r="L66">
            <v>20</v>
          </cell>
          <cell r="M66">
            <v>8.6151250000000008</v>
          </cell>
          <cell r="N66">
            <v>8.0336499999999997</v>
          </cell>
          <cell r="O66">
            <v>8</v>
          </cell>
          <cell r="P66">
            <v>7</v>
          </cell>
          <cell r="Q66">
            <v>31.648775000000001</v>
          </cell>
          <cell r="R66">
            <v>8</v>
          </cell>
          <cell r="S66">
            <v>7</v>
          </cell>
          <cell r="T66">
            <v>8</v>
          </cell>
          <cell r="U66">
            <v>8</v>
          </cell>
          <cell r="V66">
            <v>31</v>
          </cell>
        </row>
        <row r="67">
          <cell r="A67" t="str">
            <v>Instant Lottery</v>
          </cell>
          <cell r="B67">
            <v>8.3965599999999991</v>
          </cell>
          <cell r="C67">
            <v>7.2491599999999998</v>
          </cell>
          <cell r="D67">
            <v>5.9154749999999998</v>
          </cell>
          <cell r="E67">
            <v>2.459225</v>
          </cell>
          <cell r="F67">
            <v>2.19042</v>
          </cell>
          <cell r="G67">
            <v>2.1422500000000002</v>
          </cell>
          <cell r="H67">
            <v>2.11</v>
          </cell>
          <cell r="I67">
            <v>2.57</v>
          </cell>
          <cell r="J67">
            <v>1.53</v>
          </cell>
          <cell r="K67">
            <v>0.11</v>
          </cell>
          <cell r="L67">
            <v>7.0000000000000007E-2</v>
          </cell>
          <cell r="M67">
            <v>9.1599999999999997E-3</v>
          </cell>
          <cell r="N67">
            <v>7.7099999999999998E-3</v>
          </cell>
          <cell r="O67">
            <v>0.01</v>
          </cell>
          <cell r="P67">
            <v>0.01</v>
          </cell>
          <cell r="Q67">
            <v>3.687E-2</v>
          </cell>
          <cell r="R67">
            <v>0.01</v>
          </cell>
          <cell r="S67">
            <v>0.02</v>
          </cell>
          <cell r="T67">
            <v>0.01</v>
          </cell>
          <cell r="U67">
            <v>0.01</v>
          </cell>
          <cell r="V67">
            <v>0.05</v>
          </cell>
        </row>
        <row r="68">
          <cell r="A68" t="str">
            <v>Sports Lottery - Football</v>
          </cell>
          <cell r="B68">
            <v>0</v>
          </cell>
          <cell r="C68">
            <v>0</v>
          </cell>
          <cell r="D68">
            <v>0</v>
          </cell>
          <cell r="E68">
            <v>0</v>
          </cell>
          <cell r="F68">
            <v>1707.12260853</v>
          </cell>
          <cell r="G68">
            <v>3487.3826166200001</v>
          </cell>
          <cell r="H68">
            <v>6523</v>
          </cell>
          <cell r="I68">
            <v>7872</v>
          </cell>
          <cell r="J68">
            <v>9670</v>
          </cell>
          <cell r="K68">
            <v>9883</v>
          </cell>
          <cell r="L68">
            <v>8593</v>
          </cell>
          <cell r="M68">
            <v>1644.4183855300003</v>
          </cell>
          <cell r="N68">
            <v>1624.3166911100002</v>
          </cell>
          <cell r="O68">
            <v>1441</v>
          </cell>
          <cell r="P68">
            <v>1654</v>
          </cell>
          <cell r="Q68">
            <v>6363.7350766400004</v>
          </cell>
          <cell r="R68">
            <v>1419</v>
          </cell>
          <cell r="S68">
            <v>1841</v>
          </cell>
          <cell r="T68">
            <v>1225</v>
          </cell>
          <cell r="U68">
            <v>1195</v>
          </cell>
          <cell r="V68">
            <v>5680</v>
          </cell>
        </row>
        <row r="69">
          <cell r="A69" t="str">
            <v>Sports Lottery - Baketball</v>
          </cell>
          <cell r="B69">
            <v>0</v>
          </cell>
          <cell r="C69">
            <v>0</v>
          </cell>
          <cell r="D69">
            <v>0</v>
          </cell>
          <cell r="E69">
            <v>0</v>
          </cell>
          <cell r="F69">
            <v>0</v>
          </cell>
          <cell r="G69">
            <v>0</v>
          </cell>
          <cell r="H69">
            <v>1.6</v>
          </cell>
          <cell r="I69">
            <v>462</v>
          </cell>
          <cell r="J69">
            <v>661</v>
          </cell>
          <cell r="K69">
            <v>589</v>
          </cell>
          <cell r="L69">
            <v>654</v>
          </cell>
          <cell r="M69">
            <v>295.19138844999998</v>
          </cell>
          <cell r="N69">
            <v>201.88244124000002</v>
          </cell>
          <cell r="O69">
            <v>61</v>
          </cell>
          <cell r="P69">
            <v>213</v>
          </cell>
          <cell r="Q69">
            <v>771.07382969000003</v>
          </cell>
          <cell r="R69">
            <v>293</v>
          </cell>
          <cell r="S69">
            <v>194</v>
          </cell>
          <cell r="T69">
            <v>90</v>
          </cell>
          <cell r="U69">
            <v>187</v>
          </cell>
          <cell r="V69">
            <v>764</v>
          </cell>
        </row>
        <row r="71">
          <cell r="A71" t="str">
            <v xml:space="preserve">Gross Revenue from Different Games of Fortune </v>
          </cell>
        </row>
        <row r="72">
          <cell r="A72" t="str">
            <v>Roulette</v>
          </cell>
          <cell r="B72">
            <v>90.769450000000006</v>
          </cell>
          <cell r="C72">
            <v>96.566919999999996</v>
          </cell>
          <cell r="D72">
            <v>61.403799999999997</v>
          </cell>
          <cell r="E72">
            <v>57.496290000000002</v>
          </cell>
          <cell r="F72">
            <v>43.511989999999997</v>
          </cell>
          <cell r="G72">
            <v>42.732990000000001</v>
          </cell>
          <cell r="H72">
            <v>41</v>
          </cell>
          <cell r="I72">
            <v>43</v>
          </cell>
          <cell r="J72">
            <v>48</v>
          </cell>
          <cell r="K72">
            <v>46</v>
          </cell>
          <cell r="L72">
            <v>124</v>
          </cell>
          <cell r="M72">
            <v>42.015459999999997</v>
          </cell>
          <cell r="N72">
            <v>41.775561000000003</v>
          </cell>
          <cell r="O72">
            <v>51</v>
          </cell>
          <cell r="P72">
            <v>46</v>
          </cell>
          <cell r="Q72">
            <v>180.791021</v>
          </cell>
          <cell r="R72">
            <v>45</v>
          </cell>
          <cell r="S72">
            <v>58</v>
          </cell>
          <cell r="T72">
            <v>59</v>
          </cell>
          <cell r="U72">
            <v>79</v>
          </cell>
          <cell r="V72">
            <v>241</v>
          </cell>
          <cell r="X72">
            <v>79</v>
          </cell>
        </row>
        <row r="73">
          <cell r="A73" t="str">
            <v>Black Jack</v>
          </cell>
          <cell r="B73">
            <v>541.56880999999998</v>
          </cell>
          <cell r="C73">
            <v>599.01314000000002</v>
          </cell>
          <cell r="D73">
            <v>597.51099999999997</v>
          </cell>
          <cell r="E73">
            <v>616.18097</v>
          </cell>
          <cell r="F73">
            <v>580.40067999999997</v>
          </cell>
          <cell r="G73">
            <v>485.77318000000002</v>
          </cell>
          <cell r="H73">
            <v>418</v>
          </cell>
          <cell r="I73">
            <v>509</v>
          </cell>
          <cell r="J73">
            <v>573</v>
          </cell>
          <cell r="K73">
            <v>620</v>
          </cell>
          <cell r="L73">
            <v>1176</v>
          </cell>
          <cell r="M73">
            <v>343.27547999999996</v>
          </cell>
          <cell r="N73">
            <v>345.90821699999998</v>
          </cell>
          <cell r="O73">
            <v>365</v>
          </cell>
          <cell r="P73">
            <v>364</v>
          </cell>
          <cell r="Q73">
            <v>1418.1836969999999</v>
          </cell>
          <cell r="R73">
            <v>407</v>
          </cell>
          <cell r="S73">
            <v>355</v>
          </cell>
          <cell r="T73">
            <v>360</v>
          </cell>
          <cell r="U73">
            <v>452</v>
          </cell>
          <cell r="V73">
            <v>1574</v>
          </cell>
          <cell r="X73">
            <v>452</v>
          </cell>
        </row>
        <row r="74">
          <cell r="A74" t="str">
            <v>VIP Baccarat</v>
          </cell>
          <cell r="B74">
            <v>9239.1136999999999</v>
          </cell>
          <cell r="C74">
            <v>10981.3902</v>
          </cell>
          <cell r="D74">
            <v>10474.283789999999</v>
          </cell>
          <cell r="E74">
            <v>12342.522059000001</v>
          </cell>
          <cell r="F74">
            <v>9246.3685659999992</v>
          </cell>
          <cell r="G74">
            <v>8603.4069400000008</v>
          </cell>
          <cell r="H74">
            <v>10790</v>
          </cell>
          <cell r="I74">
            <v>12755</v>
          </cell>
          <cell r="J74">
            <v>15864</v>
          </cell>
          <cell r="K74">
            <v>21532</v>
          </cell>
          <cell r="L74">
            <v>28916</v>
          </cell>
          <cell r="M74">
            <v>6998.2630949999993</v>
          </cell>
          <cell r="N74">
            <v>7433.2344050000002</v>
          </cell>
          <cell r="O74">
            <v>6992</v>
          </cell>
          <cell r="P74">
            <v>6600</v>
          </cell>
          <cell r="Q74">
            <v>28023.497499999998</v>
          </cell>
          <cell r="R74">
            <v>7777</v>
          </cell>
          <cell r="S74">
            <v>8097</v>
          </cell>
          <cell r="T74">
            <v>8849</v>
          </cell>
          <cell r="U74">
            <v>10988</v>
          </cell>
          <cell r="V74">
            <v>35711</v>
          </cell>
          <cell r="X74">
            <v>10659</v>
          </cell>
        </row>
        <row r="75">
          <cell r="A75" t="str">
            <v>Baccarat</v>
          </cell>
          <cell r="B75">
            <v>3020.9284699999998</v>
          </cell>
          <cell r="C75">
            <v>3163.5934200000002</v>
          </cell>
          <cell r="D75">
            <v>2744.5644000000002</v>
          </cell>
          <cell r="E75">
            <v>2582.4481500000002</v>
          </cell>
          <cell r="F75">
            <v>2612.9144900000001</v>
          </cell>
          <cell r="G75">
            <v>1976.75098</v>
          </cell>
          <cell r="H75">
            <v>2387</v>
          </cell>
          <cell r="I75">
            <v>2494</v>
          </cell>
          <cell r="J75">
            <v>2642</v>
          </cell>
          <cell r="K75">
            <v>3016</v>
          </cell>
          <cell r="L75">
            <v>5458</v>
          </cell>
          <cell r="M75">
            <v>1899.3174990000002</v>
          </cell>
          <cell r="N75">
            <v>2204.879238</v>
          </cell>
          <cell r="O75">
            <v>2596</v>
          </cell>
          <cell r="P75">
            <v>2948</v>
          </cell>
          <cell r="Q75">
            <v>9648.1967370000002</v>
          </cell>
          <cell r="R75">
            <v>2575</v>
          </cell>
          <cell r="S75">
            <v>2693</v>
          </cell>
          <cell r="T75">
            <v>2798</v>
          </cell>
          <cell r="U75">
            <v>3136</v>
          </cell>
          <cell r="V75">
            <v>11202</v>
          </cell>
          <cell r="X75">
            <v>3464</v>
          </cell>
        </row>
        <row r="76">
          <cell r="A76" t="str">
            <v>Mini Baccarat</v>
          </cell>
          <cell r="B76">
            <v>30.61</v>
          </cell>
          <cell r="C76">
            <v>40.965000000000003</v>
          </cell>
          <cell r="D76">
            <v>36.311999999999998</v>
          </cell>
          <cell r="E76">
            <v>2.5529999999999999</v>
          </cell>
          <cell r="F76">
            <v>0</v>
          </cell>
          <cell r="G76">
            <v>0</v>
          </cell>
          <cell r="H76">
            <v>0</v>
          </cell>
          <cell r="I76">
            <v>0</v>
          </cell>
          <cell r="J76">
            <v>0</v>
          </cell>
          <cell r="K76">
            <v>0</v>
          </cell>
          <cell r="L76">
            <v>353</v>
          </cell>
          <cell r="M76">
            <v>135.036146</v>
          </cell>
          <cell r="N76">
            <v>106.23892499999999</v>
          </cell>
          <cell r="O76">
            <v>132</v>
          </cell>
          <cell r="P76">
            <v>131</v>
          </cell>
          <cell r="Q76">
            <v>504.27507100000003</v>
          </cell>
          <cell r="R76">
            <v>101</v>
          </cell>
          <cell r="S76">
            <v>93</v>
          </cell>
          <cell r="T76">
            <v>70</v>
          </cell>
          <cell r="U76">
            <v>109</v>
          </cell>
          <cell r="V76">
            <v>373</v>
          </cell>
          <cell r="X76">
            <v>111</v>
          </cell>
        </row>
        <row r="77">
          <cell r="A77" t="str">
            <v>Fantan</v>
          </cell>
          <cell r="B77">
            <v>175.46276</v>
          </cell>
          <cell r="C77">
            <v>183.58168000000001</v>
          </cell>
          <cell r="D77">
            <v>158.52176</v>
          </cell>
          <cell r="E77">
            <v>111.31638</v>
          </cell>
          <cell r="F77">
            <v>127.88188</v>
          </cell>
          <cell r="G77">
            <v>72.850049999999996</v>
          </cell>
          <cell r="H77">
            <v>135</v>
          </cell>
          <cell r="I77">
            <v>142</v>
          </cell>
          <cell r="J77">
            <v>147</v>
          </cell>
          <cell r="K77">
            <v>134</v>
          </cell>
          <cell r="L77">
            <v>144</v>
          </cell>
          <cell r="M77">
            <v>31.649409999999996</v>
          </cell>
          <cell r="N77">
            <v>41.008322</v>
          </cell>
          <cell r="O77">
            <v>32</v>
          </cell>
          <cell r="P77">
            <v>36</v>
          </cell>
          <cell r="Q77">
            <v>140.65773200000001</v>
          </cell>
          <cell r="R77">
            <v>45</v>
          </cell>
          <cell r="S77">
            <v>36</v>
          </cell>
          <cell r="T77">
            <v>31</v>
          </cell>
          <cell r="U77">
            <v>30</v>
          </cell>
          <cell r="V77">
            <v>142</v>
          </cell>
          <cell r="X77">
            <v>30</v>
          </cell>
        </row>
        <row r="78">
          <cell r="A78" t="str">
            <v>Cussec</v>
          </cell>
          <cell r="B78">
            <v>1162.9651899999999</v>
          </cell>
          <cell r="C78">
            <v>1231.8126</v>
          </cell>
          <cell r="D78">
            <v>1021.88512</v>
          </cell>
          <cell r="E78">
            <v>801.6069</v>
          </cell>
          <cell r="F78">
            <v>539.37118999999996</v>
          </cell>
          <cell r="G78">
            <v>466.86399999999998</v>
          </cell>
          <cell r="H78">
            <v>550</v>
          </cell>
          <cell r="I78">
            <v>578</v>
          </cell>
          <cell r="J78">
            <v>623</v>
          </cell>
          <cell r="K78">
            <v>664</v>
          </cell>
          <cell r="L78">
            <v>1180</v>
          </cell>
          <cell r="M78">
            <v>351.92583300000001</v>
          </cell>
          <cell r="N78">
            <v>354.79086000000001</v>
          </cell>
          <cell r="O78">
            <v>377</v>
          </cell>
          <cell r="P78">
            <v>400</v>
          </cell>
          <cell r="Q78">
            <v>1483.7166930000001</v>
          </cell>
          <cell r="R78">
            <v>457</v>
          </cell>
          <cell r="S78">
            <v>428</v>
          </cell>
          <cell r="T78">
            <v>451</v>
          </cell>
          <cell r="U78">
            <v>536</v>
          </cell>
          <cell r="V78">
            <v>1872</v>
          </cell>
          <cell r="X78">
            <v>536</v>
          </cell>
        </row>
        <row r="79">
          <cell r="A79" t="str">
            <v>Paikao</v>
          </cell>
          <cell r="B79">
            <v>418.05205000000001</v>
          </cell>
          <cell r="C79">
            <v>429.5256</v>
          </cell>
          <cell r="D79">
            <v>388.85861999999997</v>
          </cell>
          <cell r="E79">
            <v>284.50403</v>
          </cell>
          <cell r="F79">
            <v>242.435</v>
          </cell>
          <cell r="G79">
            <v>184.29990000000001</v>
          </cell>
          <cell r="H79">
            <v>204</v>
          </cell>
          <cell r="I79">
            <v>189</v>
          </cell>
          <cell r="J79">
            <v>160</v>
          </cell>
          <cell r="K79">
            <v>145</v>
          </cell>
          <cell r="L79">
            <v>132</v>
          </cell>
          <cell r="M79">
            <v>28.23732</v>
          </cell>
          <cell r="N79">
            <v>24.637160000000002</v>
          </cell>
          <cell r="O79">
            <v>19</v>
          </cell>
          <cell r="P79">
            <v>21</v>
          </cell>
          <cell r="Q79">
            <v>92.874480000000005</v>
          </cell>
          <cell r="R79">
            <v>22</v>
          </cell>
          <cell r="S79">
            <v>18</v>
          </cell>
          <cell r="T79">
            <v>18</v>
          </cell>
          <cell r="U79">
            <v>16</v>
          </cell>
          <cell r="V79">
            <v>74</v>
          </cell>
          <cell r="X79">
            <v>16</v>
          </cell>
        </row>
        <row r="80">
          <cell r="A80" t="str">
            <v>Boule</v>
          </cell>
          <cell r="B80">
            <v>44.889000000000003</v>
          </cell>
          <cell r="C80">
            <v>42.902999999999999</v>
          </cell>
          <cell r="D80">
            <v>35.441000000000003</v>
          </cell>
          <cell r="E80">
            <v>28.248999999999999</v>
          </cell>
          <cell r="F80">
            <v>12.46824</v>
          </cell>
          <cell r="G80">
            <v>7.5485300000000004</v>
          </cell>
          <cell r="H80">
            <v>3</v>
          </cell>
          <cell r="I80">
            <v>3</v>
          </cell>
          <cell r="J80">
            <v>4</v>
          </cell>
          <cell r="K80">
            <v>4</v>
          </cell>
          <cell r="L80">
            <v>5</v>
          </cell>
          <cell r="M80">
            <v>0.12589</v>
          </cell>
          <cell r="N80">
            <v>0.11267000000000001</v>
          </cell>
          <cell r="O80">
            <v>0</v>
          </cell>
          <cell r="P80">
            <v>0</v>
          </cell>
          <cell r="Q80">
            <v>0.23855999999999999</v>
          </cell>
          <cell r="R80">
            <v>0</v>
          </cell>
          <cell r="S80">
            <v>0</v>
          </cell>
          <cell r="T80">
            <v>0</v>
          </cell>
          <cell r="U80">
            <v>0</v>
          </cell>
          <cell r="V80">
            <v>0</v>
          </cell>
          <cell r="X80">
            <v>0</v>
          </cell>
        </row>
        <row r="81">
          <cell r="A81" t="str">
            <v>Mahjong</v>
          </cell>
          <cell r="B81">
            <v>11.50094</v>
          </cell>
          <cell r="C81">
            <v>11.77711</v>
          </cell>
          <cell r="D81">
            <v>11.028029999999999</v>
          </cell>
          <cell r="E81">
            <v>10.085559999999999</v>
          </cell>
          <cell r="F81">
            <v>8.8136399999999995</v>
          </cell>
          <cell r="G81">
            <v>8.2141599999999997</v>
          </cell>
          <cell r="H81">
            <v>7</v>
          </cell>
          <cell r="I81">
            <v>2</v>
          </cell>
          <cell r="J81">
            <v>0</v>
          </cell>
          <cell r="K81">
            <v>0</v>
          </cell>
          <cell r="L81">
            <v>0</v>
          </cell>
          <cell r="M81">
            <v>0</v>
          </cell>
          <cell r="N81">
            <v>0</v>
          </cell>
          <cell r="O81">
            <v>0</v>
          </cell>
          <cell r="P81">
            <v>0</v>
          </cell>
          <cell r="Q81">
            <v>0</v>
          </cell>
          <cell r="R81">
            <v>0</v>
          </cell>
          <cell r="S81">
            <v>0</v>
          </cell>
          <cell r="T81">
            <v>0</v>
          </cell>
          <cell r="U81">
            <v>0</v>
          </cell>
          <cell r="V81">
            <v>0</v>
          </cell>
          <cell r="X81">
            <v>0</v>
          </cell>
        </row>
        <row r="82">
          <cell r="A82" t="str">
            <v>Slot Machines</v>
          </cell>
          <cell r="B82">
            <v>292.82445200000001</v>
          </cell>
          <cell r="C82">
            <v>332.74785100000003</v>
          </cell>
          <cell r="D82">
            <v>295.19192099999998</v>
          </cell>
          <cell r="E82">
            <v>242.795143</v>
          </cell>
          <cell r="F82">
            <v>216.145647</v>
          </cell>
          <cell r="G82">
            <v>173.18694099999999</v>
          </cell>
          <cell r="H82">
            <v>217</v>
          </cell>
          <cell r="I82">
            <v>220</v>
          </cell>
          <cell r="J82">
            <v>225</v>
          </cell>
          <cell r="K82">
            <v>230</v>
          </cell>
          <cell r="L82">
            <v>622</v>
          </cell>
          <cell r="M82">
            <v>243.84791546000005</v>
          </cell>
          <cell r="N82">
            <v>295.16821077000003</v>
          </cell>
          <cell r="O82">
            <v>326</v>
          </cell>
          <cell r="P82">
            <v>349</v>
          </cell>
          <cell r="Q82">
            <v>1214.0161262300001</v>
          </cell>
          <cell r="R82">
            <v>425</v>
          </cell>
          <cell r="S82">
            <v>444</v>
          </cell>
          <cell r="T82">
            <v>519</v>
          </cell>
          <cell r="U82">
            <v>608</v>
          </cell>
          <cell r="V82">
            <v>1996</v>
          </cell>
          <cell r="X82">
            <v>608</v>
          </cell>
        </row>
        <row r="83">
          <cell r="A83" t="str">
            <v>Mahjong Paikao</v>
          </cell>
          <cell r="B83">
            <v>313.20218999999997</v>
          </cell>
          <cell r="C83">
            <v>299.0376</v>
          </cell>
          <cell r="D83">
            <v>231.39268999999999</v>
          </cell>
          <cell r="E83">
            <v>122.54004</v>
          </cell>
          <cell r="F83">
            <v>83.96602</v>
          </cell>
          <cell r="G83">
            <v>75.593010000000007</v>
          </cell>
          <cell r="H83">
            <v>80</v>
          </cell>
          <cell r="I83">
            <v>73</v>
          </cell>
          <cell r="J83">
            <v>62</v>
          </cell>
          <cell r="K83">
            <v>53</v>
          </cell>
          <cell r="L83">
            <v>34</v>
          </cell>
          <cell r="M83">
            <v>1.85605</v>
          </cell>
          <cell r="N83">
            <v>1.70651</v>
          </cell>
          <cell r="O83">
            <v>1</v>
          </cell>
          <cell r="P83">
            <v>1</v>
          </cell>
          <cell r="Q83">
            <v>5.5625599999999995</v>
          </cell>
          <cell r="R83">
            <v>1</v>
          </cell>
          <cell r="S83">
            <v>1</v>
          </cell>
          <cell r="T83">
            <v>1</v>
          </cell>
          <cell r="U83">
            <v>0</v>
          </cell>
          <cell r="V83">
            <v>3</v>
          </cell>
          <cell r="X83">
            <v>0</v>
          </cell>
        </row>
        <row r="84">
          <cell r="A84" t="str">
            <v>Super Pan 9</v>
          </cell>
          <cell r="B84">
            <v>18.787759999999999</v>
          </cell>
          <cell r="C84">
            <v>18.844909999999999</v>
          </cell>
          <cell r="D84">
            <v>12.31</v>
          </cell>
          <cell r="E84">
            <v>7.6135000000000002</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X84">
            <v>0</v>
          </cell>
        </row>
        <row r="85">
          <cell r="A85" t="str">
            <v>Paikao II</v>
          </cell>
          <cell r="B85">
            <v>49.632300000000001</v>
          </cell>
          <cell r="C85">
            <v>44.689900000000002</v>
          </cell>
          <cell r="D85">
            <v>30.6965</v>
          </cell>
          <cell r="E85">
            <v>2.0091000000000001</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X85">
            <v>0</v>
          </cell>
        </row>
        <row r="86">
          <cell r="A86" t="str">
            <v>3-Card Poker</v>
          </cell>
          <cell r="B86">
            <v>0</v>
          </cell>
          <cell r="C86">
            <v>0</v>
          </cell>
          <cell r="D86">
            <v>104.59577</v>
          </cell>
          <cell r="E86">
            <v>177.94281000000001</v>
          </cell>
          <cell r="F86">
            <v>188.59272000000001</v>
          </cell>
          <cell r="G86">
            <v>176.21997999999999</v>
          </cell>
          <cell r="H86">
            <v>182</v>
          </cell>
          <cell r="I86">
            <v>187</v>
          </cell>
          <cell r="J86">
            <v>179</v>
          </cell>
          <cell r="K86">
            <v>179</v>
          </cell>
          <cell r="L86">
            <v>194</v>
          </cell>
          <cell r="M86">
            <v>46.857120000000002</v>
          </cell>
          <cell r="N86">
            <v>42.012740000000001</v>
          </cell>
          <cell r="O86">
            <v>40</v>
          </cell>
          <cell r="P86">
            <v>38</v>
          </cell>
          <cell r="Q86">
            <v>166.86986000000002</v>
          </cell>
          <cell r="R86">
            <v>37</v>
          </cell>
          <cell r="S86">
            <v>29</v>
          </cell>
          <cell r="T86">
            <v>28</v>
          </cell>
          <cell r="U86">
            <v>31</v>
          </cell>
          <cell r="V86">
            <v>125</v>
          </cell>
          <cell r="X86">
            <v>31</v>
          </cell>
        </row>
        <row r="87">
          <cell r="A87" t="str">
            <v>Fish-Prawn-Crab</v>
          </cell>
          <cell r="B87">
            <v>0</v>
          </cell>
          <cell r="C87">
            <v>0</v>
          </cell>
          <cell r="D87">
            <v>149.16498000000001</v>
          </cell>
          <cell r="E87">
            <v>282.16962000000001</v>
          </cell>
          <cell r="F87">
            <v>504.71276999999998</v>
          </cell>
          <cell r="G87">
            <v>629.00999000000002</v>
          </cell>
          <cell r="H87">
            <v>724</v>
          </cell>
          <cell r="I87">
            <v>775</v>
          </cell>
          <cell r="J87">
            <v>876</v>
          </cell>
          <cell r="K87">
            <v>1044</v>
          </cell>
          <cell r="L87">
            <v>1261</v>
          </cell>
          <cell r="M87">
            <v>268.28909499999997</v>
          </cell>
          <cell r="N87">
            <v>249.79626999999999</v>
          </cell>
          <cell r="O87">
            <v>255</v>
          </cell>
          <cell r="P87">
            <v>253</v>
          </cell>
          <cell r="Q87">
            <v>1026.0853649999999</v>
          </cell>
          <cell r="R87">
            <v>246</v>
          </cell>
          <cell r="S87">
            <v>200</v>
          </cell>
          <cell r="T87">
            <v>183</v>
          </cell>
          <cell r="U87">
            <v>224</v>
          </cell>
          <cell r="V87">
            <v>853</v>
          </cell>
          <cell r="X87">
            <v>224</v>
          </cell>
        </row>
        <row r="88">
          <cell r="A88" t="str">
            <v>Mahjong Baccarat</v>
          </cell>
          <cell r="B88">
            <v>0</v>
          </cell>
          <cell r="C88">
            <v>0</v>
          </cell>
          <cell r="D88">
            <v>15.99089</v>
          </cell>
          <cell r="E88">
            <v>13.477180000000001</v>
          </cell>
          <cell r="F88">
            <v>25.643660000000001</v>
          </cell>
          <cell r="G88">
            <v>8.5906400000000005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X88">
            <v>0</v>
          </cell>
        </row>
        <row r="89">
          <cell r="A89" t="str">
            <v>3-Card Baccarat</v>
          </cell>
          <cell r="B89">
            <v>0</v>
          </cell>
          <cell r="C89">
            <v>0</v>
          </cell>
          <cell r="D89">
            <v>38.990720000000003</v>
          </cell>
          <cell r="E89">
            <v>95.209620000000001</v>
          </cell>
          <cell r="F89">
            <v>130.62496999999999</v>
          </cell>
          <cell r="G89">
            <v>116.48183</v>
          </cell>
          <cell r="H89">
            <v>130</v>
          </cell>
          <cell r="I89">
            <v>126</v>
          </cell>
          <cell r="J89">
            <v>133</v>
          </cell>
          <cell r="K89">
            <v>149</v>
          </cell>
          <cell r="L89">
            <v>218</v>
          </cell>
          <cell r="M89">
            <v>60.483826999999998</v>
          </cell>
          <cell r="N89">
            <v>60.356791999999999</v>
          </cell>
          <cell r="O89">
            <v>67</v>
          </cell>
          <cell r="P89">
            <v>61</v>
          </cell>
          <cell r="Q89">
            <v>248.840619</v>
          </cell>
          <cell r="R89">
            <v>73</v>
          </cell>
          <cell r="S89">
            <v>63</v>
          </cell>
          <cell r="T89">
            <v>53</v>
          </cell>
          <cell r="U89">
            <v>51</v>
          </cell>
          <cell r="V89">
            <v>240</v>
          </cell>
          <cell r="X89">
            <v>51</v>
          </cell>
        </row>
        <row r="90">
          <cell r="A90" t="str">
            <v>Pachinko</v>
          </cell>
          <cell r="B90">
            <v>0</v>
          </cell>
          <cell r="C90">
            <v>0</v>
          </cell>
          <cell r="D90">
            <v>0</v>
          </cell>
          <cell r="E90">
            <v>0</v>
          </cell>
          <cell r="F90">
            <v>-0.68845199999999995</v>
          </cell>
          <cell r="G90">
            <v>7.8533600000000003</v>
          </cell>
          <cell r="H90">
            <v>8</v>
          </cell>
          <cell r="I90">
            <v>10</v>
          </cell>
          <cell r="J90">
            <v>9</v>
          </cell>
          <cell r="K90">
            <v>8</v>
          </cell>
          <cell r="L90">
            <v>8</v>
          </cell>
          <cell r="M90">
            <v>1.882134</v>
          </cell>
          <cell r="N90">
            <v>0</v>
          </cell>
          <cell r="O90">
            <v>0</v>
          </cell>
          <cell r="P90">
            <v>0</v>
          </cell>
          <cell r="Q90">
            <v>1.882134</v>
          </cell>
          <cell r="R90">
            <v>0</v>
          </cell>
          <cell r="S90">
            <v>0</v>
          </cell>
          <cell r="T90">
            <v>0</v>
          </cell>
          <cell r="U90">
            <v>0</v>
          </cell>
          <cell r="V90">
            <v>0</v>
          </cell>
          <cell r="X90">
            <v>0</v>
          </cell>
        </row>
        <row r="91">
          <cell r="A91" t="str">
            <v>Tombola</v>
          </cell>
          <cell r="B91">
            <v>3.3710010000000001</v>
          </cell>
          <cell r="C91">
            <v>3.484337</v>
          </cell>
          <cell r="D91">
            <v>3.484</v>
          </cell>
          <cell r="E91">
            <v>3.42</v>
          </cell>
          <cell r="F91">
            <v>2.4239999999999999</v>
          </cell>
          <cell r="G91">
            <v>1.9279999999999999</v>
          </cell>
          <cell r="H91">
            <v>2</v>
          </cell>
          <cell r="I91">
            <v>2</v>
          </cell>
          <cell r="J91">
            <v>2</v>
          </cell>
          <cell r="K91">
            <v>2</v>
          </cell>
          <cell r="L91">
            <v>1</v>
          </cell>
          <cell r="M91">
            <v>0.2731905</v>
          </cell>
          <cell r="N91">
            <v>0</v>
          </cell>
          <cell r="O91">
            <v>0.4</v>
          </cell>
          <cell r="P91">
            <v>0.5</v>
          </cell>
          <cell r="Q91">
            <v>1.1731905</v>
          </cell>
          <cell r="R91">
            <v>0.5</v>
          </cell>
          <cell r="S91">
            <v>0.5</v>
          </cell>
          <cell r="T91">
            <v>0.5</v>
          </cell>
          <cell r="U91">
            <v>0.6</v>
          </cell>
          <cell r="V91">
            <v>2.1</v>
          </cell>
          <cell r="X91">
            <v>0.6</v>
          </cell>
        </row>
        <row r="92">
          <cell r="A92" t="str">
            <v>Lucky Wheel</v>
          </cell>
          <cell r="B92">
            <v>0</v>
          </cell>
          <cell r="C92">
            <v>0</v>
          </cell>
          <cell r="D92">
            <v>0</v>
          </cell>
          <cell r="E92">
            <v>0</v>
          </cell>
          <cell r="F92">
            <v>0</v>
          </cell>
          <cell r="G92">
            <v>0</v>
          </cell>
          <cell r="H92">
            <v>0</v>
          </cell>
          <cell r="I92">
            <v>0</v>
          </cell>
          <cell r="J92">
            <v>0</v>
          </cell>
          <cell r="K92">
            <v>7</v>
          </cell>
          <cell r="L92">
            <v>31</v>
          </cell>
          <cell r="M92">
            <v>9.2730149999999991</v>
          </cell>
          <cell r="N92">
            <v>10.028420000000001</v>
          </cell>
          <cell r="O92">
            <v>10</v>
          </cell>
          <cell r="P92">
            <v>8</v>
          </cell>
          <cell r="Q92">
            <v>37.301434999999998</v>
          </cell>
          <cell r="R92">
            <v>9</v>
          </cell>
          <cell r="S92">
            <v>6</v>
          </cell>
          <cell r="T92">
            <v>5</v>
          </cell>
          <cell r="U92">
            <v>6</v>
          </cell>
          <cell r="V92">
            <v>26</v>
          </cell>
          <cell r="X92">
            <v>6</v>
          </cell>
        </row>
        <row r="93">
          <cell r="A93" t="str">
            <v>Football Poker</v>
          </cell>
          <cell r="B93">
            <v>0</v>
          </cell>
          <cell r="C93">
            <v>0</v>
          </cell>
          <cell r="D93">
            <v>0</v>
          </cell>
          <cell r="E93">
            <v>0</v>
          </cell>
          <cell r="F93">
            <v>0</v>
          </cell>
          <cell r="G93">
            <v>0</v>
          </cell>
          <cell r="H93">
            <v>0</v>
          </cell>
          <cell r="I93">
            <v>0</v>
          </cell>
          <cell r="J93">
            <v>0</v>
          </cell>
          <cell r="K93">
            <v>4</v>
          </cell>
          <cell r="L93">
            <v>2</v>
          </cell>
          <cell r="M93">
            <v>0</v>
          </cell>
          <cell r="N93">
            <v>0</v>
          </cell>
          <cell r="O93">
            <v>0</v>
          </cell>
          <cell r="P93">
            <v>0</v>
          </cell>
          <cell r="Q93">
            <v>0</v>
          </cell>
          <cell r="R93">
            <v>0</v>
          </cell>
          <cell r="S93">
            <v>0</v>
          </cell>
          <cell r="T93">
            <v>0</v>
          </cell>
          <cell r="U93">
            <v>0</v>
          </cell>
          <cell r="V93">
            <v>0</v>
          </cell>
          <cell r="X93">
            <v>0</v>
          </cell>
        </row>
        <row r="94">
          <cell r="A94" t="str">
            <v>Stud Poker</v>
          </cell>
          <cell r="B94">
            <v>0</v>
          </cell>
          <cell r="C94">
            <v>0</v>
          </cell>
          <cell r="D94">
            <v>0</v>
          </cell>
          <cell r="E94">
            <v>0</v>
          </cell>
          <cell r="F94">
            <v>0</v>
          </cell>
          <cell r="G94">
            <v>0</v>
          </cell>
          <cell r="H94">
            <v>0</v>
          </cell>
          <cell r="I94">
            <v>0</v>
          </cell>
          <cell r="J94">
            <v>0</v>
          </cell>
          <cell r="K94">
            <v>15</v>
          </cell>
          <cell r="L94">
            <v>327</v>
          </cell>
          <cell r="M94">
            <v>133.351136</v>
          </cell>
          <cell r="N94">
            <v>122.72178</v>
          </cell>
          <cell r="O94">
            <v>127</v>
          </cell>
          <cell r="P94">
            <v>124</v>
          </cell>
          <cell r="Q94">
            <v>507.07291599999996</v>
          </cell>
          <cell r="R94">
            <v>124</v>
          </cell>
          <cell r="S94">
            <v>132</v>
          </cell>
          <cell r="T94">
            <v>119</v>
          </cell>
          <cell r="U94">
            <v>164</v>
          </cell>
          <cell r="V94">
            <v>539</v>
          </cell>
          <cell r="X94">
            <v>164</v>
          </cell>
        </row>
        <row r="95">
          <cell r="A95" t="str">
            <v>Q Poker</v>
          </cell>
          <cell r="B95">
            <v>0</v>
          </cell>
          <cell r="C95">
            <v>0</v>
          </cell>
          <cell r="D95">
            <v>0</v>
          </cell>
          <cell r="E95">
            <v>0</v>
          </cell>
          <cell r="F95">
            <v>0</v>
          </cell>
          <cell r="G95">
            <v>0</v>
          </cell>
          <cell r="H95">
            <v>0</v>
          </cell>
          <cell r="I95">
            <v>0</v>
          </cell>
          <cell r="J95">
            <v>0</v>
          </cell>
          <cell r="K95">
            <v>0</v>
          </cell>
          <cell r="L95">
            <v>0</v>
          </cell>
          <cell r="M95">
            <v>4.0804</v>
          </cell>
          <cell r="N95">
            <v>6.0518799999999997</v>
          </cell>
          <cell r="O95">
            <v>7</v>
          </cell>
          <cell r="P95">
            <v>7</v>
          </cell>
          <cell r="Q95">
            <v>24.132280000000002</v>
          </cell>
          <cell r="R95">
            <v>7</v>
          </cell>
          <cell r="S95">
            <v>7</v>
          </cell>
          <cell r="T95">
            <v>4</v>
          </cell>
          <cell r="U95">
            <v>5</v>
          </cell>
          <cell r="V95">
            <v>23</v>
          </cell>
          <cell r="X95">
            <v>5</v>
          </cell>
        </row>
        <row r="96">
          <cell r="A96" t="str">
            <v>Casino War</v>
          </cell>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0.1</v>
          </cell>
          <cell r="V96">
            <v>0.1</v>
          </cell>
          <cell r="X96">
            <v>0.1</v>
          </cell>
        </row>
        <row r="97">
          <cell r="B97" t="str">
            <v>______</v>
          </cell>
          <cell r="C97" t="str">
            <v>______</v>
          </cell>
          <cell r="D97" t="str">
            <v>______</v>
          </cell>
          <cell r="E97" t="str">
            <v>______</v>
          </cell>
          <cell r="F97" t="str">
            <v>______</v>
          </cell>
          <cell r="G97" t="str">
            <v>______</v>
          </cell>
          <cell r="H97" t="str">
            <v>______</v>
          </cell>
          <cell r="I97" t="str">
            <v>______</v>
          </cell>
          <cell r="J97" t="str">
            <v>______</v>
          </cell>
          <cell r="K97" t="str">
            <v>______</v>
          </cell>
          <cell r="L97" t="str">
            <v>______</v>
          </cell>
          <cell r="M97" t="str">
            <v>______</v>
          </cell>
          <cell r="N97" t="str">
            <v>______</v>
          </cell>
          <cell r="O97" t="str">
            <v>______</v>
          </cell>
          <cell r="P97" t="str">
            <v>______</v>
          </cell>
          <cell r="Q97" t="str">
            <v>______</v>
          </cell>
          <cell r="R97" t="str">
            <v>______</v>
          </cell>
          <cell r="S97" t="str">
            <v>______</v>
          </cell>
          <cell r="T97" t="str">
            <v>______</v>
          </cell>
          <cell r="U97" t="str">
            <v>______</v>
          </cell>
          <cell r="V97" t="str">
            <v>______</v>
          </cell>
          <cell r="X97" t="str">
            <v>______</v>
          </cell>
        </row>
        <row r="98">
          <cell r="A98" t="str">
            <v>Total</v>
          </cell>
          <cell r="B98">
            <v>15413.678073000001</v>
          </cell>
          <cell r="C98">
            <v>17479.933267999997</v>
          </cell>
          <cell r="D98">
            <v>16411.626990999997</v>
          </cell>
          <cell r="E98">
            <v>17784.139352000002</v>
          </cell>
          <cell r="F98">
            <v>14565.587011</v>
          </cell>
          <cell r="G98">
            <v>13037.304481000001</v>
          </cell>
          <cell r="H98">
            <v>15878</v>
          </cell>
          <cell r="I98">
            <v>18108</v>
          </cell>
          <cell r="J98">
            <v>21547</v>
          </cell>
          <cell r="K98">
            <v>27852</v>
          </cell>
          <cell r="L98">
            <v>40186</v>
          </cell>
          <cell r="M98">
            <v>10600.040015960001</v>
          </cell>
          <cell r="N98">
            <v>11340.427960770001</v>
          </cell>
          <cell r="O98">
            <v>11397.4</v>
          </cell>
          <cell r="P98">
            <v>11387.5</v>
          </cell>
          <cell r="Q98">
            <v>44725.367976729991</v>
          </cell>
          <cell r="R98">
            <v>12351.5</v>
          </cell>
          <cell r="S98">
            <v>12660.5</v>
          </cell>
          <cell r="T98">
            <v>13548.5</v>
          </cell>
          <cell r="U98">
            <v>16435.699999999997</v>
          </cell>
          <cell r="V98">
            <v>54996.2</v>
          </cell>
          <cell r="X98">
            <v>16436.7</v>
          </cell>
        </row>
        <row r="100">
          <cell r="A100" t="str">
            <v>Gaming Tables</v>
          </cell>
          <cell r="J100">
            <v>339</v>
          </cell>
          <cell r="K100">
            <v>424</v>
          </cell>
          <cell r="L100">
            <v>1092</v>
          </cell>
          <cell r="M100">
            <v>1226</v>
          </cell>
          <cell r="N100">
            <v>1245</v>
          </cell>
          <cell r="O100">
            <v>1296</v>
          </cell>
          <cell r="P100">
            <v>1388</v>
          </cell>
          <cell r="Q100">
            <v>1388</v>
          </cell>
          <cell r="R100">
            <v>1648</v>
          </cell>
          <cell r="S100">
            <v>1925</v>
          </cell>
          <cell r="T100">
            <v>2440</v>
          </cell>
          <cell r="U100">
            <v>2762</v>
          </cell>
          <cell r="V100">
            <v>2762</v>
          </cell>
        </row>
        <row r="101">
          <cell r="A101" t="str">
            <v xml:space="preserve">  Mass Market</v>
          </cell>
          <cell r="K101">
            <v>258</v>
          </cell>
          <cell r="L101">
            <v>826</v>
          </cell>
          <cell r="M101">
            <v>940</v>
          </cell>
          <cell r="N101">
            <v>959</v>
          </cell>
          <cell r="O101">
            <v>1006</v>
          </cell>
          <cell r="P101">
            <v>1089</v>
          </cell>
          <cell r="Q101">
            <v>1089</v>
          </cell>
          <cell r="R101">
            <v>1285</v>
          </cell>
          <cell r="S101">
            <v>1497</v>
          </cell>
          <cell r="V101">
            <v>0</v>
          </cell>
        </row>
        <row r="102">
          <cell r="A102" t="str">
            <v xml:space="preserve">  VIP</v>
          </cell>
          <cell r="K102">
            <v>166</v>
          </cell>
          <cell r="L102">
            <v>266</v>
          </cell>
          <cell r="M102">
            <v>286</v>
          </cell>
          <cell r="N102">
            <v>286</v>
          </cell>
          <cell r="O102">
            <v>290</v>
          </cell>
          <cell r="P102">
            <v>299</v>
          </cell>
          <cell r="Q102">
            <v>299</v>
          </cell>
          <cell r="R102">
            <v>363</v>
          </cell>
          <cell r="S102">
            <v>428</v>
          </cell>
          <cell r="V102">
            <v>0</v>
          </cell>
        </row>
        <row r="103">
          <cell r="A103" t="str">
            <v>Slot Machines</v>
          </cell>
          <cell r="J103">
            <v>808</v>
          </cell>
          <cell r="K103">
            <v>814</v>
          </cell>
          <cell r="L103">
            <v>2254</v>
          </cell>
          <cell r="M103">
            <v>2777</v>
          </cell>
          <cell r="N103">
            <v>2772</v>
          </cell>
          <cell r="O103">
            <v>3082</v>
          </cell>
          <cell r="P103">
            <v>3421</v>
          </cell>
          <cell r="Q103">
            <v>3421</v>
          </cell>
          <cell r="R103">
            <v>4223</v>
          </cell>
          <cell r="S103">
            <v>4533</v>
          </cell>
          <cell r="T103">
            <v>5165</v>
          </cell>
          <cell r="U103">
            <v>5165</v>
          </cell>
          <cell r="V103">
            <v>5165</v>
          </cell>
        </row>
        <row r="104">
          <cell r="A104" t="str">
            <v>Pachinkos</v>
          </cell>
          <cell r="J104">
            <v>188</v>
          </cell>
          <cell r="K104">
            <v>188</v>
          </cell>
          <cell r="L104">
            <v>188</v>
          </cell>
        </row>
        <row r="106">
          <cell r="A106" t="str">
            <v>Total Casinos</v>
          </cell>
          <cell r="J106">
            <v>11</v>
          </cell>
          <cell r="K106">
            <v>11</v>
          </cell>
          <cell r="L106">
            <v>15</v>
          </cell>
          <cell r="M106">
            <v>17</v>
          </cell>
          <cell r="N106">
            <v>17</v>
          </cell>
          <cell r="O106">
            <v>16</v>
          </cell>
          <cell r="P106">
            <v>17</v>
          </cell>
          <cell r="Q106">
            <v>17</v>
          </cell>
          <cell r="R106">
            <v>19</v>
          </cell>
          <cell r="S106">
            <v>21</v>
          </cell>
          <cell r="T106">
            <v>22</v>
          </cell>
          <cell r="U106">
            <v>24</v>
          </cell>
          <cell r="V106">
            <v>24</v>
          </cell>
        </row>
        <row r="108">
          <cell r="A108" t="str">
            <v>Sources:</v>
          </cell>
        </row>
        <row r="109">
          <cell r="A109" t="str">
            <v>All</v>
          </cell>
          <cell r="B109" t="str">
            <v>DICJ</v>
          </cell>
        </row>
        <row r="110">
          <cell r="A110" t="str">
            <v>Mass market tables</v>
          </cell>
          <cell r="B110" t="str">
            <v>LVS</v>
          </cell>
        </row>
      </sheetData>
      <sheetData sheetId="18" refreshError="1"/>
      <sheetData sheetId="19" refreshError="1">
        <row r="1">
          <cell r="A1" t="str">
            <v>Province</v>
          </cell>
          <cell r="B1" t="str">
            <v>City</v>
          </cell>
          <cell r="C1" t="str">
            <v>Pop.</v>
          </cell>
          <cell r="D1" t="str">
            <v>Date</v>
          </cell>
        </row>
        <row r="2">
          <cell r="A2" t="str">
            <v>Municipalities</v>
          </cell>
          <cell r="B2" t="str">
            <v>Beijing</v>
          </cell>
          <cell r="C2">
            <v>13820000</v>
          </cell>
          <cell r="D2">
            <v>37865</v>
          </cell>
        </row>
        <row r="3">
          <cell r="A3" t="str">
            <v>Municipalities</v>
          </cell>
          <cell r="B3" t="str">
            <v>Shanghai</v>
          </cell>
          <cell r="C3">
            <v>17110000</v>
          </cell>
          <cell r="D3">
            <v>37865</v>
          </cell>
          <cell r="H3" t="str">
            <v>Date</v>
          </cell>
        </row>
        <row r="4">
          <cell r="A4" t="str">
            <v>Municipalities</v>
          </cell>
          <cell r="B4" t="str">
            <v>Tianjin</v>
          </cell>
          <cell r="C4">
            <v>10113000</v>
          </cell>
          <cell r="D4">
            <v>38412</v>
          </cell>
          <cell r="F4" t="str">
            <v>Province</v>
          </cell>
          <cell r="G4" t="str">
            <v>Category</v>
          </cell>
          <cell r="H4">
            <v>37803</v>
          </cell>
          <cell r="I4">
            <v>37865</v>
          </cell>
          <cell r="J4">
            <v>38108</v>
          </cell>
          <cell r="K4">
            <v>38169</v>
          </cell>
          <cell r="L4">
            <v>38412</v>
          </cell>
          <cell r="M4">
            <v>38657</v>
          </cell>
          <cell r="N4">
            <v>38838</v>
          </cell>
          <cell r="O4">
            <v>39089</v>
          </cell>
          <cell r="P4" t="str">
            <v>Total</v>
          </cell>
        </row>
        <row r="5">
          <cell r="A5" t="str">
            <v>Municipalities</v>
          </cell>
          <cell r="B5" t="str">
            <v>Chongging</v>
          </cell>
          <cell r="C5">
            <v>31300000</v>
          </cell>
          <cell r="D5">
            <v>38412</v>
          </cell>
          <cell r="F5" t="str">
            <v>Guangdong</v>
          </cell>
          <cell r="G5" t="str">
            <v>Population</v>
          </cell>
          <cell r="H5">
            <v>10170000</v>
          </cell>
          <cell r="I5">
            <v>12890000</v>
          </cell>
          <cell r="J5">
            <v>53910000</v>
          </cell>
          <cell r="P5">
            <v>76970000</v>
          </cell>
        </row>
        <row r="6">
          <cell r="A6" t="str">
            <v>Guangdong</v>
          </cell>
          <cell r="B6" t="str">
            <v>Zhongshan</v>
          </cell>
          <cell r="C6">
            <v>1380000</v>
          </cell>
          <cell r="D6">
            <v>37803</v>
          </cell>
          <cell r="G6" t="str">
            <v># of Cities</v>
          </cell>
          <cell r="H6">
            <v>4</v>
          </cell>
          <cell r="I6">
            <v>4</v>
          </cell>
          <cell r="J6">
            <v>13</v>
          </cell>
          <cell r="P6">
            <v>21</v>
          </cell>
        </row>
        <row r="7">
          <cell r="A7" t="str">
            <v>Guangdong</v>
          </cell>
          <cell r="B7" t="str">
            <v>Dongguan</v>
          </cell>
          <cell r="C7">
            <v>1590000</v>
          </cell>
          <cell r="D7">
            <v>37803</v>
          </cell>
          <cell r="F7" t="str">
            <v>Jiangsu</v>
          </cell>
          <cell r="G7" t="str">
            <v>Population</v>
          </cell>
          <cell r="K7">
            <v>16549700</v>
          </cell>
          <cell r="P7">
            <v>16549700</v>
          </cell>
        </row>
        <row r="8">
          <cell r="A8" t="str">
            <v>Guangdong</v>
          </cell>
          <cell r="B8" t="str">
            <v>Jiangmen</v>
          </cell>
          <cell r="C8">
            <v>3810000</v>
          </cell>
          <cell r="D8">
            <v>37803</v>
          </cell>
          <cell r="G8" t="str">
            <v># of Cities</v>
          </cell>
          <cell r="K8">
            <v>3</v>
          </cell>
          <cell r="P8">
            <v>3</v>
          </cell>
        </row>
        <row r="9">
          <cell r="A9" t="str">
            <v>Guangdong</v>
          </cell>
          <cell r="B9" t="str">
            <v>Foshan</v>
          </cell>
          <cell r="C9">
            <v>3390000</v>
          </cell>
          <cell r="D9">
            <v>37803</v>
          </cell>
          <cell r="F9" t="str">
            <v>Zhejiang</v>
          </cell>
          <cell r="G9" t="str">
            <v>Population</v>
          </cell>
          <cell r="K9">
            <v>17330000</v>
          </cell>
          <cell r="P9">
            <v>17330000</v>
          </cell>
        </row>
        <row r="10">
          <cell r="A10" t="str">
            <v>Guangdong</v>
          </cell>
          <cell r="B10" t="str">
            <v>Guangzhou</v>
          </cell>
          <cell r="C10">
            <v>7250000</v>
          </cell>
          <cell r="D10">
            <v>37865</v>
          </cell>
          <cell r="G10" t="str">
            <v># of Cities</v>
          </cell>
          <cell r="K10">
            <v>3</v>
          </cell>
          <cell r="P10">
            <v>3</v>
          </cell>
        </row>
        <row r="11">
          <cell r="A11" t="str">
            <v>Guangdong</v>
          </cell>
          <cell r="B11" t="str">
            <v>Huizhou</v>
          </cell>
          <cell r="C11">
            <v>2860000</v>
          </cell>
          <cell r="D11">
            <v>37865</v>
          </cell>
          <cell r="F11" t="str">
            <v>Fujian</v>
          </cell>
          <cell r="G11" t="str">
            <v>Population</v>
          </cell>
          <cell r="K11">
            <v>15722123</v>
          </cell>
          <cell r="P11">
            <v>15722123</v>
          </cell>
        </row>
        <row r="12">
          <cell r="A12" t="str">
            <v>Guangdong</v>
          </cell>
          <cell r="B12" t="str">
            <v>Shenzhen</v>
          </cell>
          <cell r="C12">
            <v>1500000</v>
          </cell>
          <cell r="D12">
            <v>37865</v>
          </cell>
          <cell r="G12" t="str">
            <v># of Cities</v>
          </cell>
          <cell r="K12">
            <v>3</v>
          </cell>
          <cell r="P12">
            <v>3</v>
          </cell>
        </row>
        <row r="13">
          <cell r="A13" t="str">
            <v>Guangdong</v>
          </cell>
          <cell r="B13" t="str">
            <v>Zhuhai</v>
          </cell>
          <cell r="C13">
            <v>1280000</v>
          </cell>
          <cell r="D13">
            <v>37865</v>
          </cell>
          <cell r="F13" t="str">
            <v>Municipalities</v>
          </cell>
          <cell r="G13" t="str">
            <v>Population</v>
          </cell>
          <cell r="I13">
            <v>30930000</v>
          </cell>
          <cell r="L13">
            <v>41413000</v>
          </cell>
          <cell r="P13">
            <v>72343000</v>
          </cell>
        </row>
        <row r="14">
          <cell r="A14" t="str">
            <v>Guangdong</v>
          </cell>
          <cell r="B14" t="str">
            <v>Chaozhou</v>
          </cell>
          <cell r="C14">
            <v>2490000</v>
          </cell>
          <cell r="D14">
            <v>38108</v>
          </cell>
          <cell r="G14" t="str">
            <v># of Cities</v>
          </cell>
          <cell r="I14">
            <v>2</v>
          </cell>
          <cell r="L14">
            <v>2</v>
          </cell>
          <cell r="P14">
            <v>4</v>
          </cell>
        </row>
        <row r="15">
          <cell r="A15" t="str">
            <v>Guangdong</v>
          </cell>
          <cell r="B15" t="str">
            <v>Heyuan</v>
          </cell>
          <cell r="C15">
            <v>3340000</v>
          </cell>
          <cell r="D15">
            <v>38108</v>
          </cell>
          <cell r="F15" t="str">
            <v>Liaoning</v>
          </cell>
          <cell r="G15" t="str">
            <v>Population</v>
          </cell>
          <cell r="M15">
            <v>13100000</v>
          </cell>
          <cell r="P15">
            <v>13100000</v>
          </cell>
        </row>
        <row r="16">
          <cell r="A16" t="str">
            <v>Guangdong</v>
          </cell>
          <cell r="B16" t="str">
            <v>Jieyang</v>
          </cell>
          <cell r="C16">
            <v>5900000</v>
          </cell>
          <cell r="D16">
            <v>38108</v>
          </cell>
          <cell r="G16" t="str">
            <v># of Cities</v>
          </cell>
          <cell r="M16">
            <v>2</v>
          </cell>
          <cell r="P16">
            <v>2</v>
          </cell>
        </row>
        <row r="17">
          <cell r="A17" t="str">
            <v>Guangdong</v>
          </cell>
          <cell r="B17" t="str">
            <v>Maoming</v>
          </cell>
          <cell r="C17">
            <v>6680000</v>
          </cell>
          <cell r="D17">
            <v>38108</v>
          </cell>
          <cell r="F17" t="str">
            <v>Shandong</v>
          </cell>
          <cell r="G17" t="str">
            <v>Population</v>
          </cell>
          <cell r="M17">
            <v>5900000</v>
          </cell>
          <cell r="P17">
            <v>5900000</v>
          </cell>
        </row>
        <row r="18">
          <cell r="A18" t="str">
            <v>Guangdong</v>
          </cell>
          <cell r="B18" t="str">
            <v>Meizhou</v>
          </cell>
          <cell r="C18">
            <v>4880000</v>
          </cell>
          <cell r="D18">
            <v>38108</v>
          </cell>
          <cell r="G18" t="str">
            <v># of Cities</v>
          </cell>
          <cell r="M18">
            <v>1</v>
          </cell>
          <cell r="P18">
            <v>1</v>
          </cell>
        </row>
        <row r="19">
          <cell r="A19" t="str">
            <v>Guangdong</v>
          </cell>
          <cell r="B19" t="str">
            <v>Qingyuan</v>
          </cell>
          <cell r="C19">
            <v>3870000</v>
          </cell>
          <cell r="D19">
            <v>38108</v>
          </cell>
          <cell r="F19" t="str">
            <v>Sichuan</v>
          </cell>
          <cell r="G19" t="str">
            <v>Population</v>
          </cell>
          <cell r="M19">
            <v>11200000</v>
          </cell>
          <cell r="P19">
            <v>11200000</v>
          </cell>
        </row>
        <row r="20">
          <cell r="A20" t="str">
            <v>Guangdong</v>
          </cell>
          <cell r="B20" t="str">
            <v>Shantou</v>
          </cell>
          <cell r="C20">
            <v>4850000</v>
          </cell>
          <cell r="D20">
            <v>38108</v>
          </cell>
          <cell r="G20" t="str">
            <v># of Cities</v>
          </cell>
          <cell r="M20">
            <v>1</v>
          </cell>
          <cell r="P20">
            <v>1</v>
          </cell>
        </row>
        <row r="21">
          <cell r="A21" t="str">
            <v>Guangdong</v>
          </cell>
          <cell r="B21" t="str">
            <v>Shanwei</v>
          </cell>
          <cell r="C21">
            <v>3060000</v>
          </cell>
          <cell r="D21">
            <v>38108</v>
          </cell>
          <cell r="F21" t="str">
            <v>Hunan</v>
          </cell>
          <cell r="G21" t="str">
            <v>Population</v>
          </cell>
          <cell r="N21">
            <v>2100000</v>
          </cell>
          <cell r="P21">
            <v>2100000</v>
          </cell>
        </row>
        <row r="22">
          <cell r="A22" t="str">
            <v>Guangdong</v>
          </cell>
          <cell r="B22" t="str">
            <v>Shaoguan</v>
          </cell>
          <cell r="C22">
            <v>3150000</v>
          </cell>
          <cell r="D22">
            <v>38108</v>
          </cell>
          <cell r="G22" t="str">
            <v># of Cities</v>
          </cell>
          <cell r="N22">
            <v>1</v>
          </cell>
          <cell r="P22">
            <v>1</v>
          </cell>
        </row>
        <row r="23">
          <cell r="A23" t="str">
            <v>Guangdong</v>
          </cell>
          <cell r="B23" t="str">
            <v>Yangjiang</v>
          </cell>
          <cell r="C23">
            <v>2580000</v>
          </cell>
          <cell r="D23">
            <v>38108</v>
          </cell>
          <cell r="F23" t="str">
            <v>Guangxi</v>
          </cell>
          <cell r="G23" t="str">
            <v>Population</v>
          </cell>
          <cell r="N23">
            <v>1400000</v>
          </cell>
          <cell r="P23">
            <v>1400000</v>
          </cell>
        </row>
        <row r="24">
          <cell r="A24" t="str">
            <v>Guangdong</v>
          </cell>
          <cell r="B24" t="str">
            <v>Yunfu</v>
          </cell>
          <cell r="C24">
            <v>2610000</v>
          </cell>
          <cell r="D24">
            <v>38108</v>
          </cell>
          <cell r="G24" t="str">
            <v># of Cities</v>
          </cell>
          <cell r="N24">
            <v>1</v>
          </cell>
          <cell r="P24">
            <v>1</v>
          </cell>
        </row>
        <row r="25">
          <cell r="A25" t="str">
            <v>Guangdong</v>
          </cell>
          <cell r="B25" t="str">
            <v>Zhanjiang</v>
          </cell>
          <cell r="C25">
            <v>6570000</v>
          </cell>
          <cell r="D25">
            <v>38108</v>
          </cell>
          <cell r="F25" t="str">
            <v>Hainan</v>
          </cell>
          <cell r="G25" t="str">
            <v>Population</v>
          </cell>
          <cell r="N25">
            <v>630000</v>
          </cell>
          <cell r="P25">
            <v>630000</v>
          </cell>
        </row>
        <row r="26">
          <cell r="A26" t="str">
            <v>Guangdong</v>
          </cell>
          <cell r="B26" t="str">
            <v>Zhaoqiang</v>
          </cell>
          <cell r="C26">
            <v>3930000</v>
          </cell>
          <cell r="D26">
            <v>38108</v>
          </cell>
          <cell r="G26" t="str">
            <v># of Cities</v>
          </cell>
          <cell r="N26">
            <v>1</v>
          </cell>
          <cell r="P26">
            <v>1</v>
          </cell>
        </row>
        <row r="27">
          <cell r="A27" t="str">
            <v>Jiangsu</v>
          </cell>
          <cell r="B27" t="str">
            <v>Nanjing</v>
          </cell>
          <cell r="C27">
            <v>6240000</v>
          </cell>
          <cell r="D27">
            <v>38169</v>
          </cell>
          <cell r="F27" t="str">
            <v>Yunnan</v>
          </cell>
          <cell r="G27" t="str">
            <v>Population</v>
          </cell>
          <cell r="N27">
            <v>5780000</v>
          </cell>
          <cell r="P27">
            <v>5780000</v>
          </cell>
        </row>
        <row r="28">
          <cell r="A28" t="str">
            <v>Jiangsu</v>
          </cell>
          <cell r="B28" t="str">
            <v>Suzhou</v>
          </cell>
          <cell r="C28">
            <v>5909700</v>
          </cell>
          <cell r="D28">
            <v>38169</v>
          </cell>
          <cell r="G28" t="str">
            <v># of Cities</v>
          </cell>
          <cell r="N28">
            <v>1</v>
          </cell>
          <cell r="P28">
            <v>1</v>
          </cell>
        </row>
        <row r="29">
          <cell r="A29" t="str">
            <v>Jiangsu</v>
          </cell>
          <cell r="B29" t="str">
            <v>Wuxi</v>
          </cell>
          <cell r="C29">
            <v>4400000</v>
          </cell>
          <cell r="D29">
            <v>38169</v>
          </cell>
          <cell r="F29" t="str">
            <v>Guizhou</v>
          </cell>
          <cell r="G29" t="str">
            <v>Population</v>
          </cell>
          <cell r="N29">
            <v>3300000</v>
          </cell>
          <cell r="P29">
            <v>3300000</v>
          </cell>
        </row>
        <row r="30">
          <cell r="A30" t="str">
            <v>Zhejiang</v>
          </cell>
          <cell r="B30" t="str">
            <v>Hangzhou</v>
          </cell>
          <cell r="C30">
            <v>6370000</v>
          </cell>
          <cell r="D30">
            <v>38169</v>
          </cell>
          <cell r="G30" t="str">
            <v># of Cities</v>
          </cell>
          <cell r="N30">
            <v>1</v>
          </cell>
          <cell r="P30">
            <v>1</v>
          </cell>
        </row>
        <row r="31">
          <cell r="A31" t="str">
            <v>Zhejiang</v>
          </cell>
          <cell r="B31" t="str">
            <v>Ningbo</v>
          </cell>
          <cell r="C31">
            <v>5490000</v>
          </cell>
          <cell r="D31">
            <v>38169</v>
          </cell>
          <cell r="F31" t="str">
            <v>Jiangxi</v>
          </cell>
          <cell r="G31" t="str">
            <v>Population</v>
          </cell>
          <cell r="N31">
            <v>2000000</v>
          </cell>
          <cell r="P31">
            <v>2000000</v>
          </cell>
        </row>
        <row r="32">
          <cell r="A32" t="str">
            <v>Zhejiang</v>
          </cell>
          <cell r="B32" t="str">
            <v>Taizhou</v>
          </cell>
          <cell r="C32">
            <v>5470000</v>
          </cell>
          <cell r="D32">
            <v>38169</v>
          </cell>
          <cell r="G32" t="str">
            <v># of Cities</v>
          </cell>
          <cell r="N32">
            <v>1</v>
          </cell>
          <cell r="P32">
            <v>1</v>
          </cell>
        </row>
        <row r="33">
          <cell r="A33" t="str">
            <v>Fujian</v>
          </cell>
          <cell r="B33" t="str">
            <v>Fuzhou</v>
          </cell>
          <cell r="C33">
            <v>6386013</v>
          </cell>
          <cell r="D33">
            <v>38169</v>
          </cell>
          <cell r="F33" t="str">
            <v>Hebei</v>
          </cell>
          <cell r="G33" t="str">
            <v>Population</v>
          </cell>
          <cell r="O33">
            <v>9000000</v>
          </cell>
          <cell r="P33">
            <v>9000000</v>
          </cell>
        </row>
        <row r="34">
          <cell r="A34" t="str">
            <v>Fujian</v>
          </cell>
          <cell r="B34" t="str">
            <v>Xiamen</v>
          </cell>
          <cell r="C34">
            <v>2053070</v>
          </cell>
          <cell r="D34">
            <v>38169</v>
          </cell>
          <cell r="G34" t="str">
            <v># of Cities</v>
          </cell>
          <cell r="O34">
            <v>1</v>
          </cell>
          <cell r="P34">
            <v>1</v>
          </cell>
        </row>
        <row r="35">
          <cell r="A35" t="str">
            <v>Fujian</v>
          </cell>
          <cell r="B35" t="str">
            <v>Quanzhou</v>
          </cell>
          <cell r="C35">
            <v>7283040</v>
          </cell>
          <cell r="D35">
            <v>38169</v>
          </cell>
          <cell r="F35" t="str">
            <v>Henan</v>
          </cell>
          <cell r="G35" t="str">
            <v>Population</v>
          </cell>
          <cell r="O35">
            <v>7082000</v>
          </cell>
          <cell r="P35">
            <v>7082000</v>
          </cell>
        </row>
        <row r="36">
          <cell r="A36" t="str">
            <v>Liaoning</v>
          </cell>
          <cell r="B36" t="str">
            <v>Shenyang</v>
          </cell>
          <cell r="C36">
            <v>7200000</v>
          </cell>
          <cell r="D36">
            <v>38657</v>
          </cell>
          <cell r="G36" t="str">
            <v># of Cities</v>
          </cell>
          <cell r="O36">
            <v>1</v>
          </cell>
          <cell r="P36">
            <v>1</v>
          </cell>
        </row>
        <row r="37">
          <cell r="A37" t="str">
            <v>Liaoning</v>
          </cell>
          <cell r="B37" t="str">
            <v>Dalian</v>
          </cell>
          <cell r="C37">
            <v>5900000</v>
          </cell>
          <cell r="D37">
            <v>38657</v>
          </cell>
          <cell r="F37" t="str">
            <v>Jilin</v>
          </cell>
          <cell r="G37" t="str">
            <v>Population</v>
          </cell>
          <cell r="O37">
            <v>6830000</v>
          </cell>
          <cell r="P37">
            <v>6830000</v>
          </cell>
        </row>
        <row r="38">
          <cell r="A38" t="str">
            <v>Shandong</v>
          </cell>
          <cell r="B38" t="str">
            <v>Jinan</v>
          </cell>
          <cell r="C38">
            <v>5900000</v>
          </cell>
          <cell r="D38">
            <v>38657</v>
          </cell>
          <cell r="G38" t="str">
            <v># of Cities</v>
          </cell>
          <cell r="O38">
            <v>1</v>
          </cell>
          <cell r="P38">
            <v>1</v>
          </cell>
        </row>
        <row r="39">
          <cell r="A39" t="str">
            <v>Sichuan</v>
          </cell>
          <cell r="B39" t="str">
            <v>Chengdu</v>
          </cell>
          <cell r="C39">
            <v>11200000</v>
          </cell>
          <cell r="D39">
            <v>38657</v>
          </cell>
          <cell r="F39" t="str">
            <v>Anhui</v>
          </cell>
          <cell r="G39" t="str">
            <v>Population</v>
          </cell>
          <cell r="O39">
            <v>4446800</v>
          </cell>
          <cell r="P39">
            <v>4446800</v>
          </cell>
        </row>
        <row r="40">
          <cell r="A40" t="str">
            <v>Jiangxi</v>
          </cell>
          <cell r="B40" t="str">
            <v>Nanchang</v>
          </cell>
          <cell r="C40">
            <v>2000000</v>
          </cell>
          <cell r="D40">
            <v>38838</v>
          </cell>
          <cell r="G40" t="str">
            <v># of Cities</v>
          </cell>
          <cell r="O40">
            <v>1</v>
          </cell>
          <cell r="P40">
            <v>1</v>
          </cell>
        </row>
        <row r="41">
          <cell r="A41" t="str">
            <v>Hunan</v>
          </cell>
          <cell r="B41" t="str">
            <v>Changsha</v>
          </cell>
          <cell r="C41">
            <v>2100000</v>
          </cell>
          <cell r="D41">
            <v>38838</v>
          </cell>
          <cell r="E41" t="str">
            <v>http://www.world-gazetteer.com/wg.php?x=&amp;men=gcis&amp;lng=en&amp;dat=32&amp;srt=npan&amp;col=aohdq&amp;geo=-54</v>
          </cell>
          <cell r="F41" t="str">
            <v>Hubei</v>
          </cell>
          <cell r="G41" t="str">
            <v>Population</v>
          </cell>
          <cell r="O41">
            <v>9100000</v>
          </cell>
          <cell r="P41">
            <v>9100000</v>
          </cell>
        </row>
        <row r="42">
          <cell r="A42" t="str">
            <v>Guangxi</v>
          </cell>
          <cell r="B42" t="str">
            <v>Nanning</v>
          </cell>
          <cell r="C42">
            <v>1400000</v>
          </cell>
          <cell r="D42">
            <v>38838</v>
          </cell>
          <cell r="G42" t="str">
            <v># of Cities</v>
          </cell>
          <cell r="O42">
            <v>1</v>
          </cell>
          <cell r="P42">
            <v>1</v>
          </cell>
        </row>
        <row r="43">
          <cell r="A43" t="str">
            <v>Hainan</v>
          </cell>
          <cell r="B43" t="str">
            <v>Haikou</v>
          </cell>
          <cell r="C43">
            <v>630000</v>
          </cell>
          <cell r="D43">
            <v>38838</v>
          </cell>
          <cell r="F43" t="str">
            <v>Total Population</v>
          </cell>
          <cell r="H43">
            <v>10170000</v>
          </cell>
          <cell r="I43">
            <v>43820000</v>
          </cell>
          <cell r="J43">
            <v>53910000</v>
          </cell>
          <cell r="K43">
            <v>49601823</v>
          </cell>
          <cell r="L43">
            <v>41413000</v>
          </cell>
          <cell r="M43">
            <v>30200000</v>
          </cell>
          <cell r="N43">
            <v>15210000</v>
          </cell>
          <cell r="O43">
            <v>36458800</v>
          </cell>
          <cell r="P43">
            <v>280783623</v>
          </cell>
        </row>
        <row r="44">
          <cell r="A44" t="str">
            <v>Yunnan</v>
          </cell>
          <cell r="B44" t="str">
            <v>Kunming</v>
          </cell>
          <cell r="C44">
            <v>5780000</v>
          </cell>
          <cell r="D44">
            <v>38838</v>
          </cell>
          <cell r="F44" t="str">
            <v>Total # of Cities</v>
          </cell>
          <cell r="H44">
            <v>4</v>
          </cell>
          <cell r="I44">
            <v>6</v>
          </cell>
          <cell r="J44">
            <v>13</v>
          </cell>
          <cell r="K44">
            <v>9</v>
          </cell>
          <cell r="L44">
            <v>2</v>
          </cell>
          <cell r="M44">
            <v>4</v>
          </cell>
          <cell r="N44">
            <v>6</v>
          </cell>
          <cell r="O44">
            <v>5</v>
          </cell>
          <cell r="P44">
            <v>49</v>
          </cell>
        </row>
        <row r="45">
          <cell r="A45" t="str">
            <v>Guizhou</v>
          </cell>
          <cell r="B45" t="str">
            <v xml:space="preserve">Guiyang </v>
          </cell>
          <cell r="C45">
            <v>3300000</v>
          </cell>
          <cell r="D45">
            <v>38838</v>
          </cell>
        </row>
        <row r="46">
          <cell r="A46" t="str">
            <v>Hebei</v>
          </cell>
          <cell r="B46" t="str">
            <v>Shijiazhuang</v>
          </cell>
          <cell r="C46">
            <v>9000000</v>
          </cell>
          <cell r="D46">
            <v>39089</v>
          </cell>
          <cell r="E46" t="str">
            <v>http://en.wikipedia.org</v>
          </cell>
        </row>
        <row r="47">
          <cell r="A47" t="str">
            <v>Henan</v>
          </cell>
          <cell r="B47" t="str">
            <v>Zhengzhou</v>
          </cell>
          <cell r="C47">
            <v>7082000</v>
          </cell>
          <cell r="D47">
            <v>39089</v>
          </cell>
          <cell r="E47" t="str">
            <v>http://en.wikipedia.org</v>
          </cell>
        </row>
        <row r="48">
          <cell r="A48" t="str">
            <v>Jilin</v>
          </cell>
          <cell r="B48" t="str">
            <v>Changchun</v>
          </cell>
          <cell r="C48">
            <v>6830000</v>
          </cell>
          <cell r="D48">
            <v>39089</v>
          </cell>
          <cell r="E48" t="str">
            <v>http://en.wikipedia.org</v>
          </cell>
        </row>
        <row r="49">
          <cell r="A49" t="str">
            <v>Anhui</v>
          </cell>
          <cell r="B49" t="str">
            <v>Hefei</v>
          </cell>
          <cell r="C49">
            <v>4446800</v>
          </cell>
          <cell r="D49">
            <v>39089</v>
          </cell>
          <cell r="E49" t="str">
            <v>http://en.wikipedia.org</v>
          </cell>
        </row>
        <row r="50">
          <cell r="A50" t="str">
            <v>Hubei</v>
          </cell>
          <cell r="B50" t="str">
            <v>Wuhan</v>
          </cell>
          <cell r="C50">
            <v>9100000</v>
          </cell>
          <cell r="D50">
            <v>39089</v>
          </cell>
          <cell r="E50" t="str">
            <v>http://en.wikipedia.org</v>
          </cell>
          <cell r="F50" t="str">
            <v>Cummulative Population</v>
          </cell>
          <cell r="H50">
            <v>10170</v>
          </cell>
          <cell r="I50">
            <v>53990</v>
          </cell>
          <cell r="J50">
            <v>107900</v>
          </cell>
          <cell r="K50">
            <v>157501.823</v>
          </cell>
          <cell r="L50">
            <v>198914.823</v>
          </cell>
          <cell r="M50">
            <v>229114.823</v>
          </cell>
          <cell r="N50">
            <v>244324.823</v>
          </cell>
          <cell r="O50">
            <v>280783.62300000002</v>
          </cell>
        </row>
        <row r="51">
          <cell r="F51" t="str">
            <v>Growth in Covered Population</v>
          </cell>
          <cell r="I51">
            <v>4.3087512291052112</v>
          </cell>
          <cell r="J51">
            <v>0.99851824411928125</v>
          </cell>
          <cell r="K51">
            <v>0.45970178869323441</v>
          </cell>
          <cell r="L51">
            <v>0.26293663915242438</v>
          </cell>
          <cell r="M51">
            <v>0.15182377836165584</v>
          </cell>
          <cell r="N51">
            <v>6.6385927374066123E-2</v>
          </cell>
          <cell r="O51">
            <v>0.14922266003237827</v>
          </cell>
        </row>
        <row r="53">
          <cell r="A53" t="str">
            <v>2 hour  flight</v>
          </cell>
        </row>
        <row r="54">
          <cell r="A54" t="str">
            <v>Guangxi</v>
          </cell>
          <cell r="B54">
            <v>48.57</v>
          </cell>
        </row>
        <row r="55">
          <cell r="A55" t="str">
            <v>Guangdong</v>
          </cell>
          <cell r="B55">
            <v>79.540000000000006</v>
          </cell>
        </row>
        <row r="56">
          <cell r="A56" t="str">
            <v>Fujian</v>
          </cell>
          <cell r="B56">
            <v>34.880000000000003</v>
          </cell>
          <cell r="G56">
            <v>37803</v>
          </cell>
          <cell r="H56">
            <v>37865</v>
          </cell>
          <cell r="I56">
            <v>38108</v>
          </cell>
          <cell r="J56">
            <v>38169</v>
          </cell>
          <cell r="K56">
            <v>38412</v>
          </cell>
          <cell r="L56">
            <v>38657</v>
          </cell>
          <cell r="M56">
            <v>38838</v>
          </cell>
        </row>
        <row r="57">
          <cell r="A57" t="str">
            <v>Zhejiang</v>
          </cell>
          <cell r="B57">
            <v>46.8</v>
          </cell>
          <cell r="F57" t="str">
            <v>Guangdong</v>
          </cell>
          <cell r="G57">
            <v>10170000</v>
          </cell>
          <cell r="H57">
            <v>23060000</v>
          </cell>
          <cell r="I57">
            <v>76970000</v>
          </cell>
          <cell r="J57">
            <v>76970000</v>
          </cell>
          <cell r="K57">
            <v>76970000</v>
          </cell>
          <cell r="L57">
            <v>76970000</v>
          </cell>
          <cell r="M57">
            <v>76970000</v>
          </cell>
          <cell r="N57">
            <v>76.97</v>
          </cell>
          <cell r="O57">
            <v>0</v>
          </cell>
        </row>
        <row r="58">
          <cell r="A58" t="str">
            <v>Jiangxi</v>
          </cell>
          <cell r="B58">
            <v>42.54</v>
          </cell>
          <cell r="F58" t="str">
            <v>Jiangsu</v>
          </cell>
          <cell r="G58">
            <v>0</v>
          </cell>
          <cell r="H58">
            <v>0</v>
          </cell>
          <cell r="I58">
            <v>0</v>
          </cell>
          <cell r="J58">
            <v>16549700</v>
          </cell>
          <cell r="K58">
            <v>16549700</v>
          </cell>
          <cell r="L58">
            <v>16549700</v>
          </cell>
          <cell r="M58">
            <v>16549700</v>
          </cell>
          <cell r="N58">
            <v>16.549700000000001</v>
          </cell>
          <cell r="O58">
            <v>10</v>
          </cell>
          <cell r="P58" t="e">
            <v>#REF!</v>
          </cell>
        </row>
        <row r="59">
          <cell r="A59" t="str">
            <v>Hunan</v>
          </cell>
          <cell r="B59">
            <v>66.63</v>
          </cell>
          <cell r="F59" t="str">
            <v>Zhejiang</v>
          </cell>
          <cell r="G59">
            <v>0</v>
          </cell>
          <cell r="H59">
            <v>0</v>
          </cell>
          <cell r="I59">
            <v>0</v>
          </cell>
          <cell r="J59">
            <v>17330000</v>
          </cell>
          <cell r="K59">
            <v>17330000</v>
          </cell>
          <cell r="L59">
            <v>17330000</v>
          </cell>
          <cell r="M59">
            <v>17330000</v>
          </cell>
          <cell r="N59">
            <v>17.329999999999998</v>
          </cell>
          <cell r="O59">
            <v>20</v>
          </cell>
          <cell r="P59" t="e">
            <v>#REF!</v>
          </cell>
        </row>
        <row r="60">
          <cell r="A60" t="str">
            <v>Guizhou</v>
          </cell>
          <cell r="B60">
            <v>38.700000000000003</v>
          </cell>
          <cell r="F60" t="str">
            <v>Fujian</v>
          </cell>
          <cell r="G60">
            <v>0</v>
          </cell>
          <cell r="H60">
            <v>0</v>
          </cell>
          <cell r="I60">
            <v>0</v>
          </cell>
          <cell r="J60">
            <v>15722123</v>
          </cell>
          <cell r="K60">
            <v>15722123</v>
          </cell>
          <cell r="L60">
            <v>15722123</v>
          </cell>
          <cell r="M60">
            <v>15722123</v>
          </cell>
          <cell r="N60">
            <v>15.722123</v>
          </cell>
          <cell r="P60" t="e">
            <v>#REF!</v>
          </cell>
        </row>
        <row r="61">
          <cell r="A61" t="str">
            <v>Hainan</v>
          </cell>
          <cell r="B61">
            <v>8.11</v>
          </cell>
          <cell r="F61" t="str">
            <v>Municipalities</v>
          </cell>
          <cell r="G61">
            <v>0</v>
          </cell>
          <cell r="H61">
            <v>30930000</v>
          </cell>
          <cell r="I61">
            <v>30930000</v>
          </cell>
          <cell r="J61">
            <v>30930000</v>
          </cell>
          <cell r="K61">
            <v>72343000</v>
          </cell>
          <cell r="L61">
            <v>72343000</v>
          </cell>
          <cell r="M61">
            <v>72343000</v>
          </cell>
          <cell r="N61">
            <v>72.343000000000004</v>
          </cell>
        </row>
        <row r="62">
          <cell r="A62" t="str">
            <v>Hubei</v>
          </cell>
          <cell r="B62">
            <v>60.02</v>
          </cell>
          <cell r="F62" t="str">
            <v>Liaoning</v>
          </cell>
          <cell r="G62">
            <v>0</v>
          </cell>
          <cell r="H62">
            <v>0</v>
          </cell>
          <cell r="I62">
            <v>0</v>
          </cell>
          <cell r="J62">
            <v>0</v>
          </cell>
          <cell r="K62">
            <v>0</v>
          </cell>
          <cell r="L62">
            <v>13100000</v>
          </cell>
          <cell r="M62">
            <v>13100000</v>
          </cell>
          <cell r="N62">
            <v>13.1</v>
          </cell>
        </row>
        <row r="63">
          <cell r="A63" t="str">
            <v>Chongqing</v>
          </cell>
          <cell r="B63">
            <v>31.3</v>
          </cell>
          <cell r="F63" t="str">
            <v>Sichuan</v>
          </cell>
          <cell r="G63">
            <v>0</v>
          </cell>
          <cell r="H63">
            <v>0</v>
          </cell>
          <cell r="I63">
            <v>0</v>
          </cell>
          <cell r="J63">
            <v>0</v>
          </cell>
          <cell r="K63">
            <v>0</v>
          </cell>
          <cell r="L63">
            <v>11200000</v>
          </cell>
          <cell r="M63">
            <v>11200000</v>
          </cell>
          <cell r="N63">
            <v>11.2</v>
          </cell>
        </row>
        <row r="64">
          <cell r="F64" t="str">
            <v>Shandong</v>
          </cell>
          <cell r="G64">
            <v>0</v>
          </cell>
          <cell r="H64">
            <v>0</v>
          </cell>
          <cell r="I64">
            <v>0</v>
          </cell>
          <cell r="J64">
            <v>0</v>
          </cell>
          <cell r="K64">
            <v>0</v>
          </cell>
          <cell r="L64">
            <v>5900000</v>
          </cell>
          <cell r="M64">
            <v>5900000</v>
          </cell>
          <cell r="N64">
            <v>5.9</v>
          </cell>
        </row>
        <row r="65">
          <cell r="A65" t="str">
            <v>3 hour flight</v>
          </cell>
          <cell r="F65" t="str">
            <v xml:space="preserve">Jiangxi </v>
          </cell>
          <cell r="G65" t="e">
            <v>#REF!</v>
          </cell>
          <cell r="H65" t="e">
            <v>#REF!</v>
          </cell>
          <cell r="I65" t="e">
            <v>#REF!</v>
          </cell>
          <cell r="J65" t="e">
            <v>#REF!</v>
          </cell>
          <cell r="K65" t="e">
            <v>#REF!</v>
          </cell>
          <cell r="L65" t="e">
            <v>#REF!</v>
          </cell>
          <cell r="M65" t="e">
            <v>#REF!</v>
          </cell>
          <cell r="N65" t="e">
            <v>#REF!</v>
          </cell>
        </row>
        <row r="66">
          <cell r="A66" t="str">
            <v>Shanghai</v>
          </cell>
          <cell r="B66">
            <v>17.11</v>
          </cell>
          <cell r="F66" t="str">
            <v>Hunan</v>
          </cell>
          <cell r="G66">
            <v>0</v>
          </cell>
          <cell r="H66">
            <v>0</v>
          </cell>
          <cell r="I66">
            <v>0</v>
          </cell>
          <cell r="J66">
            <v>0</v>
          </cell>
          <cell r="K66">
            <v>0</v>
          </cell>
          <cell r="L66">
            <v>0</v>
          </cell>
          <cell r="M66">
            <v>2100000</v>
          </cell>
          <cell r="N66">
            <v>2.1</v>
          </cell>
        </row>
        <row r="67">
          <cell r="A67" t="str">
            <v>Jiangsu</v>
          </cell>
          <cell r="B67">
            <v>74.06</v>
          </cell>
          <cell r="F67" t="str">
            <v>Guangxi</v>
          </cell>
          <cell r="G67">
            <v>0</v>
          </cell>
          <cell r="H67">
            <v>0</v>
          </cell>
          <cell r="I67">
            <v>0</v>
          </cell>
          <cell r="J67">
            <v>0</v>
          </cell>
          <cell r="K67">
            <v>0</v>
          </cell>
          <cell r="L67">
            <v>0</v>
          </cell>
          <cell r="M67">
            <v>1400000</v>
          </cell>
          <cell r="N67">
            <v>1.4</v>
          </cell>
        </row>
        <row r="68">
          <cell r="A68" t="str">
            <v>Anhui</v>
          </cell>
          <cell r="B68">
            <v>64.099999999999994</v>
          </cell>
          <cell r="F68" t="str">
            <v>Hainan</v>
          </cell>
          <cell r="G68">
            <v>0</v>
          </cell>
          <cell r="H68">
            <v>0</v>
          </cell>
          <cell r="I68">
            <v>0</v>
          </cell>
          <cell r="J68">
            <v>0</v>
          </cell>
          <cell r="K68">
            <v>0</v>
          </cell>
          <cell r="L68">
            <v>0</v>
          </cell>
          <cell r="M68">
            <v>630000</v>
          </cell>
          <cell r="N68">
            <v>0.63</v>
          </cell>
        </row>
        <row r="69">
          <cell r="A69" t="str">
            <v>Henan</v>
          </cell>
          <cell r="B69">
            <v>96.67</v>
          </cell>
          <cell r="F69" t="str">
            <v>Yunnan</v>
          </cell>
          <cell r="G69">
            <v>0</v>
          </cell>
          <cell r="H69">
            <v>0</v>
          </cell>
          <cell r="I69">
            <v>0</v>
          </cell>
          <cell r="J69">
            <v>0</v>
          </cell>
          <cell r="K69">
            <v>0</v>
          </cell>
          <cell r="L69">
            <v>0</v>
          </cell>
          <cell r="M69">
            <v>5780000</v>
          </cell>
          <cell r="N69">
            <v>5.78</v>
          </cell>
        </row>
        <row r="70">
          <cell r="A70" t="str">
            <v>Shangdong</v>
          </cell>
          <cell r="B70">
            <v>91.25</v>
          </cell>
          <cell r="F70" t="str">
            <v>Guizhou</v>
          </cell>
          <cell r="G70">
            <v>0</v>
          </cell>
          <cell r="H70">
            <v>0</v>
          </cell>
          <cell r="I70">
            <v>0</v>
          </cell>
          <cell r="J70">
            <v>0</v>
          </cell>
          <cell r="K70">
            <v>0</v>
          </cell>
          <cell r="L70">
            <v>0</v>
          </cell>
          <cell r="M70">
            <v>3300000</v>
          </cell>
          <cell r="N70">
            <v>3.3</v>
          </cell>
        </row>
        <row r="71">
          <cell r="A71" t="str">
            <v>Tianjin</v>
          </cell>
          <cell r="B71">
            <v>10.11</v>
          </cell>
          <cell r="F71" t="str">
            <v>Other</v>
          </cell>
          <cell r="G71" t="e">
            <v>#REF!</v>
          </cell>
          <cell r="H71" t="e">
            <v>#REF!</v>
          </cell>
          <cell r="I71" t="e">
            <v>#REF!</v>
          </cell>
          <cell r="J71" t="e">
            <v>#REF!</v>
          </cell>
          <cell r="K71" t="e">
            <v>#REF!</v>
          </cell>
          <cell r="L71" t="e">
            <v>#REF!</v>
          </cell>
          <cell r="M71" t="e">
            <v>#REF!</v>
          </cell>
        </row>
        <row r="72">
          <cell r="A72" t="str">
            <v>Shanxi</v>
          </cell>
          <cell r="B72">
            <v>33.14</v>
          </cell>
        </row>
        <row r="73">
          <cell r="A73" t="str">
            <v>Shaanxi</v>
          </cell>
          <cell r="B73">
            <v>36.9</v>
          </cell>
        </row>
        <row r="74">
          <cell r="A74" t="str">
            <v>Ningxia</v>
          </cell>
          <cell r="B74">
            <v>5.8</v>
          </cell>
        </row>
        <row r="75">
          <cell r="A75" t="str">
            <v>Sichuan</v>
          </cell>
          <cell r="B75">
            <v>87</v>
          </cell>
        </row>
        <row r="76">
          <cell r="A76" t="str">
            <v>Yunnan</v>
          </cell>
          <cell r="B76">
            <v>43.76</v>
          </cell>
        </row>
        <row r="77">
          <cell r="A77" t="str">
            <v>Hebei</v>
          </cell>
          <cell r="B77">
            <v>67.69</v>
          </cell>
        </row>
        <row r="78">
          <cell r="A78" t="str">
            <v>Beijing</v>
          </cell>
          <cell r="B78">
            <v>14.56</v>
          </cell>
        </row>
        <row r="80">
          <cell r="A80" t="str">
            <v>Other</v>
          </cell>
        </row>
        <row r="81">
          <cell r="A81" t="str">
            <v>Inner Mongolia</v>
          </cell>
          <cell r="B81">
            <v>23.8</v>
          </cell>
        </row>
        <row r="82">
          <cell r="A82" t="str">
            <v>Liaoning</v>
          </cell>
          <cell r="B82">
            <v>42.1</v>
          </cell>
        </row>
        <row r="83">
          <cell r="A83" t="str">
            <v>Jilin</v>
          </cell>
          <cell r="B83">
            <v>27.04</v>
          </cell>
        </row>
        <row r="84">
          <cell r="A84" t="str">
            <v>Heilongjiang</v>
          </cell>
          <cell r="B84">
            <v>38.15</v>
          </cell>
        </row>
        <row r="85">
          <cell r="A85" t="str">
            <v>Tibet</v>
          </cell>
          <cell r="B85">
            <v>2.7</v>
          </cell>
        </row>
        <row r="86">
          <cell r="A86" t="str">
            <v>Gansu</v>
          </cell>
          <cell r="B86">
            <v>26.03</v>
          </cell>
        </row>
        <row r="87">
          <cell r="A87" t="str">
            <v>Qinghai</v>
          </cell>
          <cell r="B87">
            <v>5.34</v>
          </cell>
        </row>
        <row r="88">
          <cell r="A88" t="str">
            <v>Xinjiang</v>
          </cell>
          <cell r="B88">
            <v>19.34</v>
          </cell>
        </row>
        <row r="89">
          <cell r="A89" t="str">
            <v>Other</v>
          </cell>
          <cell r="B89">
            <v>57.100000000000364</v>
          </cell>
        </row>
      </sheetData>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TSI"/>
      <sheetName val="Interface"/>
      <sheetName val="Page Sizes"/>
      <sheetName val="Sample Layout"/>
      <sheetName val="Rate hike"/>
    </sheetNames>
    <sheetDataSet>
      <sheetData sheetId="0" refreshError="1"/>
      <sheetData sheetId="1" refreshError="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lpr"/>
      <sheetName val="PE1_S"/>
      <sheetName val="BALSHT_S"/>
    </sheetNames>
    <sheetDataSet>
      <sheetData sheetId="0" refreshError="1"/>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UST_TPLATE"/>
      <sheetName val="TPLATE_VALID"/>
      <sheetName val="WES"/>
      <sheetName val="Output"/>
      <sheetName val="Model"/>
      <sheetName val="Rail"/>
      <sheetName val="Bunnings"/>
      <sheetName val="Fert. &amp; Chem."/>
      <sheetName val="Energy"/>
      <sheetName val="Rural"/>
      <sheetName val="Div_Val"/>
      <sheetName val="DCF"/>
      <sheetName val="EVA"/>
      <sheetName val="WACC"/>
      <sheetName val="AVA"/>
    </sheetNames>
    <sheetDataSet>
      <sheetData sheetId="0" refreshError="1"/>
      <sheetData sheetId="1" refreshError="1"/>
      <sheetData sheetId="2" refreshError="1"/>
      <sheetData sheetId="3" refreshError="1"/>
      <sheetData sheetId="4" refreshError="1"/>
      <sheetData sheetId="5" refreshError="1"/>
      <sheetData sheetId="6" refreshError="1">
        <row r="102">
          <cell r="G102">
            <v>3</v>
          </cell>
        </row>
      </sheetData>
      <sheetData sheetId="7" refreshError="1">
        <row r="8">
          <cell r="J8">
            <v>407.40000000000003</v>
          </cell>
        </row>
        <row r="35">
          <cell r="A35" t="str">
            <v>Chemical Sales</v>
          </cell>
        </row>
      </sheetData>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01"/>
      <sheetName val="ch01i"/>
      <sheetName val="ch9801i"/>
      <sheetName val="ch0001i"/>
      <sheetName val="Sheet1"/>
      <sheetName val="ch98-01"/>
      <sheetName val="ch98-01i"/>
      <sheetName val="ch00-01i"/>
      <sheetName val="ch_DIESELi"/>
      <sheetName val="ch_daily (ptte)"/>
      <sheetName val="working"/>
      <sheetName val="bloomberg"/>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35796</v>
          </cell>
          <cell r="D3">
            <v>35796</v>
          </cell>
          <cell r="G3">
            <v>35796</v>
          </cell>
          <cell r="J3">
            <v>35796</v>
          </cell>
          <cell r="M3">
            <v>35796</v>
          </cell>
          <cell r="P3">
            <v>35796</v>
          </cell>
        </row>
      </sheetData>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ATE_FUNCS"/>
      <sheetName val="INDUST_TPLATE"/>
      <sheetName val="TPLATE_VALID"/>
      <sheetName val="C_flow_EPS"/>
      <sheetName val="P&amp;L"/>
      <sheetName val="Bunnings"/>
      <sheetName val="B_Sheet"/>
      <sheetName val="Int_Rec"/>
      <sheetName val="Div_Charts"/>
      <sheetName val="DIVIS"/>
      <sheetName val="EVA"/>
      <sheetName val="Div_Value"/>
      <sheetName val="DCF"/>
      <sheetName val="WACC"/>
      <sheetName val="EVA_Macro"/>
      <sheetName val="Div_Details"/>
      <sheetName val="Fert. &amp; Chem."/>
      <sheetName val="Energy"/>
      <sheetName val="H_Ware_C1"/>
      <sheetName val="Chip"/>
      <sheetName val="Rural"/>
      <sheetName val="WESAMP"/>
      <sheetName val="WES"/>
      <sheetName val="FIF"/>
      <sheetName val="EVA_Chart"/>
      <sheetName val="EVA_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7">
          <cell r="A17" t="str">
            <v>Price ($/t)</v>
          </cell>
        </row>
        <row r="18">
          <cell r="A18" t="str">
            <v>SSP + trace</v>
          </cell>
          <cell r="B18">
            <v>165</v>
          </cell>
          <cell r="C18">
            <v>170</v>
          </cell>
          <cell r="D18">
            <v>155</v>
          </cell>
          <cell r="E18">
            <v>147</v>
          </cell>
          <cell r="F18">
            <v>147</v>
          </cell>
          <cell r="G18">
            <v>150</v>
          </cell>
          <cell r="H18">
            <v>150</v>
          </cell>
          <cell r="I18">
            <v>165</v>
          </cell>
          <cell r="J18">
            <v>160</v>
          </cell>
          <cell r="K18">
            <v>155</v>
          </cell>
          <cell r="L18">
            <v>155</v>
          </cell>
          <cell r="M18">
            <v>155</v>
          </cell>
          <cell r="N18">
            <v>155</v>
          </cell>
        </row>
        <row r="19">
          <cell r="A19" t="str">
            <v>Dbl/Trp + SSP/potash</v>
          </cell>
          <cell r="B19">
            <v>211.00371747211921</v>
          </cell>
          <cell r="C19">
            <v>210.18181818181856</v>
          </cell>
          <cell r="D19">
            <v>230.41984732824326</v>
          </cell>
          <cell r="E19">
            <v>220.57142857142844</v>
          </cell>
          <cell r="F19">
            <v>220</v>
          </cell>
          <cell r="G19">
            <v>230</v>
          </cell>
          <cell r="H19">
            <v>230</v>
          </cell>
          <cell r="I19">
            <v>250</v>
          </cell>
          <cell r="J19">
            <v>240</v>
          </cell>
          <cell r="K19">
            <v>230</v>
          </cell>
          <cell r="L19">
            <v>230</v>
          </cell>
          <cell r="M19">
            <v>230</v>
          </cell>
          <cell r="N19">
            <v>230</v>
          </cell>
        </row>
        <row r="20">
          <cell r="A20" t="str">
            <v>DAP</v>
          </cell>
          <cell r="B20">
            <v>420</v>
          </cell>
          <cell r="C20">
            <v>390</v>
          </cell>
          <cell r="D20">
            <v>350</v>
          </cell>
          <cell r="E20">
            <v>340</v>
          </cell>
          <cell r="F20">
            <v>340</v>
          </cell>
          <cell r="G20">
            <v>340</v>
          </cell>
          <cell r="H20">
            <v>350</v>
          </cell>
          <cell r="I20">
            <v>360</v>
          </cell>
          <cell r="J20">
            <v>360</v>
          </cell>
          <cell r="K20">
            <v>340</v>
          </cell>
          <cell r="L20">
            <v>340</v>
          </cell>
          <cell r="M20">
            <v>340</v>
          </cell>
          <cell r="N20">
            <v>340</v>
          </cell>
        </row>
        <row r="21">
          <cell r="A21" t="str">
            <v>Agras</v>
          </cell>
          <cell r="B21">
            <v>310</v>
          </cell>
          <cell r="C21">
            <v>310</v>
          </cell>
          <cell r="D21">
            <v>280</v>
          </cell>
          <cell r="E21">
            <v>270</v>
          </cell>
          <cell r="F21">
            <v>270</v>
          </cell>
          <cell r="G21">
            <v>290</v>
          </cell>
          <cell r="H21">
            <v>340</v>
          </cell>
          <cell r="I21">
            <v>380</v>
          </cell>
          <cell r="J21">
            <v>365</v>
          </cell>
          <cell r="K21">
            <v>320</v>
          </cell>
          <cell r="L21">
            <v>320</v>
          </cell>
          <cell r="M21">
            <v>320</v>
          </cell>
          <cell r="N21">
            <v>320</v>
          </cell>
        </row>
        <row r="22">
          <cell r="A22" t="str">
            <v>UREA</v>
          </cell>
          <cell r="B22">
            <v>295</v>
          </cell>
          <cell r="C22">
            <v>345</v>
          </cell>
          <cell r="D22">
            <v>300</v>
          </cell>
          <cell r="E22">
            <v>280</v>
          </cell>
          <cell r="F22">
            <v>285</v>
          </cell>
          <cell r="G22">
            <v>305</v>
          </cell>
          <cell r="H22">
            <v>350</v>
          </cell>
          <cell r="I22">
            <v>380</v>
          </cell>
          <cell r="J22">
            <v>370</v>
          </cell>
          <cell r="K22">
            <v>310</v>
          </cell>
          <cell r="L22">
            <v>310</v>
          </cell>
          <cell r="M22">
            <v>310</v>
          </cell>
          <cell r="N22">
            <v>310</v>
          </cell>
        </row>
        <row r="23">
          <cell r="A23" t="str">
            <v>Other (domestic)</v>
          </cell>
          <cell r="B23">
            <v>300</v>
          </cell>
          <cell r="C23">
            <v>300</v>
          </cell>
          <cell r="D23">
            <v>300</v>
          </cell>
          <cell r="E23">
            <v>300</v>
          </cell>
          <cell r="F23">
            <v>275</v>
          </cell>
          <cell r="G23">
            <v>280</v>
          </cell>
          <cell r="H23">
            <v>280</v>
          </cell>
          <cell r="I23">
            <v>280</v>
          </cell>
          <cell r="J23">
            <v>300</v>
          </cell>
          <cell r="K23">
            <v>280</v>
          </cell>
          <cell r="L23">
            <v>280</v>
          </cell>
          <cell r="M23">
            <v>280</v>
          </cell>
          <cell r="N23">
            <v>280</v>
          </cell>
        </row>
        <row r="47">
          <cell r="A47" t="str">
            <v>Price ($/t)</v>
          </cell>
        </row>
        <row r="48">
          <cell r="A48" t="str">
            <v>Ammonium Nitrate</v>
          </cell>
          <cell r="C48">
            <v>315</v>
          </cell>
          <cell r="D48">
            <v>320</v>
          </cell>
          <cell r="E48">
            <v>305</v>
          </cell>
          <cell r="F48">
            <v>315</v>
          </cell>
          <cell r="G48">
            <v>320</v>
          </cell>
          <cell r="H48">
            <v>370</v>
          </cell>
          <cell r="I48">
            <v>400</v>
          </cell>
          <cell r="J48">
            <v>370</v>
          </cell>
          <cell r="K48">
            <v>370</v>
          </cell>
          <cell r="L48">
            <v>370</v>
          </cell>
          <cell r="M48">
            <v>370</v>
          </cell>
          <cell r="N48">
            <v>370</v>
          </cell>
        </row>
        <row r="49">
          <cell r="A49" t="str">
            <v>Sodium Cyanide</v>
          </cell>
          <cell r="C49">
            <v>1350</v>
          </cell>
          <cell r="D49">
            <v>1350</v>
          </cell>
          <cell r="E49">
            <v>1350</v>
          </cell>
          <cell r="F49">
            <v>1560</v>
          </cell>
          <cell r="G49">
            <v>1559.52194969536</v>
          </cell>
          <cell r="H49">
            <v>1701.2611665790855</v>
          </cell>
          <cell r="I49">
            <v>1714.2500935045505</v>
          </cell>
          <cell r="J49">
            <v>1600</v>
          </cell>
          <cell r="K49">
            <v>1600</v>
          </cell>
          <cell r="L49">
            <v>1600</v>
          </cell>
          <cell r="M49">
            <v>1600</v>
          </cell>
          <cell r="N49">
            <v>1600</v>
          </cell>
        </row>
        <row r="50">
          <cell r="A50" t="str">
            <v>Chlorine</v>
          </cell>
          <cell r="C50">
            <v>600</v>
          </cell>
          <cell r="D50">
            <v>600</v>
          </cell>
          <cell r="E50">
            <v>600</v>
          </cell>
          <cell r="F50">
            <v>700</v>
          </cell>
          <cell r="G50">
            <v>320</v>
          </cell>
          <cell r="H50">
            <v>350</v>
          </cell>
          <cell r="I50">
            <v>450</v>
          </cell>
          <cell r="J50">
            <v>450</v>
          </cell>
          <cell r="K50">
            <v>450</v>
          </cell>
          <cell r="L50">
            <v>450</v>
          </cell>
          <cell r="M50">
            <v>450</v>
          </cell>
          <cell r="N50">
            <v>450</v>
          </cell>
        </row>
        <row r="51">
          <cell r="A51" t="str">
            <v>Caustic Soda</v>
          </cell>
          <cell r="C51">
            <v>450</v>
          </cell>
          <cell r="D51">
            <v>450</v>
          </cell>
          <cell r="E51">
            <v>350</v>
          </cell>
          <cell r="F51">
            <v>100</v>
          </cell>
          <cell r="G51">
            <v>250</v>
          </cell>
          <cell r="H51">
            <v>250</v>
          </cell>
          <cell r="I51">
            <v>250</v>
          </cell>
          <cell r="J51">
            <v>250</v>
          </cell>
          <cell r="K51">
            <v>250</v>
          </cell>
          <cell r="L51">
            <v>250</v>
          </cell>
          <cell r="M51">
            <v>250</v>
          </cell>
          <cell r="N51">
            <v>250</v>
          </cell>
        </row>
        <row r="52">
          <cell r="A52" t="str">
            <v>Acid - H2SO4</v>
          </cell>
          <cell r="C52">
            <v>200</v>
          </cell>
          <cell r="D52">
            <v>200</v>
          </cell>
          <cell r="E52">
            <v>200</v>
          </cell>
          <cell r="F52">
            <v>200</v>
          </cell>
          <cell r="G52">
            <v>100</v>
          </cell>
          <cell r="H52">
            <v>110</v>
          </cell>
          <cell r="I52">
            <v>110</v>
          </cell>
          <cell r="J52">
            <v>110</v>
          </cell>
          <cell r="K52">
            <v>110</v>
          </cell>
          <cell r="L52">
            <v>110</v>
          </cell>
          <cell r="M52">
            <v>110</v>
          </cell>
          <cell r="N52">
            <v>110</v>
          </cell>
        </row>
        <row r="53">
          <cell r="A53" t="str">
            <v>Acid - HCl</v>
          </cell>
          <cell r="C53">
            <v>250</v>
          </cell>
          <cell r="D53">
            <v>200</v>
          </cell>
          <cell r="E53">
            <v>200</v>
          </cell>
          <cell r="F53">
            <v>200</v>
          </cell>
          <cell r="G53">
            <v>100</v>
          </cell>
          <cell r="H53">
            <v>100</v>
          </cell>
          <cell r="I53">
            <v>110</v>
          </cell>
          <cell r="J53">
            <v>110</v>
          </cell>
          <cell r="K53">
            <v>110</v>
          </cell>
          <cell r="L53">
            <v>110</v>
          </cell>
          <cell r="M53">
            <v>110</v>
          </cell>
          <cell r="N53">
            <v>110</v>
          </cell>
        </row>
        <row r="54">
          <cell r="A54" t="str">
            <v>Ammonia/Other</v>
          </cell>
          <cell r="C54">
            <v>300</v>
          </cell>
          <cell r="D54">
            <v>300</v>
          </cell>
          <cell r="E54">
            <v>250</v>
          </cell>
          <cell r="F54">
            <v>200</v>
          </cell>
          <cell r="G54">
            <v>210</v>
          </cell>
          <cell r="H54">
            <v>250</v>
          </cell>
          <cell r="I54">
            <v>230</v>
          </cell>
          <cell r="J54">
            <v>200</v>
          </cell>
          <cell r="K54">
            <v>230</v>
          </cell>
          <cell r="L54">
            <v>240</v>
          </cell>
          <cell r="M54">
            <v>240</v>
          </cell>
          <cell r="N54">
            <v>240</v>
          </cell>
        </row>
        <row r="67">
          <cell r="A67" t="str">
            <v>Summary</v>
          </cell>
        </row>
        <row r="69">
          <cell r="A69" t="str">
            <v>Sales ($m)</v>
          </cell>
        </row>
        <row r="70">
          <cell r="A70" t="str">
            <v>Fertilisers</v>
          </cell>
          <cell r="C70">
            <v>194.56000000000003</v>
          </cell>
          <cell r="D70">
            <v>215.44999999999985</v>
          </cell>
          <cell r="E70">
            <v>216.82499999999999</v>
          </cell>
          <cell r="F70">
            <v>233.25800000000001</v>
          </cell>
          <cell r="G70">
            <v>268.64087499999999</v>
          </cell>
          <cell r="H70">
            <v>302.40323999999998</v>
          </cell>
          <cell r="I70">
            <v>352.25399999999996</v>
          </cell>
          <cell r="J70">
            <v>348.30210000000005</v>
          </cell>
          <cell r="K70">
            <v>319.47909599999997</v>
          </cell>
          <cell r="L70">
            <v>325.8686779200001</v>
          </cell>
          <cell r="M70">
            <v>332.38605147840002</v>
          </cell>
          <cell r="N70">
            <v>339.03377250796802</v>
          </cell>
        </row>
        <row r="71">
          <cell r="A71" t="str">
            <v>Chemicals</v>
          </cell>
        </row>
        <row r="72">
          <cell r="A72" t="str">
            <v>Ammonium Nitrate</v>
          </cell>
          <cell r="C72">
            <v>36.225000000000001</v>
          </cell>
          <cell r="D72">
            <v>35.200000000000003</v>
          </cell>
          <cell r="E72">
            <v>35.075000000000003</v>
          </cell>
          <cell r="F72">
            <v>37.799999999999997</v>
          </cell>
          <cell r="G72">
            <v>34.335999999999999</v>
          </cell>
          <cell r="H72">
            <v>41.271279999999997</v>
          </cell>
          <cell r="I72">
            <v>69.2</v>
          </cell>
          <cell r="J72">
            <v>66.599999999999994</v>
          </cell>
          <cell r="K72">
            <v>74</v>
          </cell>
          <cell r="L72">
            <v>77.7</v>
          </cell>
          <cell r="M72">
            <v>81.584999999999994</v>
          </cell>
          <cell r="N72">
            <v>85.664249999999996</v>
          </cell>
        </row>
        <row r="73">
          <cell r="A73" t="str">
            <v>Sodium Cyanide</v>
          </cell>
          <cell r="C73">
            <v>20.25</v>
          </cell>
          <cell r="D73">
            <v>27</v>
          </cell>
          <cell r="E73">
            <v>29.7</v>
          </cell>
          <cell r="F73">
            <v>39</v>
          </cell>
          <cell r="G73">
            <v>39.93</v>
          </cell>
          <cell r="H73">
            <v>51.8</v>
          </cell>
          <cell r="I73">
            <v>55</v>
          </cell>
          <cell r="J73">
            <v>51.2</v>
          </cell>
          <cell r="K73">
            <v>64</v>
          </cell>
          <cell r="L73">
            <v>64</v>
          </cell>
          <cell r="M73">
            <v>67.2</v>
          </cell>
          <cell r="N73">
            <v>67.2</v>
          </cell>
        </row>
        <row r="74">
          <cell r="A74" t="str">
            <v>Other</v>
          </cell>
          <cell r="C74">
            <v>32.700000000000003</v>
          </cell>
          <cell r="D74">
            <v>34.299999999999997</v>
          </cell>
          <cell r="E74">
            <v>29.55</v>
          </cell>
          <cell r="F74">
            <v>25.23</v>
          </cell>
          <cell r="G74">
            <v>21.366280000000003</v>
          </cell>
          <cell r="H74">
            <v>17.748799999999999</v>
          </cell>
          <cell r="I74">
            <v>14.809999999999999</v>
          </cell>
          <cell r="J74">
            <v>13.149999999999999</v>
          </cell>
          <cell r="K74">
            <v>16.799999999999997</v>
          </cell>
          <cell r="L74">
            <v>66.25</v>
          </cell>
          <cell r="M74">
            <v>71.05</v>
          </cell>
          <cell r="N74">
            <v>71.05</v>
          </cell>
        </row>
        <row r="75">
          <cell r="A75" t="str">
            <v>Total</v>
          </cell>
          <cell r="C75">
            <v>283.73500000000001</v>
          </cell>
          <cell r="D75">
            <v>311.94999999999987</v>
          </cell>
          <cell r="E75">
            <v>311.14999999999998</v>
          </cell>
          <cell r="F75">
            <v>335.28800000000001</v>
          </cell>
          <cell r="G75">
            <v>364.27315500000003</v>
          </cell>
          <cell r="H75">
            <v>413.22332</v>
          </cell>
          <cell r="I75">
            <v>491.26399999999995</v>
          </cell>
          <cell r="J75">
            <v>479.25209999999998</v>
          </cell>
          <cell r="K75">
            <v>474.27909599999998</v>
          </cell>
          <cell r="L75">
            <v>533.81867792000003</v>
          </cell>
          <cell r="M75">
            <v>552.2210514784</v>
          </cell>
          <cell r="N75">
            <v>562.94802250796795</v>
          </cell>
        </row>
        <row r="76">
          <cell r="A76" t="str">
            <v>Actual/Forecast</v>
          </cell>
          <cell r="C76">
            <v>267</v>
          </cell>
          <cell r="D76">
            <v>288.3</v>
          </cell>
          <cell r="E76">
            <v>297.56</v>
          </cell>
          <cell r="F76">
            <v>325.01900000000001</v>
          </cell>
          <cell r="G76">
            <v>365.75599999999997</v>
          </cell>
          <cell r="H76">
            <v>415.4</v>
          </cell>
          <cell r="I76">
            <v>489.69399999999996</v>
          </cell>
          <cell r="J76">
            <v>467.59199999999998</v>
          </cell>
          <cell r="K76">
            <v>434.86055999999996</v>
          </cell>
          <cell r="L76">
            <v>478.34661599999998</v>
          </cell>
          <cell r="M76">
            <v>492.69701448000001</v>
          </cell>
          <cell r="N76">
            <v>502.55095476960003</v>
          </cell>
        </row>
        <row r="78">
          <cell r="A78" t="str">
            <v>EBIT ($m)</v>
          </cell>
        </row>
        <row r="79">
          <cell r="A79" t="str">
            <v>Fertilisers</v>
          </cell>
          <cell r="E79">
            <v>22</v>
          </cell>
          <cell r="F79">
            <v>28.5</v>
          </cell>
          <cell r="G79">
            <v>21</v>
          </cell>
          <cell r="H79">
            <v>31</v>
          </cell>
          <cell r="I79">
            <v>40.509209999999996</v>
          </cell>
          <cell r="J79">
            <v>41.796252000000003</v>
          </cell>
          <cell r="K79">
            <v>31.947909599999999</v>
          </cell>
          <cell r="L79">
            <v>32.586867792000014</v>
          </cell>
          <cell r="M79">
            <v>36.562465662624</v>
          </cell>
          <cell r="N79">
            <v>37.293714975876483</v>
          </cell>
        </row>
        <row r="80">
          <cell r="A80" t="str">
            <v>Chemicals</v>
          </cell>
        </row>
        <row r="81">
          <cell r="A81" t="str">
            <v>Ammonium Nitrate</v>
          </cell>
          <cell r="E81">
            <v>5</v>
          </cell>
          <cell r="F81">
            <v>6.5</v>
          </cell>
          <cell r="G81">
            <v>6.5</v>
          </cell>
          <cell r="H81">
            <v>6</v>
          </cell>
          <cell r="I81">
            <v>13.840000000000002</v>
          </cell>
          <cell r="J81">
            <v>14.651999999999999</v>
          </cell>
          <cell r="K81">
            <v>14.8</v>
          </cell>
          <cell r="L81">
            <v>13.986000000000001</v>
          </cell>
          <cell r="M81">
            <v>13.053599999999999</v>
          </cell>
          <cell r="N81">
            <v>12.849637499999998</v>
          </cell>
        </row>
        <row r="82">
          <cell r="A82" t="str">
            <v>Ammonium Nitrate (Moura)</v>
          </cell>
          <cell r="M82">
            <v>2.5</v>
          </cell>
          <cell r="N82">
            <v>5.5</v>
          </cell>
        </row>
        <row r="83">
          <cell r="A83" t="str">
            <v>Sodium Cyanide</v>
          </cell>
          <cell r="E83">
            <v>8.8671875</v>
          </cell>
          <cell r="F83">
            <v>15.8046875</v>
          </cell>
          <cell r="G83">
            <v>14.6875</v>
          </cell>
          <cell r="H83">
            <v>16.482291666666665</v>
          </cell>
          <cell r="I83">
            <v>24.75</v>
          </cell>
          <cell r="J83">
            <v>20.992000000000001</v>
          </cell>
          <cell r="K83">
            <v>22.4</v>
          </cell>
          <cell r="L83">
            <v>19.2</v>
          </cell>
          <cell r="M83">
            <v>20.16</v>
          </cell>
          <cell r="N83">
            <v>20.16</v>
          </cell>
        </row>
        <row r="84">
          <cell r="A84" t="str">
            <v>Other</v>
          </cell>
          <cell r="E84">
            <v>3</v>
          </cell>
          <cell r="F84">
            <v>2.75</v>
          </cell>
          <cell r="G84">
            <v>2.4</v>
          </cell>
          <cell r="H84">
            <v>2</v>
          </cell>
          <cell r="I84">
            <v>1.6290999999999998</v>
          </cell>
          <cell r="J84">
            <v>1.4464999999999999</v>
          </cell>
          <cell r="K84">
            <v>1.8479999999999996</v>
          </cell>
          <cell r="L84">
            <v>7.9499999999999993</v>
          </cell>
          <cell r="M84">
            <v>8.5259999999999998</v>
          </cell>
          <cell r="N84">
            <v>8.5259999999999998</v>
          </cell>
        </row>
        <row r="85">
          <cell r="A85" t="str">
            <v>Total</v>
          </cell>
          <cell r="E85">
            <v>38.8671875</v>
          </cell>
          <cell r="F85">
            <v>53.5546875</v>
          </cell>
          <cell r="G85">
            <v>44.587499999999999</v>
          </cell>
          <cell r="H85">
            <v>55.482291666666669</v>
          </cell>
          <cell r="I85">
            <v>80.728309999999993</v>
          </cell>
          <cell r="J85">
            <v>78.886752000000001</v>
          </cell>
          <cell r="K85">
            <v>70.99590959999999</v>
          </cell>
          <cell r="L85">
            <v>73.722867792000017</v>
          </cell>
          <cell r="M85">
            <v>80.802065662623988</v>
          </cell>
          <cell r="N85">
            <v>84.329352475876476</v>
          </cell>
        </row>
        <row r="86">
          <cell r="A86" t="str">
            <v>Actual/Forecast</v>
          </cell>
          <cell r="C86">
            <v>36.545999999999999</v>
          </cell>
          <cell r="D86">
            <v>48.591000000000001</v>
          </cell>
          <cell r="E86">
            <v>39.082000000000001</v>
          </cell>
          <cell r="F86">
            <v>53.901000000000003</v>
          </cell>
          <cell r="G86">
            <v>44.9</v>
          </cell>
          <cell r="H86">
            <v>55.253999999999998</v>
          </cell>
          <cell r="I86">
            <v>80.760000000000005</v>
          </cell>
          <cell r="J86">
            <v>78.692999999999998</v>
          </cell>
          <cell r="K86">
            <v>60.880478400000001</v>
          </cell>
          <cell r="L86">
            <v>71.751992399999992</v>
          </cell>
          <cell r="M86">
            <v>78.831522316800005</v>
          </cell>
          <cell r="N86">
            <v>80.408152763136002</v>
          </cell>
        </row>
        <row r="88">
          <cell r="A88" t="str">
            <v>Capital Employed</v>
          </cell>
          <cell r="F88">
            <v>242.1</v>
          </cell>
          <cell r="G88">
            <v>273.7</v>
          </cell>
          <cell r="H88">
            <v>342.1</v>
          </cell>
          <cell r="I88">
            <v>325.89999999999998</v>
          </cell>
          <cell r="J88">
            <v>353.1</v>
          </cell>
        </row>
        <row r="89">
          <cell r="A89" t="str">
            <v>Capital Expenditure</v>
          </cell>
          <cell r="F89">
            <v>18.399999999999999</v>
          </cell>
          <cell r="G89">
            <v>65.900000000000006</v>
          </cell>
          <cell r="H89">
            <v>61.8</v>
          </cell>
          <cell r="I89">
            <v>23.9</v>
          </cell>
          <cell r="J89">
            <v>105.8</v>
          </cell>
        </row>
        <row r="92">
          <cell r="A92" t="str">
            <v>Sales Growth (%)</v>
          </cell>
        </row>
        <row r="93">
          <cell r="A93" t="str">
            <v>Fertilisers</v>
          </cell>
          <cell r="D93">
            <v>0.10737047697368318</v>
          </cell>
          <cell r="E93">
            <v>6.3819911812492691E-3</v>
          </cell>
          <cell r="F93">
            <v>7.5789230946615938E-2</v>
          </cell>
          <cell r="G93">
            <v>0.15168986701420728</v>
          </cell>
          <cell r="H93">
            <v>0.12567843594166361</v>
          </cell>
          <cell r="I93">
            <v>0.16484863059006893</v>
          </cell>
          <cell r="J93">
            <v>-1.1218893185030998E-2</v>
          </cell>
          <cell r="K93">
            <v>-8.2752886072177234E-2</v>
          </cell>
          <cell r="L93">
            <v>2.0000000000000462E-2</v>
          </cell>
          <cell r="M93">
            <v>1.9999999999999796E-2</v>
          </cell>
          <cell r="N93">
            <v>2.0000000000000018E-2</v>
          </cell>
        </row>
        <row r="94">
          <cell r="A94" t="str">
            <v>Chemicals</v>
          </cell>
        </row>
        <row r="95">
          <cell r="A95" t="str">
            <v>Ammonium Nitrate</v>
          </cell>
          <cell r="D95">
            <v>-2.8295376121463045E-2</v>
          </cell>
          <cell r="E95">
            <v>-3.5511363636363535E-3</v>
          </cell>
          <cell r="F95">
            <v>7.7690662865288473E-2</v>
          </cell>
          <cell r="G95">
            <v>-9.1640211640211633E-2</v>
          </cell>
          <cell r="H95">
            <v>0.20198275862068971</v>
          </cell>
          <cell r="I95">
            <v>0.67671077805195301</v>
          </cell>
          <cell r="J95">
            <v>-3.7572254335260236E-2</v>
          </cell>
          <cell r="K95">
            <v>0.11111111111111116</v>
          </cell>
          <cell r="L95">
            <v>5.0000000000000044E-2</v>
          </cell>
          <cell r="M95">
            <v>4.9999999999999822E-2</v>
          </cell>
          <cell r="N95">
            <v>5.0000000000000044E-2</v>
          </cell>
        </row>
        <row r="96">
          <cell r="A96" t="str">
            <v>Sodium Cyanide</v>
          </cell>
          <cell r="D96">
            <v>0.33333333333333326</v>
          </cell>
          <cell r="E96">
            <v>9.9999999999999867E-2</v>
          </cell>
          <cell r="F96">
            <v>0.31313131313131315</v>
          </cell>
          <cell r="G96">
            <v>2.384615384615385E-2</v>
          </cell>
          <cell r="H96">
            <v>0.29727022289005745</v>
          </cell>
          <cell r="I96">
            <v>6.1776061776061875E-2</v>
          </cell>
          <cell r="J96">
            <v>-6.9090909090909092E-2</v>
          </cell>
          <cell r="K96">
            <v>0.25</v>
          </cell>
          <cell r="L96">
            <v>0</v>
          </cell>
          <cell r="M96">
            <v>5.0000000000000044E-2</v>
          </cell>
          <cell r="N96">
            <v>0</v>
          </cell>
        </row>
        <row r="97">
          <cell r="A97" t="str">
            <v>Other</v>
          </cell>
          <cell r="D97">
            <v>4.8929663608562546E-2</v>
          </cell>
          <cell r="E97">
            <v>-0.13848396501457716</v>
          </cell>
          <cell r="F97">
            <v>-0.14619289340101527</v>
          </cell>
          <cell r="G97">
            <v>-0.1531399128022195</v>
          </cell>
          <cell r="H97">
            <v>-0.16930790011176511</v>
          </cell>
          <cell r="I97">
            <v>-0.16557739114757053</v>
          </cell>
          <cell r="J97">
            <v>-0.11208642808912894</v>
          </cell>
          <cell r="K97">
            <v>0.27756653992395419</v>
          </cell>
          <cell r="L97">
            <v>2.9434523809523818</v>
          </cell>
          <cell r="M97">
            <v>7.2452830188679096E-2</v>
          </cell>
          <cell r="N97">
            <v>0</v>
          </cell>
        </row>
        <row r="98">
          <cell r="A98" t="str">
            <v>Total</v>
          </cell>
          <cell r="D98">
            <v>9.9441380161065185E-2</v>
          </cell>
          <cell r="E98">
            <v>-2.5645135438367994E-3</v>
          </cell>
          <cell r="F98">
            <v>7.7576731479993777E-2</v>
          </cell>
          <cell r="G98">
            <v>8.6448530815299129E-2</v>
          </cell>
          <cell r="H98">
            <v>0.13437763482735909</v>
          </cell>
          <cell r="I98">
            <v>0.1888583635599268</v>
          </cell>
          <cell r="J98">
            <v>-2.4451008011985298E-2</v>
          </cell>
          <cell r="K98">
            <v>-1.0376593029013392E-2</v>
          </cell>
          <cell r="L98">
            <v>0.12553701485506763</v>
          </cell>
          <cell r="M98">
            <v>3.4473079192552714E-2</v>
          </cell>
          <cell r="N98">
            <v>1.94251396263323E-2</v>
          </cell>
        </row>
        <row r="100">
          <cell r="A100" t="str">
            <v>EBIT Margin (%)</v>
          </cell>
        </row>
        <row r="101">
          <cell r="A101" t="str">
            <v>Fertilisers</v>
          </cell>
          <cell r="E101">
            <v>0.10146431453937507</v>
          </cell>
          <cell r="F101">
            <v>0.12218230457261915</v>
          </cell>
          <cell r="G101">
            <v>7.8171276057673655E-2</v>
          </cell>
          <cell r="H101">
            <v>0.10251212916898643</v>
          </cell>
          <cell r="I101">
            <v>0.115</v>
          </cell>
          <cell r="J101">
            <v>0.12</v>
          </cell>
          <cell r="K101">
            <v>0.1</v>
          </cell>
          <cell r="L101">
            <v>0.1</v>
          </cell>
          <cell r="M101">
            <v>0.11</v>
          </cell>
          <cell r="N101">
            <v>0.11</v>
          </cell>
        </row>
        <row r="102">
          <cell r="A102" t="str">
            <v>Chemicals</v>
          </cell>
        </row>
        <row r="103">
          <cell r="A103" t="str">
            <v>Ammonium Nitrate</v>
          </cell>
          <cell r="E103">
            <v>0.14255167498218102</v>
          </cell>
          <cell r="F103">
            <v>0.17195767195767198</v>
          </cell>
          <cell r="G103">
            <v>0.18930568499534017</v>
          </cell>
          <cell r="H103">
            <v>0.14537954722993812</v>
          </cell>
          <cell r="I103">
            <v>0.2</v>
          </cell>
          <cell r="J103">
            <v>0.22</v>
          </cell>
          <cell r="K103">
            <v>0.2</v>
          </cell>
          <cell r="L103">
            <v>0.18</v>
          </cell>
          <cell r="M103">
            <v>0.16</v>
          </cell>
          <cell r="N103">
            <v>0.15</v>
          </cell>
        </row>
        <row r="104">
          <cell r="A104" t="str">
            <v>Sodium Cyanide</v>
          </cell>
          <cell r="E104">
            <v>0.29855850168350168</v>
          </cell>
          <cell r="F104">
            <v>0.40524839743589741</v>
          </cell>
          <cell r="G104">
            <v>0.36783120460806412</v>
          </cell>
          <cell r="H104">
            <v>0.31819095881595882</v>
          </cell>
          <cell r="I104">
            <v>0.45</v>
          </cell>
          <cell r="J104">
            <v>0.41</v>
          </cell>
          <cell r="K104">
            <v>0.35</v>
          </cell>
          <cell r="L104">
            <v>0.3</v>
          </cell>
          <cell r="M104">
            <v>0.3</v>
          </cell>
          <cell r="N104">
            <v>0.3</v>
          </cell>
        </row>
        <row r="105">
          <cell r="A105" t="str">
            <v>Other</v>
          </cell>
          <cell r="E105">
            <v>0.10152284263959391</v>
          </cell>
          <cell r="F105">
            <v>0.10899722552516845</v>
          </cell>
          <cell r="G105">
            <v>0.11232652572183831</v>
          </cell>
          <cell r="H105">
            <v>0.11268367438925449</v>
          </cell>
          <cell r="I105">
            <v>0.11</v>
          </cell>
          <cell r="J105">
            <v>0.11</v>
          </cell>
          <cell r="K105">
            <v>0.11</v>
          </cell>
          <cell r="L105">
            <v>0.12</v>
          </cell>
          <cell r="M105">
            <v>0.12</v>
          </cell>
          <cell r="N105">
            <v>0.12</v>
          </cell>
        </row>
        <row r="106">
          <cell r="A106" t="str">
            <v>Total</v>
          </cell>
          <cell r="E106">
            <v>0.12491463120681344</v>
          </cell>
          <cell r="F106">
            <v>0.15972742090382</v>
          </cell>
          <cell r="G106">
            <v>0.12240127878761749</v>
          </cell>
          <cell r="H106">
            <v>0.13426708750771052</v>
          </cell>
          <cell r="I106">
            <v>0.16432775452709744</v>
          </cell>
          <cell r="J106">
            <v>0.16460387341025737</v>
          </cell>
          <cell r="K106">
            <v>0.14969225968162847</v>
          </cell>
          <cell r="L106">
            <v>0.13810469891997371</v>
          </cell>
          <cell r="M106">
            <v>0.14632195829242947</v>
          </cell>
          <cell r="N106">
            <v>0.1497995358437961</v>
          </cell>
        </row>
        <row r="109">
          <cell r="A109" t="str">
            <v>% of Fertiliser Sales</v>
          </cell>
        </row>
        <row r="110">
          <cell r="A110" t="str">
            <v>SSP + trace</v>
          </cell>
          <cell r="B110">
            <v>0.38500942264862076</v>
          </cell>
          <cell r="C110">
            <v>0.26125616776315785</v>
          </cell>
          <cell r="D110">
            <v>0.26546762589928075</v>
          </cell>
          <cell r="E110">
            <v>0.22305084745762713</v>
          </cell>
          <cell r="F110">
            <v>0.24514914815354671</v>
          </cell>
          <cell r="G110">
            <v>0.23094698451976084</v>
          </cell>
          <cell r="H110">
            <v>0.202000811896063</v>
          </cell>
          <cell r="I110">
            <v>0.18174385528624232</v>
          </cell>
          <cell r="J110">
            <v>0.18714788110666</v>
          </cell>
          <cell r="K110">
            <v>0.20160924707261602</v>
          </cell>
          <cell r="L110">
            <v>0.20160924707261596</v>
          </cell>
          <cell r="M110">
            <v>0.20160924707261604</v>
          </cell>
          <cell r="N110">
            <v>0.20160924707261602</v>
          </cell>
        </row>
        <row r="111">
          <cell r="A111" t="str">
            <v>Dbl/Trp + SSP/potash</v>
          </cell>
          <cell r="B111">
            <v>0.19448346753469264</v>
          </cell>
          <cell r="C111">
            <v>0.17824835526315816</v>
          </cell>
          <cell r="D111">
            <v>0.14010211185889945</v>
          </cell>
          <cell r="E111">
            <v>0.16378185172374027</v>
          </cell>
          <cell r="F111">
            <v>0.1443037323478723</v>
          </cell>
          <cell r="G111">
            <v>0.14437452975091747</v>
          </cell>
          <cell r="H111">
            <v>0.1148945692513083</v>
          </cell>
          <cell r="I111">
            <v>0.1171029995401046</v>
          </cell>
          <cell r="J111">
            <v>0.1159682930421608</v>
          </cell>
          <cell r="K111">
            <v>0.12358611406612972</v>
          </cell>
          <cell r="L111">
            <v>0.12358611406612968</v>
          </cell>
          <cell r="M111">
            <v>0.1235861140661297</v>
          </cell>
          <cell r="N111">
            <v>0.12358611406612974</v>
          </cell>
        </row>
        <row r="112">
          <cell r="A112" t="str">
            <v>DAP</v>
          </cell>
          <cell r="B112">
            <v>0.1223231111872537</v>
          </cell>
          <cell r="C112">
            <v>0.16036184210526314</v>
          </cell>
          <cell r="D112">
            <v>0.16082617776746355</v>
          </cell>
          <cell r="E112">
            <v>0.1646489104116223</v>
          </cell>
          <cell r="F112">
            <v>6.5592605612669233E-2</v>
          </cell>
          <cell r="G112">
            <v>5.1452929491835525E-2</v>
          </cell>
          <cell r="H112">
            <v>2.4495107922785489E-2</v>
          </cell>
          <cell r="I112">
            <v>1.7782622766526427E-2</v>
          </cell>
          <cell r="J112">
            <v>1.7984387691030283E-2</v>
          </cell>
          <cell r="K112">
            <v>1.8887996352662771E-2</v>
          </cell>
          <cell r="L112">
            <v>1.8887996352662768E-2</v>
          </cell>
          <cell r="M112">
            <v>1.8887996352662775E-2</v>
          </cell>
          <cell r="N112">
            <v>1.8887996352662771E-2</v>
          </cell>
        </row>
        <row r="113">
          <cell r="A113" t="str">
            <v>Agras</v>
          </cell>
          <cell r="B113">
            <v>0.1911941065615898</v>
          </cell>
          <cell r="C113">
            <v>0.23900082236842102</v>
          </cell>
          <cell r="D113">
            <v>0.26511951728939448</v>
          </cell>
          <cell r="E113">
            <v>0.26772742995503285</v>
          </cell>
          <cell r="F113">
            <v>0.35535758687804919</v>
          </cell>
          <cell r="G113">
            <v>0.35082178019260851</v>
          </cell>
          <cell r="H113">
            <v>0.46467293141435917</v>
          </cell>
          <cell r="I113">
            <v>0.46063352013036052</v>
          </cell>
          <cell r="J113">
            <v>0.45642015939611041</v>
          </cell>
          <cell r="K113">
            <v>0.44497514165997271</v>
          </cell>
          <cell r="L113">
            <v>0.4449751416599726</v>
          </cell>
          <cell r="M113">
            <v>0.44497514165997265</v>
          </cell>
          <cell r="N113">
            <v>0.44497514165997265</v>
          </cell>
        </row>
        <row r="114">
          <cell r="A114" t="str">
            <v>UREA</v>
          </cell>
          <cell r="B114">
            <v>5.5593626863114601E-2</v>
          </cell>
          <cell r="C114">
            <v>8.8661595394736822E-2</v>
          </cell>
          <cell r="D114">
            <v>9.6077976328614589E-2</v>
          </cell>
          <cell r="E114">
            <v>0.1033091202582728</v>
          </cell>
          <cell r="F114">
            <v>0.12829141980125011</v>
          </cell>
          <cell r="G114">
            <v>0.15986675519873883</v>
          </cell>
          <cell r="H114">
            <v>0.13190020715386513</v>
          </cell>
          <cell r="I114">
            <v>0.190941763613756</v>
          </cell>
          <cell r="J114">
            <v>0.18802642878122178</v>
          </cell>
          <cell r="K114">
            <v>0.17518329274351019</v>
          </cell>
          <cell r="L114">
            <v>0.17518329274351016</v>
          </cell>
          <cell r="M114">
            <v>0.17518329274351019</v>
          </cell>
          <cell r="N114">
            <v>0.17518329274351022</v>
          </cell>
        </row>
        <row r="115">
          <cell r="A115" t="str">
            <v>Other (domestic)</v>
          </cell>
          <cell r="B115">
            <v>5.1396265204728439E-2</v>
          </cell>
          <cell r="C115">
            <v>7.247121710526315E-2</v>
          </cell>
          <cell r="D115">
            <v>7.2406590856347236E-2</v>
          </cell>
          <cell r="E115">
            <v>7.7481840193704604E-2</v>
          </cell>
          <cell r="F115">
            <v>6.1305507206612424E-2</v>
          </cell>
          <cell r="G115">
            <v>6.2537020846138922E-2</v>
          </cell>
          <cell r="H115">
            <v>6.2036372361618887E-2</v>
          </cell>
          <cell r="I115">
            <v>3.1795238663010213E-2</v>
          </cell>
          <cell r="J115">
            <v>3.4452849982816634E-2</v>
          </cell>
          <cell r="K115">
            <v>3.5758208105108699E-2</v>
          </cell>
          <cell r="L115">
            <v>3.5758208105108685E-2</v>
          </cell>
          <cell r="M115">
            <v>3.5758208105108699E-2</v>
          </cell>
          <cell r="N115">
            <v>3.5758208105108699E-2</v>
          </cell>
        </row>
        <row r="116">
          <cell r="A116" t="str">
            <v>Total</v>
          </cell>
          <cell r="B116">
            <v>1</v>
          </cell>
          <cell r="C116">
            <v>1</v>
          </cell>
          <cell r="D116">
            <v>1</v>
          </cell>
          <cell r="E116">
            <v>1</v>
          </cell>
          <cell r="F116">
            <v>1</v>
          </cell>
          <cell r="G116">
            <v>1</v>
          </cell>
          <cell r="H116">
            <v>1</v>
          </cell>
          <cell r="I116">
            <v>1</v>
          </cell>
          <cell r="J116">
            <v>1</v>
          </cell>
          <cell r="K116">
            <v>1</v>
          </cell>
          <cell r="L116">
            <v>1</v>
          </cell>
          <cell r="M116">
            <v>1</v>
          </cell>
          <cell r="N116">
            <v>1</v>
          </cell>
        </row>
        <row r="117">
          <cell r="A117" t="str">
            <v>Total - Rural</v>
          </cell>
          <cell r="B117">
            <v>0.9486037347952716</v>
          </cell>
          <cell r="C117">
            <v>0.92752878289473684</v>
          </cell>
          <cell r="D117">
            <v>0.92759340914365285</v>
          </cell>
          <cell r="E117">
            <v>0.92251815980629537</v>
          </cell>
          <cell r="F117">
            <v>0.93869449279338757</v>
          </cell>
          <cell r="G117">
            <v>0.93746297915386112</v>
          </cell>
          <cell r="H117">
            <v>0.93796362763838115</v>
          </cell>
          <cell r="I117">
            <v>0.96820476133698985</v>
          </cell>
          <cell r="J117">
            <v>0.96554715001718339</v>
          </cell>
          <cell r="K117">
            <v>0.96424179189489134</v>
          </cell>
          <cell r="L117">
            <v>0.96424179189489123</v>
          </cell>
          <cell r="M117">
            <v>0.96424179189489134</v>
          </cell>
          <cell r="N117">
            <v>0.96424179189489123</v>
          </cell>
        </row>
        <row r="119">
          <cell r="A119" t="str">
            <v>% of Chemical Sales</v>
          </cell>
        </row>
        <row r="120">
          <cell r="A120" t="str">
            <v>Ammonium Nitrate</v>
          </cell>
          <cell r="C120">
            <v>0.4062237174095879</v>
          </cell>
          <cell r="D120">
            <v>0.36476683937823839</v>
          </cell>
          <cell r="E120">
            <v>0.3718526371587596</v>
          </cell>
          <cell r="F120">
            <v>0.3704792708027051</v>
          </cell>
          <cell r="G120">
            <v>0.35904194692419761</v>
          </cell>
          <cell r="H120">
            <v>0.37241698435879128</v>
          </cell>
          <cell r="I120">
            <v>0.49780591324365159</v>
          </cell>
          <cell r="J120">
            <v>0.50859106529209619</v>
          </cell>
          <cell r="K120">
            <v>0.47803617571059437</v>
          </cell>
          <cell r="L120">
            <v>0.4444317336841504</v>
          </cell>
          <cell r="M120">
            <v>0.44379470721027009</v>
          </cell>
          <cell r="N120">
            <v>0.45586883378988025</v>
          </cell>
        </row>
        <row r="121">
          <cell r="A121" t="str">
            <v>Sodium Cyanide</v>
          </cell>
          <cell r="C121">
            <v>0.2270815811606392</v>
          </cell>
          <cell r="D121">
            <v>0.27979274611398963</v>
          </cell>
          <cell r="E121">
            <v>0.314868804664723</v>
          </cell>
          <cell r="F121">
            <v>0.38224051749485449</v>
          </cell>
          <cell r="G121">
            <v>0.41753684007115599</v>
          </cell>
          <cell r="H121">
            <v>0.46742431516021288</v>
          </cell>
          <cell r="I121">
            <v>0.39565498884972305</v>
          </cell>
          <cell r="J121">
            <v>0.39098892707140137</v>
          </cell>
          <cell r="K121">
            <v>0.41343669250645998</v>
          </cell>
          <cell r="L121">
            <v>0.36606989647085741</v>
          </cell>
          <cell r="M121">
            <v>0.36554518998014529</v>
          </cell>
          <cell r="N121">
            <v>0.35760992048234774</v>
          </cell>
        </row>
        <row r="122">
          <cell r="A122" t="str">
            <v>Chlorine</v>
          </cell>
          <cell r="C122">
            <v>5.3826745164003362E-2</v>
          </cell>
          <cell r="D122">
            <v>4.9740932642487044E-2</v>
          </cell>
          <cell r="E122">
            <v>5.08878876225815E-2</v>
          </cell>
          <cell r="F122">
            <v>4.1164363422522797E-2</v>
          </cell>
          <cell r="G122">
            <v>9.8176055198098428E-3</v>
          </cell>
          <cell r="H122">
            <v>9.2505798588125888E-3</v>
          </cell>
          <cell r="I122">
            <v>9.7115315444932029E-3</v>
          </cell>
          <cell r="J122">
            <v>1.0309278350515465E-2</v>
          </cell>
          <cell r="K122">
            <v>8.7209302325581411E-3</v>
          </cell>
          <cell r="L122">
            <v>7.7217868786821492E-3</v>
          </cell>
          <cell r="M122">
            <v>7.3435417629939903E-3</v>
          </cell>
          <cell r="N122">
            <v>7.1841278668328783E-3</v>
          </cell>
        </row>
        <row r="123">
          <cell r="A123" t="str">
            <v>Caustic Soda</v>
          </cell>
          <cell r="C123">
            <v>6.0555088309503791E-2</v>
          </cell>
          <cell r="D123">
            <v>4.6632124352331605E-2</v>
          </cell>
          <cell r="E123">
            <v>3.7105751391465679E-2</v>
          </cell>
          <cell r="F123">
            <v>8.3308830736058027E-3</v>
          </cell>
          <cell r="G123">
            <v>2.1875458788601511E-2</v>
          </cell>
          <cell r="H123">
            <v>2.374118481055058E-2</v>
          </cell>
          <cell r="I123">
            <v>1.7984317674987413E-2</v>
          </cell>
          <cell r="J123">
            <v>1.5273004963726614E-2</v>
          </cell>
          <cell r="K123">
            <v>1.2919896640826874E-2</v>
          </cell>
          <cell r="L123">
            <v>1.1439684264714294E-2</v>
          </cell>
          <cell r="M123">
            <v>1.0879321130361467E-2</v>
          </cell>
          <cell r="N123">
            <v>1.0643152395307968E-2</v>
          </cell>
        </row>
        <row r="124">
          <cell r="A124" t="str">
            <v>Acid - H2SO4</v>
          </cell>
          <cell r="C124">
            <v>8.9711241940005612E-2</v>
          </cell>
          <cell r="D124">
            <v>8.2901554404145081E-2</v>
          </cell>
          <cell r="E124">
            <v>8.4813146037635831E-2</v>
          </cell>
          <cell r="F124">
            <v>8.1936685288640607E-2</v>
          </cell>
          <cell r="G124">
            <v>5.7198259834440851E-2</v>
          </cell>
          <cell r="H124">
            <v>8.2882091404373665E-2</v>
          </cell>
          <cell r="I124">
            <v>4.1148118840371201E-2</v>
          </cell>
          <cell r="J124">
            <v>4.2000763650248192E-2</v>
          </cell>
          <cell r="K124">
            <v>4.2635658914728682E-2</v>
          </cell>
          <cell r="L124">
            <v>3.7750958073557168E-2</v>
          </cell>
          <cell r="M124">
            <v>3.5901759730192835E-2</v>
          </cell>
          <cell r="N124">
            <v>3.5122402904516292E-2</v>
          </cell>
        </row>
        <row r="125">
          <cell r="A125" t="str">
            <v>Acid - HCl</v>
          </cell>
          <cell r="C125">
            <v>2.8034763106251755E-2</v>
          </cell>
          <cell r="D125">
            <v>2.072538860103627E-2</v>
          </cell>
          <cell r="E125">
            <v>2.1203286509408958E-2</v>
          </cell>
          <cell r="F125">
            <v>1.7837890816426543E-2</v>
          </cell>
          <cell r="G125">
            <v>9.3629473228077405E-3</v>
          </cell>
          <cell r="H125">
            <v>8.1068340683385174E-3</v>
          </cell>
          <cell r="I125">
            <v>7.9130997769944617E-3</v>
          </cell>
          <cell r="J125">
            <v>8.4001527300496381E-3</v>
          </cell>
          <cell r="K125">
            <v>7.1059431524547814E-3</v>
          </cell>
          <cell r="L125">
            <v>6.2918263455928628E-3</v>
          </cell>
          <cell r="M125">
            <v>5.9836266216988067E-3</v>
          </cell>
          <cell r="N125">
            <v>5.8537338174193829E-3</v>
          </cell>
        </row>
        <row r="126">
          <cell r="A126" t="str">
            <v>Urea/Other</v>
          </cell>
          <cell r="C126">
            <v>0.13456686291000841</v>
          </cell>
          <cell r="D126">
            <v>0.15544041450777202</v>
          </cell>
          <cell r="E126">
            <v>0.11926848661542538</v>
          </cell>
          <cell r="F126">
            <v>9.8010389101244738E-2</v>
          </cell>
          <cell r="G126">
            <v>0.12516694153898666</v>
          </cell>
          <cell r="H126">
            <v>3.6178010338920527E-2</v>
          </cell>
          <cell r="I126">
            <v>2.9782030069779152E-2</v>
          </cell>
          <cell r="J126">
            <v>2.4436807941962586E-2</v>
          </cell>
          <cell r="K126">
            <v>3.7144702842377267E-2</v>
          </cell>
          <cell r="L126">
            <v>0.31573528570611453</v>
          </cell>
          <cell r="M126">
            <v>0.32637963391084401</v>
          </cell>
          <cell r="N126">
            <v>0.31929457185923904</v>
          </cell>
        </row>
        <row r="127">
          <cell r="A127" t="str">
            <v>Total</v>
          </cell>
          <cell r="C127">
            <v>1</v>
          </cell>
          <cell r="D127">
            <v>1</v>
          </cell>
          <cell r="E127">
            <v>1</v>
          </cell>
          <cell r="F127">
            <v>1</v>
          </cell>
          <cell r="G127">
            <v>1</v>
          </cell>
          <cell r="H127">
            <v>1</v>
          </cell>
          <cell r="I127">
            <v>1</v>
          </cell>
          <cell r="J127">
            <v>1</v>
          </cell>
          <cell r="K127">
            <v>1</v>
          </cell>
          <cell r="L127">
            <v>1</v>
          </cell>
          <cell r="M127">
            <v>1</v>
          </cell>
          <cell r="N127">
            <v>1</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Y_A"/>
      <sheetName val="Back"/>
      <sheetName val="CEY Summary"/>
      <sheetName val="Financial Statements"/>
      <sheetName val="Production"/>
      <sheetName val="ER"/>
      <sheetName val="NPV"/>
      <sheetName val="Sensitivity"/>
      <sheetName val="Charts"/>
      <sheetName val="Resources"/>
      <sheetName val="Quants"/>
      <sheetName val="RBCCM_Key_Information"/>
      <sheetName val="RBCCM_Valuation_Measures"/>
      <sheetName val="RBCCM_Income_Statement"/>
      <sheetName val="RBCCM_Cash_Flow"/>
      <sheetName val="RBCCM_Balance_Sheet"/>
      <sheetName val="RBCCM_Industry_Specif"/>
      <sheetName val="RBCCM_Quarterly_Estimates_Data"/>
      <sheetName val="Cey_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D1">
            <v>2005</v>
          </cell>
          <cell r="E1">
            <v>2006</v>
          </cell>
          <cell r="F1">
            <v>2007</v>
          </cell>
          <cell r="G1" t="str">
            <v>2008E</v>
          </cell>
        </row>
      </sheetData>
      <sheetData sheetId="13" refreshError="1"/>
      <sheetData sheetId="14" refreshError="1"/>
      <sheetData sheetId="15" refreshError="1"/>
      <sheetData sheetId="16" refreshError="1">
        <row r="1">
          <cell r="B1">
            <v>2003</v>
          </cell>
          <cell r="C1">
            <v>2004</v>
          </cell>
          <cell r="D1">
            <v>2005</v>
          </cell>
          <cell r="E1">
            <v>2006</v>
          </cell>
          <cell r="F1">
            <v>2007</v>
          </cell>
          <cell r="G1" t="str">
            <v>2008E</v>
          </cell>
        </row>
      </sheetData>
      <sheetData sheetId="17" refreshError="1"/>
      <sheetData sheetId="1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C_A"/>
      <sheetName val="Summary"/>
      <sheetName val="Financials"/>
      <sheetName val="Coppabella"/>
      <sheetName val="Moorvale"/>
      <sheetName val="Middlemount"/>
      <sheetName val="Price Target"/>
      <sheetName val="Resources"/>
      <sheetName val="Sensitivity"/>
      <sheetName val="QLD Port Expansions"/>
      <sheetName val="Charts"/>
      <sheetName val="Broker Numbers"/>
      <sheetName val="Growth Projects"/>
      <sheetName val="RBCCM_Key_Information"/>
      <sheetName val="RBCCM_Valuation_Measures"/>
      <sheetName val="RBCCM_Income_Statement"/>
      <sheetName val="RBCCM_Cash_Flow"/>
      <sheetName val="RBCCM_Balance_Sheet"/>
      <sheetName val="RBCCM_Quarterly_Estimates_Data"/>
      <sheetName val="RBCCM_Industry_Speci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es"/>
      <sheetName val="Stock Prices"/>
      <sheetName val="Misc Stock prices "/>
      <sheetName val="97PE"/>
      <sheetName val="98PE"/>
      <sheetName val="99PE"/>
      <sheetName val="00PE"/>
      <sheetName val="01PE"/>
      <sheetName val="Relative"/>
      <sheetName val="Relative (2)"/>
      <sheetName val="RelCharts"/>
      <sheetName val="RelCharts (2)"/>
      <sheetName val="Exchange rates"/>
      <sheetName val="No Shares"/>
      <sheetName val="Prices"/>
      <sheetName val="USA_misc Stock prices "/>
      <sheetName val="Forecasts_VDF"/>
      <sheetName val="MODEL"/>
      <sheetName val="02PE"/>
      <sheetName val="Template"/>
      <sheetName val="DataPage"/>
      <sheetName val="Output"/>
      <sheetName val="DCF"/>
      <sheetName val="Template1"/>
      <sheetName val="DPage"/>
      <sheetName val="Qs"/>
      <sheetName val="Sheet3"/>
      <sheetName val="MTH"/>
      <sheetName val="USA_misc Stock prices"/>
      <sheetName val="Sheet2"/>
      <sheetName val="USA Stock prices "/>
      <sheetName val="TEMPLATE_1"/>
      <sheetName val="EURO"/>
      <sheetName val="CABEQ.XLS"/>
      <sheetName val="#REF"/>
      <sheetName val="actualrelative"/>
      <sheetName val="Financials"/>
      <sheetName val="Marketing"/>
      <sheetName val="MARKETS"/>
      <sheetName val="ASSUMPTIONS"/>
      <sheetName val="TELE+"/>
      <sheetName val="MSDW ConFins"/>
      <sheetName val="Chart1"/>
      <sheetName val="WKING_DATA"/>
      <sheetName val="Consumer"/>
      <sheetName val="Val"/>
      <sheetName val="Comps"/>
      <sheetName val="Misc Stock Prices"/>
      <sheetName val=" Stock prices "/>
      <sheetName val="PXMODEL"/>
      <sheetName val="DCF Reuters"/>
      <sheetName val="Sector"/>
    </sheetNames>
    <sheetDataSet>
      <sheetData sheetId="0" refreshError="1">
        <row r="5">
          <cell r="E5" t="str">
            <v>#N/A N/P</v>
          </cell>
        </row>
        <row r="7">
          <cell r="E7">
            <v>12.1</v>
          </cell>
        </row>
        <row r="8">
          <cell r="E8" t="e">
            <v>#VALUE!</v>
          </cell>
        </row>
        <row r="9">
          <cell r="E9" t="e">
            <v>#VALUE!</v>
          </cell>
        </row>
        <row r="10">
          <cell r="E10" t="e">
            <v>#VALUE!</v>
          </cell>
        </row>
        <row r="11">
          <cell r="E11" t="e">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s"/>
      <sheetName val="Qtr"/>
      <sheetName val="S-ebitda"/>
      <sheetName val="Publish"/>
      <sheetName val="_Control"/>
      <sheetName val="AsiaDB"/>
      <sheetName val="consol"/>
      <sheetName val="main"/>
      <sheetName val="revenue"/>
      <sheetName val="broadband"/>
      <sheetName val="cost"/>
      <sheetName val="debt"/>
      <sheetName val="valuation"/>
      <sheetName val="KTF"/>
      <sheetName val="Key changes"/>
      <sheetName val="prices"/>
      <sheetName val="General"/>
      <sheetName val="country"/>
      <sheetName val="country-ncons"/>
      <sheetName val="nonconsol--&gt;"/>
      <sheetName val="KEY"/>
      <sheetName val="3GconsKT"/>
      <sheetName val="support--&gt;"/>
      <sheetName val="RR-KT"/>
      <sheetName val="intcon-uni"/>
      <sheetName val="PlanB ref"/>
      <sheetName val="Subsidiary"/>
      <sheetName val="Affiliates"/>
      <sheetName val="Info"/>
      <sheetName val="KT HiTelold"/>
    </sheetNames>
    <sheetDataSet>
      <sheetData sheetId="0" refreshError="1"/>
      <sheetData sheetId="1" refreshError="1"/>
      <sheetData sheetId="2" refreshError="1"/>
      <sheetData sheetId="3" refreshError="1"/>
      <sheetData sheetId="4"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37.0.610887672</v>
          </cell>
        </row>
        <row r="18">
          <cell r="D18" t="str">
            <v>C:\JairamR\GLOSS\telcos\ktel-lcwip(oct27).xls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0</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ddenLinks"/>
      <sheetName val="Summary"/>
      <sheetName val="Financials"/>
      <sheetName val="ResearchWise"/>
      <sheetName val="Database"/>
      <sheetName val="Con &amp; Min"/>
      <sheetName val="Cement JVs"/>
      <sheetName val="Building Prod"/>
      <sheetName val="Assumptions"/>
      <sheetName val="Valuation"/>
      <sheetName val="Sensitivities"/>
      <sheetName val="LT History"/>
      <sheetName val="Half Years"/>
    </sheetNames>
    <sheetDataSet>
      <sheetData sheetId="0"/>
      <sheetData sheetId="1"/>
      <sheetData sheetId="2"/>
      <sheetData sheetId="3"/>
      <sheetData sheetId="4">
        <row r="12">
          <cell r="C12">
            <v>5.3193361549935592</v>
          </cell>
        </row>
      </sheetData>
      <sheetData sheetId="5"/>
      <sheetData sheetId="6"/>
      <sheetData sheetId="7"/>
      <sheetData sheetId="8"/>
      <sheetData sheetId="9">
        <row r="18">
          <cell r="B18">
            <v>8.6399999999999991E-2</v>
          </cell>
        </row>
      </sheetData>
      <sheetData sheetId="10"/>
      <sheetData sheetId="11"/>
      <sheetData sheetId="1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
      <sheetName val="Interface"/>
      <sheetName val="Page Details"/>
      <sheetName val="DCF"/>
      <sheetName val="REGION"/>
      <sheetName val="Summary"/>
      <sheetName val="QTRLY"/>
      <sheetName val="TABLES"/>
      <sheetName val="Check Sums"/>
      <sheetName val="master"/>
      <sheetName val="Page Sizes"/>
      <sheetName val="Sample Layout"/>
      <sheetName val="VALUATION"/>
      <sheetName val="NEW"/>
      <sheetName val="DATA"/>
      <sheetName val="Dep policy"/>
      <sheetName val="Interim"/>
      <sheetName val="brief"/>
      <sheetName val="Co. data"/>
      <sheetName val="Forex"/>
      <sheetName val="Write-off"/>
      <sheetName val="Post Philcom book"/>
      <sheetName val="PLTL"/>
      <sheetName val="ID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PT"/>
      <sheetName val="CITI"/>
      <sheetName val="CLSA"/>
      <sheetName val="CS"/>
      <sheetName val="DB"/>
      <sheetName val="GS"/>
      <sheetName val="JPM"/>
      <sheetName val="MQG"/>
      <sheetName val="MS"/>
      <sheetName val="MST"/>
      <sheetName val="UB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des"/>
    </sheetNames>
    <definedNames>
      <definedName name="DfsCell"/>
    </definedNames>
    <sheetDataSet>
      <sheetData sheetId="0"/>
    </sheetDataSet>
  </externalBook>
</externalLink>
</file>

<file path=xl/theme/theme1.xml><?xml version="1.0" encoding="utf-8"?>
<a:theme xmlns:a="http://schemas.openxmlformats.org/drawingml/2006/main" name="EAP">
  <a:themeElements>
    <a:clrScheme name="EAP boie">
      <a:dk1>
        <a:sysClr val="windowText" lastClr="000000"/>
      </a:dk1>
      <a:lt1>
        <a:sysClr val="window" lastClr="FFFFFF"/>
      </a:lt1>
      <a:dk2>
        <a:srgbClr val="950427"/>
      </a:dk2>
      <a:lt2>
        <a:srgbClr val="6D6E70"/>
      </a:lt2>
      <a:accent1>
        <a:srgbClr val="27446E"/>
      </a:accent1>
      <a:accent2>
        <a:srgbClr val="B78754"/>
      </a:accent2>
      <a:accent3>
        <a:srgbClr val="583B1C"/>
      </a:accent3>
      <a:accent4>
        <a:srgbClr val="828246"/>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james.fuller@eap.com.au"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F8893-DABF-4532-8062-19CC06B3A099}">
  <sheetPr codeName="Sheet1">
    <tabColor theme="3"/>
  </sheetPr>
  <dimension ref="B1:AG37"/>
  <sheetViews>
    <sheetView showGridLines="0" zoomScaleNormal="100" workbookViewId="0">
      <selection activeCell="O29" sqref="O29"/>
    </sheetView>
  </sheetViews>
  <sheetFormatPr defaultColWidth="9.140625" defaultRowHeight="15" customHeight="1"/>
  <cols>
    <col min="1" max="1" width="2.7109375" style="81" customWidth="1"/>
    <col min="2" max="5" width="9.140625" style="81"/>
    <col min="6" max="6" width="2.28515625" style="81" customWidth="1"/>
    <col min="7" max="10" width="9.140625" style="81"/>
    <col min="11" max="11" width="2.28515625" style="81" customWidth="1"/>
    <col min="12" max="16384" width="9.140625" style="81"/>
  </cols>
  <sheetData>
    <row r="1" spans="2:33" s="31" customFormat="1" ht="12.75">
      <c r="B1" s="30"/>
      <c r="D1" s="32"/>
      <c r="E1" s="32"/>
      <c r="F1" s="33"/>
      <c r="G1" s="32"/>
      <c r="H1" s="32"/>
      <c r="I1" s="32"/>
      <c r="J1" s="32"/>
      <c r="K1" s="30"/>
      <c r="L1" s="32"/>
      <c r="M1" s="32"/>
      <c r="N1" s="32"/>
      <c r="O1" s="32"/>
    </row>
    <row r="2" spans="2:33" s="31" customFormat="1" ht="18.75">
      <c r="B2" s="34" t="s">
        <v>853</v>
      </c>
      <c r="C2" s="35"/>
      <c r="D2" s="36"/>
      <c r="E2" s="36"/>
      <c r="F2" s="37"/>
      <c r="G2" s="36"/>
      <c r="H2" s="36"/>
      <c r="I2" s="36"/>
      <c r="J2" s="36"/>
      <c r="K2" s="38"/>
      <c r="L2" s="36"/>
      <c r="M2" s="36"/>
      <c r="N2" s="36"/>
      <c r="O2" s="36"/>
    </row>
    <row r="3" spans="2:33" s="43" customFormat="1" ht="15.75">
      <c r="B3" s="39" t="s">
        <v>854</v>
      </c>
      <c r="C3" s="40"/>
      <c r="D3" s="41"/>
      <c r="E3" s="41"/>
      <c r="F3" s="42"/>
      <c r="G3" s="41"/>
      <c r="H3" s="41"/>
      <c r="I3" s="41"/>
      <c r="J3" s="41"/>
      <c r="K3" s="41"/>
      <c r="L3" s="41"/>
      <c r="M3" s="41"/>
      <c r="N3" s="41"/>
      <c r="O3" s="41"/>
      <c r="P3" s="31"/>
      <c r="Q3" s="31"/>
      <c r="R3" s="31"/>
      <c r="S3" s="31"/>
      <c r="T3" s="31"/>
      <c r="U3" s="31"/>
      <c r="V3" s="31"/>
      <c r="W3" s="31"/>
      <c r="X3" s="31"/>
      <c r="Y3" s="31"/>
      <c r="Z3" s="31"/>
      <c r="AA3" s="31"/>
      <c r="AB3" s="31"/>
      <c r="AC3" s="31"/>
      <c r="AD3" s="31"/>
      <c r="AE3" s="31"/>
      <c r="AF3" s="31"/>
      <c r="AG3" s="31"/>
    </row>
    <row r="4" spans="2:33" s="45" customFormat="1" ht="15" customHeight="1" thickBot="1">
      <c r="B4" s="44"/>
      <c r="C4" s="44"/>
      <c r="D4" s="44"/>
      <c r="E4" s="44"/>
      <c r="F4" s="44"/>
      <c r="G4" s="44"/>
      <c r="H4" s="44"/>
      <c r="I4" s="44"/>
      <c r="J4" s="44"/>
      <c r="K4" s="44"/>
      <c r="L4" s="44"/>
      <c r="M4" s="44"/>
      <c r="N4" s="44"/>
      <c r="O4" s="44"/>
    </row>
    <row r="5" spans="2:33" s="45" customFormat="1" ht="15" customHeight="1">
      <c r="B5" s="46"/>
      <c r="C5" s="46"/>
      <c r="D5" s="47"/>
      <c r="E5" s="46"/>
      <c r="F5" s="48"/>
      <c r="G5" s="46"/>
      <c r="H5" s="47"/>
      <c r="I5" s="49"/>
      <c r="J5" s="49"/>
      <c r="K5" s="47"/>
      <c r="L5" s="46"/>
      <c r="M5" s="47"/>
      <c r="N5" s="49"/>
      <c r="O5" s="49"/>
    </row>
    <row r="6" spans="2:33" s="45" customFormat="1" ht="15" customHeight="1">
      <c r="B6" s="50" t="s">
        <v>855</v>
      </c>
      <c r="C6" s="51"/>
      <c r="D6" s="52"/>
      <c r="E6" s="51"/>
      <c r="F6" s="53"/>
      <c r="G6" s="51"/>
      <c r="H6" s="52"/>
      <c r="I6" s="52"/>
      <c r="J6" s="52"/>
      <c r="K6" s="52"/>
      <c r="L6" s="54" t="s">
        <v>856</v>
      </c>
      <c r="M6" s="52"/>
      <c r="N6" s="52"/>
      <c r="O6" s="52"/>
    </row>
    <row r="7" spans="2:33" s="45" customFormat="1" ht="15" customHeight="1">
      <c r="B7" s="55" t="s">
        <v>857</v>
      </c>
      <c r="C7" s="52"/>
      <c r="D7" s="52"/>
      <c r="E7" s="52"/>
      <c r="F7" s="52"/>
      <c r="G7" s="55" t="s">
        <v>858</v>
      </c>
      <c r="L7" s="55" t="s">
        <v>859</v>
      </c>
      <c r="M7" s="52"/>
      <c r="N7" s="52"/>
      <c r="O7" s="52"/>
    </row>
    <row r="8" spans="2:33" s="45" customFormat="1" ht="15" customHeight="1">
      <c r="B8" s="56" t="s">
        <v>860</v>
      </c>
      <c r="C8" s="52"/>
      <c r="D8" s="52"/>
      <c r="E8" s="52"/>
      <c r="F8" s="52"/>
      <c r="G8" s="56" t="s">
        <v>861</v>
      </c>
      <c r="L8" s="55"/>
      <c r="M8" s="52"/>
      <c r="N8" s="52"/>
      <c r="O8" s="52"/>
    </row>
    <row r="9" spans="2:33" s="45" customFormat="1" ht="15" customHeight="1">
      <c r="B9" s="56" t="s">
        <v>862</v>
      </c>
      <c r="C9" s="52"/>
      <c r="D9" s="52"/>
      <c r="E9" s="52"/>
      <c r="F9" s="52"/>
      <c r="G9" s="56" t="s">
        <v>863</v>
      </c>
      <c r="L9" s="55"/>
      <c r="M9" s="52"/>
      <c r="N9" s="52"/>
      <c r="O9" s="52"/>
    </row>
    <row r="10" spans="2:33" s="45" customFormat="1" ht="15" customHeight="1">
      <c r="B10" s="57" t="s">
        <v>864</v>
      </c>
      <c r="C10" s="52"/>
      <c r="D10" s="52"/>
      <c r="E10" s="52"/>
      <c r="F10" s="56"/>
      <c r="G10" s="57" t="s">
        <v>865</v>
      </c>
      <c r="L10" s="55" t="s">
        <v>866</v>
      </c>
      <c r="M10" s="52"/>
      <c r="N10" s="52"/>
      <c r="O10" s="52"/>
    </row>
    <row r="11" spans="2:33" s="60" customFormat="1" ht="15" customHeight="1">
      <c r="B11" s="58" t="s">
        <v>867</v>
      </c>
      <c r="C11" s="59"/>
      <c r="D11" s="59"/>
      <c r="E11" s="59"/>
      <c r="F11" s="59"/>
      <c r="G11" s="58" t="s">
        <v>868</v>
      </c>
      <c r="L11" s="58"/>
      <c r="M11" s="59"/>
      <c r="N11" s="59"/>
      <c r="O11" s="59"/>
    </row>
    <row r="12" spans="2:33" s="45" customFormat="1" ht="15" customHeight="1">
      <c r="B12" s="51"/>
      <c r="C12" s="51"/>
      <c r="D12" s="52"/>
      <c r="E12" s="51"/>
      <c r="F12" s="53"/>
      <c r="G12" s="51"/>
      <c r="H12" s="52"/>
      <c r="I12" s="52"/>
      <c r="J12" s="52"/>
      <c r="K12" s="56"/>
      <c r="L12" s="51"/>
      <c r="M12" s="52"/>
      <c r="N12" s="52"/>
      <c r="O12" s="52"/>
    </row>
    <row r="13" spans="2:33" s="45" customFormat="1" ht="15" customHeight="1">
      <c r="B13" s="61"/>
      <c r="C13" s="61"/>
      <c r="D13" s="62"/>
      <c r="E13" s="61"/>
      <c r="F13" s="63"/>
      <c r="G13" s="61"/>
      <c r="H13" s="62"/>
      <c r="I13" s="62"/>
      <c r="J13" s="62"/>
      <c r="K13" s="62"/>
      <c r="L13" s="61"/>
      <c r="M13" s="62"/>
      <c r="N13" s="62"/>
      <c r="O13" s="62"/>
    </row>
    <row r="14" spans="2:33" s="45" customFormat="1" ht="15" customHeight="1">
      <c r="B14" s="54" t="s">
        <v>869</v>
      </c>
      <c r="C14" s="64"/>
      <c r="D14" s="65"/>
      <c r="E14" s="65"/>
      <c r="G14" s="54" t="s">
        <v>870</v>
      </c>
      <c r="H14" s="64"/>
      <c r="I14" s="65"/>
      <c r="J14" s="65"/>
      <c r="L14" s="54" t="s">
        <v>871</v>
      </c>
      <c r="M14" s="64"/>
      <c r="N14" s="65"/>
      <c r="O14" s="65"/>
    </row>
    <row r="15" spans="2:33" s="45" customFormat="1" ht="15" customHeight="1">
      <c r="B15" s="52" t="s">
        <v>872</v>
      </c>
      <c r="C15" s="51"/>
      <c r="D15" s="51"/>
      <c r="E15" s="66" t="s">
        <v>849</v>
      </c>
      <c r="G15" s="67" t="s">
        <v>873</v>
      </c>
      <c r="H15" s="51"/>
      <c r="I15" s="51"/>
      <c r="J15" s="68">
        <v>17.949532584536851</v>
      </c>
      <c r="L15" s="45" t="s">
        <v>874</v>
      </c>
      <c r="O15" s="69" t="s">
        <v>875</v>
      </c>
    </row>
    <row r="16" spans="2:33" s="45" customFormat="1" ht="15" customHeight="1">
      <c r="B16" s="52" t="s">
        <v>876</v>
      </c>
      <c r="C16" s="51"/>
      <c r="D16" s="51"/>
      <c r="E16" s="70">
        <v>42.8</v>
      </c>
      <c r="G16" s="67" t="s">
        <v>877</v>
      </c>
      <c r="H16" s="51"/>
      <c r="I16" s="51"/>
      <c r="J16" s="68">
        <v>11.072122660645771</v>
      </c>
      <c r="L16" s="45" t="s">
        <v>878</v>
      </c>
      <c r="O16" s="71" t="s">
        <v>879</v>
      </c>
    </row>
    <row r="17" spans="2:15" s="45" customFormat="1" ht="15" customHeight="1">
      <c r="B17" s="52" t="s">
        <v>880</v>
      </c>
      <c r="C17" s="51"/>
      <c r="D17" s="51"/>
      <c r="E17" s="70">
        <v>33.729999999999997</v>
      </c>
      <c r="G17" s="67" t="s">
        <v>881</v>
      </c>
      <c r="H17" s="51"/>
      <c r="I17" s="51"/>
      <c r="J17" s="72">
        <v>1.6777607717670961E-2</v>
      </c>
      <c r="L17" s="45" t="s">
        <v>882</v>
      </c>
      <c r="O17" s="73" t="s">
        <v>883</v>
      </c>
    </row>
    <row r="18" spans="2:15" s="45" customFormat="1" ht="15" customHeight="1">
      <c r="B18" s="52" t="s">
        <v>884</v>
      </c>
      <c r="C18" s="51"/>
      <c r="D18" s="51"/>
      <c r="E18" s="72">
        <v>0.28431663207826868</v>
      </c>
      <c r="G18" s="67" t="s">
        <v>885</v>
      </c>
      <c r="H18" s="51"/>
      <c r="I18" s="51"/>
      <c r="J18" s="68">
        <v>0.64794574399195703</v>
      </c>
      <c r="L18" s="45" t="s">
        <v>886</v>
      </c>
      <c r="O18" s="74" t="s">
        <v>887</v>
      </c>
    </row>
    <row r="19" spans="2:15" s="45" customFormat="1" ht="15" customHeight="1">
      <c r="B19" s="75"/>
      <c r="C19" s="51"/>
      <c r="D19" s="51"/>
      <c r="E19" s="76"/>
      <c r="G19" s="67"/>
      <c r="H19" s="51"/>
      <c r="I19" s="51"/>
      <c r="J19" s="72"/>
      <c r="N19" s="52"/>
      <c r="O19" s="77"/>
    </row>
    <row r="20" spans="2:15" s="45" customFormat="1" ht="15" customHeight="1">
      <c r="B20" s="61"/>
      <c r="C20" s="61"/>
      <c r="D20" s="62"/>
      <c r="E20" s="61"/>
      <c r="F20" s="63"/>
      <c r="G20" s="61"/>
      <c r="H20" s="62"/>
      <c r="I20" s="62"/>
      <c r="J20" s="62"/>
      <c r="K20" s="62"/>
      <c r="L20" s="61"/>
      <c r="M20" s="62"/>
      <c r="N20" s="62"/>
      <c r="O20" s="62"/>
    </row>
    <row r="21" spans="2:15" s="45" customFormat="1" ht="15" customHeight="1">
      <c r="B21" s="54" t="s">
        <v>888</v>
      </c>
      <c r="C21" s="64"/>
      <c r="G21" s="54" t="s">
        <v>889</v>
      </c>
      <c r="L21" s="54" t="s">
        <v>890</v>
      </c>
    </row>
    <row r="22" spans="2:15" s="45" customFormat="1" ht="15" customHeight="1">
      <c r="B22" s="52" t="s">
        <v>891</v>
      </c>
      <c r="C22" s="51"/>
      <c r="E22" s="78">
        <v>0</v>
      </c>
      <c r="G22" s="52" t="s">
        <v>892</v>
      </c>
      <c r="J22" s="78">
        <v>0</v>
      </c>
      <c r="L22" s="52" t="s">
        <v>893</v>
      </c>
      <c r="O22" s="69" t="s">
        <v>848</v>
      </c>
    </row>
    <row r="23" spans="2:15" s="45" customFormat="1" ht="15" customHeight="1">
      <c r="B23" s="52" t="s">
        <v>894</v>
      </c>
      <c r="C23" s="51"/>
      <c r="E23" s="78">
        <v>0</v>
      </c>
      <c r="G23" s="52" t="s">
        <v>895</v>
      </c>
      <c r="J23" s="78">
        <v>0</v>
      </c>
      <c r="L23" s="52" t="s">
        <v>896</v>
      </c>
      <c r="O23" s="69" t="s">
        <v>848</v>
      </c>
    </row>
    <row r="24" spans="2:15" s="45" customFormat="1" ht="15" customHeight="1">
      <c r="B24" s="75" t="s">
        <v>897</v>
      </c>
      <c r="C24" s="51"/>
      <c r="E24" s="78">
        <f xml:space="preserve"> IF( SUM( E22:E23) &lt; 2, 0, 1)</f>
        <v>0</v>
      </c>
      <c r="G24" s="52" t="s">
        <v>898</v>
      </c>
      <c r="J24" s="78">
        <v>0</v>
      </c>
      <c r="L24" s="52" t="s">
        <v>899</v>
      </c>
      <c r="O24" s="69" t="s">
        <v>900</v>
      </c>
    </row>
    <row r="25" spans="2:15" s="45" customFormat="1" ht="15" customHeight="1">
      <c r="B25" s="52"/>
      <c r="C25" s="51"/>
      <c r="E25" s="79"/>
      <c r="G25" s="52" t="s">
        <v>901</v>
      </c>
      <c r="J25" s="78">
        <v>0</v>
      </c>
      <c r="L25" s="52" t="s">
        <v>902</v>
      </c>
      <c r="O25" s="69" t="s">
        <v>903</v>
      </c>
    </row>
    <row r="26" spans="2:15" s="45" customFormat="1" ht="15" customHeight="1">
      <c r="B26" s="52"/>
      <c r="C26" s="51"/>
      <c r="E26" s="79"/>
      <c r="G26" s="45" t="s">
        <v>904</v>
      </c>
      <c r="J26" s="78">
        <v>0</v>
      </c>
      <c r="L26" s="52" t="s">
        <v>905</v>
      </c>
      <c r="O26" s="69" t="s">
        <v>906</v>
      </c>
    </row>
    <row r="27" spans="2:15" s="45" customFormat="1" ht="15" customHeight="1">
      <c r="E27" s="79"/>
      <c r="G27" s="52" t="s">
        <v>907</v>
      </c>
      <c r="J27" s="78">
        <v>0</v>
      </c>
      <c r="L27" s="52" t="s">
        <v>908</v>
      </c>
      <c r="O27" s="69">
        <v>1</v>
      </c>
    </row>
    <row r="28" spans="2:15" s="45" customFormat="1" ht="15" customHeight="1" thickBot="1">
      <c r="B28" s="52"/>
      <c r="C28" s="51"/>
      <c r="E28" s="80"/>
      <c r="J28" s="69"/>
    </row>
    <row r="29" spans="2:15" s="45" customFormat="1" ht="15" customHeight="1">
      <c r="B29" s="46"/>
      <c r="C29" s="46"/>
      <c r="D29" s="47"/>
      <c r="E29" s="46"/>
      <c r="F29" s="48"/>
      <c r="G29" s="46"/>
      <c r="H29" s="47"/>
      <c r="I29" s="49"/>
      <c r="J29" s="49"/>
      <c r="K29" s="47"/>
      <c r="L29" s="46"/>
      <c r="M29" s="47"/>
      <c r="N29" s="49"/>
      <c r="O29" s="49"/>
    </row>
    <row r="30" spans="2:15" s="45" customFormat="1" ht="15" customHeight="1"/>
    <row r="31" spans="2:15" s="45" customFormat="1" ht="15" customHeight="1"/>
    <row r="32" spans="2:15" s="45" customFormat="1" ht="15" customHeight="1"/>
    <row r="33" s="45" customFormat="1" ht="15" customHeight="1"/>
    <row r="34" s="45" customFormat="1" ht="15" customHeight="1"/>
    <row r="35" s="45" customFormat="1" ht="15" customHeight="1"/>
    <row r="36" s="45" customFormat="1" ht="15" customHeight="1"/>
    <row r="37" s="45" customFormat="1" ht="15" customHeight="1"/>
  </sheetData>
  <hyperlinks>
    <hyperlink ref="B11" r:id="rId1" xr:uid="{3D3EE9B2-0418-4D4F-9F2D-25503CBD67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0DB88-852C-442F-9590-529DEE0D6713}">
  <sheetPr codeName="Sheet2">
    <tabColor rgb="FFFF0000"/>
  </sheetPr>
  <dimension ref="A1:AF41"/>
  <sheetViews>
    <sheetView showGridLines="0" zoomScale="85" zoomScaleNormal="85" workbookViewId="0">
      <selection activeCell="O29" sqref="O29"/>
    </sheetView>
  </sheetViews>
  <sheetFormatPr defaultColWidth="9.140625" defaultRowHeight="15" customHeight="1"/>
  <cols>
    <col min="1" max="1" width="2.7109375" style="129" customWidth="1"/>
    <col min="2" max="5" width="9.7109375" style="129" customWidth="1"/>
    <col min="6" max="6" width="2.28515625" style="129" customWidth="1"/>
    <col min="7" max="10" width="9.7109375" style="129" customWidth="1"/>
    <col min="11" max="11" width="2.28515625" style="129" customWidth="1"/>
    <col min="12" max="15" width="9.7109375" style="129" customWidth="1"/>
    <col min="16" max="16384" width="9.140625" style="129"/>
  </cols>
  <sheetData>
    <row r="1" spans="1:32" s="84" customFormat="1" ht="12.75" customHeight="1">
      <c r="B1" s="85"/>
      <c r="D1" s="86"/>
      <c r="E1" s="86"/>
      <c r="F1" s="86"/>
      <c r="G1" s="86"/>
      <c r="H1" s="86"/>
      <c r="I1" s="86"/>
      <c r="J1" s="86"/>
      <c r="K1" s="85"/>
      <c r="L1" s="86"/>
      <c r="M1" s="86"/>
      <c r="N1" s="86"/>
      <c r="O1" s="86"/>
    </row>
    <row r="2" spans="1:32" s="84" customFormat="1" ht="20.25">
      <c r="B2" s="87" t="str">
        <f xml:space="preserve"> $E$7</f>
        <v>Logitech Intl S.A.</v>
      </c>
      <c r="C2" s="88"/>
      <c r="D2" s="89"/>
      <c r="E2" s="89"/>
      <c r="F2" s="89"/>
      <c r="G2" s="89"/>
      <c r="H2" s="89"/>
      <c r="I2" s="89"/>
      <c r="J2" s="89"/>
      <c r="K2" s="90"/>
      <c r="L2" s="89"/>
      <c r="M2" s="89"/>
      <c r="N2" s="89"/>
      <c r="O2" s="89"/>
    </row>
    <row r="3" spans="1:32" s="95" customFormat="1" ht="15.75">
      <c r="A3" s="91"/>
      <c r="B3" s="92" t="s">
        <v>915</v>
      </c>
      <c r="C3" s="93"/>
      <c r="D3" s="94"/>
      <c r="E3" s="94"/>
      <c r="F3" s="94"/>
      <c r="G3" s="94"/>
      <c r="H3" s="94"/>
      <c r="I3" s="94"/>
      <c r="J3" s="94"/>
      <c r="K3" s="94"/>
      <c r="L3" s="94"/>
      <c r="M3" s="94"/>
      <c r="N3" s="94"/>
      <c r="O3" s="94"/>
      <c r="P3" s="84"/>
      <c r="Q3" s="84"/>
      <c r="R3" s="84"/>
      <c r="S3" s="84"/>
      <c r="T3" s="84"/>
      <c r="U3" s="84"/>
      <c r="V3" s="84"/>
      <c r="W3" s="84"/>
      <c r="X3" s="84"/>
      <c r="Y3" s="84"/>
      <c r="Z3" s="84"/>
      <c r="AA3" s="84"/>
      <c r="AB3" s="84"/>
      <c r="AC3" s="84"/>
      <c r="AD3" s="84"/>
      <c r="AE3" s="84"/>
      <c r="AF3" s="84"/>
    </row>
    <row r="4" spans="1:32" s="96" customFormat="1" ht="15" customHeight="1" thickBot="1">
      <c r="B4" s="97"/>
      <c r="C4" s="97"/>
      <c r="D4" s="97"/>
      <c r="E4" s="97"/>
      <c r="F4" s="97"/>
      <c r="G4" s="97"/>
      <c r="H4" s="97"/>
      <c r="I4" s="97"/>
      <c r="J4" s="97"/>
      <c r="K4" s="97"/>
      <c r="L4" s="97"/>
      <c r="M4" s="97"/>
      <c r="N4" s="97"/>
      <c r="O4" s="97"/>
    </row>
    <row r="5" spans="1:32" s="96" customFormat="1" ht="15" customHeight="1">
      <c r="B5" s="46"/>
      <c r="C5" s="46"/>
      <c r="D5" s="47"/>
      <c r="E5" s="46"/>
      <c r="F5" s="48"/>
      <c r="G5" s="46"/>
      <c r="H5" s="47"/>
      <c r="I5" s="49"/>
      <c r="J5" s="49"/>
      <c r="K5" s="47"/>
      <c r="L5" s="46"/>
      <c r="M5" s="47"/>
      <c r="N5" s="49"/>
      <c r="O5" s="49"/>
    </row>
    <row r="6" spans="1:32" s="96" customFormat="1" ht="15" customHeight="1">
      <c r="B6" s="50" t="s">
        <v>916</v>
      </c>
      <c r="C6" s="51"/>
      <c r="D6" s="52"/>
      <c r="E6" s="51"/>
      <c r="F6" s="53"/>
      <c r="G6" s="50" t="s">
        <v>855</v>
      </c>
      <c r="H6" s="52"/>
      <c r="I6" s="52"/>
      <c r="J6" s="52"/>
      <c r="K6" s="52"/>
      <c r="L6" s="50" t="s">
        <v>856</v>
      </c>
      <c r="M6" s="52"/>
      <c r="N6" s="52"/>
      <c r="O6" s="52"/>
    </row>
    <row r="7" spans="1:32" s="96" customFormat="1" ht="15" customHeight="1">
      <c r="B7" s="52" t="s">
        <v>917</v>
      </c>
      <c r="C7" s="52"/>
      <c r="D7" s="52"/>
      <c r="E7" s="98" t="s">
        <v>918</v>
      </c>
      <c r="F7" s="52"/>
      <c r="G7" s="55" t="s">
        <v>857</v>
      </c>
      <c r="H7" s="52"/>
      <c r="L7" s="55" t="s">
        <v>919</v>
      </c>
      <c r="N7" s="52"/>
      <c r="O7" s="52"/>
    </row>
    <row r="8" spans="1:32" s="96" customFormat="1" ht="15" customHeight="1">
      <c r="B8" s="52" t="s">
        <v>113</v>
      </c>
      <c r="C8" s="52"/>
      <c r="D8" s="52"/>
      <c r="E8" s="98" t="s">
        <v>920</v>
      </c>
      <c r="F8" s="52"/>
      <c r="G8" s="57" t="s">
        <v>921</v>
      </c>
      <c r="H8" s="52"/>
      <c r="L8" s="99" t="s">
        <v>922</v>
      </c>
      <c r="N8" s="52"/>
      <c r="O8" s="52"/>
    </row>
    <row r="9" spans="1:32" s="96" customFormat="1" ht="15" customHeight="1">
      <c r="B9" s="95" t="s">
        <v>923</v>
      </c>
      <c r="C9" s="52"/>
      <c r="D9" s="52"/>
      <c r="E9" s="98" t="s">
        <v>924</v>
      </c>
      <c r="F9" s="52"/>
      <c r="G9" s="95" t="s">
        <v>925</v>
      </c>
      <c r="H9" s="52"/>
      <c r="L9" s="99" t="s">
        <v>926</v>
      </c>
      <c r="N9" s="52"/>
      <c r="O9" s="52"/>
    </row>
    <row r="10" spans="1:32" s="96" customFormat="1" ht="15" customHeight="1">
      <c r="B10" s="52" t="s">
        <v>927</v>
      </c>
      <c r="C10" s="52"/>
      <c r="D10" s="52"/>
      <c r="E10" s="52" t="s">
        <v>928</v>
      </c>
      <c r="F10" s="56"/>
      <c r="H10" s="52"/>
      <c r="L10" s="84"/>
      <c r="N10" s="52"/>
      <c r="O10" s="52"/>
    </row>
    <row r="11" spans="1:32" s="96" customFormat="1" ht="15" customHeight="1">
      <c r="B11" s="52" t="s">
        <v>929</v>
      </c>
      <c r="C11" s="52"/>
      <c r="D11" s="52"/>
      <c r="E11" s="98" t="s">
        <v>930</v>
      </c>
      <c r="F11" s="56"/>
      <c r="H11" s="52"/>
      <c r="L11" s="84"/>
      <c r="N11" s="52"/>
      <c r="O11" s="52"/>
    </row>
    <row r="12" spans="1:32" s="100" customFormat="1" ht="15" customHeight="1">
      <c r="B12" s="101"/>
      <c r="C12" s="102"/>
      <c r="D12" s="102"/>
      <c r="E12" s="102"/>
      <c r="F12" s="102"/>
      <c r="G12" s="101"/>
      <c r="H12" s="102"/>
      <c r="I12" s="101"/>
      <c r="J12" s="101"/>
      <c r="K12" s="101"/>
      <c r="L12" s="103"/>
      <c r="M12" s="101"/>
      <c r="N12" s="102"/>
      <c r="O12" s="102"/>
    </row>
    <row r="13" spans="1:32" s="96" customFormat="1" ht="15" customHeight="1">
      <c r="B13" s="51"/>
      <c r="C13" s="51"/>
      <c r="D13" s="52"/>
      <c r="E13" s="51"/>
      <c r="F13" s="53"/>
      <c r="G13" s="51"/>
      <c r="H13" s="52"/>
      <c r="I13" s="52"/>
      <c r="J13" s="52"/>
      <c r="K13" s="52"/>
      <c r="L13" s="51"/>
      <c r="M13" s="52"/>
      <c r="N13" s="52"/>
      <c r="O13" s="52"/>
    </row>
    <row r="14" spans="1:32" s="96" customFormat="1" ht="15" customHeight="1">
      <c r="B14" s="54" t="s">
        <v>869</v>
      </c>
      <c r="C14" s="64"/>
      <c r="D14" s="65"/>
      <c r="E14" s="65"/>
      <c r="G14" s="54" t="s">
        <v>931</v>
      </c>
      <c r="H14" s="64"/>
      <c r="I14" s="65"/>
      <c r="J14" s="65"/>
      <c r="L14" s="54" t="s">
        <v>932</v>
      </c>
      <c r="M14" s="64"/>
      <c r="N14" s="65"/>
      <c r="O14" s="65"/>
    </row>
    <row r="15" spans="1:32" s="96" customFormat="1" ht="15" customHeight="1">
      <c r="B15" s="52" t="s">
        <v>124</v>
      </c>
      <c r="C15" s="51"/>
      <c r="D15" s="51"/>
      <c r="E15" s="98" t="s">
        <v>933</v>
      </c>
      <c r="G15" s="67" t="s">
        <v>934</v>
      </c>
      <c r="H15" s="51"/>
      <c r="I15" s="51"/>
      <c r="J15" s="68">
        <v>14.544206089644884</v>
      </c>
      <c r="L15" s="96" t="s">
        <v>874</v>
      </c>
      <c r="O15" s="104" t="s">
        <v>875</v>
      </c>
    </row>
    <row r="16" spans="1:32" s="96" customFormat="1" ht="15" customHeight="1">
      <c r="B16" s="52" t="s">
        <v>935</v>
      </c>
      <c r="C16" s="51"/>
      <c r="D16" s="51"/>
      <c r="E16" s="105">
        <v>0.13966356083157416</v>
      </c>
      <c r="G16" s="67" t="s">
        <v>936</v>
      </c>
      <c r="H16" s="51"/>
      <c r="I16" s="51"/>
      <c r="J16" s="68">
        <v>12.271031515049129</v>
      </c>
      <c r="L16" s="96" t="s">
        <v>878</v>
      </c>
      <c r="O16" s="106" t="s">
        <v>879</v>
      </c>
    </row>
    <row r="17" spans="2:15" s="96" customFormat="1" ht="15" customHeight="1">
      <c r="B17" s="96" t="s">
        <v>134</v>
      </c>
      <c r="E17" s="105">
        <v>0.22992113201360803</v>
      </c>
      <c r="G17" s="67" t="s">
        <v>138</v>
      </c>
      <c r="H17" s="51"/>
      <c r="I17" s="51"/>
      <c r="J17" s="107">
        <v>1.7188975352734712E-2</v>
      </c>
      <c r="L17" s="96" t="s">
        <v>882</v>
      </c>
      <c r="O17" s="108" t="s">
        <v>883</v>
      </c>
    </row>
    <row r="18" spans="2:15" s="96" customFormat="1" ht="15" customHeight="1">
      <c r="B18" s="96" t="s">
        <v>937</v>
      </c>
      <c r="E18" s="70">
        <v>66</v>
      </c>
      <c r="G18" s="67" t="s">
        <v>938</v>
      </c>
      <c r="H18" s="51"/>
      <c r="I18" s="51"/>
      <c r="J18" s="107">
        <v>6.3611937155018838E-2</v>
      </c>
      <c r="L18" s="96" t="s">
        <v>886</v>
      </c>
      <c r="O18" s="109" t="s">
        <v>939</v>
      </c>
    </row>
    <row r="19" spans="2:15" s="96" customFormat="1" ht="15" customHeight="1">
      <c r="B19" s="52" t="s">
        <v>94</v>
      </c>
      <c r="C19" s="51"/>
      <c r="D19" s="51"/>
      <c r="E19" s="70">
        <v>80.040322339617632</v>
      </c>
      <c r="G19" s="67"/>
      <c r="H19" s="51"/>
      <c r="I19" s="51"/>
      <c r="J19" s="68"/>
      <c r="L19" s="96" t="s">
        <v>940</v>
      </c>
      <c r="O19" s="110" t="s">
        <v>887</v>
      </c>
    </row>
    <row r="20" spans="2:15" s="96" customFormat="1" ht="15" customHeight="1">
      <c r="B20" s="52"/>
      <c r="C20" s="51"/>
      <c r="D20" s="51"/>
      <c r="E20" s="111"/>
      <c r="G20" s="67"/>
      <c r="H20" s="51"/>
      <c r="I20" s="51"/>
      <c r="J20" s="68"/>
      <c r="L20" s="96" t="s">
        <v>941</v>
      </c>
      <c r="O20" s="112" t="s">
        <v>942</v>
      </c>
    </row>
    <row r="21" spans="2:15" s="96" customFormat="1" ht="15" customHeight="1">
      <c r="B21" s="113"/>
      <c r="C21" s="114"/>
      <c r="D21" s="114"/>
      <c r="E21" s="115"/>
      <c r="F21" s="116"/>
      <c r="G21" s="117"/>
      <c r="H21" s="114"/>
      <c r="I21" s="114"/>
      <c r="J21" s="118"/>
      <c r="K21" s="116"/>
      <c r="L21" s="116"/>
      <c r="M21" s="116"/>
      <c r="N21" s="119"/>
      <c r="O21" s="120"/>
    </row>
    <row r="22" spans="2:15" s="96" customFormat="1" ht="15" customHeight="1">
      <c r="B22" s="51"/>
      <c r="C22" s="51"/>
      <c r="D22" s="52"/>
      <c r="E22" s="51"/>
      <c r="F22" s="53"/>
      <c r="G22" s="51"/>
      <c r="H22" s="52"/>
      <c r="I22" s="52"/>
      <c r="J22" s="52"/>
      <c r="K22" s="52"/>
      <c r="L22" s="51"/>
      <c r="M22" s="52"/>
      <c r="N22" s="52"/>
      <c r="O22" s="52"/>
    </row>
    <row r="23" spans="2:15" s="96" customFormat="1" ht="15" customHeight="1">
      <c r="B23" s="54" t="s">
        <v>888</v>
      </c>
      <c r="C23" s="64"/>
      <c r="G23" s="54" t="s">
        <v>890</v>
      </c>
      <c r="L23" s="54" t="s">
        <v>943</v>
      </c>
    </row>
    <row r="24" spans="2:15" s="96" customFormat="1" ht="15" customHeight="1">
      <c r="B24" s="52" t="s">
        <v>944</v>
      </c>
      <c r="C24" s="51"/>
      <c r="E24" s="121">
        <v>0</v>
      </c>
      <c r="G24" s="52" t="s">
        <v>893</v>
      </c>
      <c r="J24" s="104" t="s">
        <v>945</v>
      </c>
      <c r="L24" s="52" t="s">
        <v>946</v>
      </c>
      <c r="O24" s="122"/>
    </row>
    <row r="25" spans="2:15" s="96" customFormat="1" ht="15" customHeight="1">
      <c r="B25" s="52" t="s">
        <v>891</v>
      </c>
      <c r="C25" s="51"/>
      <c r="E25" s="121">
        <v>0</v>
      </c>
      <c r="G25" s="52" t="s">
        <v>899</v>
      </c>
      <c r="J25" s="104" t="s">
        <v>947</v>
      </c>
      <c r="L25" s="96" t="s">
        <v>944</v>
      </c>
      <c r="O25" s="122"/>
    </row>
    <row r="26" spans="2:15" s="96" customFormat="1" ht="15" customHeight="1">
      <c r="B26" s="96" t="s">
        <v>844</v>
      </c>
      <c r="E26" s="121">
        <v>0</v>
      </c>
      <c r="G26" s="52" t="s">
        <v>902</v>
      </c>
      <c r="J26" s="104" t="s">
        <v>948</v>
      </c>
      <c r="L26" s="96" t="s">
        <v>891</v>
      </c>
      <c r="O26" s="122"/>
    </row>
    <row r="27" spans="2:15" s="96" customFormat="1" ht="15" customHeight="1">
      <c r="B27" s="96" t="s">
        <v>949</v>
      </c>
      <c r="E27" s="123">
        <v>0</v>
      </c>
      <c r="G27" s="52" t="s">
        <v>905</v>
      </c>
      <c r="J27" s="104" t="s">
        <v>950</v>
      </c>
      <c r="L27" s="96" t="s">
        <v>844</v>
      </c>
      <c r="O27" s="122"/>
    </row>
    <row r="28" spans="2:15" s="96" customFormat="1" ht="15" customHeight="1">
      <c r="B28" s="124" t="s">
        <v>897</v>
      </c>
      <c r="E28" s="123">
        <f xml:space="preserve"> IF( SUM( E24:E27) = 0, 0, 1)</f>
        <v>0</v>
      </c>
      <c r="G28" s="96" t="str">
        <f xml:space="preserve"> "Rounding tolerance " &amp; "(" &amp; $J$25 &amp; ")"</f>
        <v>Rounding tolerance (US$m)</v>
      </c>
      <c r="J28" s="104">
        <v>1</v>
      </c>
      <c r="L28" s="96" t="s">
        <v>949</v>
      </c>
      <c r="O28" s="122"/>
    </row>
    <row r="29" spans="2:15" s="96" customFormat="1" ht="15" customHeight="1">
      <c r="B29" s="124"/>
      <c r="E29" s="123"/>
      <c r="J29" s="104"/>
      <c r="L29" s="96" t="s">
        <v>951</v>
      </c>
      <c r="O29" s="122"/>
    </row>
    <row r="30" spans="2:15" s="96" customFormat="1" ht="15" customHeight="1" thickBot="1">
      <c r="B30" s="125"/>
      <c r="C30" s="125"/>
      <c r="D30" s="126"/>
      <c r="E30" s="125"/>
      <c r="F30" s="127"/>
      <c r="G30" s="125"/>
      <c r="H30" s="126"/>
      <c r="I30" s="128"/>
      <c r="J30" s="128"/>
      <c r="K30" s="126"/>
      <c r="L30" s="125"/>
      <c r="M30" s="126"/>
      <c r="N30" s="128"/>
      <c r="O30" s="128"/>
    </row>
    <row r="31" spans="2:15" s="96" customFormat="1" ht="15" customHeight="1"/>
    <row r="32" spans="2:15" s="96" customFormat="1" ht="15" customHeight="1"/>
    <row r="33" spans="2:2" s="96" customFormat="1" ht="15" customHeight="1"/>
    <row r="34" spans="2:2" s="96" customFormat="1" ht="15" customHeight="1"/>
    <row r="35" spans="2:2" s="96" customFormat="1" ht="15" customHeight="1"/>
    <row r="36" spans="2:2" s="96" customFormat="1" ht="15" customHeight="1"/>
    <row r="37" spans="2:2" s="96" customFormat="1" ht="15" customHeight="1"/>
    <row r="38" spans="2:2" s="96" customFormat="1" ht="15" customHeight="1"/>
    <row r="39" spans="2:2" ht="15" customHeight="1">
      <c r="B39" s="96"/>
    </row>
    <row r="40" spans="2:2" ht="15" customHeight="1">
      <c r="B40" s="96"/>
    </row>
    <row r="41" spans="2:2" ht="15" customHeight="1">
      <c r="B41" s="96"/>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CCAF8-224E-4C64-BBA5-8868645B0C25}">
  <sheetPr codeName="Sheet3">
    <tabColor theme="8" tint="0.59999389629810485"/>
  </sheetPr>
  <dimension ref="A1:AE391"/>
  <sheetViews>
    <sheetView showGridLines="0" zoomScale="90" zoomScaleNormal="90" workbookViewId="0">
      <pane xSplit="4" ySplit="3" topLeftCell="E102" activePane="bottomRight" state="frozen"/>
      <selection pane="topRight" activeCell="E1" sqref="E1"/>
      <selection pane="bottomLeft" activeCell="A4" sqref="A4"/>
      <selection pane="bottomRight" activeCell="F145" sqref="F145"/>
    </sheetView>
  </sheetViews>
  <sheetFormatPr defaultColWidth="6.28515625" defaultRowHeight="12.75" outlineLevelRow="1"/>
  <cols>
    <col min="1" max="1" width="4" style="322" customWidth="1"/>
    <col min="2" max="2" width="19.5703125" style="322" bestFit="1" customWidth="1"/>
    <col min="3" max="3" width="47" style="322" bestFit="1" customWidth="1"/>
    <col min="4" max="4" width="14.28515625" style="322" bestFit="1" customWidth="1"/>
    <col min="5" max="17" width="8.7109375" style="322" customWidth="1"/>
    <col min="18" max="18" width="10.7109375" style="322" customWidth="1"/>
    <col min="19" max="31" width="8.7109375" style="462" customWidth="1"/>
    <col min="32" max="235" width="6.28515625" style="322"/>
    <col min="236" max="236" width="18.7109375" style="322" customWidth="1"/>
    <col min="237" max="237" width="22" style="322" bestFit="1" customWidth="1"/>
    <col min="238" max="238" width="50.140625" style="322" bestFit="1" customWidth="1"/>
    <col min="239" max="239" width="37.42578125" style="322" customWidth="1"/>
    <col min="240" max="249" width="11.42578125" style="322" customWidth="1"/>
    <col min="250" max="266" width="0" style="322" hidden="1" customWidth="1"/>
    <col min="267" max="267" width="11.42578125" style="322" customWidth="1"/>
    <col min="268" max="268" width="24" style="322" customWidth="1"/>
    <col min="269" max="269" width="11.42578125" style="322" customWidth="1"/>
    <col min="270" max="270" width="8.42578125" style="322" customWidth="1"/>
    <col min="271" max="276" width="23.28515625" style="322" bestFit="1" customWidth="1"/>
    <col min="277" max="491" width="6.28515625" style="322"/>
    <col min="492" max="492" width="18.7109375" style="322" customWidth="1"/>
    <col min="493" max="493" width="22" style="322" bestFit="1" customWidth="1"/>
    <col min="494" max="494" width="50.140625" style="322" bestFit="1" customWidth="1"/>
    <col min="495" max="495" width="37.42578125" style="322" customWidth="1"/>
    <col min="496" max="505" width="11.42578125" style="322" customWidth="1"/>
    <col min="506" max="522" width="0" style="322" hidden="1" customWidth="1"/>
    <col min="523" max="523" width="11.42578125" style="322" customWidth="1"/>
    <col min="524" max="524" width="24" style="322" customWidth="1"/>
    <col min="525" max="525" width="11.42578125" style="322" customWidth="1"/>
    <col min="526" max="526" width="8.42578125" style="322" customWidth="1"/>
    <col min="527" max="532" width="23.28515625" style="322" bestFit="1" customWidth="1"/>
    <col min="533" max="747" width="6.28515625" style="322"/>
    <col min="748" max="748" width="18.7109375" style="322" customWidth="1"/>
    <col min="749" max="749" width="22" style="322" bestFit="1" customWidth="1"/>
    <col min="750" max="750" width="50.140625" style="322" bestFit="1" customWidth="1"/>
    <col min="751" max="751" width="37.42578125" style="322" customWidth="1"/>
    <col min="752" max="761" width="11.42578125" style="322" customWidth="1"/>
    <col min="762" max="778" width="0" style="322" hidden="1" customWidth="1"/>
    <col min="779" max="779" width="11.42578125" style="322" customWidth="1"/>
    <col min="780" max="780" width="24" style="322" customWidth="1"/>
    <col min="781" max="781" width="11.42578125" style="322" customWidth="1"/>
    <col min="782" max="782" width="8.42578125" style="322" customWidth="1"/>
    <col min="783" max="788" width="23.28515625" style="322" bestFit="1" customWidth="1"/>
    <col min="789" max="1003" width="6.28515625" style="322"/>
    <col min="1004" max="1004" width="18.7109375" style="322" customWidth="1"/>
    <col min="1005" max="1005" width="22" style="322" bestFit="1" customWidth="1"/>
    <col min="1006" max="1006" width="50.140625" style="322" bestFit="1" customWidth="1"/>
    <col min="1007" max="1007" width="37.42578125" style="322" customWidth="1"/>
    <col min="1008" max="1017" width="11.42578125" style="322" customWidth="1"/>
    <col min="1018" max="1034" width="0" style="322" hidden="1" customWidth="1"/>
    <col min="1035" max="1035" width="11.42578125" style="322" customWidth="1"/>
    <col min="1036" max="1036" width="24" style="322" customWidth="1"/>
    <col min="1037" max="1037" width="11.42578125" style="322" customWidth="1"/>
    <col min="1038" max="1038" width="8.42578125" style="322" customWidth="1"/>
    <col min="1039" max="1044" width="23.28515625" style="322" bestFit="1" customWidth="1"/>
    <col min="1045" max="1259" width="6.28515625" style="322"/>
    <col min="1260" max="1260" width="18.7109375" style="322" customWidth="1"/>
    <col min="1261" max="1261" width="22" style="322" bestFit="1" customWidth="1"/>
    <col min="1262" max="1262" width="50.140625" style="322" bestFit="1" customWidth="1"/>
    <col min="1263" max="1263" width="37.42578125" style="322" customWidth="1"/>
    <col min="1264" max="1273" width="11.42578125" style="322" customWidth="1"/>
    <col min="1274" max="1290" width="0" style="322" hidden="1" customWidth="1"/>
    <col min="1291" max="1291" width="11.42578125" style="322" customWidth="1"/>
    <col min="1292" max="1292" width="24" style="322" customWidth="1"/>
    <col min="1293" max="1293" width="11.42578125" style="322" customWidth="1"/>
    <col min="1294" max="1294" width="8.42578125" style="322" customWidth="1"/>
    <col min="1295" max="1300" width="23.28515625" style="322" bestFit="1" customWidth="1"/>
    <col min="1301" max="1515" width="6.28515625" style="322"/>
    <col min="1516" max="1516" width="18.7109375" style="322" customWidth="1"/>
    <col min="1517" max="1517" width="22" style="322" bestFit="1" customWidth="1"/>
    <col min="1518" max="1518" width="50.140625" style="322" bestFit="1" customWidth="1"/>
    <col min="1519" max="1519" width="37.42578125" style="322" customWidth="1"/>
    <col min="1520" max="1529" width="11.42578125" style="322" customWidth="1"/>
    <col min="1530" max="1546" width="0" style="322" hidden="1" customWidth="1"/>
    <col min="1547" max="1547" width="11.42578125" style="322" customWidth="1"/>
    <col min="1548" max="1548" width="24" style="322" customWidth="1"/>
    <col min="1549" max="1549" width="11.42578125" style="322" customWidth="1"/>
    <col min="1550" max="1550" width="8.42578125" style="322" customWidth="1"/>
    <col min="1551" max="1556" width="23.28515625" style="322" bestFit="1" customWidth="1"/>
    <col min="1557" max="1771" width="6.28515625" style="322"/>
    <col min="1772" max="1772" width="18.7109375" style="322" customWidth="1"/>
    <col min="1773" max="1773" width="22" style="322" bestFit="1" customWidth="1"/>
    <col min="1774" max="1774" width="50.140625" style="322" bestFit="1" customWidth="1"/>
    <col min="1775" max="1775" width="37.42578125" style="322" customWidth="1"/>
    <col min="1776" max="1785" width="11.42578125" style="322" customWidth="1"/>
    <col min="1786" max="1802" width="0" style="322" hidden="1" customWidth="1"/>
    <col min="1803" max="1803" width="11.42578125" style="322" customWidth="1"/>
    <col min="1804" max="1804" width="24" style="322" customWidth="1"/>
    <col min="1805" max="1805" width="11.42578125" style="322" customWidth="1"/>
    <col min="1806" max="1806" width="8.42578125" style="322" customWidth="1"/>
    <col min="1807" max="1812" width="23.28515625" style="322" bestFit="1" customWidth="1"/>
    <col min="1813" max="2027" width="6.28515625" style="322"/>
    <col min="2028" max="2028" width="18.7109375" style="322" customWidth="1"/>
    <col min="2029" max="2029" width="22" style="322" bestFit="1" customWidth="1"/>
    <col min="2030" max="2030" width="50.140625" style="322" bestFit="1" customWidth="1"/>
    <col min="2031" max="2031" width="37.42578125" style="322" customWidth="1"/>
    <col min="2032" max="2041" width="11.42578125" style="322" customWidth="1"/>
    <col min="2042" max="2058" width="0" style="322" hidden="1" customWidth="1"/>
    <col min="2059" max="2059" width="11.42578125" style="322" customWidth="1"/>
    <col min="2060" max="2060" width="24" style="322" customWidth="1"/>
    <col min="2061" max="2061" width="11.42578125" style="322" customWidth="1"/>
    <col min="2062" max="2062" width="8.42578125" style="322" customWidth="1"/>
    <col min="2063" max="2068" width="23.28515625" style="322" bestFit="1" customWidth="1"/>
    <col min="2069" max="2283" width="6.28515625" style="322"/>
    <col min="2284" max="2284" width="18.7109375" style="322" customWidth="1"/>
    <col min="2285" max="2285" width="22" style="322" bestFit="1" customWidth="1"/>
    <col min="2286" max="2286" width="50.140625" style="322" bestFit="1" customWidth="1"/>
    <col min="2287" max="2287" width="37.42578125" style="322" customWidth="1"/>
    <col min="2288" max="2297" width="11.42578125" style="322" customWidth="1"/>
    <col min="2298" max="2314" width="0" style="322" hidden="1" customWidth="1"/>
    <col min="2315" max="2315" width="11.42578125" style="322" customWidth="1"/>
    <col min="2316" max="2316" width="24" style="322" customWidth="1"/>
    <col min="2317" max="2317" width="11.42578125" style="322" customWidth="1"/>
    <col min="2318" max="2318" width="8.42578125" style="322" customWidth="1"/>
    <col min="2319" max="2324" width="23.28515625" style="322" bestFit="1" customWidth="1"/>
    <col min="2325" max="2539" width="6.28515625" style="322"/>
    <col min="2540" max="2540" width="18.7109375" style="322" customWidth="1"/>
    <col min="2541" max="2541" width="22" style="322" bestFit="1" customWidth="1"/>
    <col min="2542" max="2542" width="50.140625" style="322" bestFit="1" customWidth="1"/>
    <col min="2543" max="2543" width="37.42578125" style="322" customWidth="1"/>
    <col min="2544" max="2553" width="11.42578125" style="322" customWidth="1"/>
    <col min="2554" max="2570" width="0" style="322" hidden="1" customWidth="1"/>
    <col min="2571" max="2571" width="11.42578125" style="322" customWidth="1"/>
    <col min="2572" max="2572" width="24" style="322" customWidth="1"/>
    <col min="2573" max="2573" width="11.42578125" style="322" customWidth="1"/>
    <col min="2574" max="2574" width="8.42578125" style="322" customWidth="1"/>
    <col min="2575" max="2580" width="23.28515625" style="322" bestFit="1" customWidth="1"/>
    <col min="2581" max="2795" width="6.28515625" style="322"/>
    <col min="2796" max="2796" width="18.7109375" style="322" customWidth="1"/>
    <col min="2797" max="2797" width="22" style="322" bestFit="1" customWidth="1"/>
    <col min="2798" max="2798" width="50.140625" style="322" bestFit="1" customWidth="1"/>
    <col min="2799" max="2799" width="37.42578125" style="322" customWidth="1"/>
    <col min="2800" max="2809" width="11.42578125" style="322" customWidth="1"/>
    <col min="2810" max="2826" width="0" style="322" hidden="1" customWidth="1"/>
    <col min="2827" max="2827" width="11.42578125" style="322" customWidth="1"/>
    <col min="2828" max="2828" width="24" style="322" customWidth="1"/>
    <col min="2829" max="2829" width="11.42578125" style="322" customWidth="1"/>
    <col min="2830" max="2830" width="8.42578125" style="322" customWidth="1"/>
    <col min="2831" max="2836" width="23.28515625" style="322" bestFit="1" customWidth="1"/>
    <col min="2837" max="3051" width="6.28515625" style="322"/>
    <col min="3052" max="3052" width="18.7109375" style="322" customWidth="1"/>
    <col min="3053" max="3053" width="22" style="322" bestFit="1" customWidth="1"/>
    <col min="3054" max="3054" width="50.140625" style="322" bestFit="1" customWidth="1"/>
    <col min="3055" max="3055" width="37.42578125" style="322" customWidth="1"/>
    <col min="3056" max="3065" width="11.42578125" style="322" customWidth="1"/>
    <col min="3066" max="3082" width="0" style="322" hidden="1" customWidth="1"/>
    <col min="3083" max="3083" width="11.42578125" style="322" customWidth="1"/>
    <col min="3084" max="3084" width="24" style="322" customWidth="1"/>
    <col min="3085" max="3085" width="11.42578125" style="322" customWidth="1"/>
    <col min="3086" max="3086" width="8.42578125" style="322" customWidth="1"/>
    <col min="3087" max="3092" width="23.28515625" style="322" bestFit="1" customWidth="1"/>
    <col min="3093" max="3307" width="6.28515625" style="322"/>
    <col min="3308" max="3308" width="18.7109375" style="322" customWidth="1"/>
    <col min="3309" max="3309" width="22" style="322" bestFit="1" customWidth="1"/>
    <col min="3310" max="3310" width="50.140625" style="322" bestFit="1" customWidth="1"/>
    <col min="3311" max="3311" width="37.42578125" style="322" customWidth="1"/>
    <col min="3312" max="3321" width="11.42578125" style="322" customWidth="1"/>
    <col min="3322" max="3338" width="0" style="322" hidden="1" customWidth="1"/>
    <col min="3339" max="3339" width="11.42578125" style="322" customWidth="1"/>
    <col min="3340" max="3340" width="24" style="322" customWidth="1"/>
    <col min="3341" max="3341" width="11.42578125" style="322" customWidth="1"/>
    <col min="3342" max="3342" width="8.42578125" style="322" customWidth="1"/>
    <col min="3343" max="3348" width="23.28515625" style="322" bestFit="1" customWidth="1"/>
    <col min="3349" max="3563" width="6.28515625" style="322"/>
    <col min="3564" max="3564" width="18.7109375" style="322" customWidth="1"/>
    <col min="3565" max="3565" width="22" style="322" bestFit="1" customWidth="1"/>
    <col min="3566" max="3566" width="50.140625" style="322" bestFit="1" customWidth="1"/>
    <col min="3567" max="3567" width="37.42578125" style="322" customWidth="1"/>
    <col min="3568" max="3577" width="11.42578125" style="322" customWidth="1"/>
    <col min="3578" max="3594" width="0" style="322" hidden="1" customWidth="1"/>
    <col min="3595" max="3595" width="11.42578125" style="322" customWidth="1"/>
    <col min="3596" max="3596" width="24" style="322" customWidth="1"/>
    <col min="3597" max="3597" width="11.42578125" style="322" customWidth="1"/>
    <col min="3598" max="3598" width="8.42578125" style="322" customWidth="1"/>
    <col min="3599" max="3604" width="23.28515625" style="322" bestFit="1" customWidth="1"/>
    <col min="3605" max="3819" width="6.28515625" style="322"/>
    <col min="3820" max="3820" width="18.7109375" style="322" customWidth="1"/>
    <col min="3821" max="3821" width="22" style="322" bestFit="1" customWidth="1"/>
    <col min="3822" max="3822" width="50.140625" style="322" bestFit="1" customWidth="1"/>
    <col min="3823" max="3823" width="37.42578125" style="322" customWidth="1"/>
    <col min="3824" max="3833" width="11.42578125" style="322" customWidth="1"/>
    <col min="3834" max="3850" width="0" style="322" hidden="1" customWidth="1"/>
    <col min="3851" max="3851" width="11.42578125" style="322" customWidth="1"/>
    <col min="3852" max="3852" width="24" style="322" customWidth="1"/>
    <col min="3853" max="3853" width="11.42578125" style="322" customWidth="1"/>
    <col min="3854" max="3854" width="8.42578125" style="322" customWidth="1"/>
    <col min="3855" max="3860" width="23.28515625" style="322" bestFit="1" customWidth="1"/>
    <col min="3861" max="4075" width="6.28515625" style="322"/>
    <col min="4076" max="4076" width="18.7109375" style="322" customWidth="1"/>
    <col min="4077" max="4077" width="22" style="322" bestFit="1" customWidth="1"/>
    <col min="4078" max="4078" width="50.140625" style="322" bestFit="1" customWidth="1"/>
    <col min="4079" max="4079" width="37.42578125" style="322" customWidth="1"/>
    <col min="4080" max="4089" width="11.42578125" style="322" customWidth="1"/>
    <col min="4090" max="4106" width="0" style="322" hidden="1" customWidth="1"/>
    <col min="4107" max="4107" width="11.42578125" style="322" customWidth="1"/>
    <col min="4108" max="4108" width="24" style="322" customWidth="1"/>
    <col min="4109" max="4109" width="11.42578125" style="322" customWidth="1"/>
    <col min="4110" max="4110" width="8.42578125" style="322" customWidth="1"/>
    <col min="4111" max="4116" width="23.28515625" style="322" bestFit="1" customWidth="1"/>
    <col min="4117" max="4331" width="6.28515625" style="322"/>
    <col min="4332" max="4332" width="18.7109375" style="322" customWidth="1"/>
    <col min="4333" max="4333" width="22" style="322" bestFit="1" customWidth="1"/>
    <col min="4334" max="4334" width="50.140625" style="322" bestFit="1" customWidth="1"/>
    <col min="4335" max="4335" width="37.42578125" style="322" customWidth="1"/>
    <col min="4336" max="4345" width="11.42578125" style="322" customWidth="1"/>
    <col min="4346" max="4362" width="0" style="322" hidden="1" customWidth="1"/>
    <col min="4363" max="4363" width="11.42578125" style="322" customWidth="1"/>
    <col min="4364" max="4364" width="24" style="322" customWidth="1"/>
    <col min="4365" max="4365" width="11.42578125" style="322" customWidth="1"/>
    <col min="4366" max="4366" width="8.42578125" style="322" customWidth="1"/>
    <col min="4367" max="4372" width="23.28515625" style="322" bestFit="1" customWidth="1"/>
    <col min="4373" max="4587" width="6.28515625" style="322"/>
    <col min="4588" max="4588" width="18.7109375" style="322" customWidth="1"/>
    <col min="4589" max="4589" width="22" style="322" bestFit="1" customWidth="1"/>
    <col min="4590" max="4590" width="50.140625" style="322" bestFit="1" customWidth="1"/>
    <col min="4591" max="4591" width="37.42578125" style="322" customWidth="1"/>
    <col min="4592" max="4601" width="11.42578125" style="322" customWidth="1"/>
    <col min="4602" max="4618" width="0" style="322" hidden="1" customWidth="1"/>
    <col min="4619" max="4619" width="11.42578125" style="322" customWidth="1"/>
    <col min="4620" max="4620" width="24" style="322" customWidth="1"/>
    <col min="4621" max="4621" width="11.42578125" style="322" customWidth="1"/>
    <col min="4622" max="4622" width="8.42578125" style="322" customWidth="1"/>
    <col min="4623" max="4628" width="23.28515625" style="322" bestFit="1" customWidth="1"/>
    <col min="4629" max="4843" width="6.28515625" style="322"/>
    <col min="4844" max="4844" width="18.7109375" style="322" customWidth="1"/>
    <col min="4845" max="4845" width="22" style="322" bestFit="1" customWidth="1"/>
    <col min="4846" max="4846" width="50.140625" style="322" bestFit="1" customWidth="1"/>
    <col min="4847" max="4847" width="37.42578125" style="322" customWidth="1"/>
    <col min="4848" max="4857" width="11.42578125" style="322" customWidth="1"/>
    <col min="4858" max="4874" width="0" style="322" hidden="1" customWidth="1"/>
    <col min="4875" max="4875" width="11.42578125" style="322" customWidth="1"/>
    <col min="4876" max="4876" width="24" style="322" customWidth="1"/>
    <col min="4877" max="4877" width="11.42578125" style="322" customWidth="1"/>
    <col min="4878" max="4878" width="8.42578125" style="322" customWidth="1"/>
    <col min="4879" max="4884" width="23.28515625" style="322" bestFit="1" customWidth="1"/>
    <col min="4885" max="5099" width="6.28515625" style="322"/>
    <col min="5100" max="5100" width="18.7109375" style="322" customWidth="1"/>
    <col min="5101" max="5101" width="22" style="322" bestFit="1" customWidth="1"/>
    <col min="5102" max="5102" width="50.140625" style="322" bestFit="1" customWidth="1"/>
    <col min="5103" max="5103" width="37.42578125" style="322" customWidth="1"/>
    <col min="5104" max="5113" width="11.42578125" style="322" customWidth="1"/>
    <col min="5114" max="5130" width="0" style="322" hidden="1" customWidth="1"/>
    <col min="5131" max="5131" width="11.42578125" style="322" customWidth="1"/>
    <col min="5132" max="5132" width="24" style="322" customWidth="1"/>
    <col min="5133" max="5133" width="11.42578125" style="322" customWidth="1"/>
    <col min="5134" max="5134" width="8.42578125" style="322" customWidth="1"/>
    <col min="5135" max="5140" width="23.28515625" style="322" bestFit="1" customWidth="1"/>
    <col min="5141" max="5355" width="6.28515625" style="322"/>
    <col min="5356" max="5356" width="18.7109375" style="322" customWidth="1"/>
    <col min="5357" max="5357" width="22" style="322" bestFit="1" customWidth="1"/>
    <col min="5358" max="5358" width="50.140625" style="322" bestFit="1" customWidth="1"/>
    <col min="5359" max="5359" width="37.42578125" style="322" customWidth="1"/>
    <col min="5360" max="5369" width="11.42578125" style="322" customWidth="1"/>
    <col min="5370" max="5386" width="0" style="322" hidden="1" customWidth="1"/>
    <col min="5387" max="5387" width="11.42578125" style="322" customWidth="1"/>
    <col min="5388" max="5388" width="24" style="322" customWidth="1"/>
    <col min="5389" max="5389" width="11.42578125" style="322" customWidth="1"/>
    <col min="5390" max="5390" width="8.42578125" style="322" customWidth="1"/>
    <col min="5391" max="5396" width="23.28515625" style="322" bestFit="1" customWidth="1"/>
    <col min="5397" max="5611" width="6.28515625" style="322"/>
    <col min="5612" max="5612" width="18.7109375" style="322" customWidth="1"/>
    <col min="5613" max="5613" width="22" style="322" bestFit="1" customWidth="1"/>
    <col min="5614" max="5614" width="50.140625" style="322" bestFit="1" customWidth="1"/>
    <col min="5615" max="5615" width="37.42578125" style="322" customWidth="1"/>
    <col min="5616" max="5625" width="11.42578125" style="322" customWidth="1"/>
    <col min="5626" max="5642" width="0" style="322" hidden="1" customWidth="1"/>
    <col min="5643" max="5643" width="11.42578125" style="322" customWidth="1"/>
    <col min="5644" max="5644" width="24" style="322" customWidth="1"/>
    <col min="5645" max="5645" width="11.42578125" style="322" customWidth="1"/>
    <col min="5646" max="5646" width="8.42578125" style="322" customWidth="1"/>
    <col min="5647" max="5652" width="23.28515625" style="322" bestFit="1" customWidth="1"/>
    <col min="5653" max="5867" width="6.28515625" style="322"/>
    <col min="5868" max="5868" width="18.7109375" style="322" customWidth="1"/>
    <col min="5869" max="5869" width="22" style="322" bestFit="1" customWidth="1"/>
    <col min="5870" max="5870" width="50.140625" style="322" bestFit="1" customWidth="1"/>
    <col min="5871" max="5871" width="37.42578125" style="322" customWidth="1"/>
    <col min="5872" max="5881" width="11.42578125" style="322" customWidth="1"/>
    <col min="5882" max="5898" width="0" style="322" hidden="1" customWidth="1"/>
    <col min="5899" max="5899" width="11.42578125" style="322" customWidth="1"/>
    <col min="5900" max="5900" width="24" style="322" customWidth="1"/>
    <col min="5901" max="5901" width="11.42578125" style="322" customWidth="1"/>
    <col min="5902" max="5902" width="8.42578125" style="322" customWidth="1"/>
    <col min="5903" max="5908" width="23.28515625" style="322" bestFit="1" customWidth="1"/>
    <col min="5909" max="6123" width="6.28515625" style="322"/>
    <col min="6124" max="6124" width="18.7109375" style="322" customWidth="1"/>
    <col min="6125" max="6125" width="22" style="322" bestFit="1" customWidth="1"/>
    <col min="6126" max="6126" width="50.140625" style="322" bestFit="1" customWidth="1"/>
    <col min="6127" max="6127" width="37.42578125" style="322" customWidth="1"/>
    <col min="6128" max="6137" width="11.42578125" style="322" customWidth="1"/>
    <col min="6138" max="6154" width="0" style="322" hidden="1" customWidth="1"/>
    <col min="6155" max="6155" width="11.42578125" style="322" customWidth="1"/>
    <col min="6156" max="6156" width="24" style="322" customWidth="1"/>
    <col min="6157" max="6157" width="11.42578125" style="322" customWidth="1"/>
    <col min="6158" max="6158" width="8.42578125" style="322" customWidth="1"/>
    <col min="6159" max="6164" width="23.28515625" style="322" bestFit="1" customWidth="1"/>
    <col min="6165" max="6379" width="6.28515625" style="322"/>
    <col min="6380" max="6380" width="18.7109375" style="322" customWidth="1"/>
    <col min="6381" max="6381" width="22" style="322" bestFit="1" customWidth="1"/>
    <col min="6382" max="6382" width="50.140625" style="322" bestFit="1" customWidth="1"/>
    <col min="6383" max="6383" width="37.42578125" style="322" customWidth="1"/>
    <col min="6384" max="6393" width="11.42578125" style="322" customWidth="1"/>
    <col min="6394" max="6410" width="0" style="322" hidden="1" customWidth="1"/>
    <col min="6411" max="6411" width="11.42578125" style="322" customWidth="1"/>
    <col min="6412" max="6412" width="24" style="322" customWidth="1"/>
    <col min="6413" max="6413" width="11.42578125" style="322" customWidth="1"/>
    <col min="6414" max="6414" width="8.42578125" style="322" customWidth="1"/>
    <col min="6415" max="6420" width="23.28515625" style="322" bestFit="1" customWidth="1"/>
    <col min="6421" max="6635" width="6.28515625" style="322"/>
    <col min="6636" max="6636" width="18.7109375" style="322" customWidth="1"/>
    <col min="6637" max="6637" width="22" style="322" bestFit="1" customWidth="1"/>
    <col min="6638" max="6638" width="50.140625" style="322" bestFit="1" customWidth="1"/>
    <col min="6639" max="6639" width="37.42578125" style="322" customWidth="1"/>
    <col min="6640" max="6649" width="11.42578125" style="322" customWidth="1"/>
    <col min="6650" max="6666" width="0" style="322" hidden="1" customWidth="1"/>
    <col min="6667" max="6667" width="11.42578125" style="322" customWidth="1"/>
    <col min="6668" max="6668" width="24" style="322" customWidth="1"/>
    <col min="6669" max="6669" width="11.42578125" style="322" customWidth="1"/>
    <col min="6670" max="6670" width="8.42578125" style="322" customWidth="1"/>
    <col min="6671" max="6676" width="23.28515625" style="322" bestFit="1" customWidth="1"/>
    <col min="6677" max="6891" width="6.28515625" style="322"/>
    <col min="6892" max="6892" width="18.7109375" style="322" customWidth="1"/>
    <col min="6893" max="6893" width="22" style="322" bestFit="1" customWidth="1"/>
    <col min="6894" max="6894" width="50.140625" style="322" bestFit="1" customWidth="1"/>
    <col min="6895" max="6895" width="37.42578125" style="322" customWidth="1"/>
    <col min="6896" max="6905" width="11.42578125" style="322" customWidth="1"/>
    <col min="6906" max="6922" width="0" style="322" hidden="1" customWidth="1"/>
    <col min="6923" max="6923" width="11.42578125" style="322" customWidth="1"/>
    <col min="6924" max="6924" width="24" style="322" customWidth="1"/>
    <col min="6925" max="6925" width="11.42578125" style="322" customWidth="1"/>
    <col min="6926" max="6926" width="8.42578125" style="322" customWidth="1"/>
    <col min="6927" max="6932" width="23.28515625" style="322" bestFit="1" customWidth="1"/>
    <col min="6933" max="7147" width="6.28515625" style="322"/>
    <col min="7148" max="7148" width="18.7109375" style="322" customWidth="1"/>
    <col min="7149" max="7149" width="22" style="322" bestFit="1" customWidth="1"/>
    <col min="7150" max="7150" width="50.140625" style="322" bestFit="1" customWidth="1"/>
    <col min="7151" max="7151" width="37.42578125" style="322" customWidth="1"/>
    <col min="7152" max="7161" width="11.42578125" style="322" customWidth="1"/>
    <col min="7162" max="7178" width="0" style="322" hidden="1" customWidth="1"/>
    <col min="7179" max="7179" width="11.42578125" style="322" customWidth="1"/>
    <col min="7180" max="7180" width="24" style="322" customWidth="1"/>
    <col min="7181" max="7181" width="11.42578125" style="322" customWidth="1"/>
    <col min="7182" max="7182" width="8.42578125" style="322" customWidth="1"/>
    <col min="7183" max="7188" width="23.28515625" style="322" bestFit="1" customWidth="1"/>
    <col min="7189" max="7403" width="6.28515625" style="322"/>
    <col min="7404" max="7404" width="18.7109375" style="322" customWidth="1"/>
    <col min="7405" max="7405" width="22" style="322" bestFit="1" customWidth="1"/>
    <col min="7406" max="7406" width="50.140625" style="322" bestFit="1" customWidth="1"/>
    <col min="7407" max="7407" width="37.42578125" style="322" customWidth="1"/>
    <col min="7408" max="7417" width="11.42578125" style="322" customWidth="1"/>
    <col min="7418" max="7434" width="0" style="322" hidden="1" customWidth="1"/>
    <col min="7435" max="7435" width="11.42578125" style="322" customWidth="1"/>
    <col min="7436" max="7436" width="24" style="322" customWidth="1"/>
    <col min="7437" max="7437" width="11.42578125" style="322" customWidth="1"/>
    <col min="7438" max="7438" width="8.42578125" style="322" customWidth="1"/>
    <col min="7439" max="7444" width="23.28515625" style="322" bestFit="1" customWidth="1"/>
    <col min="7445" max="7659" width="6.28515625" style="322"/>
    <col min="7660" max="7660" width="18.7109375" style="322" customWidth="1"/>
    <col min="7661" max="7661" width="22" style="322" bestFit="1" customWidth="1"/>
    <col min="7662" max="7662" width="50.140625" style="322" bestFit="1" customWidth="1"/>
    <col min="7663" max="7663" width="37.42578125" style="322" customWidth="1"/>
    <col min="7664" max="7673" width="11.42578125" style="322" customWidth="1"/>
    <col min="7674" max="7690" width="0" style="322" hidden="1" customWidth="1"/>
    <col min="7691" max="7691" width="11.42578125" style="322" customWidth="1"/>
    <col min="7692" max="7692" width="24" style="322" customWidth="1"/>
    <col min="7693" max="7693" width="11.42578125" style="322" customWidth="1"/>
    <col min="7694" max="7694" width="8.42578125" style="322" customWidth="1"/>
    <col min="7695" max="7700" width="23.28515625" style="322" bestFit="1" customWidth="1"/>
    <col min="7701" max="7915" width="6.28515625" style="322"/>
    <col min="7916" max="7916" width="18.7109375" style="322" customWidth="1"/>
    <col min="7917" max="7917" width="22" style="322" bestFit="1" customWidth="1"/>
    <col min="7918" max="7918" width="50.140625" style="322" bestFit="1" customWidth="1"/>
    <col min="7919" max="7919" width="37.42578125" style="322" customWidth="1"/>
    <col min="7920" max="7929" width="11.42578125" style="322" customWidth="1"/>
    <col min="7930" max="7946" width="0" style="322" hidden="1" customWidth="1"/>
    <col min="7947" max="7947" width="11.42578125" style="322" customWidth="1"/>
    <col min="7948" max="7948" width="24" style="322" customWidth="1"/>
    <col min="7949" max="7949" width="11.42578125" style="322" customWidth="1"/>
    <col min="7950" max="7950" width="8.42578125" style="322" customWidth="1"/>
    <col min="7951" max="7956" width="23.28515625" style="322" bestFit="1" customWidth="1"/>
    <col min="7957" max="8171" width="6.28515625" style="322"/>
    <col min="8172" max="8172" width="18.7109375" style="322" customWidth="1"/>
    <col min="8173" max="8173" width="22" style="322" bestFit="1" customWidth="1"/>
    <col min="8174" max="8174" width="50.140625" style="322" bestFit="1" customWidth="1"/>
    <col min="8175" max="8175" width="37.42578125" style="322" customWidth="1"/>
    <col min="8176" max="8185" width="11.42578125" style="322" customWidth="1"/>
    <col min="8186" max="8202" width="0" style="322" hidden="1" customWidth="1"/>
    <col min="8203" max="8203" width="11.42578125" style="322" customWidth="1"/>
    <col min="8204" max="8204" width="24" style="322" customWidth="1"/>
    <col min="8205" max="8205" width="11.42578125" style="322" customWidth="1"/>
    <col min="8206" max="8206" width="8.42578125" style="322" customWidth="1"/>
    <col min="8207" max="8212" width="23.28515625" style="322" bestFit="1" customWidth="1"/>
    <col min="8213" max="8427" width="6.28515625" style="322"/>
    <col min="8428" max="8428" width="18.7109375" style="322" customWidth="1"/>
    <col min="8429" max="8429" width="22" style="322" bestFit="1" customWidth="1"/>
    <col min="8430" max="8430" width="50.140625" style="322" bestFit="1" customWidth="1"/>
    <col min="8431" max="8431" width="37.42578125" style="322" customWidth="1"/>
    <col min="8432" max="8441" width="11.42578125" style="322" customWidth="1"/>
    <col min="8442" max="8458" width="0" style="322" hidden="1" customWidth="1"/>
    <col min="8459" max="8459" width="11.42578125" style="322" customWidth="1"/>
    <col min="8460" max="8460" width="24" style="322" customWidth="1"/>
    <col min="8461" max="8461" width="11.42578125" style="322" customWidth="1"/>
    <col min="8462" max="8462" width="8.42578125" style="322" customWidth="1"/>
    <col min="8463" max="8468" width="23.28515625" style="322" bestFit="1" customWidth="1"/>
    <col min="8469" max="8683" width="6.28515625" style="322"/>
    <col min="8684" max="8684" width="18.7109375" style="322" customWidth="1"/>
    <col min="8685" max="8685" width="22" style="322" bestFit="1" customWidth="1"/>
    <col min="8686" max="8686" width="50.140625" style="322" bestFit="1" customWidth="1"/>
    <col min="8687" max="8687" width="37.42578125" style="322" customWidth="1"/>
    <col min="8688" max="8697" width="11.42578125" style="322" customWidth="1"/>
    <col min="8698" max="8714" width="0" style="322" hidden="1" customWidth="1"/>
    <col min="8715" max="8715" width="11.42578125" style="322" customWidth="1"/>
    <col min="8716" max="8716" width="24" style="322" customWidth="1"/>
    <col min="8717" max="8717" width="11.42578125" style="322" customWidth="1"/>
    <col min="8718" max="8718" width="8.42578125" style="322" customWidth="1"/>
    <col min="8719" max="8724" width="23.28515625" style="322" bestFit="1" customWidth="1"/>
    <col min="8725" max="8939" width="6.28515625" style="322"/>
    <col min="8940" max="8940" width="18.7109375" style="322" customWidth="1"/>
    <col min="8941" max="8941" width="22" style="322" bestFit="1" customWidth="1"/>
    <col min="8942" max="8942" width="50.140625" style="322" bestFit="1" customWidth="1"/>
    <col min="8943" max="8943" width="37.42578125" style="322" customWidth="1"/>
    <col min="8944" max="8953" width="11.42578125" style="322" customWidth="1"/>
    <col min="8954" max="8970" width="0" style="322" hidden="1" customWidth="1"/>
    <col min="8971" max="8971" width="11.42578125" style="322" customWidth="1"/>
    <col min="8972" max="8972" width="24" style="322" customWidth="1"/>
    <col min="8973" max="8973" width="11.42578125" style="322" customWidth="1"/>
    <col min="8974" max="8974" width="8.42578125" style="322" customWidth="1"/>
    <col min="8975" max="8980" width="23.28515625" style="322" bestFit="1" customWidth="1"/>
    <col min="8981" max="9195" width="6.28515625" style="322"/>
    <col min="9196" max="9196" width="18.7109375" style="322" customWidth="1"/>
    <col min="9197" max="9197" width="22" style="322" bestFit="1" customWidth="1"/>
    <col min="9198" max="9198" width="50.140625" style="322" bestFit="1" customWidth="1"/>
    <col min="9199" max="9199" width="37.42578125" style="322" customWidth="1"/>
    <col min="9200" max="9209" width="11.42578125" style="322" customWidth="1"/>
    <col min="9210" max="9226" width="0" style="322" hidden="1" customWidth="1"/>
    <col min="9227" max="9227" width="11.42578125" style="322" customWidth="1"/>
    <col min="9228" max="9228" width="24" style="322" customWidth="1"/>
    <col min="9229" max="9229" width="11.42578125" style="322" customWidth="1"/>
    <col min="9230" max="9230" width="8.42578125" style="322" customWidth="1"/>
    <col min="9231" max="9236" width="23.28515625" style="322" bestFit="1" customWidth="1"/>
    <col min="9237" max="9451" width="6.28515625" style="322"/>
    <col min="9452" max="9452" width="18.7109375" style="322" customWidth="1"/>
    <col min="9453" max="9453" width="22" style="322" bestFit="1" customWidth="1"/>
    <col min="9454" max="9454" width="50.140625" style="322" bestFit="1" customWidth="1"/>
    <col min="9455" max="9455" width="37.42578125" style="322" customWidth="1"/>
    <col min="9456" max="9465" width="11.42578125" style="322" customWidth="1"/>
    <col min="9466" max="9482" width="0" style="322" hidden="1" customWidth="1"/>
    <col min="9483" max="9483" width="11.42578125" style="322" customWidth="1"/>
    <col min="9484" max="9484" width="24" style="322" customWidth="1"/>
    <col min="9485" max="9485" width="11.42578125" style="322" customWidth="1"/>
    <col min="9486" max="9486" width="8.42578125" style="322" customWidth="1"/>
    <col min="9487" max="9492" width="23.28515625" style="322" bestFit="1" customWidth="1"/>
    <col min="9493" max="9707" width="6.28515625" style="322"/>
    <col min="9708" max="9708" width="18.7109375" style="322" customWidth="1"/>
    <col min="9709" max="9709" width="22" style="322" bestFit="1" customWidth="1"/>
    <col min="9710" max="9710" width="50.140625" style="322" bestFit="1" customWidth="1"/>
    <col min="9711" max="9711" width="37.42578125" style="322" customWidth="1"/>
    <col min="9712" max="9721" width="11.42578125" style="322" customWidth="1"/>
    <col min="9722" max="9738" width="0" style="322" hidden="1" customWidth="1"/>
    <col min="9739" max="9739" width="11.42578125" style="322" customWidth="1"/>
    <col min="9740" max="9740" width="24" style="322" customWidth="1"/>
    <col min="9741" max="9741" width="11.42578125" style="322" customWidth="1"/>
    <col min="9742" max="9742" width="8.42578125" style="322" customWidth="1"/>
    <col min="9743" max="9748" width="23.28515625" style="322" bestFit="1" customWidth="1"/>
    <col min="9749" max="9963" width="6.28515625" style="322"/>
    <col min="9964" max="9964" width="18.7109375" style="322" customWidth="1"/>
    <col min="9965" max="9965" width="22" style="322" bestFit="1" customWidth="1"/>
    <col min="9966" max="9966" width="50.140625" style="322" bestFit="1" customWidth="1"/>
    <col min="9967" max="9967" width="37.42578125" style="322" customWidth="1"/>
    <col min="9968" max="9977" width="11.42578125" style="322" customWidth="1"/>
    <col min="9978" max="9994" width="0" style="322" hidden="1" customWidth="1"/>
    <col min="9995" max="9995" width="11.42578125" style="322" customWidth="1"/>
    <col min="9996" max="9996" width="24" style="322" customWidth="1"/>
    <col min="9997" max="9997" width="11.42578125" style="322" customWidth="1"/>
    <col min="9998" max="9998" width="8.42578125" style="322" customWidth="1"/>
    <col min="9999" max="10004" width="23.28515625" style="322" bestFit="1" customWidth="1"/>
    <col min="10005" max="10219" width="6.28515625" style="322"/>
    <col min="10220" max="10220" width="18.7109375" style="322" customWidth="1"/>
    <col min="10221" max="10221" width="22" style="322" bestFit="1" customWidth="1"/>
    <col min="10222" max="10222" width="50.140625" style="322" bestFit="1" customWidth="1"/>
    <col min="10223" max="10223" width="37.42578125" style="322" customWidth="1"/>
    <col min="10224" max="10233" width="11.42578125" style="322" customWidth="1"/>
    <col min="10234" max="10250" width="0" style="322" hidden="1" customWidth="1"/>
    <col min="10251" max="10251" width="11.42578125" style="322" customWidth="1"/>
    <col min="10252" max="10252" width="24" style="322" customWidth="1"/>
    <col min="10253" max="10253" width="11.42578125" style="322" customWidth="1"/>
    <col min="10254" max="10254" width="8.42578125" style="322" customWidth="1"/>
    <col min="10255" max="10260" width="23.28515625" style="322" bestFit="1" customWidth="1"/>
    <col min="10261" max="10475" width="6.28515625" style="322"/>
    <col min="10476" max="10476" width="18.7109375" style="322" customWidth="1"/>
    <col min="10477" max="10477" width="22" style="322" bestFit="1" customWidth="1"/>
    <col min="10478" max="10478" width="50.140625" style="322" bestFit="1" customWidth="1"/>
    <col min="10479" max="10479" width="37.42578125" style="322" customWidth="1"/>
    <col min="10480" max="10489" width="11.42578125" style="322" customWidth="1"/>
    <col min="10490" max="10506" width="0" style="322" hidden="1" customWidth="1"/>
    <col min="10507" max="10507" width="11.42578125" style="322" customWidth="1"/>
    <col min="10508" max="10508" width="24" style="322" customWidth="1"/>
    <col min="10509" max="10509" width="11.42578125" style="322" customWidth="1"/>
    <col min="10510" max="10510" width="8.42578125" style="322" customWidth="1"/>
    <col min="10511" max="10516" width="23.28515625" style="322" bestFit="1" customWidth="1"/>
    <col min="10517" max="10731" width="6.28515625" style="322"/>
    <col min="10732" max="10732" width="18.7109375" style="322" customWidth="1"/>
    <col min="10733" max="10733" width="22" style="322" bestFit="1" customWidth="1"/>
    <col min="10734" max="10734" width="50.140625" style="322" bestFit="1" customWidth="1"/>
    <col min="10735" max="10735" width="37.42578125" style="322" customWidth="1"/>
    <col min="10736" max="10745" width="11.42578125" style="322" customWidth="1"/>
    <col min="10746" max="10762" width="0" style="322" hidden="1" customWidth="1"/>
    <col min="10763" max="10763" width="11.42578125" style="322" customWidth="1"/>
    <col min="10764" max="10764" width="24" style="322" customWidth="1"/>
    <col min="10765" max="10765" width="11.42578125" style="322" customWidth="1"/>
    <col min="10766" max="10766" width="8.42578125" style="322" customWidth="1"/>
    <col min="10767" max="10772" width="23.28515625" style="322" bestFit="1" customWidth="1"/>
    <col min="10773" max="10987" width="6.28515625" style="322"/>
    <col min="10988" max="10988" width="18.7109375" style="322" customWidth="1"/>
    <col min="10989" max="10989" width="22" style="322" bestFit="1" customWidth="1"/>
    <col min="10990" max="10990" width="50.140625" style="322" bestFit="1" customWidth="1"/>
    <col min="10991" max="10991" width="37.42578125" style="322" customWidth="1"/>
    <col min="10992" max="11001" width="11.42578125" style="322" customWidth="1"/>
    <col min="11002" max="11018" width="0" style="322" hidden="1" customWidth="1"/>
    <col min="11019" max="11019" width="11.42578125" style="322" customWidth="1"/>
    <col min="11020" max="11020" width="24" style="322" customWidth="1"/>
    <col min="11021" max="11021" width="11.42578125" style="322" customWidth="1"/>
    <col min="11022" max="11022" width="8.42578125" style="322" customWidth="1"/>
    <col min="11023" max="11028" width="23.28515625" style="322" bestFit="1" customWidth="1"/>
    <col min="11029" max="11243" width="6.28515625" style="322"/>
    <col min="11244" max="11244" width="18.7109375" style="322" customWidth="1"/>
    <col min="11245" max="11245" width="22" style="322" bestFit="1" customWidth="1"/>
    <col min="11246" max="11246" width="50.140625" style="322" bestFit="1" customWidth="1"/>
    <col min="11247" max="11247" width="37.42578125" style="322" customWidth="1"/>
    <col min="11248" max="11257" width="11.42578125" style="322" customWidth="1"/>
    <col min="11258" max="11274" width="0" style="322" hidden="1" customWidth="1"/>
    <col min="11275" max="11275" width="11.42578125" style="322" customWidth="1"/>
    <col min="11276" max="11276" width="24" style="322" customWidth="1"/>
    <col min="11277" max="11277" width="11.42578125" style="322" customWidth="1"/>
    <col min="11278" max="11278" width="8.42578125" style="322" customWidth="1"/>
    <col min="11279" max="11284" width="23.28515625" style="322" bestFit="1" customWidth="1"/>
    <col min="11285" max="11499" width="6.28515625" style="322"/>
    <col min="11500" max="11500" width="18.7109375" style="322" customWidth="1"/>
    <col min="11501" max="11501" width="22" style="322" bestFit="1" customWidth="1"/>
    <col min="11502" max="11502" width="50.140625" style="322" bestFit="1" customWidth="1"/>
    <col min="11503" max="11503" width="37.42578125" style="322" customWidth="1"/>
    <col min="11504" max="11513" width="11.42578125" style="322" customWidth="1"/>
    <col min="11514" max="11530" width="0" style="322" hidden="1" customWidth="1"/>
    <col min="11531" max="11531" width="11.42578125" style="322" customWidth="1"/>
    <col min="11532" max="11532" width="24" style="322" customWidth="1"/>
    <col min="11533" max="11533" width="11.42578125" style="322" customWidth="1"/>
    <col min="11534" max="11534" width="8.42578125" style="322" customWidth="1"/>
    <col min="11535" max="11540" width="23.28515625" style="322" bestFit="1" customWidth="1"/>
    <col min="11541" max="11755" width="6.28515625" style="322"/>
    <col min="11756" max="11756" width="18.7109375" style="322" customWidth="1"/>
    <col min="11757" max="11757" width="22" style="322" bestFit="1" customWidth="1"/>
    <col min="11758" max="11758" width="50.140625" style="322" bestFit="1" customWidth="1"/>
    <col min="11759" max="11759" width="37.42578125" style="322" customWidth="1"/>
    <col min="11760" max="11769" width="11.42578125" style="322" customWidth="1"/>
    <col min="11770" max="11786" width="0" style="322" hidden="1" customWidth="1"/>
    <col min="11787" max="11787" width="11.42578125" style="322" customWidth="1"/>
    <col min="11788" max="11788" width="24" style="322" customWidth="1"/>
    <col min="11789" max="11789" width="11.42578125" style="322" customWidth="1"/>
    <col min="11790" max="11790" width="8.42578125" style="322" customWidth="1"/>
    <col min="11791" max="11796" width="23.28515625" style="322" bestFit="1" customWidth="1"/>
    <col min="11797" max="12011" width="6.28515625" style="322"/>
    <col min="12012" max="12012" width="18.7109375" style="322" customWidth="1"/>
    <col min="12013" max="12013" width="22" style="322" bestFit="1" customWidth="1"/>
    <col min="12014" max="12014" width="50.140625" style="322" bestFit="1" customWidth="1"/>
    <col min="12015" max="12015" width="37.42578125" style="322" customWidth="1"/>
    <col min="12016" max="12025" width="11.42578125" style="322" customWidth="1"/>
    <col min="12026" max="12042" width="0" style="322" hidden="1" customWidth="1"/>
    <col min="12043" max="12043" width="11.42578125" style="322" customWidth="1"/>
    <col min="12044" max="12044" width="24" style="322" customWidth="1"/>
    <col min="12045" max="12045" width="11.42578125" style="322" customWidth="1"/>
    <col min="12046" max="12046" width="8.42578125" style="322" customWidth="1"/>
    <col min="12047" max="12052" width="23.28515625" style="322" bestFit="1" customWidth="1"/>
    <col min="12053" max="12267" width="6.28515625" style="322"/>
    <col min="12268" max="12268" width="18.7109375" style="322" customWidth="1"/>
    <col min="12269" max="12269" width="22" style="322" bestFit="1" customWidth="1"/>
    <col min="12270" max="12270" width="50.140625" style="322" bestFit="1" customWidth="1"/>
    <col min="12271" max="12271" width="37.42578125" style="322" customWidth="1"/>
    <col min="12272" max="12281" width="11.42578125" style="322" customWidth="1"/>
    <col min="12282" max="12298" width="0" style="322" hidden="1" customWidth="1"/>
    <col min="12299" max="12299" width="11.42578125" style="322" customWidth="1"/>
    <col min="12300" max="12300" width="24" style="322" customWidth="1"/>
    <col min="12301" max="12301" width="11.42578125" style="322" customWidth="1"/>
    <col min="12302" max="12302" width="8.42578125" style="322" customWidth="1"/>
    <col min="12303" max="12308" width="23.28515625" style="322" bestFit="1" customWidth="1"/>
    <col min="12309" max="12523" width="6.28515625" style="322"/>
    <col min="12524" max="12524" width="18.7109375" style="322" customWidth="1"/>
    <col min="12525" max="12525" width="22" style="322" bestFit="1" customWidth="1"/>
    <col min="12526" max="12526" width="50.140625" style="322" bestFit="1" customWidth="1"/>
    <col min="12527" max="12527" width="37.42578125" style="322" customWidth="1"/>
    <col min="12528" max="12537" width="11.42578125" style="322" customWidth="1"/>
    <col min="12538" max="12554" width="0" style="322" hidden="1" customWidth="1"/>
    <col min="12555" max="12555" width="11.42578125" style="322" customWidth="1"/>
    <col min="12556" max="12556" width="24" style="322" customWidth="1"/>
    <col min="12557" max="12557" width="11.42578125" style="322" customWidth="1"/>
    <col min="12558" max="12558" width="8.42578125" style="322" customWidth="1"/>
    <col min="12559" max="12564" width="23.28515625" style="322" bestFit="1" customWidth="1"/>
    <col min="12565" max="12779" width="6.28515625" style="322"/>
    <col min="12780" max="12780" width="18.7109375" style="322" customWidth="1"/>
    <col min="12781" max="12781" width="22" style="322" bestFit="1" customWidth="1"/>
    <col min="12782" max="12782" width="50.140625" style="322" bestFit="1" customWidth="1"/>
    <col min="12783" max="12783" width="37.42578125" style="322" customWidth="1"/>
    <col min="12784" max="12793" width="11.42578125" style="322" customWidth="1"/>
    <col min="12794" max="12810" width="0" style="322" hidden="1" customWidth="1"/>
    <col min="12811" max="12811" width="11.42578125" style="322" customWidth="1"/>
    <col min="12812" max="12812" width="24" style="322" customWidth="1"/>
    <col min="12813" max="12813" width="11.42578125" style="322" customWidth="1"/>
    <col min="12814" max="12814" width="8.42578125" style="322" customWidth="1"/>
    <col min="12815" max="12820" width="23.28515625" style="322" bestFit="1" customWidth="1"/>
    <col min="12821" max="13035" width="6.28515625" style="322"/>
    <col min="13036" max="13036" width="18.7109375" style="322" customWidth="1"/>
    <col min="13037" max="13037" width="22" style="322" bestFit="1" customWidth="1"/>
    <col min="13038" max="13038" width="50.140625" style="322" bestFit="1" customWidth="1"/>
    <col min="13039" max="13039" width="37.42578125" style="322" customWidth="1"/>
    <col min="13040" max="13049" width="11.42578125" style="322" customWidth="1"/>
    <col min="13050" max="13066" width="0" style="322" hidden="1" customWidth="1"/>
    <col min="13067" max="13067" width="11.42578125" style="322" customWidth="1"/>
    <col min="13068" max="13068" width="24" style="322" customWidth="1"/>
    <col min="13069" max="13069" width="11.42578125" style="322" customWidth="1"/>
    <col min="13070" max="13070" width="8.42578125" style="322" customWidth="1"/>
    <col min="13071" max="13076" width="23.28515625" style="322" bestFit="1" customWidth="1"/>
    <col min="13077" max="13291" width="6.28515625" style="322"/>
    <col min="13292" max="13292" width="18.7109375" style="322" customWidth="1"/>
    <col min="13293" max="13293" width="22" style="322" bestFit="1" customWidth="1"/>
    <col min="13294" max="13294" width="50.140625" style="322" bestFit="1" customWidth="1"/>
    <col min="13295" max="13295" width="37.42578125" style="322" customWidth="1"/>
    <col min="13296" max="13305" width="11.42578125" style="322" customWidth="1"/>
    <col min="13306" max="13322" width="0" style="322" hidden="1" customWidth="1"/>
    <col min="13323" max="13323" width="11.42578125" style="322" customWidth="1"/>
    <col min="13324" max="13324" width="24" style="322" customWidth="1"/>
    <col min="13325" max="13325" width="11.42578125" style="322" customWidth="1"/>
    <col min="13326" max="13326" width="8.42578125" style="322" customWidth="1"/>
    <col min="13327" max="13332" width="23.28515625" style="322" bestFit="1" customWidth="1"/>
    <col min="13333" max="13547" width="6.28515625" style="322"/>
    <col min="13548" max="13548" width="18.7109375" style="322" customWidth="1"/>
    <col min="13549" max="13549" width="22" style="322" bestFit="1" customWidth="1"/>
    <col min="13550" max="13550" width="50.140625" style="322" bestFit="1" customWidth="1"/>
    <col min="13551" max="13551" width="37.42578125" style="322" customWidth="1"/>
    <col min="13552" max="13561" width="11.42578125" style="322" customWidth="1"/>
    <col min="13562" max="13578" width="0" style="322" hidden="1" customWidth="1"/>
    <col min="13579" max="13579" width="11.42578125" style="322" customWidth="1"/>
    <col min="13580" max="13580" width="24" style="322" customWidth="1"/>
    <col min="13581" max="13581" width="11.42578125" style="322" customWidth="1"/>
    <col min="13582" max="13582" width="8.42578125" style="322" customWidth="1"/>
    <col min="13583" max="13588" width="23.28515625" style="322" bestFit="1" customWidth="1"/>
    <col min="13589" max="13803" width="6.28515625" style="322"/>
    <col min="13804" max="13804" width="18.7109375" style="322" customWidth="1"/>
    <col min="13805" max="13805" width="22" style="322" bestFit="1" customWidth="1"/>
    <col min="13806" max="13806" width="50.140625" style="322" bestFit="1" customWidth="1"/>
    <col min="13807" max="13807" width="37.42578125" style="322" customWidth="1"/>
    <col min="13808" max="13817" width="11.42578125" style="322" customWidth="1"/>
    <col min="13818" max="13834" width="0" style="322" hidden="1" customWidth="1"/>
    <col min="13835" max="13835" width="11.42578125" style="322" customWidth="1"/>
    <col min="13836" max="13836" width="24" style="322" customWidth="1"/>
    <col min="13837" max="13837" width="11.42578125" style="322" customWidth="1"/>
    <col min="13838" max="13838" width="8.42578125" style="322" customWidth="1"/>
    <col min="13839" max="13844" width="23.28515625" style="322" bestFit="1" customWidth="1"/>
    <col min="13845" max="14059" width="6.28515625" style="322"/>
    <col min="14060" max="14060" width="18.7109375" style="322" customWidth="1"/>
    <col min="14061" max="14061" width="22" style="322" bestFit="1" customWidth="1"/>
    <col min="14062" max="14062" width="50.140625" style="322" bestFit="1" customWidth="1"/>
    <col min="14063" max="14063" width="37.42578125" style="322" customWidth="1"/>
    <col min="14064" max="14073" width="11.42578125" style="322" customWidth="1"/>
    <col min="14074" max="14090" width="0" style="322" hidden="1" customWidth="1"/>
    <col min="14091" max="14091" width="11.42578125" style="322" customWidth="1"/>
    <col min="14092" max="14092" width="24" style="322" customWidth="1"/>
    <col min="14093" max="14093" width="11.42578125" style="322" customWidth="1"/>
    <col min="14094" max="14094" width="8.42578125" style="322" customWidth="1"/>
    <col min="14095" max="14100" width="23.28515625" style="322" bestFit="1" customWidth="1"/>
    <col min="14101" max="14315" width="6.28515625" style="322"/>
    <col min="14316" max="14316" width="18.7109375" style="322" customWidth="1"/>
    <col min="14317" max="14317" width="22" style="322" bestFit="1" customWidth="1"/>
    <col min="14318" max="14318" width="50.140625" style="322" bestFit="1" customWidth="1"/>
    <col min="14319" max="14319" width="37.42578125" style="322" customWidth="1"/>
    <col min="14320" max="14329" width="11.42578125" style="322" customWidth="1"/>
    <col min="14330" max="14346" width="0" style="322" hidden="1" customWidth="1"/>
    <col min="14347" max="14347" width="11.42578125" style="322" customWidth="1"/>
    <col min="14348" max="14348" width="24" style="322" customWidth="1"/>
    <col min="14349" max="14349" width="11.42578125" style="322" customWidth="1"/>
    <col min="14350" max="14350" width="8.42578125" style="322" customWidth="1"/>
    <col min="14351" max="14356" width="23.28515625" style="322" bestFit="1" customWidth="1"/>
    <col min="14357" max="14571" width="6.28515625" style="322"/>
    <col min="14572" max="14572" width="18.7109375" style="322" customWidth="1"/>
    <col min="14573" max="14573" width="22" style="322" bestFit="1" customWidth="1"/>
    <col min="14574" max="14574" width="50.140625" style="322" bestFit="1" customWidth="1"/>
    <col min="14575" max="14575" width="37.42578125" style="322" customWidth="1"/>
    <col min="14576" max="14585" width="11.42578125" style="322" customWidth="1"/>
    <col min="14586" max="14602" width="0" style="322" hidden="1" customWidth="1"/>
    <col min="14603" max="14603" width="11.42578125" style="322" customWidth="1"/>
    <col min="14604" max="14604" width="24" style="322" customWidth="1"/>
    <col min="14605" max="14605" width="11.42578125" style="322" customWidth="1"/>
    <col min="14606" max="14606" width="8.42578125" style="322" customWidth="1"/>
    <col min="14607" max="14612" width="23.28515625" style="322" bestFit="1" customWidth="1"/>
    <col min="14613" max="14827" width="6.28515625" style="322"/>
    <col min="14828" max="14828" width="18.7109375" style="322" customWidth="1"/>
    <col min="14829" max="14829" width="22" style="322" bestFit="1" customWidth="1"/>
    <col min="14830" max="14830" width="50.140625" style="322" bestFit="1" customWidth="1"/>
    <col min="14831" max="14831" width="37.42578125" style="322" customWidth="1"/>
    <col min="14832" max="14841" width="11.42578125" style="322" customWidth="1"/>
    <col min="14842" max="14858" width="0" style="322" hidden="1" customWidth="1"/>
    <col min="14859" max="14859" width="11.42578125" style="322" customWidth="1"/>
    <col min="14860" max="14860" width="24" style="322" customWidth="1"/>
    <col min="14861" max="14861" width="11.42578125" style="322" customWidth="1"/>
    <col min="14862" max="14862" width="8.42578125" style="322" customWidth="1"/>
    <col min="14863" max="14868" width="23.28515625" style="322" bestFit="1" customWidth="1"/>
    <col min="14869" max="15083" width="6.28515625" style="322"/>
    <col min="15084" max="15084" width="18.7109375" style="322" customWidth="1"/>
    <col min="15085" max="15085" width="22" style="322" bestFit="1" customWidth="1"/>
    <col min="15086" max="15086" width="50.140625" style="322" bestFit="1" customWidth="1"/>
    <col min="15087" max="15087" width="37.42578125" style="322" customWidth="1"/>
    <col min="15088" max="15097" width="11.42578125" style="322" customWidth="1"/>
    <col min="15098" max="15114" width="0" style="322" hidden="1" customWidth="1"/>
    <col min="15115" max="15115" width="11.42578125" style="322" customWidth="1"/>
    <col min="15116" max="15116" width="24" style="322" customWidth="1"/>
    <col min="15117" max="15117" width="11.42578125" style="322" customWidth="1"/>
    <col min="15118" max="15118" width="8.42578125" style="322" customWidth="1"/>
    <col min="15119" max="15124" width="23.28515625" style="322" bestFit="1" customWidth="1"/>
    <col min="15125" max="15339" width="6.28515625" style="322"/>
    <col min="15340" max="15340" width="18.7109375" style="322" customWidth="1"/>
    <col min="15341" max="15341" width="22" style="322" bestFit="1" customWidth="1"/>
    <col min="15342" max="15342" width="50.140625" style="322" bestFit="1" customWidth="1"/>
    <col min="15343" max="15343" width="37.42578125" style="322" customWidth="1"/>
    <col min="15344" max="15353" width="11.42578125" style="322" customWidth="1"/>
    <col min="15354" max="15370" width="0" style="322" hidden="1" customWidth="1"/>
    <col min="15371" max="15371" width="11.42578125" style="322" customWidth="1"/>
    <col min="15372" max="15372" width="24" style="322" customWidth="1"/>
    <col min="15373" max="15373" width="11.42578125" style="322" customWidth="1"/>
    <col min="15374" max="15374" width="8.42578125" style="322" customWidth="1"/>
    <col min="15375" max="15380" width="23.28515625" style="322" bestFit="1" customWidth="1"/>
    <col min="15381" max="15595" width="6.28515625" style="322"/>
    <col min="15596" max="15596" width="18.7109375" style="322" customWidth="1"/>
    <col min="15597" max="15597" width="22" style="322" bestFit="1" customWidth="1"/>
    <col min="15598" max="15598" width="50.140625" style="322" bestFit="1" customWidth="1"/>
    <col min="15599" max="15599" width="37.42578125" style="322" customWidth="1"/>
    <col min="15600" max="15609" width="11.42578125" style="322" customWidth="1"/>
    <col min="15610" max="15626" width="0" style="322" hidden="1" customWidth="1"/>
    <col min="15627" max="15627" width="11.42578125" style="322" customWidth="1"/>
    <col min="15628" max="15628" width="24" style="322" customWidth="1"/>
    <col min="15629" max="15629" width="11.42578125" style="322" customWidth="1"/>
    <col min="15630" max="15630" width="8.42578125" style="322" customWidth="1"/>
    <col min="15631" max="15636" width="23.28515625" style="322" bestFit="1" customWidth="1"/>
    <col min="15637" max="15851" width="6.28515625" style="322"/>
    <col min="15852" max="15852" width="18.7109375" style="322" customWidth="1"/>
    <col min="15853" max="15853" width="22" style="322" bestFit="1" customWidth="1"/>
    <col min="15854" max="15854" width="50.140625" style="322" bestFit="1" customWidth="1"/>
    <col min="15855" max="15855" width="37.42578125" style="322" customWidth="1"/>
    <col min="15856" max="15865" width="11.42578125" style="322" customWidth="1"/>
    <col min="15866" max="15882" width="0" style="322" hidden="1" customWidth="1"/>
    <col min="15883" max="15883" width="11.42578125" style="322" customWidth="1"/>
    <col min="15884" max="15884" width="24" style="322" customWidth="1"/>
    <col min="15885" max="15885" width="11.42578125" style="322" customWidth="1"/>
    <col min="15886" max="15886" width="8.42578125" style="322" customWidth="1"/>
    <col min="15887" max="15892" width="23.28515625" style="322" bestFit="1" customWidth="1"/>
    <col min="15893" max="16107" width="6.28515625" style="322"/>
    <col min="16108" max="16108" width="18.7109375" style="322" customWidth="1"/>
    <col min="16109" max="16109" width="22" style="322" bestFit="1" customWidth="1"/>
    <col min="16110" max="16110" width="50.140625" style="322" bestFit="1" customWidth="1"/>
    <col min="16111" max="16111" width="37.42578125" style="322" customWidth="1"/>
    <col min="16112" max="16121" width="11.42578125" style="322" customWidth="1"/>
    <col min="16122" max="16138" width="0" style="322" hidden="1" customWidth="1"/>
    <col min="16139" max="16139" width="11.42578125" style="322" customWidth="1"/>
    <col min="16140" max="16140" width="24" style="322" customWidth="1"/>
    <col min="16141" max="16141" width="11.42578125" style="322" customWidth="1"/>
    <col min="16142" max="16142" width="8.42578125" style="322" customWidth="1"/>
    <col min="16143" max="16148" width="23.28515625" style="322" bestFit="1" customWidth="1"/>
    <col min="16149" max="16384" width="6.28515625" style="322"/>
  </cols>
  <sheetData>
    <row r="1" spans="1:31" ht="11.25" customHeight="1">
      <c r="A1" s="320"/>
      <c r="B1" s="321" t="str">
        <f>D8</f>
        <v>TAH-ASX</v>
      </c>
      <c r="C1" s="320"/>
      <c r="D1" s="320"/>
      <c r="E1" s="320"/>
      <c r="F1" s="320"/>
      <c r="G1" s="320"/>
      <c r="H1" s="320"/>
      <c r="I1" s="320"/>
      <c r="J1" s="320"/>
      <c r="K1" s="320"/>
      <c r="L1" s="320"/>
      <c r="M1" s="320"/>
      <c r="N1" s="320"/>
      <c r="O1" s="320"/>
      <c r="P1" s="320"/>
      <c r="Q1" s="320"/>
      <c r="R1" s="320"/>
    </row>
    <row r="2" spans="1:31" ht="21">
      <c r="A2" s="323" t="s">
        <v>99</v>
      </c>
      <c r="B2" s="323"/>
      <c r="C2" s="323"/>
      <c r="D2" s="324"/>
      <c r="E2" s="325"/>
      <c r="F2" s="325"/>
      <c r="G2" s="325"/>
      <c r="H2" s="325"/>
      <c r="I2" s="325"/>
      <c r="J2" s="325"/>
      <c r="K2" s="325"/>
      <c r="L2" s="325"/>
      <c r="M2" s="325"/>
      <c r="N2" s="325"/>
      <c r="O2" s="325"/>
      <c r="P2" s="325"/>
      <c r="Q2" s="325"/>
      <c r="R2" s="569" t="s">
        <v>101</v>
      </c>
      <c r="S2" s="570"/>
      <c r="T2" s="570"/>
      <c r="U2" s="570"/>
      <c r="V2" s="570"/>
      <c r="W2" s="570"/>
      <c r="X2" s="570"/>
      <c r="Y2" s="570"/>
      <c r="Z2" s="570"/>
      <c r="AA2" s="570"/>
      <c r="AB2" s="570"/>
      <c r="AC2" s="570"/>
      <c r="AD2" s="570"/>
      <c r="AE2" s="570"/>
    </row>
    <row r="3" spans="1:31">
      <c r="A3" s="327"/>
      <c r="B3" s="327"/>
      <c r="C3" s="328" t="s">
        <v>100</v>
      </c>
      <c r="D3" s="329"/>
      <c r="E3" s="329" t="str">
        <f>+E114</f>
        <v>FY2022A</v>
      </c>
      <c r="F3" s="329" t="str">
        <f>+F114</f>
        <v>FY2023A</v>
      </c>
      <c r="G3" s="329" t="str">
        <f>+G114</f>
        <v>FY2024F</v>
      </c>
      <c r="H3" s="329" t="str">
        <f>+H114</f>
        <v>FY2025F</v>
      </c>
      <c r="I3" s="329" t="str">
        <f t="shared" ref="I3:P3" si="0">+I114</f>
        <v>FY2026F</v>
      </c>
      <c r="J3" s="329" t="str">
        <f t="shared" si="0"/>
        <v>FY2027F</v>
      </c>
      <c r="K3" s="329" t="str">
        <f t="shared" si="0"/>
        <v>FY2028F</v>
      </c>
      <c r="L3" s="329" t="str">
        <f t="shared" si="0"/>
        <v>FY2029F</v>
      </c>
      <c r="M3" s="329" t="str">
        <f t="shared" si="0"/>
        <v>FY2030F</v>
      </c>
      <c r="N3" s="329" t="str">
        <f t="shared" si="0"/>
        <v>FY2031F</v>
      </c>
      <c r="O3" s="329" t="str">
        <f t="shared" si="0"/>
        <v>FY2032F</v>
      </c>
      <c r="P3" s="329" t="str">
        <f t="shared" si="0"/>
        <v>FY2033F</v>
      </c>
      <c r="Q3" s="329" t="str">
        <f>+Q114</f>
        <v>FY2034F</v>
      </c>
      <c r="R3" s="569"/>
      <c r="S3" s="571">
        <v>2022</v>
      </c>
      <c r="T3" s="571">
        <f>S3+1</f>
        <v>2023</v>
      </c>
      <c r="U3" s="571">
        <f t="shared" ref="U3:AD3" si="1">T3+1</f>
        <v>2024</v>
      </c>
      <c r="V3" s="571">
        <f t="shared" si="1"/>
        <v>2025</v>
      </c>
      <c r="W3" s="571">
        <f t="shared" si="1"/>
        <v>2026</v>
      </c>
      <c r="X3" s="571">
        <f t="shared" si="1"/>
        <v>2027</v>
      </c>
      <c r="Y3" s="571">
        <f t="shared" si="1"/>
        <v>2028</v>
      </c>
      <c r="Z3" s="571">
        <f t="shared" si="1"/>
        <v>2029</v>
      </c>
      <c r="AA3" s="571">
        <f t="shared" si="1"/>
        <v>2030</v>
      </c>
      <c r="AB3" s="571">
        <f t="shared" si="1"/>
        <v>2031</v>
      </c>
      <c r="AC3" s="571">
        <f t="shared" si="1"/>
        <v>2032</v>
      </c>
      <c r="AD3" s="571">
        <f t="shared" si="1"/>
        <v>2033</v>
      </c>
      <c r="AE3" s="571">
        <f>AD3+1</f>
        <v>2034</v>
      </c>
    </row>
    <row r="4" spans="1:31">
      <c r="A4" s="330" t="s">
        <v>102</v>
      </c>
      <c r="B4" s="330"/>
      <c r="C4" s="331"/>
      <c r="D4" s="330" t="s">
        <v>103</v>
      </c>
      <c r="E4" s="332"/>
      <c r="F4" s="332"/>
      <c r="G4" s="332"/>
      <c r="H4" s="332"/>
      <c r="I4" s="332"/>
      <c r="J4" s="332"/>
      <c r="K4" s="332"/>
      <c r="L4" s="332"/>
      <c r="M4" s="332"/>
      <c r="N4" s="332"/>
      <c r="O4" s="332"/>
      <c r="P4" s="332"/>
      <c r="Q4" s="332"/>
      <c r="R4" s="332"/>
    </row>
    <row r="5" spans="1:31">
      <c r="A5" s="333" t="s">
        <v>104</v>
      </c>
      <c r="B5" s="333"/>
      <c r="C5" s="334" t="s">
        <v>105</v>
      </c>
      <c r="D5" s="335" t="s">
        <v>106</v>
      </c>
      <c r="E5" s="332"/>
      <c r="F5" s="332"/>
      <c r="G5" s="332"/>
      <c r="H5" s="332"/>
      <c r="I5" s="332"/>
      <c r="J5" s="332"/>
      <c r="K5" s="332"/>
      <c r="L5" s="332"/>
      <c r="M5" s="332"/>
      <c r="N5" s="332"/>
      <c r="O5" s="332"/>
      <c r="P5" s="332"/>
      <c r="Q5" s="332"/>
      <c r="R5" s="332"/>
    </row>
    <row r="6" spans="1:31">
      <c r="A6" s="333" t="s">
        <v>107</v>
      </c>
      <c r="B6" s="333"/>
      <c r="C6" s="337" t="s">
        <v>108</v>
      </c>
      <c r="D6" s="338" t="s">
        <v>109</v>
      </c>
      <c r="E6" s="339"/>
      <c r="F6" s="339"/>
      <c r="G6" s="339"/>
      <c r="H6" s="339"/>
      <c r="I6" s="339"/>
      <c r="J6" s="339"/>
      <c r="K6" s="339"/>
      <c r="L6" s="339"/>
      <c r="M6" s="339"/>
      <c r="N6" s="339"/>
      <c r="O6" s="339"/>
      <c r="P6" s="339"/>
      <c r="Q6" s="339"/>
      <c r="R6" s="340"/>
    </row>
    <row r="7" spans="1:31" ht="12.95" customHeight="1">
      <c r="A7" s="333" t="s">
        <v>110</v>
      </c>
      <c r="B7" s="333"/>
      <c r="C7" s="337" t="s">
        <v>111</v>
      </c>
      <c r="D7" s="341">
        <v>1</v>
      </c>
      <c r="E7" s="339"/>
      <c r="F7" s="339"/>
      <c r="G7" s="339"/>
      <c r="H7" s="339"/>
      <c r="I7" s="339"/>
      <c r="J7" s="339"/>
      <c r="K7" s="339"/>
      <c r="L7" s="339"/>
      <c r="M7" s="339"/>
      <c r="N7" s="339"/>
      <c r="O7" s="339"/>
      <c r="P7" s="339"/>
      <c r="Q7" s="339"/>
      <c r="R7" s="340"/>
    </row>
    <row r="8" spans="1:31" ht="12.95" customHeight="1">
      <c r="A8" s="333" t="s">
        <v>112</v>
      </c>
      <c r="B8" s="333"/>
      <c r="C8" s="334" t="s">
        <v>113</v>
      </c>
      <c r="D8" s="446" t="s">
        <v>1287</v>
      </c>
      <c r="E8" s="332"/>
      <c r="F8" s="332"/>
      <c r="G8" s="332"/>
      <c r="H8" s="332"/>
      <c r="I8" s="332"/>
      <c r="J8" s="332"/>
      <c r="K8" s="332"/>
      <c r="L8" s="332"/>
      <c r="M8" s="332"/>
      <c r="N8" s="332"/>
      <c r="O8" s="332"/>
      <c r="P8" s="332"/>
      <c r="Q8" s="332"/>
      <c r="R8" s="332"/>
    </row>
    <row r="9" spans="1:31" ht="12.95" customHeight="1">
      <c r="A9" s="333" t="s">
        <v>114</v>
      </c>
      <c r="B9" s="333"/>
      <c r="C9" s="337" t="s">
        <v>115</v>
      </c>
      <c r="D9" s="446">
        <v>1000000</v>
      </c>
      <c r="E9" s="339"/>
      <c r="F9" s="339"/>
      <c r="G9" s="339"/>
      <c r="H9" s="339"/>
      <c r="I9" s="339"/>
      <c r="J9" s="339"/>
      <c r="K9" s="339"/>
      <c r="L9" s="339"/>
      <c r="M9" s="339"/>
      <c r="N9" s="339"/>
      <c r="O9" s="339"/>
      <c r="P9" s="339"/>
      <c r="Q9" s="339"/>
      <c r="R9" s="340"/>
    </row>
    <row r="10" spans="1:31" ht="12.95" customHeight="1">
      <c r="A10" s="333" t="s">
        <v>116</v>
      </c>
      <c r="B10" s="333"/>
      <c r="C10" s="337" t="s">
        <v>117</v>
      </c>
      <c r="D10" s="446" t="s">
        <v>1273</v>
      </c>
      <c r="E10" s="339"/>
      <c r="F10" s="339"/>
      <c r="G10" s="339"/>
      <c r="H10" s="339"/>
      <c r="I10" s="339"/>
      <c r="J10" s="339"/>
      <c r="K10" s="339"/>
      <c r="L10" s="339"/>
      <c r="M10" s="339"/>
      <c r="N10" s="339"/>
      <c r="O10" s="339"/>
      <c r="P10" s="339"/>
      <c r="Q10" s="339"/>
      <c r="R10" s="340"/>
    </row>
    <row r="11" spans="1:31" ht="12.95" customHeight="1">
      <c r="A11" s="342" t="s">
        <v>118</v>
      </c>
      <c r="B11" s="342"/>
      <c r="C11" s="337" t="s">
        <v>119</v>
      </c>
      <c r="D11" s="446" t="s">
        <v>858</v>
      </c>
      <c r="E11" s="339"/>
      <c r="F11" s="339"/>
      <c r="G11" s="339"/>
      <c r="H11" s="339"/>
      <c r="I11" s="339"/>
      <c r="J11" s="339"/>
      <c r="K11" s="339"/>
      <c r="L11" s="339"/>
      <c r="M11" s="339"/>
      <c r="N11" s="339"/>
      <c r="O11" s="339"/>
      <c r="P11" s="339"/>
      <c r="Q11" s="339"/>
      <c r="R11" s="343"/>
    </row>
    <row r="12" spans="1:31" ht="12.95" customHeight="1">
      <c r="A12" s="342"/>
      <c r="B12" s="342"/>
      <c r="C12" s="337"/>
      <c r="D12" s="445"/>
      <c r="E12" s="339"/>
      <c r="F12" s="339"/>
      <c r="G12" s="339"/>
      <c r="H12" s="339"/>
      <c r="I12" s="339"/>
      <c r="J12" s="339"/>
      <c r="K12" s="339"/>
      <c r="L12" s="339"/>
      <c r="M12" s="339"/>
      <c r="N12" s="339"/>
      <c r="O12" s="339"/>
      <c r="P12" s="339"/>
      <c r="Q12" s="339"/>
      <c r="R12" s="343"/>
    </row>
    <row r="13" spans="1:31" ht="12.95" customHeight="1">
      <c r="A13" s="342" t="s">
        <v>120</v>
      </c>
      <c r="B13" s="344" t="s">
        <v>121</v>
      </c>
      <c r="C13" s="337" t="s">
        <v>94</v>
      </c>
      <c r="D13" s="451">
        <f>HY!$D$740</f>
        <v>0.89457632937266562</v>
      </c>
      <c r="E13" s="339"/>
      <c r="F13" s="339"/>
      <c r="G13" s="339"/>
      <c r="H13" s="339"/>
      <c r="I13" s="339"/>
      <c r="J13" s="339"/>
      <c r="K13" s="339"/>
      <c r="L13" s="339"/>
      <c r="M13" s="339"/>
      <c r="N13" s="339"/>
      <c r="O13" s="339"/>
      <c r="P13" s="339"/>
      <c r="Q13" s="339"/>
      <c r="R13" s="584" t="str">
        <f>_xll.BLUEMATRIX2("/servlet/excelData",$D13,$B$1,$B13)</f>
        <v>#</v>
      </c>
    </row>
    <row r="14" spans="1:31" ht="12.95" customHeight="1">
      <c r="A14" s="342" t="s">
        <v>122</v>
      </c>
      <c r="B14" s="344" t="s">
        <v>123</v>
      </c>
      <c r="C14" s="337" t="s">
        <v>124</v>
      </c>
      <c r="D14" s="446" t="s">
        <v>1615</v>
      </c>
      <c r="E14" s="339"/>
      <c r="F14" s="339"/>
      <c r="G14" s="339"/>
      <c r="H14" s="339"/>
      <c r="I14" s="339"/>
      <c r="J14" s="339"/>
      <c r="K14" s="339"/>
      <c r="L14" s="339"/>
      <c r="M14" s="339"/>
      <c r="N14" s="339"/>
      <c r="O14" s="339"/>
      <c r="P14" s="339"/>
      <c r="Q14" s="339"/>
      <c r="R14" s="584" t="str">
        <f>_xll.BLUEMATRIX2("/servlet/excelData",$D14,$B$1,$B14)</f>
        <v>#</v>
      </c>
    </row>
    <row r="15" spans="1:31" ht="12.95" customHeight="1">
      <c r="A15" s="342" t="s">
        <v>125</v>
      </c>
      <c r="B15" s="344" t="s">
        <v>126</v>
      </c>
      <c r="C15" s="337" t="s">
        <v>127</v>
      </c>
      <c r="D15" s="577">
        <f>HY!D744</f>
        <v>2292.6</v>
      </c>
      <c r="E15" s="339"/>
      <c r="F15" s="339"/>
      <c r="G15" s="339"/>
      <c r="H15" s="339"/>
      <c r="I15" s="339"/>
      <c r="J15" s="339"/>
      <c r="K15" s="339"/>
      <c r="L15" s="339"/>
      <c r="M15" s="339"/>
      <c r="N15" s="339"/>
      <c r="O15" s="339"/>
      <c r="P15" s="339"/>
      <c r="Q15" s="339"/>
      <c r="R15" s="584" t="str">
        <f>_xll.BLUEMATRIX2("/servlet/excelData",$D15,$B$1,$B15)</f>
        <v>#</v>
      </c>
    </row>
    <row r="16" spans="1:31" ht="12.95" customHeight="1">
      <c r="A16" s="333" t="s">
        <v>128</v>
      </c>
      <c r="B16" s="344" t="s">
        <v>129</v>
      </c>
      <c r="C16" s="337" t="s">
        <v>130</v>
      </c>
      <c r="D16" s="446">
        <v>100</v>
      </c>
      <c r="E16" s="339"/>
      <c r="F16" s="339"/>
      <c r="G16" s="339"/>
      <c r="H16" s="339"/>
      <c r="I16" s="339"/>
      <c r="J16" s="339"/>
      <c r="K16" s="339"/>
      <c r="L16" s="339"/>
      <c r="M16" s="339"/>
      <c r="N16" s="339"/>
      <c r="O16" s="339"/>
      <c r="P16" s="339"/>
      <c r="Q16" s="339"/>
      <c r="R16" s="584" t="str">
        <f>_xll.BLUEMATRIX2("/servlet/excelData",$D16,$B$1,$B16)</f>
        <v>#</v>
      </c>
    </row>
    <row r="17" spans="1:18" ht="12.95" customHeight="1">
      <c r="A17" s="333"/>
      <c r="B17" s="344" t="s">
        <v>131</v>
      </c>
      <c r="C17" s="337" t="s">
        <v>132</v>
      </c>
      <c r="D17" s="451">
        <f>HY!D749</f>
        <v>0.91</v>
      </c>
      <c r="R17" s="584" t="str">
        <f>_xll.BLUEMATRIX2("/servlet/excelData",$D17,$B$1,$B17)</f>
        <v>#</v>
      </c>
    </row>
    <row r="18" spans="1:18" ht="12.95" customHeight="1">
      <c r="A18" s="333"/>
      <c r="B18" s="344"/>
      <c r="C18" s="337" t="s">
        <v>133</v>
      </c>
      <c r="D18" s="578"/>
      <c r="E18" s="452">
        <v>1.0649999999999999</v>
      </c>
      <c r="F18" s="452">
        <v>1.1100000000000001</v>
      </c>
      <c r="G18" s="452">
        <v>0.7</v>
      </c>
      <c r="H18" s="452">
        <v>0.71499999999999997</v>
      </c>
      <c r="I18" s="451">
        <f>$D$17</f>
        <v>0.91</v>
      </c>
      <c r="J18" s="451">
        <f t="shared" ref="J18:Q18" si="2">$D$17</f>
        <v>0.91</v>
      </c>
      <c r="K18" s="451">
        <f t="shared" si="2"/>
        <v>0.91</v>
      </c>
      <c r="L18" s="451">
        <f t="shared" si="2"/>
        <v>0.91</v>
      </c>
      <c r="M18" s="451">
        <f t="shared" si="2"/>
        <v>0.91</v>
      </c>
      <c r="N18" s="451">
        <f t="shared" si="2"/>
        <v>0.91</v>
      </c>
      <c r="O18" s="451">
        <f t="shared" si="2"/>
        <v>0.91</v>
      </c>
      <c r="P18" s="451">
        <f t="shared" si="2"/>
        <v>0.91</v>
      </c>
      <c r="Q18" s="451">
        <f t="shared" si="2"/>
        <v>0.91</v>
      </c>
      <c r="R18" s="458"/>
    </row>
    <row r="19" spans="1:18" ht="12.95" customHeight="1">
      <c r="A19" s="333"/>
      <c r="B19" s="344"/>
      <c r="C19" s="337"/>
      <c r="D19" s="447"/>
      <c r="E19" s="339"/>
      <c r="F19" s="339"/>
      <c r="G19" s="339"/>
      <c r="H19" s="339"/>
      <c r="I19" s="339"/>
      <c r="J19" s="339"/>
      <c r="K19" s="339"/>
      <c r="L19" s="339"/>
      <c r="M19" s="339"/>
      <c r="N19" s="339"/>
      <c r="O19" s="339"/>
      <c r="P19" s="339"/>
      <c r="Q19" s="339"/>
      <c r="R19" s="457"/>
    </row>
    <row r="20" spans="1:18" ht="12.95" customHeight="1">
      <c r="A20" s="333"/>
      <c r="B20" s="344"/>
      <c r="C20" s="347" t="s">
        <v>134</v>
      </c>
      <c r="D20" s="447"/>
      <c r="E20" s="339"/>
      <c r="F20" s="339"/>
      <c r="G20" s="339"/>
      <c r="H20" s="339"/>
      <c r="I20" s="339"/>
      <c r="J20" s="339"/>
      <c r="K20" s="339"/>
      <c r="L20" s="339"/>
      <c r="M20" s="339"/>
      <c r="N20" s="339"/>
      <c r="O20" s="339"/>
      <c r="P20" s="339"/>
      <c r="Q20" s="339"/>
      <c r="R20" s="457"/>
    </row>
    <row r="21" spans="1:18" ht="12.95" customHeight="1">
      <c r="A21" s="333"/>
      <c r="B21" s="344" t="s">
        <v>135</v>
      </c>
      <c r="C21" s="337" t="s">
        <v>136</v>
      </c>
      <c r="D21" s="586">
        <f>(D13/D17-1)*100</f>
        <v>-1.6949088601466378</v>
      </c>
      <c r="E21" s="339"/>
      <c r="F21" s="339"/>
      <c r="G21" s="339"/>
      <c r="H21" s="339"/>
      <c r="I21" s="339"/>
      <c r="J21" s="339"/>
      <c r="K21" s="339"/>
      <c r="L21" s="339"/>
      <c r="M21" s="339"/>
      <c r="N21" s="339"/>
      <c r="O21" s="339"/>
      <c r="P21" s="339"/>
      <c r="Q21" s="339"/>
      <c r="R21" s="584" t="str">
        <f>_xll.BLUEMATRIX2("/servlet/excelData",$D21,$B$1,$B21)</f>
        <v>#</v>
      </c>
    </row>
    <row r="22" spans="1:18" ht="12.95" customHeight="1">
      <c r="A22" s="333"/>
      <c r="B22" s="344" t="s">
        <v>137</v>
      </c>
      <c r="C22" s="337" t="s">
        <v>138</v>
      </c>
      <c r="D22" s="586">
        <f>H303*100</f>
        <v>2.7972027972027975</v>
      </c>
      <c r="E22" s="339"/>
      <c r="F22" s="339"/>
      <c r="G22" s="339"/>
      <c r="H22" s="339"/>
      <c r="I22" s="339"/>
      <c r="J22" s="339"/>
      <c r="K22" s="339"/>
      <c r="L22" s="339"/>
      <c r="M22" s="339"/>
      <c r="N22" s="339"/>
      <c r="O22" s="339"/>
      <c r="P22" s="339"/>
      <c r="Q22" s="339"/>
      <c r="R22" s="584" t="str">
        <f>_xll.BLUEMATRIX2("/servlet/excelData",$D22,$B$1,$B22)</f>
        <v>#</v>
      </c>
    </row>
    <row r="23" spans="1:18" ht="12.95" customHeight="1">
      <c r="A23" s="333"/>
      <c r="B23" s="344" t="s">
        <v>139</v>
      </c>
      <c r="C23" s="337" t="s">
        <v>140</v>
      </c>
      <c r="D23" s="586">
        <f>D21+D22</f>
        <v>1.1022939370561597</v>
      </c>
      <c r="E23" s="339"/>
      <c r="F23" s="339"/>
      <c r="G23" s="339"/>
      <c r="H23" s="339"/>
      <c r="I23" s="339"/>
      <c r="J23" s="339"/>
      <c r="K23" s="339"/>
      <c r="L23" s="339"/>
      <c r="M23" s="339"/>
      <c r="N23" s="339"/>
      <c r="O23" s="339"/>
      <c r="P23" s="339"/>
      <c r="Q23" s="339"/>
      <c r="R23" s="584" t="str">
        <f>_xll.BLUEMATRIX2("/servlet/excelData",$D23,$B$1,$B23)</f>
        <v>#</v>
      </c>
    </row>
    <row r="24" spans="1:18" ht="12.95" customHeight="1">
      <c r="A24" s="333"/>
      <c r="B24" s="344"/>
      <c r="C24" s="337"/>
      <c r="D24" s="447"/>
      <c r="E24" s="339"/>
      <c r="F24" s="339"/>
      <c r="G24" s="339"/>
      <c r="H24" s="339"/>
      <c r="I24" s="339"/>
      <c r="J24" s="339"/>
      <c r="K24" s="339"/>
      <c r="L24" s="339"/>
      <c r="M24" s="339"/>
      <c r="N24" s="339"/>
      <c r="O24" s="339"/>
      <c r="P24" s="339"/>
      <c r="Q24" s="339"/>
      <c r="R24" s="458"/>
    </row>
    <row r="25" spans="1:18" ht="12.95" customHeight="1">
      <c r="A25" s="333"/>
      <c r="B25" s="344"/>
      <c r="C25" s="347" t="s">
        <v>141</v>
      </c>
      <c r="D25" s="447"/>
      <c r="E25" s="339"/>
      <c r="F25" s="339"/>
      <c r="G25" s="339"/>
      <c r="H25" s="339"/>
      <c r="I25" s="339"/>
      <c r="J25" s="339"/>
      <c r="K25" s="339"/>
      <c r="L25" s="339"/>
      <c r="M25" s="339"/>
      <c r="N25" s="339"/>
      <c r="O25" s="339"/>
      <c r="P25" s="339"/>
      <c r="Q25" s="339"/>
      <c r="R25" s="458"/>
    </row>
    <row r="26" spans="1:18" ht="12.95" customHeight="1">
      <c r="A26" s="333"/>
      <c r="B26" s="322" t="s">
        <v>142</v>
      </c>
      <c r="C26" s="344" t="s">
        <v>143</v>
      </c>
      <c r="D26" s="448"/>
      <c r="E26" s="339"/>
      <c r="F26" s="339"/>
      <c r="G26" s="339"/>
      <c r="H26" s="339"/>
      <c r="I26" s="339"/>
      <c r="J26" s="339"/>
      <c r="K26" s="339"/>
      <c r="L26" s="339"/>
      <c r="M26" s="339"/>
      <c r="N26" s="339"/>
      <c r="O26" s="339"/>
      <c r="P26" s="339"/>
      <c r="Q26" s="339"/>
      <c r="R26" s="458"/>
    </row>
    <row r="27" spans="1:18" ht="12.95" customHeight="1">
      <c r="A27" s="333"/>
      <c r="B27" s="344" t="s">
        <v>144</v>
      </c>
      <c r="C27" s="337" t="s">
        <v>145</v>
      </c>
      <c r="D27" s="448"/>
      <c r="E27" s="339"/>
      <c r="F27" s="339"/>
      <c r="G27" s="339"/>
      <c r="H27" s="339"/>
      <c r="I27" s="339"/>
      <c r="J27" s="339"/>
      <c r="K27" s="339"/>
      <c r="L27" s="339"/>
      <c r="M27" s="339"/>
      <c r="N27" s="339"/>
      <c r="O27" s="339"/>
      <c r="P27" s="339"/>
      <c r="Q27" s="339"/>
      <c r="R27" s="458"/>
    </row>
    <row r="28" spans="1:18" ht="12.95" customHeight="1">
      <c r="A28" s="333"/>
      <c r="B28" s="344" t="s">
        <v>146</v>
      </c>
      <c r="C28" s="337" t="s">
        <v>147</v>
      </c>
      <c r="D28" s="448">
        <f>D17*D15</f>
        <v>2086.2660000000001</v>
      </c>
      <c r="E28" s="339"/>
      <c r="F28" s="339"/>
      <c r="G28" s="339"/>
      <c r="H28" s="339"/>
      <c r="I28" s="339"/>
      <c r="J28" s="339"/>
      <c r="K28" s="339"/>
      <c r="L28" s="339"/>
      <c r="M28" s="339"/>
      <c r="N28" s="339"/>
      <c r="O28" s="339"/>
      <c r="P28" s="339"/>
      <c r="Q28" s="339"/>
      <c r="R28" s="584" t="str">
        <f>_xll.BLUEMATRIX2("/servlet/excelData",$D28,$B$1,$B28)</f>
        <v>#</v>
      </c>
    </row>
    <row r="29" spans="1:18" ht="12.95" customHeight="1">
      <c r="A29" s="333"/>
      <c r="B29" s="344" t="s">
        <v>129</v>
      </c>
      <c r="C29" s="337" t="s">
        <v>148</v>
      </c>
      <c r="D29" s="448"/>
      <c r="E29" s="339"/>
      <c r="F29" s="339"/>
      <c r="G29" s="339"/>
      <c r="H29" s="339"/>
      <c r="I29" s="339"/>
      <c r="J29" s="339"/>
      <c r="K29" s="339"/>
      <c r="L29" s="339"/>
      <c r="M29" s="339"/>
      <c r="N29" s="339"/>
      <c r="O29" s="339"/>
      <c r="P29" s="339"/>
      <c r="Q29" s="339"/>
      <c r="R29" s="458"/>
    </row>
    <row r="30" spans="1:18" ht="12.95" customHeight="1">
      <c r="A30" s="333"/>
      <c r="B30" s="344" t="s">
        <v>149</v>
      </c>
      <c r="C30" s="337" t="s">
        <v>150</v>
      </c>
      <c r="D30" s="448"/>
      <c r="E30" s="339"/>
      <c r="F30" s="339"/>
      <c r="G30" s="339"/>
      <c r="H30" s="339"/>
      <c r="I30" s="339"/>
      <c r="J30" s="339"/>
      <c r="K30" s="339"/>
      <c r="L30" s="339"/>
      <c r="M30" s="339"/>
      <c r="N30" s="339"/>
      <c r="O30" s="339"/>
      <c r="P30" s="339"/>
      <c r="Q30" s="339"/>
      <c r="R30" s="458"/>
    </row>
    <row r="31" spans="1:18" ht="12.95" customHeight="1">
      <c r="A31" s="333" t="s">
        <v>151</v>
      </c>
      <c r="B31" s="344"/>
      <c r="C31" s="337"/>
      <c r="D31" s="449"/>
      <c r="E31" s="339"/>
      <c r="F31" s="339"/>
      <c r="G31" s="339"/>
      <c r="H31" s="339"/>
      <c r="I31" s="339"/>
      <c r="J31" s="339"/>
      <c r="K31" s="339"/>
      <c r="L31" s="339"/>
      <c r="M31" s="339"/>
      <c r="N31" s="339"/>
      <c r="O31" s="339"/>
      <c r="P31" s="339"/>
      <c r="Q31" s="339"/>
      <c r="R31" s="458"/>
    </row>
    <row r="32" spans="1:18" ht="12.95" customHeight="1">
      <c r="A32" s="333"/>
      <c r="B32" s="344"/>
      <c r="C32" s="337"/>
      <c r="D32" s="450"/>
      <c r="E32" s="339"/>
      <c r="F32" s="339"/>
      <c r="G32" s="339"/>
      <c r="H32" s="339"/>
      <c r="I32" s="339"/>
      <c r="J32" s="339"/>
      <c r="K32" s="339"/>
      <c r="L32" s="339"/>
      <c r="M32" s="339"/>
      <c r="N32" s="339"/>
      <c r="O32" s="339"/>
      <c r="P32" s="339"/>
      <c r="Q32" s="339"/>
      <c r="R32" s="458"/>
    </row>
    <row r="33" spans="1:18" ht="12.95" customHeight="1">
      <c r="A33" s="342"/>
      <c r="B33" s="344"/>
      <c r="C33" s="337"/>
      <c r="D33" s="348"/>
      <c r="E33" s="339"/>
      <c r="F33" s="339"/>
      <c r="G33" s="339"/>
      <c r="H33" s="339"/>
      <c r="I33" s="339"/>
      <c r="J33" s="339"/>
      <c r="K33" s="339"/>
      <c r="L33" s="339"/>
      <c r="M33" s="339"/>
      <c r="N33" s="339"/>
      <c r="O33" s="339"/>
      <c r="P33" s="339"/>
      <c r="Q33" s="339"/>
      <c r="R33" s="458"/>
    </row>
    <row r="34" spans="1:18" ht="12.95" customHeight="1">
      <c r="A34" s="342"/>
      <c r="B34" s="342"/>
      <c r="C34" s="347" t="s">
        <v>152</v>
      </c>
      <c r="D34" s="348"/>
      <c r="E34" s="339"/>
      <c r="F34" s="339"/>
      <c r="G34" s="339"/>
      <c r="H34" s="339"/>
      <c r="I34" s="339"/>
      <c r="J34" s="339"/>
      <c r="K34" s="339"/>
      <c r="L34" s="339"/>
      <c r="M34" s="339"/>
      <c r="N34" s="339"/>
      <c r="O34" s="339"/>
      <c r="P34" s="339"/>
      <c r="Q34" s="339"/>
      <c r="R34" s="458"/>
    </row>
    <row r="35" spans="1:18" ht="12.95" customHeight="1" outlineLevel="1">
      <c r="A35" s="342" t="s">
        <v>153</v>
      </c>
      <c r="B35" s="336" t="s">
        <v>154</v>
      </c>
      <c r="C35" s="337" t="s">
        <v>155</v>
      </c>
      <c r="D35" s="578">
        <f>HY!$D$740</f>
        <v>0.89457632937266562</v>
      </c>
      <c r="E35" s="339"/>
      <c r="F35" s="339"/>
      <c r="G35" s="339"/>
      <c r="H35" s="339"/>
      <c r="I35" s="339"/>
      <c r="J35" s="339"/>
      <c r="K35" s="339"/>
      <c r="L35" s="339"/>
      <c r="M35" s="339"/>
      <c r="N35" s="339"/>
      <c r="O35" s="339"/>
      <c r="P35" s="339"/>
      <c r="Q35" s="339"/>
      <c r="R35" s="584" t="str">
        <f>_xll.BLUEMATRIX2("/servlet/excelData",$D35,$B$1,$B35)</f>
        <v>#</v>
      </c>
    </row>
    <row r="36" spans="1:18" ht="12.95" customHeight="1" outlineLevel="1">
      <c r="A36" s="342" t="s">
        <v>156</v>
      </c>
      <c r="B36" s="336" t="s">
        <v>157</v>
      </c>
      <c r="C36" s="337" t="s">
        <v>158</v>
      </c>
      <c r="D36" s="451"/>
      <c r="E36" s="339"/>
      <c r="F36" s="339"/>
      <c r="G36" s="339"/>
      <c r="H36" s="339"/>
      <c r="I36" s="339"/>
      <c r="J36" s="339"/>
      <c r="K36" s="339"/>
      <c r="L36" s="339"/>
      <c r="M36" s="339"/>
      <c r="N36" s="339"/>
      <c r="O36" s="339"/>
      <c r="P36" s="339"/>
      <c r="Q36" s="339"/>
      <c r="R36" s="584" t="str">
        <f>_xll.BLUEMATRIX2("/servlet/excelData",$D36,$B$1,$B36)</f>
        <v>#</v>
      </c>
    </row>
    <row r="37" spans="1:18" ht="12.95" customHeight="1" outlineLevel="1">
      <c r="A37" s="342" t="s">
        <v>159</v>
      </c>
      <c r="B37" s="336" t="s">
        <v>160</v>
      </c>
      <c r="C37" s="337" t="s">
        <v>161</v>
      </c>
      <c r="D37" s="451"/>
      <c r="E37" s="339"/>
      <c r="F37" s="339"/>
      <c r="G37" s="339"/>
      <c r="H37" s="339"/>
      <c r="I37" s="339"/>
      <c r="J37" s="339"/>
      <c r="K37" s="339"/>
      <c r="L37" s="339"/>
      <c r="M37" s="339"/>
      <c r="N37" s="339"/>
      <c r="O37" s="339"/>
      <c r="P37" s="339"/>
      <c r="Q37" s="339"/>
      <c r="R37" s="584" t="str">
        <f>_xll.BLUEMATRIX2("/servlet/excelData",$D37,$B$1,$B37)</f>
        <v>#</v>
      </c>
    </row>
    <row r="38" spans="1:18" ht="12.95" customHeight="1" outlineLevel="1">
      <c r="A38" s="342" t="s">
        <v>162</v>
      </c>
      <c r="B38" s="336" t="s">
        <v>163</v>
      </c>
      <c r="C38" s="337" t="s">
        <v>164</v>
      </c>
      <c r="D38" s="451"/>
      <c r="E38" s="339"/>
      <c r="F38" s="349"/>
      <c r="G38" s="339"/>
      <c r="H38" s="349"/>
      <c r="I38" s="349"/>
      <c r="J38" s="349"/>
      <c r="K38" s="349"/>
      <c r="L38" s="349"/>
      <c r="M38" s="349"/>
      <c r="N38" s="349"/>
      <c r="O38" s="349"/>
      <c r="P38" s="349"/>
      <c r="Q38" s="349"/>
      <c r="R38" s="584" t="str">
        <f>_xll.BLUEMATRIX2("/servlet/excelData",$D38,$B$1,$B38)</f>
        <v>#</v>
      </c>
    </row>
    <row r="39" spans="1:18" ht="12.95" customHeight="1" outlineLevel="1">
      <c r="A39" s="342" t="s">
        <v>165</v>
      </c>
      <c r="B39" s="336" t="s">
        <v>121</v>
      </c>
      <c r="C39" s="337" t="s">
        <v>166</v>
      </c>
      <c r="D39" s="451"/>
      <c r="E39" s="339"/>
      <c r="F39" s="339"/>
      <c r="G39" s="339"/>
      <c r="H39" s="339"/>
      <c r="I39" s="339"/>
      <c r="J39" s="339"/>
      <c r="K39" s="339"/>
      <c r="L39" s="339"/>
      <c r="M39" s="339"/>
      <c r="N39" s="339"/>
      <c r="O39" s="339"/>
      <c r="P39" s="339"/>
      <c r="Q39" s="339"/>
      <c r="R39" s="584" t="str">
        <f>_xll.BLUEMATRIX2("/servlet/excelData",$D39,$B$1,$B39)</f>
        <v>#</v>
      </c>
    </row>
    <row r="40" spans="1:18" ht="12.95" customHeight="1" outlineLevel="1">
      <c r="A40" s="342" t="s">
        <v>167</v>
      </c>
      <c r="B40" s="336" t="s">
        <v>168</v>
      </c>
      <c r="C40" s="337" t="s">
        <v>169</v>
      </c>
      <c r="D40" s="446">
        <v>100</v>
      </c>
      <c r="E40" s="339"/>
      <c r="F40" s="339"/>
      <c r="G40" s="339"/>
      <c r="H40" s="339"/>
      <c r="I40" s="339"/>
      <c r="J40" s="339"/>
      <c r="K40" s="339"/>
      <c r="L40" s="339"/>
      <c r="M40" s="339"/>
      <c r="N40" s="339"/>
      <c r="O40" s="339"/>
      <c r="P40" s="339"/>
      <c r="Q40" s="339"/>
      <c r="R40" s="584" t="str">
        <f>_xll.BLUEMATRIX2("/servlet/excelData",$D40,$B$1,$B40)</f>
        <v>#</v>
      </c>
    </row>
    <row r="41" spans="1:18" ht="12.95" customHeight="1" outlineLevel="1">
      <c r="A41" s="342" t="s">
        <v>170</v>
      </c>
      <c r="B41" s="336" t="s">
        <v>171</v>
      </c>
      <c r="C41" s="337" t="s">
        <v>172</v>
      </c>
      <c r="D41" s="451"/>
      <c r="E41" s="339"/>
      <c r="F41" s="339"/>
      <c r="G41" s="339"/>
      <c r="H41" s="339"/>
      <c r="I41" s="339"/>
      <c r="J41" s="339"/>
      <c r="K41" s="339"/>
      <c r="L41" s="339"/>
      <c r="M41" s="339"/>
      <c r="N41" s="339"/>
      <c r="O41" s="339"/>
      <c r="P41" s="339"/>
      <c r="Q41" s="339"/>
      <c r="R41" s="584" t="str">
        <f>_xll.BLUEMATRIX2("/servlet/excelData",$D41,$B$1,$B41)</f>
        <v>#</v>
      </c>
    </row>
    <row r="42" spans="1:18" ht="12.95" customHeight="1" outlineLevel="1">
      <c r="A42" s="342" t="s">
        <v>173</v>
      </c>
      <c r="B42" s="336" t="s">
        <v>174</v>
      </c>
      <c r="C42" s="337" t="s">
        <v>175</v>
      </c>
      <c r="D42" s="451"/>
      <c r="E42" s="339"/>
      <c r="F42" s="339"/>
      <c r="G42" s="339"/>
      <c r="H42" s="339"/>
      <c r="I42" s="339"/>
      <c r="J42" s="339"/>
      <c r="K42" s="339"/>
      <c r="L42" s="339"/>
      <c r="M42" s="339"/>
      <c r="N42" s="339"/>
      <c r="O42" s="339"/>
      <c r="P42" s="339"/>
      <c r="Q42" s="339"/>
      <c r="R42" s="584" t="str">
        <f>_xll.BLUEMATRIX2("/servlet/excelData",$D42,$B$1,$B42)</f>
        <v>#</v>
      </c>
    </row>
    <row r="43" spans="1:18" ht="12.95" customHeight="1" outlineLevel="1">
      <c r="A43" s="342" t="s">
        <v>176</v>
      </c>
      <c r="B43" s="336" t="s">
        <v>177</v>
      </c>
      <c r="C43" s="337" t="s">
        <v>178</v>
      </c>
      <c r="D43" s="451"/>
      <c r="E43" s="339"/>
      <c r="F43" s="339"/>
      <c r="G43" s="339"/>
      <c r="H43" s="339"/>
      <c r="I43" s="339"/>
      <c r="J43" s="339"/>
      <c r="K43" s="339"/>
      <c r="L43" s="339"/>
      <c r="M43" s="339"/>
      <c r="N43" s="339"/>
      <c r="O43" s="339"/>
      <c r="P43" s="339"/>
      <c r="Q43" s="339"/>
      <c r="R43" s="584" t="str">
        <f>_xll.BLUEMATRIX2("/servlet/excelData",$D43,$B$1,$B43)</f>
        <v>#</v>
      </c>
    </row>
    <row r="44" spans="1:18" ht="12.95" customHeight="1">
      <c r="A44" s="342"/>
      <c r="B44" s="342"/>
      <c r="C44" s="337"/>
      <c r="D44" s="350"/>
      <c r="E44" s="339"/>
      <c r="F44" s="339"/>
      <c r="G44" s="339"/>
      <c r="H44" s="339"/>
      <c r="I44" s="339"/>
      <c r="J44" s="339"/>
      <c r="K44" s="339"/>
      <c r="L44" s="339"/>
      <c r="M44" s="339"/>
      <c r="N44" s="339"/>
      <c r="O44" s="339"/>
      <c r="P44" s="339"/>
      <c r="Q44" s="339"/>
      <c r="R44" s="457"/>
    </row>
    <row r="45" spans="1:18" ht="12.95" customHeight="1">
      <c r="A45" s="342"/>
      <c r="B45" s="342"/>
      <c r="C45" s="347" t="s">
        <v>179</v>
      </c>
      <c r="D45" s="351"/>
      <c r="E45" s="339"/>
      <c r="F45" s="339"/>
      <c r="G45" s="339"/>
      <c r="H45" s="339"/>
      <c r="I45" s="339"/>
      <c r="J45" s="339"/>
      <c r="K45" s="339"/>
      <c r="L45" s="339"/>
      <c r="M45" s="339"/>
      <c r="N45" s="339"/>
      <c r="O45" s="339"/>
      <c r="P45" s="339"/>
      <c r="Q45" s="339"/>
      <c r="R45" s="457"/>
    </row>
    <row r="46" spans="1:18" ht="12.95" customHeight="1" outlineLevel="1">
      <c r="A46" s="342" t="s">
        <v>180</v>
      </c>
      <c r="B46" s="342"/>
      <c r="C46" s="344" t="s">
        <v>181</v>
      </c>
      <c r="D46" s="446" t="s">
        <v>1226</v>
      </c>
      <c r="E46" s="339"/>
      <c r="F46" s="339"/>
      <c r="G46" s="339"/>
      <c r="H46" s="339"/>
      <c r="I46" s="339"/>
      <c r="J46" s="339"/>
      <c r="K46" s="339"/>
      <c r="L46" s="339"/>
      <c r="M46" s="339"/>
      <c r="N46" s="339"/>
      <c r="O46" s="339"/>
      <c r="P46" s="339"/>
      <c r="Q46" s="339"/>
      <c r="R46" s="584" t="str">
        <f>_xll.BLUEMATRIX2("/servlet/excelData",$D46,$B$1,$B46)</f>
        <v>#</v>
      </c>
    </row>
    <row r="47" spans="1:18" ht="12.95" customHeight="1" outlineLevel="1">
      <c r="A47" s="342" t="s">
        <v>182</v>
      </c>
      <c r="B47" s="342"/>
      <c r="C47" s="344" t="s">
        <v>183</v>
      </c>
      <c r="D47" s="446" t="s">
        <v>1170</v>
      </c>
      <c r="E47" s="339"/>
      <c r="F47" s="339"/>
      <c r="G47" s="339"/>
      <c r="H47" s="339"/>
      <c r="I47" s="339"/>
      <c r="J47" s="339"/>
      <c r="K47" s="339"/>
      <c r="L47" s="339"/>
      <c r="M47" s="339"/>
      <c r="N47" s="339"/>
      <c r="O47" s="339"/>
      <c r="P47" s="339"/>
      <c r="Q47" s="339"/>
      <c r="R47" s="584" t="str">
        <f>_xll.BLUEMATRIX2("/servlet/excelData",$D47,$B$1,$B47)</f>
        <v>#</v>
      </c>
    </row>
    <row r="48" spans="1:18" ht="12.95" customHeight="1" outlineLevel="1">
      <c r="A48" s="342" t="s">
        <v>184</v>
      </c>
      <c r="B48" s="342"/>
      <c r="C48" s="344" t="s">
        <v>185</v>
      </c>
      <c r="D48" s="446"/>
      <c r="E48" s="339"/>
      <c r="F48" s="339"/>
      <c r="G48" s="339"/>
      <c r="H48" s="339"/>
      <c r="I48" s="339"/>
      <c r="J48" s="339"/>
      <c r="K48" s="339"/>
      <c r="L48" s="339"/>
      <c r="M48" s="339"/>
      <c r="N48" s="339"/>
      <c r="O48" s="339"/>
      <c r="P48" s="339"/>
      <c r="Q48" s="339"/>
      <c r="R48" s="457"/>
    </row>
    <row r="49" spans="1:18" ht="12.95" customHeight="1" outlineLevel="1">
      <c r="A49" s="342" t="s">
        <v>186</v>
      </c>
      <c r="B49" s="342"/>
      <c r="C49" s="344" t="s">
        <v>187</v>
      </c>
      <c r="D49" s="446"/>
      <c r="E49" s="339"/>
      <c r="F49" s="339"/>
      <c r="G49" s="339"/>
      <c r="H49" s="339"/>
      <c r="I49" s="339"/>
      <c r="J49" s="339"/>
      <c r="K49" s="339"/>
      <c r="L49" s="339"/>
      <c r="M49" s="339"/>
      <c r="N49" s="339"/>
      <c r="O49" s="339"/>
      <c r="P49" s="339"/>
      <c r="Q49" s="339"/>
      <c r="R49" s="457"/>
    </row>
    <row r="50" spans="1:18" ht="12.95" customHeight="1" outlineLevel="1">
      <c r="A50" s="342" t="s">
        <v>188</v>
      </c>
      <c r="B50" s="342"/>
      <c r="C50" s="344" t="s">
        <v>189</v>
      </c>
      <c r="D50" s="446"/>
      <c r="E50" s="339"/>
      <c r="F50" s="339"/>
      <c r="G50" s="339"/>
      <c r="H50" s="339"/>
      <c r="I50" s="339"/>
      <c r="J50" s="339"/>
      <c r="K50" s="339"/>
      <c r="L50" s="339"/>
      <c r="M50" s="339"/>
      <c r="N50" s="339"/>
      <c r="O50" s="339"/>
      <c r="P50" s="339"/>
      <c r="Q50" s="339"/>
      <c r="R50" s="457"/>
    </row>
    <row r="51" spans="1:18" ht="12.95" customHeight="1" outlineLevel="1">
      <c r="A51" s="342" t="s">
        <v>190</v>
      </c>
      <c r="B51" s="342"/>
      <c r="C51" s="344" t="s">
        <v>191</v>
      </c>
      <c r="D51" s="446"/>
      <c r="E51" s="339"/>
      <c r="F51" s="339"/>
      <c r="G51" s="339"/>
      <c r="H51" s="339"/>
      <c r="I51" s="339"/>
      <c r="J51" s="339"/>
      <c r="K51" s="339"/>
      <c r="L51" s="339"/>
      <c r="M51" s="339"/>
      <c r="N51" s="339"/>
      <c r="O51" s="339"/>
      <c r="P51" s="339"/>
      <c r="Q51" s="339"/>
      <c r="R51" s="457"/>
    </row>
    <row r="52" spans="1:18" ht="12.95" customHeight="1" outlineLevel="1">
      <c r="A52" s="342" t="s">
        <v>192</v>
      </c>
      <c r="B52" s="342"/>
      <c r="C52" s="344" t="s">
        <v>193</v>
      </c>
      <c r="D52" s="446"/>
      <c r="E52" s="339"/>
      <c r="F52" s="339"/>
      <c r="G52" s="339"/>
      <c r="H52" s="339"/>
      <c r="I52" s="339"/>
      <c r="J52" s="339"/>
      <c r="K52" s="339"/>
      <c r="L52" s="339"/>
      <c r="M52" s="339"/>
      <c r="N52" s="339"/>
      <c r="O52" s="339"/>
      <c r="P52" s="339"/>
      <c r="Q52" s="339"/>
      <c r="R52" s="457"/>
    </row>
    <row r="53" spans="1:18" ht="12.95" customHeight="1" outlineLevel="1">
      <c r="A53" s="342" t="s">
        <v>194</v>
      </c>
      <c r="B53" s="342"/>
      <c r="C53" s="344" t="s">
        <v>195</v>
      </c>
      <c r="D53" s="446"/>
      <c r="E53" s="339"/>
      <c r="F53" s="339"/>
      <c r="G53" s="339"/>
      <c r="H53" s="339"/>
      <c r="I53" s="339"/>
      <c r="J53" s="339"/>
      <c r="K53" s="339"/>
      <c r="L53" s="339"/>
      <c r="M53" s="339"/>
      <c r="N53" s="339"/>
      <c r="O53" s="339"/>
      <c r="P53" s="339"/>
      <c r="Q53" s="339"/>
      <c r="R53" s="457"/>
    </row>
    <row r="54" spans="1:18" ht="12.95" customHeight="1" outlineLevel="1">
      <c r="A54" s="342" t="s">
        <v>196</v>
      </c>
      <c r="B54" s="342"/>
      <c r="C54" s="344" t="s">
        <v>197</v>
      </c>
      <c r="D54" s="446"/>
      <c r="E54" s="339"/>
      <c r="F54" s="339"/>
      <c r="G54" s="339"/>
      <c r="H54" s="339"/>
      <c r="I54" s="339"/>
      <c r="J54" s="339"/>
      <c r="K54" s="339"/>
      <c r="L54" s="339"/>
      <c r="M54" s="339"/>
      <c r="N54" s="339"/>
      <c r="O54" s="339"/>
      <c r="P54" s="339"/>
      <c r="Q54" s="339"/>
      <c r="R54" s="457"/>
    </row>
    <row r="55" spans="1:18" ht="12.95" customHeight="1" outlineLevel="1">
      <c r="A55" s="342" t="s">
        <v>198</v>
      </c>
      <c r="B55" s="342"/>
      <c r="C55" s="344" t="s">
        <v>199</v>
      </c>
      <c r="D55" s="446"/>
      <c r="E55" s="339"/>
      <c r="F55" s="339"/>
      <c r="G55" s="339"/>
      <c r="H55" s="339"/>
      <c r="I55" s="339"/>
      <c r="J55" s="339"/>
      <c r="K55" s="339"/>
      <c r="L55" s="339"/>
      <c r="M55" s="339"/>
      <c r="N55" s="339"/>
      <c r="O55" s="339"/>
      <c r="P55" s="339"/>
      <c r="Q55" s="339"/>
      <c r="R55" s="457"/>
    </row>
    <row r="56" spans="1:18" ht="12.95" customHeight="1" outlineLevel="1">
      <c r="A56" s="342"/>
      <c r="B56" s="342"/>
      <c r="C56" s="344"/>
      <c r="D56" s="352"/>
      <c r="E56" s="339"/>
      <c r="F56" s="339"/>
      <c r="G56" s="339"/>
      <c r="H56" s="339"/>
      <c r="I56" s="339"/>
      <c r="J56" s="339"/>
      <c r="K56" s="339"/>
      <c r="L56" s="339"/>
      <c r="M56" s="339"/>
      <c r="N56" s="339"/>
      <c r="O56" s="339"/>
      <c r="P56" s="339"/>
      <c r="Q56" s="339"/>
      <c r="R56" s="457"/>
    </row>
    <row r="57" spans="1:18" ht="12.95" customHeight="1" outlineLevel="1">
      <c r="A57" s="342" t="s">
        <v>200</v>
      </c>
      <c r="B57" s="342"/>
      <c r="C57" s="337" t="s">
        <v>201</v>
      </c>
      <c r="D57" s="453" t="s">
        <v>1</v>
      </c>
      <c r="E57" s="339"/>
      <c r="F57" s="339"/>
      <c r="G57" s="339"/>
      <c r="H57" s="339"/>
      <c r="I57" s="339"/>
      <c r="J57" s="339"/>
      <c r="K57" s="339"/>
      <c r="L57" s="339"/>
      <c r="M57" s="339"/>
      <c r="N57" s="339"/>
      <c r="O57" s="339"/>
      <c r="P57" s="339"/>
      <c r="Q57" s="339"/>
      <c r="R57" s="584"/>
    </row>
    <row r="58" spans="1:18" ht="12.95" customHeight="1" outlineLevel="1">
      <c r="A58" s="342"/>
      <c r="B58" s="342"/>
      <c r="C58" s="337"/>
      <c r="D58" s="336"/>
      <c r="E58" s="339"/>
      <c r="F58" s="339"/>
      <c r="G58" s="339"/>
      <c r="H58" s="339"/>
      <c r="I58" s="339"/>
      <c r="J58" s="339"/>
      <c r="K58" s="339"/>
      <c r="L58" s="339"/>
      <c r="M58" s="339"/>
      <c r="N58" s="339"/>
      <c r="O58" s="339"/>
      <c r="P58" s="339"/>
      <c r="Q58" s="339"/>
      <c r="R58" s="457"/>
    </row>
    <row r="59" spans="1:18" ht="12.95" customHeight="1" outlineLevel="1">
      <c r="A59" s="342" t="s">
        <v>202</v>
      </c>
      <c r="B59" s="342"/>
      <c r="C59" s="337" t="s">
        <v>201</v>
      </c>
      <c r="D59" s="453" t="s">
        <v>2</v>
      </c>
      <c r="E59" s="339"/>
      <c r="F59" s="339"/>
      <c r="G59" s="339"/>
      <c r="H59" s="339"/>
      <c r="I59" s="339"/>
      <c r="J59" s="339"/>
      <c r="K59" s="339"/>
      <c r="L59" s="339"/>
      <c r="M59" s="339"/>
      <c r="N59" s="339"/>
      <c r="O59" s="339"/>
      <c r="P59" s="339"/>
      <c r="Q59" s="339"/>
      <c r="R59" s="584"/>
    </row>
    <row r="60" spans="1:18" ht="12.95" customHeight="1">
      <c r="A60" s="342"/>
      <c r="B60" s="342"/>
      <c r="C60" s="337"/>
      <c r="D60" s="352"/>
      <c r="E60" s="339"/>
      <c r="F60" s="339"/>
      <c r="G60" s="339"/>
      <c r="H60" s="339"/>
      <c r="I60" s="339"/>
      <c r="J60" s="339"/>
      <c r="K60" s="339"/>
      <c r="L60" s="339"/>
      <c r="M60" s="339"/>
      <c r="N60" s="339"/>
      <c r="O60" s="339"/>
      <c r="P60" s="339"/>
      <c r="Q60" s="339"/>
      <c r="R60" s="457"/>
    </row>
    <row r="61" spans="1:18" ht="12.95" customHeight="1">
      <c r="A61" s="342"/>
      <c r="B61" s="342"/>
      <c r="C61" s="347" t="s">
        <v>203</v>
      </c>
      <c r="D61" s="352"/>
      <c r="E61" s="339"/>
      <c r="F61" s="339"/>
      <c r="G61" s="339"/>
      <c r="H61" s="339"/>
      <c r="I61" s="339"/>
      <c r="J61" s="339"/>
      <c r="K61" s="339"/>
      <c r="L61" s="339"/>
      <c r="M61" s="339"/>
      <c r="N61" s="339"/>
      <c r="O61" s="339"/>
      <c r="P61" s="339"/>
      <c r="Q61" s="339"/>
      <c r="R61" s="457"/>
    </row>
    <row r="62" spans="1:18" outlineLevel="1">
      <c r="A62" s="353" t="s">
        <v>204</v>
      </c>
      <c r="B62" s="353"/>
      <c r="C62" s="454" t="s">
        <v>205</v>
      </c>
      <c r="D62" s="455" t="s">
        <v>1275</v>
      </c>
      <c r="E62" s="354"/>
      <c r="F62" s="354"/>
      <c r="G62" s="354"/>
      <c r="H62" s="354"/>
      <c r="I62" s="354"/>
      <c r="J62" s="354"/>
      <c r="K62" s="354"/>
      <c r="L62" s="354"/>
      <c r="M62" s="354"/>
      <c r="N62" s="354"/>
      <c r="O62" s="354"/>
      <c r="P62" s="354"/>
      <c r="Q62" s="354"/>
      <c r="R62" s="585" t="str">
        <f>_xll.BLUEMATRIX2("/servlet/excelData",D62,$B$1,"BOILER_PLATE[[eap_core_drivers]]")</f>
        <v>#</v>
      </c>
    </row>
    <row r="63" spans="1:18" outlineLevel="1">
      <c r="A63" s="353" t="s">
        <v>204</v>
      </c>
      <c r="B63" s="353"/>
      <c r="C63" s="454" t="s">
        <v>1136</v>
      </c>
      <c r="D63" s="455" t="s">
        <v>1276</v>
      </c>
      <c r="E63" s="354"/>
      <c r="F63" s="354"/>
      <c r="G63" s="354"/>
      <c r="H63" s="354"/>
      <c r="I63" s="354"/>
      <c r="J63" s="354"/>
      <c r="K63" s="354"/>
      <c r="L63" s="354"/>
      <c r="M63" s="354"/>
      <c r="N63" s="354"/>
      <c r="O63" s="354"/>
      <c r="P63" s="354"/>
      <c r="Q63" s="354"/>
      <c r="R63" s="585" t="str">
        <f>_xll.BLUEMATRIX2("/servlet/excelData",D63,$B$1,"BOILER_PLATE[[eap_core_drivers]]")</f>
        <v>#</v>
      </c>
    </row>
    <row r="64" spans="1:18" outlineLevel="1">
      <c r="A64" s="353" t="s">
        <v>204</v>
      </c>
      <c r="B64" s="353"/>
      <c r="C64" s="454" t="s">
        <v>1137</v>
      </c>
      <c r="D64" s="455" t="s">
        <v>1277</v>
      </c>
      <c r="E64" s="354"/>
      <c r="F64" s="354"/>
      <c r="G64" s="354"/>
      <c r="H64" s="354"/>
      <c r="I64" s="354"/>
      <c r="J64" s="354"/>
      <c r="K64" s="354"/>
      <c r="L64" s="354"/>
      <c r="M64" s="354"/>
      <c r="N64" s="354"/>
      <c r="O64" s="354"/>
      <c r="P64" s="354"/>
      <c r="Q64" s="354"/>
      <c r="R64" s="585" t="str">
        <f>_xll.BLUEMATRIX2("/servlet/excelData",D64,$B$1,"BOILER_PLATE[[eap_core_drivers]]")</f>
        <v>#</v>
      </c>
    </row>
    <row r="65" spans="1:18" outlineLevel="1">
      <c r="A65" s="353" t="s">
        <v>204</v>
      </c>
      <c r="B65" s="353"/>
      <c r="C65" s="454" t="s">
        <v>1138</v>
      </c>
      <c r="D65" s="455"/>
      <c r="E65" s="354"/>
      <c r="F65" s="354"/>
      <c r="G65" s="354"/>
      <c r="H65" s="354"/>
      <c r="I65" s="354"/>
      <c r="J65" s="354"/>
      <c r="K65" s="354"/>
      <c r="L65" s="354"/>
      <c r="M65" s="354"/>
      <c r="N65" s="354"/>
      <c r="O65" s="354"/>
      <c r="P65" s="354"/>
      <c r="Q65" s="354"/>
      <c r="R65" s="459"/>
    </row>
    <row r="66" spans="1:18" outlineLevel="1">
      <c r="A66" s="353" t="s">
        <v>204</v>
      </c>
      <c r="B66" s="353"/>
      <c r="C66" s="454" t="s">
        <v>1139</v>
      </c>
      <c r="D66" s="455"/>
      <c r="E66" s="354"/>
      <c r="F66" s="354"/>
      <c r="G66" s="354"/>
      <c r="H66" s="354"/>
      <c r="I66" s="354"/>
      <c r="J66" s="354"/>
      <c r="K66" s="354"/>
      <c r="L66" s="354"/>
      <c r="M66" s="354"/>
      <c r="N66" s="354"/>
      <c r="O66" s="354"/>
      <c r="P66" s="354"/>
      <c r="Q66" s="354"/>
      <c r="R66" s="459"/>
    </row>
    <row r="67" spans="1:18" ht="12.95" customHeight="1" outlineLevel="1">
      <c r="A67" s="353"/>
      <c r="B67" s="353"/>
      <c r="C67" s="339"/>
      <c r="D67" s="352"/>
      <c r="E67" s="339"/>
      <c r="F67" s="339"/>
      <c r="G67" s="339"/>
      <c r="H67" s="339"/>
      <c r="I67" s="339"/>
      <c r="J67" s="339"/>
      <c r="K67" s="339"/>
      <c r="L67" s="339"/>
      <c r="M67" s="339"/>
      <c r="N67" s="339"/>
      <c r="O67" s="339"/>
      <c r="P67" s="339"/>
      <c r="Q67" s="339"/>
      <c r="R67" s="457"/>
    </row>
    <row r="68" spans="1:18" outlineLevel="1">
      <c r="A68" s="353" t="s">
        <v>206</v>
      </c>
      <c r="B68" s="353"/>
      <c r="C68" s="454" t="s">
        <v>207</v>
      </c>
      <c r="D68" s="455" t="s">
        <v>1278</v>
      </c>
      <c r="E68" s="354"/>
      <c r="F68" s="354"/>
      <c r="G68" s="354"/>
      <c r="H68" s="354"/>
      <c r="I68" s="354"/>
      <c r="J68" s="354"/>
      <c r="K68" s="354"/>
      <c r="L68" s="354"/>
      <c r="M68" s="354"/>
      <c r="N68" s="354"/>
      <c r="O68" s="354"/>
      <c r="P68" s="354"/>
      <c r="Q68" s="354"/>
      <c r="R68" s="585" t="str">
        <f>_xll.BLUEMATRIX2("/servlet/excelData",D68,$B$1,"BOILER_PLATE[[Investment_thesis]]")</f>
        <v>#</v>
      </c>
    </row>
    <row r="69" spans="1:18" outlineLevel="1">
      <c r="A69" s="353" t="s">
        <v>206</v>
      </c>
      <c r="B69" s="353"/>
      <c r="C69" s="454" t="s">
        <v>1140</v>
      </c>
      <c r="D69" s="455" t="s">
        <v>1279</v>
      </c>
      <c r="E69" s="354"/>
      <c r="F69" s="354"/>
      <c r="G69" s="354"/>
      <c r="H69" s="354"/>
      <c r="I69" s="354"/>
      <c r="J69" s="354"/>
      <c r="K69" s="354"/>
      <c r="L69" s="354"/>
      <c r="M69" s="354"/>
      <c r="N69" s="354"/>
      <c r="O69" s="354"/>
      <c r="P69" s="354"/>
      <c r="Q69" s="354"/>
      <c r="R69" s="585" t="str">
        <f>_xll.BLUEMATRIX2("/servlet/excelData",D69,$B$1,"BOILER_PLATE[[Investment_thesis]]")</f>
        <v>#</v>
      </c>
    </row>
    <row r="70" spans="1:18" outlineLevel="1">
      <c r="A70" s="353" t="s">
        <v>206</v>
      </c>
      <c r="B70" s="353"/>
      <c r="C70" s="454" t="s">
        <v>1141</v>
      </c>
      <c r="D70" s="455" t="s">
        <v>1281</v>
      </c>
      <c r="E70" s="354"/>
      <c r="F70" s="354"/>
      <c r="G70" s="354"/>
      <c r="H70" s="354"/>
      <c r="I70" s="354"/>
      <c r="J70" s="354"/>
      <c r="K70" s="354"/>
      <c r="L70" s="354"/>
      <c r="M70" s="354"/>
      <c r="N70" s="354"/>
      <c r="O70" s="354"/>
      <c r="P70" s="354"/>
      <c r="Q70" s="354"/>
      <c r="R70" s="585" t="str">
        <f>_xll.BLUEMATRIX2("/servlet/excelData",D70,$B$1,"BOILER_PLATE[[Investment_thesis]]")</f>
        <v>#</v>
      </c>
    </row>
    <row r="71" spans="1:18" outlineLevel="1">
      <c r="A71" s="353" t="s">
        <v>206</v>
      </c>
      <c r="B71" s="353"/>
      <c r="C71" s="454" t="s">
        <v>1142</v>
      </c>
      <c r="D71" s="455" t="s">
        <v>1280</v>
      </c>
      <c r="E71" s="354"/>
      <c r="F71" s="354"/>
      <c r="G71" s="354"/>
      <c r="H71" s="354"/>
      <c r="I71" s="354"/>
      <c r="J71" s="354"/>
      <c r="K71" s="354"/>
      <c r="L71" s="354"/>
      <c r="M71" s="354"/>
      <c r="N71" s="354"/>
      <c r="O71" s="354"/>
      <c r="P71" s="354"/>
      <c r="Q71" s="354"/>
      <c r="R71" s="585" t="str">
        <f>_xll.BLUEMATRIX2("/servlet/excelData",D71,$B$1,"BOILER_PLATE[[Investment_thesis]]")</f>
        <v>#</v>
      </c>
    </row>
    <row r="72" spans="1:18" outlineLevel="1">
      <c r="A72" s="353" t="s">
        <v>206</v>
      </c>
      <c r="B72" s="353"/>
      <c r="C72" s="454" t="s">
        <v>1143</v>
      </c>
      <c r="D72" s="456"/>
      <c r="E72" s="354"/>
      <c r="F72" s="354"/>
      <c r="G72" s="354"/>
      <c r="H72" s="354"/>
      <c r="I72" s="354"/>
      <c r="J72" s="354"/>
      <c r="K72" s="354"/>
      <c r="L72" s="354"/>
      <c r="M72" s="354"/>
      <c r="N72" s="354"/>
      <c r="O72" s="354"/>
      <c r="P72" s="354"/>
      <c r="Q72" s="354"/>
      <c r="R72" s="460"/>
    </row>
    <row r="73" spans="1:18" ht="12.95" customHeight="1" outlineLevel="1">
      <c r="A73" s="353"/>
      <c r="B73" s="353"/>
      <c r="C73" s="337"/>
      <c r="D73" s="352"/>
      <c r="E73" s="339"/>
      <c r="F73" s="339"/>
      <c r="G73" s="339"/>
      <c r="H73" s="339"/>
      <c r="I73" s="339"/>
      <c r="J73" s="339"/>
      <c r="K73" s="339"/>
      <c r="L73" s="339"/>
      <c r="M73" s="339"/>
      <c r="N73" s="339"/>
      <c r="O73" s="339"/>
      <c r="P73" s="339"/>
      <c r="Q73" s="339"/>
      <c r="R73" s="457"/>
    </row>
    <row r="74" spans="1:18" ht="12.95" customHeight="1" outlineLevel="1">
      <c r="A74" s="353" t="s">
        <v>208</v>
      </c>
      <c r="B74" s="353"/>
      <c r="C74" s="344" t="s">
        <v>209</v>
      </c>
      <c r="D74" s="355"/>
      <c r="E74" s="354"/>
      <c r="F74" s="354"/>
      <c r="G74" s="354"/>
      <c r="H74" s="354"/>
      <c r="I74" s="354"/>
      <c r="J74" s="354"/>
      <c r="K74" s="354"/>
      <c r="L74" s="354"/>
      <c r="M74" s="354"/>
      <c r="N74" s="354"/>
      <c r="O74" s="354"/>
      <c r="P74" s="354"/>
      <c r="Q74" s="354"/>
      <c r="R74" s="460"/>
    </row>
    <row r="75" spans="1:18" ht="12.95" customHeight="1" outlineLevel="1">
      <c r="A75" s="342"/>
      <c r="B75" s="342"/>
      <c r="C75" s="337"/>
      <c r="D75" s="352"/>
      <c r="E75" s="339"/>
      <c r="F75" s="339"/>
      <c r="G75" s="339"/>
      <c r="H75" s="339"/>
      <c r="I75" s="339"/>
      <c r="J75" s="339"/>
      <c r="K75" s="339"/>
      <c r="L75" s="339"/>
      <c r="M75" s="339"/>
      <c r="N75" s="339"/>
      <c r="O75" s="339"/>
      <c r="P75" s="339"/>
      <c r="Q75" s="339"/>
      <c r="R75" s="343"/>
    </row>
    <row r="76" spans="1:18" ht="12.95" customHeight="1" outlineLevel="1">
      <c r="A76" s="353" t="s">
        <v>210</v>
      </c>
      <c r="B76" s="353"/>
      <c r="C76" s="337" t="s">
        <v>211</v>
      </c>
      <c r="D76" s="356"/>
      <c r="E76" s="354"/>
      <c r="F76" s="354"/>
      <c r="G76" s="354"/>
      <c r="H76" s="354"/>
      <c r="I76" s="354"/>
      <c r="J76" s="354"/>
      <c r="K76" s="354"/>
      <c r="L76" s="354"/>
      <c r="M76" s="354"/>
      <c r="N76" s="354"/>
      <c r="O76" s="354"/>
      <c r="P76" s="354"/>
      <c r="Q76" s="354"/>
      <c r="R76" s="343"/>
    </row>
    <row r="77" spans="1:18" ht="12.95" customHeight="1">
      <c r="A77" s="342"/>
      <c r="B77" s="342"/>
      <c r="C77" s="337"/>
      <c r="D77" s="352"/>
      <c r="E77" s="339"/>
      <c r="F77" s="339"/>
      <c r="G77" s="339"/>
      <c r="H77" s="339"/>
      <c r="I77" s="339"/>
      <c r="J77" s="339"/>
      <c r="K77" s="339"/>
      <c r="L77" s="339"/>
      <c r="M77" s="339"/>
      <c r="N77" s="339"/>
      <c r="O77" s="339"/>
      <c r="P77" s="339"/>
      <c r="Q77" s="339"/>
      <c r="R77" s="343"/>
    </row>
    <row r="78" spans="1:18" ht="12.95" customHeight="1">
      <c r="A78" s="342"/>
      <c r="B78" s="342"/>
      <c r="C78" s="347" t="s">
        <v>212</v>
      </c>
      <c r="D78" s="352"/>
      <c r="E78" s="339"/>
      <c r="F78" s="339"/>
      <c r="G78" s="339"/>
      <c r="H78" s="339"/>
      <c r="I78" s="339"/>
      <c r="J78" s="339"/>
      <c r="K78" s="339"/>
      <c r="L78" s="339"/>
      <c r="M78" s="339"/>
      <c r="N78" s="339"/>
      <c r="O78" s="339"/>
      <c r="P78" s="339"/>
      <c r="Q78" s="339"/>
      <c r="R78" s="343"/>
    </row>
    <row r="79" spans="1:18" ht="12.95" customHeight="1" outlineLevel="1">
      <c r="A79" s="353" t="s">
        <v>213</v>
      </c>
      <c r="B79" s="353"/>
      <c r="C79" s="344" t="s">
        <v>214</v>
      </c>
      <c r="D79" s="356"/>
      <c r="E79" s="339"/>
      <c r="F79" s="339"/>
      <c r="G79" s="339"/>
      <c r="H79" s="339"/>
      <c r="I79" s="339"/>
      <c r="J79" s="339"/>
      <c r="K79" s="339"/>
      <c r="L79" s="339"/>
      <c r="M79" s="339"/>
      <c r="N79" s="339"/>
      <c r="O79" s="339"/>
      <c r="P79" s="339"/>
      <c r="Q79" s="339"/>
      <c r="R79" s="343"/>
    </row>
    <row r="80" spans="1:18" ht="12.95" customHeight="1" outlineLevel="1">
      <c r="A80" s="353" t="s">
        <v>215</v>
      </c>
      <c r="B80" s="353"/>
      <c r="C80" s="344" t="s">
        <v>216</v>
      </c>
      <c r="D80" s="356"/>
      <c r="E80" s="339"/>
      <c r="F80" s="339"/>
      <c r="G80" s="339"/>
      <c r="H80" s="339"/>
      <c r="I80" s="339"/>
      <c r="J80" s="339"/>
      <c r="K80" s="339"/>
      <c r="L80" s="339"/>
      <c r="M80" s="339"/>
      <c r="N80" s="339"/>
      <c r="O80" s="339"/>
      <c r="P80" s="339"/>
      <c r="Q80" s="339"/>
      <c r="R80" s="343"/>
    </row>
    <row r="81" spans="1:18" ht="12.95" customHeight="1" outlineLevel="1">
      <c r="A81" s="353" t="s">
        <v>217</v>
      </c>
      <c r="B81" s="353"/>
      <c r="C81" s="344" t="s">
        <v>218</v>
      </c>
      <c r="D81" s="356"/>
      <c r="E81" s="339"/>
      <c r="F81" s="339"/>
      <c r="G81" s="339"/>
      <c r="H81" s="339"/>
      <c r="I81" s="339"/>
      <c r="J81" s="339"/>
      <c r="K81" s="339"/>
      <c r="L81" s="339"/>
      <c r="M81" s="339"/>
      <c r="N81" s="339"/>
      <c r="O81" s="339"/>
      <c r="P81" s="339"/>
      <c r="Q81" s="339"/>
      <c r="R81" s="343"/>
    </row>
    <row r="82" spans="1:18" ht="12.95" customHeight="1" outlineLevel="1">
      <c r="A82" s="353" t="s">
        <v>219</v>
      </c>
      <c r="B82" s="353"/>
      <c r="C82" s="344" t="s">
        <v>220</v>
      </c>
      <c r="D82" s="356"/>
      <c r="E82" s="339"/>
      <c r="F82" s="339"/>
      <c r="G82" s="339"/>
      <c r="H82" s="339"/>
      <c r="I82" s="339"/>
      <c r="J82" s="339"/>
      <c r="K82" s="339"/>
      <c r="L82" s="339"/>
      <c r="M82" s="339"/>
      <c r="N82" s="339"/>
      <c r="O82" s="339"/>
      <c r="P82" s="339"/>
      <c r="Q82" s="339"/>
      <c r="R82" s="343"/>
    </row>
    <row r="83" spans="1:18" ht="12.95" customHeight="1" outlineLevel="1">
      <c r="A83" s="353" t="s">
        <v>221</v>
      </c>
      <c r="B83" s="353"/>
      <c r="C83" s="344" t="s">
        <v>222</v>
      </c>
      <c r="D83" s="356"/>
      <c r="E83" s="339"/>
      <c r="F83" s="339"/>
      <c r="G83" s="339"/>
      <c r="H83" s="339"/>
      <c r="I83" s="339"/>
      <c r="J83" s="339"/>
      <c r="K83" s="339"/>
      <c r="L83" s="339"/>
      <c r="M83" s="339"/>
      <c r="N83" s="339"/>
      <c r="O83" s="339"/>
      <c r="P83" s="339"/>
      <c r="Q83" s="339"/>
      <c r="R83" s="343"/>
    </row>
    <row r="84" spans="1:18" ht="12.95" customHeight="1" outlineLevel="1">
      <c r="A84" s="353" t="s">
        <v>223</v>
      </c>
      <c r="B84" s="353"/>
      <c r="C84" s="344" t="s">
        <v>224</v>
      </c>
      <c r="D84" s="356"/>
      <c r="E84" s="339"/>
      <c r="F84" s="339"/>
      <c r="G84" s="339"/>
      <c r="H84" s="339"/>
      <c r="I84" s="339"/>
      <c r="J84" s="339"/>
      <c r="K84" s="339"/>
      <c r="L84" s="339"/>
      <c r="M84" s="339"/>
      <c r="N84" s="339"/>
      <c r="O84" s="339"/>
      <c r="P84" s="339"/>
      <c r="Q84" s="339"/>
      <c r="R84" s="343"/>
    </row>
    <row r="85" spans="1:18" ht="12.95" customHeight="1" outlineLevel="1">
      <c r="A85" s="353" t="s">
        <v>225</v>
      </c>
      <c r="B85" s="353"/>
      <c r="C85" s="344" t="s">
        <v>226</v>
      </c>
      <c r="D85" s="356"/>
      <c r="E85" s="339"/>
      <c r="F85" s="339"/>
      <c r="G85" s="339"/>
      <c r="H85" s="339"/>
      <c r="I85" s="339"/>
      <c r="J85" s="339"/>
      <c r="K85" s="339"/>
      <c r="L85" s="339"/>
      <c r="M85" s="339"/>
      <c r="N85" s="339"/>
      <c r="O85" s="339"/>
      <c r="P85" s="339"/>
      <c r="Q85" s="339"/>
      <c r="R85" s="343"/>
    </row>
    <row r="86" spans="1:18" ht="12.95" customHeight="1" outlineLevel="1">
      <c r="A86" s="353" t="s">
        <v>227</v>
      </c>
      <c r="B86" s="353"/>
      <c r="C86" s="344" t="s">
        <v>228</v>
      </c>
      <c r="D86" s="356"/>
      <c r="E86" s="339"/>
      <c r="F86" s="339"/>
      <c r="G86" s="339"/>
      <c r="H86" s="339"/>
      <c r="I86" s="339"/>
      <c r="J86" s="339"/>
      <c r="K86" s="339"/>
      <c r="L86" s="339"/>
      <c r="M86" s="339"/>
      <c r="N86" s="339"/>
      <c r="O86" s="339"/>
      <c r="P86" s="339"/>
      <c r="Q86" s="339"/>
      <c r="R86" s="343"/>
    </row>
    <row r="87" spans="1:18" ht="12.95" customHeight="1" outlineLevel="1">
      <c r="A87" s="353" t="s">
        <v>229</v>
      </c>
      <c r="B87" s="353"/>
      <c r="C87" s="344" t="s">
        <v>230</v>
      </c>
      <c r="D87" s="356"/>
      <c r="E87" s="339"/>
      <c r="F87" s="339"/>
      <c r="G87" s="339"/>
      <c r="H87" s="339"/>
      <c r="I87" s="339"/>
      <c r="J87" s="339"/>
      <c r="K87" s="339"/>
      <c r="L87" s="339"/>
      <c r="M87" s="339"/>
      <c r="N87" s="339"/>
      <c r="O87" s="339"/>
      <c r="P87" s="339"/>
      <c r="Q87" s="339"/>
      <c r="R87" s="343"/>
    </row>
    <row r="88" spans="1:18" ht="12.95" customHeight="1" outlineLevel="1">
      <c r="A88" s="353" t="s">
        <v>231</v>
      </c>
      <c r="B88" s="353"/>
      <c r="C88" s="344" t="s">
        <v>232</v>
      </c>
      <c r="D88" s="356"/>
      <c r="E88" s="339"/>
      <c r="F88" s="339"/>
      <c r="G88" s="339"/>
      <c r="H88" s="339"/>
      <c r="I88" s="339"/>
      <c r="J88" s="339"/>
      <c r="K88" s="339"/>
      <c r="L88" s="339"/>
      <c r="M88" s="339"/>
      <c r="N88" s="339"/>
      <c r="O88" s="339"/>
      <c r="P88" s="339"/>
      <c r="Q88" s="339"/>
      <c r="R88" s="343"/>
    </row>
    <row r="89" spans="1:18" ht="12.95" customHeight="1" outlineLevel="1">
      <c r="A89" s="342"/>
      <c r="B89" s="342"/>
      <c r="C89" s="344"/>
      <c r="D89" s="352"/>
      <c r="E89" s="339"/>
      <c r="F89" s="339"/>
      <c r="G89" s="339"/>
      <c r="H89" s="339"/>
      <c r="I89" s="339"/>
      <c r="J89" s="339"/>
      <c r="K89" s="339"/>
      <c r="L89" s="339"/>
      <c r="M89" s="339"/>
      <c r="N89" s="339"/>
      <c r="O89" s="339"/>
      <c r="P89" s="339"/>
      <c r="Q89" s="339"/>
      <c r="R89" s="343"/>
    </row>
    <row r="90" spans="1:18" ht="12.95" customHeight="1" outlineLevel="1">
      <c r="A90" s="342"/>
      <c r="B90" s="342"/>
      <c r="C90" s="357" t="s">
        <v>233</v>
      </c>
      <c r="D90" s="352"/>
      <c r="E90" s="339"/>
      <c r="F90" s="339"/>
      <c r="G90" s="339"/>
      <c r="H90" s="339"/>
      <c r="I90" s="339"/>
      <c r="J90" s="339"/>
      <c r="K90" s="339"/>
      <c r="L90" s="339"/>
      <c r="M90" s="339"/>
      <c r="N90" s="339"/>
      <c r="O90" s="339"/>
      <c r="P90" s="339"/>
      <c r="Q90" s="339"/>
      <c r="R90" s="343"/>
    </row>
    <row r="91" spans="1:18" ht="12.95" customHeight="1" outlineLevel="1">
      <c r="A91" s="353" t="s">
        <v>234</v>
      </c>
      <c r="B91" s="353"/>
      <c r="C91" s="344" t="s">
        <v>235</v>
      </c>
      <c r="D91" s="358"/>
      <c r="E91" s="339"/>
      <c r="F91" s="339"/>
      <c r="G91" s="339"/>
      <c r="H91" s="339"/>
      <c r="I91" s="339"/>
      <c r="J91" s="339"/>
      <c r="K91" s="339"/>
      <c r="L91" s="339"/>
      <c r="M91" s="339"/>
      <c r="N91" s="339"/>
      <c r="O91" s="339"/>
      <c r="P91" s="339"/>
      <c r="Q91" s="339"/>
      <c r="R91" s="343"/>
    </row>
    <row r="92" spans="1:18" ht="12.95" customHeight="1" outlineLevel="1">
      <c r="A92" s="353" t="s">
        <v>236</v>
      </c>
      <c r="B92" s="353"/>
      <c r="C92" s="344" t="s">
        <v>237</v>
      </c>
      <c r="D92" s="358"/>
      <c r="E92" s="339"/>
      <c r="F92" s="339"/>
      <c r="G92" s="339"/>
      <c r="H92" s="339"/>
      <c r="I92" s="339"/>
      <c r="J92" s="339"/>
      <c r="K92" s="339"/>
      <c r="L92" s="339"/>
      <c r="M92" s="339"/>
      <c r="N92" s="339"/>
      <c r="O92" s="339"/>
      <c r="P92" s="339"/>
      <c r="Q92" s="339"/>
      <c r="R92" s="343"/>
    </row>
    <row r="93" spans="1:18" ht="12.95" customHeight="1" outlineLevel="1">
      <c r="A93" s="353" t="s">
        <v>238</v>
      </c>
      <c r="B93" s="353"/>
      <c r="C93" s="344" t="s">
        <v>239</v>
      </c>
      <c r="D93" s="358"/>
      <c r="E93" s="339"/>
      <c r="F93" s="339"/>
      <c r="G93" s="339"/>
      <c r="H93" s="339"/>
      <c r="I93" s="339"/>
      <c r="J93" s="339"/>
      <c r="K93" s="339"/>
      <c r="L93" s="339"/>
      <c r="M93" s="339"/>
      <c r="N93" s="339"/>
      <c r="O93" s="339"/>
      <c r="P93" s="339"/>
      <c r="Q93" s="339"/>
      <c r="R93" s="343"/>
    </row>
    <row r="94" spans="1:18" ht="12.95" customHeight="1" outlineLevel="1">
      <c r="A94" s="353" t="s">
        <v>240</v>
      </c>
      <c r="B94" s="353"/>
      <c r="C94" s="344" t="s">
        <v>241</v>
      </c>
      <c r="D94" s="358"/>
      <c r="E94" s="339"/>
      <c r="F94" s="339"/>
      <c r="G94" s="339"/>
      <c r="H94" s="339"/>
      <c r="I94" s="339"/>
      <c r="J94" s="339"/>
      <c r="K94" s="339"/>
      <c r="L94" s="339"/>
      <c r="M94" s="339"/>
      <c r="N94" s="339"/>
      <c r="O94" s="339"/>
      <c r="P94" s="339"/>
      <c r="Q94" s="339"/>
      <c r="R94" s="343"/>
    </row>
    <row r="95" spans="1:18" ht="12.95" customHeight="1" outlineLevel="1">
      <c r="A95" s="353" t="s">
        <v>242</v>
      </c>
      <c r="B95" s="353"/>
      <c r="C95" s="344" t="s">
        <v>243</v>
      </c>
      <c r="D95" s="358"/>
      <c r="E95" s="339"/>
      <c r="F95" s="339"/>
      <c r="G95" s="339"/>
      <c r="H95" s="339"/>
      <c r="I95" s="339"/>
      <c r="J95" s="339"/>
      <c r="K95" s="339"/>
      <c r="L95" s="339"/>
      <c r="M95" s="339"/>
      <c r="N95" s="339"/>
      <c r="O95" s="339"/>
      <c r="P95" s="339"/>
      <c r="Q95" s="339"/>
      <c r="R95" s="343"/>
    </row>
    <row r="96" spans="1:18" ht="12.95" customHeight="1" outlineLevel="1">
      <c r="A96" s="353" t="s">
        <v>244</v>
      </c>
      <c r="B96" s="353"/>
      <c r="C96" s="344" t="s">
        <v>245</v>
      </c>
      <c r="D96" s="358"/>
      <c r="E96" s="339"/>
      <c r="F96" s="339"/>
      <c r="G96" s="339"/>
      <c r="H96" s="339"/>
      <c r="I96" s="339"/>
      <c r="J96" s="339"/>
      <c r="K96" s="339"/>
      <c r="L96" s="339"/>
      <c r="M96" s="339"/>
      <c r="N96" s="339"/>
      <c r="O96" s="339"/>
      <c r="P96" s="339"/>
      <c r="Q96" s="339"/>
      <c r="R96" s="343"/>
    </row>
    <row r="97" spans="1:18" ht="12.95" customHeight="1" outlineLevel="1">
      <c r="A97" s="353" t="s">
        <v>246</v>
      </c>
      <c r="B97" s="353"/>
      <c r="C97" s="344" t="s">
        <v>247</v>
      </c>
      <c r="D97" s="358"/>
      <c r="E97" s="339"/>
      <c r="F97" s="339"/>
      <c r="G97" s="339"/>
      <c r="H97" s="339"/>
      <c r="I97" s="339"/>
      <c r="J97" s="339"/>
      <c r="K97" s="339"/>
      <c r="L97" s="339"/>
      <c r="M97" s="339"/>
      <c r="N97" s="339"/>
      <c r="O97" s="339"/>
      <c r="P97" s="339"/>
      <c r="Q97" s="339"/>
      <c r="R97" s="343"/>
    </row>
    <row r="98" spans="1:18" ht="12.95" customHeight="1" outlineLevel="1">
      <c r="A98" s="353" t="s">
        <v>248</v>
      </c>
      <c r="B98" s="353"/>
      <c r="C98" s="344" t="s">
        <v>249</v>
      </c>
      <c r="D98" s="358"/>
      <c r="E98" s="339"/>
      <c r="F98" s="339"/>
      <c r="G98" s="339"/>
      <c r="H98" s="339"/>
      <c r="I98" s="339"/>
      <c r="J98" s="339"/>
      <c r="K98" s="339"/>
      <c r="L98" s="339"/>
      <c r="M98" s="339"/>
      <c r="N98" s="339"/>
      <c r="O98" s="339"/>
      <c r="P98" s="339"/>
      <c r="Q98" s="339"/>
      <c r="R98" s="343"/>
    </row>
    <row r="99" spans="1:18" ht="12.95" customHeight="1" outlineLevel="1">
      <c r="A99" s="353" t="s">
        <v>250</v>
      </c>
      <c r="B99" s="353"/>
      <c r="C99" s="344" t="s">
        <v>251</v>
      </c>
      <c r="D99" s="358"/>
      <c r="E99" s="339"/>
      <c r="F99" s="339"/>
      <c r="G99" s="339"/>
      <c r="H99" s="339"/>
      <c r="I99" s="339"/>
      <c r="J99" s="339"/>
      <c r="K99" s="339"/>
      <c r="L99" s="339"/>
      <c r="M99" s="339"/>
      <c r="N99" s="339"/>
      <c r="O99" s="339"/>
      <c r="P99" s="339"/>
      <c r="Q99" s="339"/>
      <c r="R99" s="343"/>
    </row>
    <row r="100" spans="1:18" ht="12.95" customHeight="1" outlineLevel="1">
      <c r="A100" s="353" t="s">
        <v>252</v>
      </c>
      <c r="B100" s="353"/>
      <c r="C100" s="344" t="s">
        <v>253</v>
      </c>
      <c r="D100" s="358"/>
      <c r="E100" s="339"/>
      <c r="F100" s="339"/>
      <c r="G100" s="339"/>
      <c r="H100" s="339"/>
      <c r="I100" s="339"/>
      <c r="J100" s="339"/>
      <c r="K100" s="339"/>
      <c r="L100" s="339"/>
      <c r="M100" s="339"/>
      <c r="N100" s="339"/>
      <c r="O100" s="339"/>
      <c r="P100" s="339"/>
      <c r="Q100" s="339"/>
      <c r="R100" s="343"/>
    </row>
    <row r="101" spans="1:18" ht="12.95" customHeight="1">
      <c r="A101" s="353"/>
      <c r="B101" s="353"/>
      <c r="C101" s="344"/>
      <c r="D101" s="336"/>
      <c r="E101" s="339"/>
      <c r="F101" s="339"/>
      <c r="G101" s="339"/>
      <c r="H101" s="339"/>
      <c r="I101" s="339"/>
      <c r="J101" s="339"/>
      <c r="K101" s="339"/>
      <c r="L101" s="339"/>
      <c r="M101" s="339"/>
      <c r="N101" s="339"/>
      <c r="O101" s="339"/>
      <c r="P101" s="339"/>
      <c r="Q101" s="339"/>
      <c r="R101" s="343"/>
    </row>
    <row r="102" spans="1:18" ht="12.95" customHeight="1">
      <c r="A102" s="353"/>
      <c r="B102" s="353"/>
      <c r="C102" s="359" t="s">
        <v>254</v>
      </c>
      <c r="D102" s="336"/>
      <c r="E102" s="339"/>
      <c r="F102" s="339"/>
      <c r="G102" s="339"/>
      <c r="H102" s="339"/>
      <c r="I102" s="339"/>
      <c r="J102" s="339"/>
      <c r="K102" s="339"/>
      <c r="L102" s="339"/>
      <c r="M102" s="339"/>
      <c r="N102" s="339"/>
      <c r="O102" s="339"/>
      <c r="P102" s="339"/>
      <c r="Q102" s="339"/>
      <c r="R102" s="343"/>
    </row>
    <row r="103" spans="1:18" ht="12.95" customHeight="1" outlineLevel="1">
      <c r="A103" s="353" t="s">
        <v>255</v>
      </c>
      <c r="B103" s="353"/>
      <c r="C103" s="344" t="s">
        <v>256</v>
      </c>
      <c r="D103" s="356"/>
      <c r="E103" s="339"/>
      <c r="F103" s="339"/>
      <c r="G103" s="339"/>
      <c r="H103" s="339"/>
      <c r="I103" s="339"/>
      <c r="J103" s="339"/>
      <c r="K103" s="339"/>
      <c r="L103" s="339"/>
      <c r="M103" s="339"/>
      <c r="N103" s="339"/>
      <c r="O103" s="339"/>
      <c r="P103" s="339"/>
      <c r="Q103" s="339"/>
      <c r="R103" s="343"/>
    </row>
    <row r="104" spans="1:18" ht="12.95" customHeight="1" outlineLevel="1">
      <c r="A104" s="353" t="s">
        <v>257</v>
      </c>
      <c r="B104" s="353"/>
      <c r="C104" s="344" t="s">
        <v>258</v>
      </c>
      <c r="D104" s="356"/>
      <c r="E104" s="339"/>
      <c r="F104" s="339"/>
      <c r="G104" s="339"/>
      <c r="H104" s="339"/>
      <c r="I104" s="339"/>
      <c r="J104" s="339"/>
      <c r="K104" s="339"/>
      <c r="L104" s="339"/>
      <c r="M104" s="339"/>
      <c r="N104" s="339"/>
      <c r="O104" s="339"/>
      <c r="P104" s="339"/>
      <c r="Q104" s="339"/>
      <c r="R104" s="343"/>
    </row>
    <row r="105" spans="1:18" ht="12.95" customHeight="1" outlineLevel="1">
      <c r="A105" s="353" t="s">
        <v>259</v>
      </c>
      <c r="B105" s="353"/>
      <c r="C105" s="344" t="s">
        <v>260</v>
      </c>
      <c r="D105" s="356"/>
      <c r="E105" s="339"/>
      <c r="F105" s="339"/>
      <c r="G105" s="339"/>
      <c r="H105" s="339"/>
      <c r="I105" s="339"/>
      <c r="J105" s="339"/>
      <c r="K105" s="339"/>
      <c r="L105" s="339"/>
      <c r="M105" s="339"/>
      <c r="N105" s="339"/>
      <c r="O105" s="339"/>
      <c r="P105" s="339"/>
      <c r="Q105" s="339"/>
      <c r="R105" s="343"/>
    </row>
    <row r="106" spans="1:18" ht="12.95" customHeight="1" outlineLevel="1">
      <c r="A106" s="353" t="s">
        <v>261</v>
      </c>
      <c r="B106" s="353"/>
      <c r="C106" s="344" t="s">
        <v>262</v>
      </c>
      <c r="D106" s="356"/>
      <c r="E106" s="339"/>
      <c r="F106" s="339"/>
      <c r="G106" s="339"/>
      <c r="H106" s="339"/>
      <c r="I106" s="339"/>
      <c r="J106" s="339"/>
      <c r="K106" s="339"/>
      <c r="L106" s="339"/>
      <c r="M106" s="339"/>
      <c r="N106" s="339"/>
      <c r="O106" s="339"/>
      <c r="P106" s="339"/>
      <c r="Q106" s="339"/>
      <c r="R106" s="343"/>
    </row>
    <row r="107" spans="1:18" ht="12.95" customHeight="1" outlineLevel="1">
      <c r="A107" s="353" t="s">
        <v>263</v>
      </c>
      <c r="B107" s="353"/>
      <c r="C107" s="344" t="s">
        <v>264</v>
      </c>
      <c r="D107" s="356"/>
      <c r="E107" s="339"/>
      <c r="F107" s="339"/>
      <c r="G107" s="339"/>
      <c r="H107" s="339"/>
      <c r="I107" s="339"/>
      <c r="J107" s="339"/>
      <c r="K107" s="339"/>
      <c r="L107" s="339"/>
      <c r="M107" s="339"/>
      <c r="N107" s="339"/>
      <c r="O107" s="339"/>
      <c r="P107" s="339"/>
      <c r="Q107" s="339"/>
      <c r="R107" s="343"/>
    </row>
    <row r="108" spans="1:18" ht="12.95" customHeight="1" outlineLevel="1">
      <c r="A108" s="353" t="s">
        <v>265</v>
      </c>
      <c r="B108" s="353"/>
      <c r="C108" s="344" t="s">
        <v>266</v>
      </c>
      <c r="D108" s="356"/>
      <c r="E108" s="339"/>
      <c r="F108" s="339"/>
      <c r="G108" s="339"/>
      <c r="H108" s="339"/>
      <c r="I108" s="339"/>
      <c r="J108" s="339"/>
      <c r="K108" s="339"/>
      <c r="L108" s="339"/>
      <c r="M108" s="339"/>
      <c r="N108" s="339"/>
      <c r="O108" s="339"/>
      <c r="P108" s="339"/>
      <c r="Q108" s="339"/>
      <c r="R108" s="343"/>
    </row>
    <row r="109" spans="1:18" ht="12.95" customHeight="1" outlineLevel="1">
      <c r="A109" s="353" t="s">
        <v>267</v>
      </c>
      <c r="B109" s="353"/>
      <c r="C109" s="344" t="s">
        <v>268</v>
      </c>
      <c r="D109" s="346"/>
      <c r="E109" s="339"/>
      <c r="F109" s="339"/>
      <c r="G109" s="339"/>
      <c r="H109" s="339"/>
      <c r="I109" s="339"/>
      <c r="J109" s="339"/>
      <c r="K109" s="339"/>
      <c r="L109" s="339"/>
      <c r="M109" s="339"/>
      <c r="N109" s="339"/>
      <c r="O109" s="339"/>
      <c r="P109" s="339"/>
      <c r="Q109" s="339"/>
      <c r="R109" s="343"/>
    </row>
    <row r="110" spans="1:18" ht="12.95" customHeight="1" outlineLevel="1">
      <c r="A110" s="353"/>
      <c r="B110" s="353"/>
      <c r="C110" s="344"/>
      <c r="D110" s="360"/>
      <c r="E110" s="339"/>
      <c r="F110" s="339"/>
      <c r="G110" s="339"/>
      <c r="H110" s="339"/>
      <c r="I110" s="339"/>
      <c r="J110" s="339"/>
      <c r="K110" s="339"/>
      <c r="L110" s="339"/>
      <c r="M110" s="339"/>
      <c r="N110" s="339"/>
      <c r="O110" s="339"/>
      <c r="P110" s="339"/>
      <c r="Q110" s="339"/>
      <c r="R110" s="343"/>
    </row>
    <row r="111" spans="1:18" ht="12.95" customHeight="1">
      <c r="A111" s="330" t="s">
        <v>103</v>
      </c>
      <c r="B111" s="330"/>
      <c r="C111" s="339"/>
      <c r="D111" s="360"/>
      <c r="E111" s="339"/>
      <c r="F111" s="339"/>
      <c r="G111" s="339"/>
      <c r="H111" s="339"/>
      <c r="I111" s="339"/>
      <c r="J111" s="339"/>
      <c r="K111" s="339"/>
      <c r="L111" s="339"/>
      <c r="M111" s="339"/>
      <c r="N111" s="339"/>
      <c r="O111" s="339"/>
      <c r="P111" s="339"/>
      <c r="Q111" s="339"/>
      <c r="R111" s="340"/>
    </row>
    <row r="112" spans="1:18" ht="12.95" customHeight="1">
      <c r="A112" s="342"/>
      <c r="B112" s="342"/>
      <c r="C112" s="339"/>
      <c r="D112" s="360"/>
      <c r="E112" s="339"/>
      <c r="F112" s="339"/>
      <c r="G112" s="339"/>
      <c r="H112" s="339"/>
      <c r="I112" s="339"/>
      <c r="J112" s="339"/>
      <c r="K112" s="339"/>
      <c r="L112" s="339"/>
      <c r="M112" s="339"/>
      <c r="N112" s="339"/>
      <c r="O112" s="339"/>
      <c r="P112" s="339"/>
      <c r="Q112" s="339"/>
      <c r="R112" s="340"/>
    </row>
    <row r="113" spans="1:31" ht="15" customHeight="1">
      <c r="A113" s="361"/>
      <c r="B113" s="361"/>
      <c r="C113" s="473" t="s">
        <v>269</v>
      </c>
      <c r="D113" s="475"/>
      <c r="E113" s="475"/>
      <c r="F113" s="475"/>
      <c r="G113" s="475"/>
      <c r="H113" s="475"/>
      <c r="I113" s="475"/>
      <c r="J113" s="475"/>
      <c r="K113" s="475"/>
      <c r="L113" s="475"/>
      <c r="M113" s="475"/>
      <c r="N113" s="475"/>
      <c r="O113" s="475"/>
      <c r="P113" s="475"/>
      <c r="Q113" s="475"/>
      <c r="R113" s="326"/>
    </row>
    <row r="114" spans="1:31" ht="12.95" customHeight="1">
      <c r="A114" s="342" t="s">
        <v>270</v>
      </c>
      <c r="B114" s="342"/>
      <c r="C114" s="575" t="s">
        <v>93</v>
      </c>
      <c r="D114" s="566"/>
      <c r="E114" s="566" t="str">
        <f>E117&amp;E115&amp;E116</f>
        <v>FY2022A</v>
      </c>
      <c r="F114" s="566" t="str">
        <f>F117&amp;F115&amp;F116</f>
        <v>FY2023A</v>
      </c>
      <c r="G114" s="566" t="str">
        <f>G117&amp;G115&amp;G116</f>
        <v>FY2024F</v>
      </c>
      <c r="H114" s="566" t="str">
        <f>H117&amp;H115&amp;H116</f>
        <v>FY2025F</v>
      </c>
      <c r="I114" s="566" t="str">
        <f>I117&amp;I115&amp;I116</f>
        <v>FY2026F</v>
      </c>
      <c r="J114" s="566" t="str">
        <f t="shared" ref="J114:Q114" si="3">J117&amp;J115&amp;J116</f>
        <v>FY2027F</v>
      </c>
      <c r="K114" s="566" t="str">
        <f t="shared" si="3"/>
        <v>FY2028F</v>
      </c>
      <c r="L114" s="566" t="str">
        <f t="shared" si="3"/>
        <v>FY2029F</v>
      </c>
      <c r="M114" s="566" t="str">
        <f t="shared" si="3"/>
        <v>FY2030F</v>
      </c>
      <c r="N114" s="566" t="str">
        <f t="shared" si="3"/>
        <v>FY2031F</v>
      </c>
      <c r="O114" s="566" t="str">
        <f t="shared" si="3"/>
        <v>FY2032F</v>
      </c>
      <c r="P114" s="566" t="str">
        <f t="shared" si="3"/>
        <v>FY2033F</v>
      </c>
      <c r="Q114" s="566" t="str">
        <f t="shared" si="3"/>
        <v>FY2034F</v>
      </c>
      <c r="R114" s="364" t="s">
        <v>271</v>
      </c>
    </row>
    <row r="115" spans="1:31" ht="12.95" customHeight="1">
      <c r="A115" s="342" t="s">
        <v>273</v>
      </c>
      <c r="B115" s="342"/>
      <c r="C115" s="573" t="s">
        <v>274</v>
      </c>
      <c r="D115" s="574"/>
      <c r="E115" s="574">
        <v>2022</v>
      </c>
      <c r="F115" s="574">
        <f>E115+1</f>
        <v>2023</v>
      </c>
      <c r="G115" s="574">
        <f>F115+1</f>
        <v>2024</v>
      </c>
      <c r="H115" s="574">
        <f>G115+1</f>
        <v>2025</v>
      </c>
      <c r="I115" s="574">
        <f>H115+1</f>
        <v>2026</v>
      </c>
      <c r="J115" s="574">
        <f t="shared" ref="J115:P115" si="4">I115+1</f>
        <v>2027</v>
      </c>
      <c r="K115" s="574">
        <f t="shared" si="4"/>
        <v>2028</v>
      </c>
      <c r="L115" s="574">
        <f t="shared" si="4"/>
        <v>2029</v>
      </c>
      <c r="M115" s="574">
        <f t="shared" si="4"/>
        <v>2030</v>
      </c>
      <c r="N115" s="574">
        <f t="shared" si="4"/>
        <v>2031</v>
      </c>
      <c r="O115" s="574">
        <f t="shared" si="4"/>
        <v>2032</v>
      </c>
      <c r="P115" s="574">
        <f t="shared" si="4"/>
        <v>2033</v>
      </c>
      <c r="Q115" s="574">
        <f>P115+1</f>
        <v>2034</v>
      </c>
      <c r="R115" s="320"/>
    </row>
    <row r="116" spans="1:31" ht="12.95" customHeight="1">
      <c r="A116" s="342" t="s">
        <v>275</v>
      </c>
      <c r="B116" s="342"/>
      <c r="C116" s="573" t="s">
        <v>276</v>
      </c>
      <c r="D116" s="574"/>
      <c r="E116" s="574" t="s">
        <v>277</v>
      </c>
      <c r="F116" s="574" t="s">
        <v>277</v>
      </c>
      <c r="G116" s="574" t="s">
        <v>278</v>
      </c>
      <c r="H116" s="574" t="s">
        <v>278</v>
      </c>
      <c r="I116" s="574" t="s">
        <v>278</v>
      </c>
      <c r="J116" s="574" t="s">
        <v>278</v>
      </c>
      <c r="K116" s="574" t="s">
        <v>278</v>
      </c>
      <c r="L116" s="574" t="s">
        <v>278</v>
      </c>
      <c r="M116" s="574" t="s">
        <v>278</v>
      </c>
      <c r="N116" s="574" t="s">
        <v>278</v>
      </c>
      <c r="O116" s="574" t="s">
        <v>278</v>
      </c>
      <c r="P116" s="574" t="s">
        <v>278</v>
      </c>
      <c r="Q116" s="574" t="s">
        <v>278</v>
      </c>
      <c r="R116" s="320"/>
    </row>
    <row r="117" spans="1:31" ht="12.95" customHeight="1">
      <c r="A117" s="342" t="s">
        <v>279</v>
      </c>
      <c r="B117" s="342"/>
      <c r="C117" s="573" t="s">
        <v>280</v>
      </c>
      <c r="D117" s="574"/>
      <c r="E117" s="574" t="s">
        <v>281</v>
      </c>
      <c r="F117" s="574" t="s">
        <v>281</v>
      </c>
      <c r="G117" s="574" t="s">
        <v>281</v>
      </c>
      <c r="H117" s="574" t="s">
        <v>281</v>
      </c>
      <c r="I117" s="574" t="s">
        <v>281</v>
      </c>
      <c r="J117" s="574" t="s">
        <v>281</v>
      </c>
      <c r="K117" s="574" t="s">
        <v>281</v>
      </c>
      <c r="L117" s="574" t="s">
        <v>281</v>
      </c>
      <c r="M117" s="574" t="s">
        <v>281</v>
      </c>
      <c r="N117" s="574" t="s">
        <v>281</v>
      </c>
      <c r="O117" s="574" t="s">
        <v>281</v>
      </c>
      <c r="P117" s="574" t="s">
        <v>281</v>
      </c>
      <c r="Q117" s="574" t="s">
        <v>281</v>
      </c>
      <c r="R117" s="320"/>
    </row>
    <row r="118" spans="1:31" ht="12.6" customHeight="1">
      <c r="A118" s="342" t="s">
        <v>282</v>
      </c>
      <c r="B118" s="342"/>
      <c r="C118" s="573" t="s">
        <v>283</v>
      </c>
      <c r="D118" s="574"/>
      <c r="E118" s="574" t="s">
        <v>284</v>
      </c>
      <c r="F118" s="574" t="s">
        <v>284</v>
      </c>
      <c r="G118" s="574" t="s">
        <v>284</v>
      </c>
      <c r="H118" s="574" t="s">
        <v>284</v>
      </c>
      <c r="I118" s="574" t="s">
        <v>284</v>
      </c>
      <c r="J118" s="574" t="s">
        <v>284</v>
      </c>
      <c r="K118" s="574" t="s">
        <v>284</v>
      </c>
      <c r="L118" s="574" t="s">
        <v>284</v>
      </c>
      <c r="M118" s="574" t="s">
        <v>284</v>
      </c>
      <c r="N118" s="574" t="s">
        <v>284</v>
      </c>
      <c r="O118" s="574" t="s">
        <v>284</v>
      </c>
      <c r="P118" s="574" t="s">
        <v>284</v>
      </c>
      <c r="Q118" s="574" t="s">
        <v>284</v>
      </c>
      <c r="R118" s="320"/>
    </row>
    <row r="119" spans="1:31" ht="12.6" customHeight="1">
      <c r="A119" s="342"/>
      <c r="B119" s="342"/>
      <c r="C119" s="366"/>
      <c r="D119" s="367"/>
      <c r="E119" s="367"/>
      <c r="F119" s="367"/>
      <c r="G119" s="367"/>
      <c r="H119" s="367"/>
      <c r="I119" s="367"/>
      <c r="J119" s="367"/>
      <c r="K119" s="367"/>
      <c r="L119" s="367"/>
      <c r="M119" s="367"/>
      <c r="N119" s="367"/>
      <c r="O119" s="367"/>
      <c r="P119" s="367"/>
      <c r="Q119" s="367"/>
      <c r="R119" s="320"/>
    </row>
    <row r="120" spans="1:31" ht="12.95" customHeight="1">
      <c r="A120" s="342"/>
      <c r="B120" s="342"/>
      <c r="C120" s="473" t="s">
        <v>285</v>
      </c>
      <c r="D120" s="474"/>
      <c r="E120" s="475"/>
      <c r="F120" s="474"/>
      <c r="G120" s="475"/>
      <c r="H120" s="474"/>
      <c r="I120" s="474"/>
      <c r="J120" s="474"/>
      <c r="K120" s="474"/>
      <c r="L120" s="474"/>
      <c r="M120" s="474"/>
      <c r="N120" s="474"/>
      <c r="O120" s="474"/>
      <c r="P120" s="474"/>
      <c r="Q120" s="474"/>
      <c r="R120" s="320"/>
    </row>
    <row r="121" spans="1:31" ht="12.95" customHeight="1" thickBot="1">
      <c r="A121" s="342"/>
      <c r="B121" s="342"/>
      <c r="C121" s="478" t="s">
        <v>1119</v>
      </c>
      <c r="D121" s="476"/>
      <c r="E121" s="477"/>
      <c r="F121" s="476"/>
      <c r="G121" s="477"/>
      <c r="H121" s="476"/>
      <c r="I121" s="476"/>
      <c r="J121" s="476"/>
      <c r="K121" s="476"/>
      <c r="L121" s="476"/>
      <c r="M121" s="476"/>
      <c r="N121" s="476"/>
      <c r="O121" s="476"/>
      <c r="P121" s="476"/>
      <c r="Q121" s="476"/>
      <c r="R121" s="320"/>
    </row>
    <row r="122" spans="1:31" ht="12.95" customHeight="1">
      <c r="A122" s="342"/>
      <c r="B122" s="344" t="s">
        <v>286</v>
      </c>
      <c r="C122" s="572" t="s">
        <v>1</v>
      </c>
      <c r="D122" s="568"/>
      <c r="E122" s="555">
        <f>+E142</f>
        <v>2373.3000000000002</v>
      </c>
      <c r="F122" s="556">
        <f>+F142</f>
        <v>2434.4</v>
      </c>
      <c r="G122" s="556">
        <f>+G142</f>
        <v>2338.9</v>
      </c>
      <c r="H122" s="556">
        <f>+H142</f>
        <v>2614.6</v>
      </c>
      <c r="I122" s="556">
        <f t="shared" ref="I122:P122" si="5">+I142</f>
        <v>2636.3</v>
      </c>
      <c r="J122" s="556">
        <f t="shared" si="5"/>
        <v>2746.9683164500002</v>
      </c>
      <c r="K122" s="556">
        <f t="shared" si="5"/>
        <v>2846.857735525</v>
      </c>
      <c r="L122" s="556">
        <f t="shared" si="5"/>
        <v>2878.0066722777797</v>
      </c>
      <c r="M122" s="556">
        <f t="shared" si="5"/>
        <v>2944.2613925879818</v>
      </c>
      <c r="N122" s="556">
        <f t="shared" si="5"/>
        <v>2992.334805052195</v>
      </c>
      <c r="O122" s="556">
        <f t="shared" si="5"/>
        <v>3042.2498441834691</v>
      </c>
      <c r="P122" s="556">
        <f t="shared" si="5"/>
        <v>3094.0577645388848</v>
      </c>
      <c r="Q122" s="557">
        <f>+Q142</f>
        <v>3147.8113982546638</v>
      </c>
      <c r="R122" s="565" t="str">
        <f>_xll.BLUEMATRIX2("ExcelToolkitService",C122,$B$1,"[DivisionName:21]DIVISION")</f>
        <v>#</v>
      </c>
      <c r="S122" s="461" t="str">
        <f>_xll.BLUEMATRIX2("/servlet/excelData",E122,$B$1,$B122&amp;":"&amp;E$115&amp;":"&amp;$R$114)</f>
        <v>#</v>
      </c>
      <c r="T122" s="461" t="str">
        <f>_xll.BLUEMATRIX2("/servlet/excelData",F122,$B$1,$B122&amp;":"&amp;F$115&amp;":"&amp;$R$114)</f>
        <v>#</v>
      </c>
      <c r="U122" s="461" t="str">
        <f>_xll.BLUEMATRIX2("/servlet/excelData",G122,$B$1,$B122&amp;":"&amp;G$115&amp;":"&amp;$R$114)</f>
        <v>#</v>
      </c>
      <c r="V122" s="461" t="str">
        <f>_xll.BLUEMATRIX2("/servlet/excelData",H122,$B$1,$B122&amp;":"&amp;H$115&amp;":"&amp;$R$114)</f>
        <v>#</v>
      </c>
      <c r="W122" s="461" t="str">
        <f>_xll.BLUEMATRIX2("/servlet/excelData",I122,$B$1,$B122&amp;":"&amp;I$115&amp;":"&amp;$R$114)</f>
        <v>#</v>
      </c>
      <c r="X122" s="461" t="str">
        <f>_xll.BLUEMATRIX2("/servlet/excelData",J122,$B$1,$B122&amp;":"&amp;J$115&amp;":"&amp;$R$114)</f>
        <v>#</v>
      </c>
      <c r="Y122" s="461" t="str">
        <f>_xll.BLUEMATRIX2("/servlet/excelData",K122,$B$1,$B122&amp;":"&amp;K$115&amp;":"&amp;$R$114)</f>
        <v>#</v>
      </c>
      <c r="Z122" s="461" t="str">
        <f>_xll.BLUEMATRIX2("/servlet/excelData",L122,$B$1,$B122&amp;":"&amp;L$115&amp;":"&amp;$R$114)</f>
        <v>#</v>
      </c>
      <c r="AA122" s="461" t="str">
        <f>_xll.BLUEMATRIX2("/servlet/excelData",M122,$B$1,$B122&amp;":"&amp;M$115&amp;":"&amp;$R$114)</f>
        <v>#</v>
      </c>
      <c r="AB122" s="461" t="str">
        <f>_xll.BLUEMATRIX2("/servlet/excelData",N122,$B$1,$B122&amp;":"&amp;N$115&amp;":"&amp;$R$114)</f>
        <v>#</v>
      </c>
      <c r="AC122" s="461" t="str">
        <f>_xll.BLUEMATRIX2("/servlet/excelData",O122,$B$1,$B122&amp;":"&amp;O$115&amp;":"&amp;$R$114)</f>
        <v>#</v>
      </c>
      <c r="AD122" s="461" t="str">
        <f>_xll.BLUEMATRIX2("/servlet/excelData",P122,$B$1,$B122&amp;":"&amp;P$115&amp;":"&amp;$R$114)</f>
        <v>#</v>
      </c>
      <c r="AE122" s="461" t="str">
        <f>_xll.BLUEMATRIX2("/servlet/excelData",Q122,$B$1,$B122&amp;":"&amp;Q$115&amp;":"&amp;$R$114)</f>
        <v>#</v>
      </c>
    </row>
    <row r="123" spans="1:31" ht="12.95" customHeight="1">
      <c r="A123" s="342"/>
      <c r="B123" s="344" t="s">
        <v>287</v>
      </c>
      <c r="C123" s="572" t="s">
        <v>2</v>
      </c>
      <c r="D123" s="568"/>
      <c r="E123" s="558">
        <f>+E149</f>
        <v>360.6</v>
      </c>
      <c r="F123" s="541">
        <f>+F149</f>
        <v>391</v>
      </c>
      <c r="G123" s="541">
        <f>+G149</f>
        <v>317.7</v>
      </c>
      <c r="H123" s="541">
        <f>+H149</f>
        <v>391.5</v>
      </c>
      <c r="I123" s="541">
        <f t="shared" ref="I123:P123" si="6">+I149</f>
        <v>431.7</v>
      </c>
      <c r="J123" s="541">
        <f t="shared" si="6"/>
        <v>466.42006447494691</v>
      </c>
      <c r="K123" s="541">
        <f t="shared" si="6"/>
        <v>485.64577074650185</v>
      </c>
      <c r="L123" s="541">
        <f t="shared" si="6"/>
        <v>494.3637097202735</v>
      </c>
      <c r="M123" s="541">
        <f t="shared" si="6"/>
        <v>501.26085646792001</v>
      </c>
      <c r="N123" s="541">
        <f t="shared" si="6"/>
        <v>507.07544936206921</v>
      </c>
      <c r="O123" s="541">
        <f t="shared" si="6"/>
        <v>513.35579797440937</v>
      </c>
      <c r="P123" s="541">
        <f t="shared" si="6"/>
        <v>520.11696815723963</v>
      </c>
      <c r="Q123" s="559">
        <f>+Q149</f>
        <v>527.37454693382267</v>
      </c>
      <c r="R123" s="565" t="str">
        <f>_xll.BLUEMATRIX2("ExcelToolkitService",C123,$B$1,"[DivisionName:22]DIVISION")</f>
        <v>#</v>
      </c>
      <c r="S123" s="461" t="str">
        <f>_xll.BLUEMATRIX2("/servlet/excelData",E123,$B$1,$B123&amp;":"&amp;E$115&amp;":"&amp;$R$114)</f>
        <v>#</v>
      </c>
      <c r="T123" s="461" t="str">
        <f>_xll.BLUEMATRIX2("/servlet/excelData",F123,$B$1,$B123&amp;":"&amp;F$115&amp;":"&amp;$R$114)</f>
        <v>#</v>
      </c>
      <c r="U123" s="461" t="str">
        <f>_xll.BLUEMATRIX2("/servlet/excelData",G123,$B$1,$B123&amp;":"&amp;G$115&amp;":"&amp;$R$114)</f>
        <v>#</v>
      </c>
      <c r="V123" s="461" t="str">
        <f>_xll.BLUEMATRIX2("/servlet/excelData",H123,$B$1,$B123&amp;":"&amp;H$115&amp;":"&amp;$R$114)</f>
        <v>#</v>
      </c>
      <c r="W123" s="461" t="str">
        <f>_xll.BLUEMATRIX2("/servlet/excelData",I123,$B$1,$B123&amp;":"&amp;I$115&amp;":"&amp;$R$114)</f>
        <v>#</v>
      </c>
      <c r="X123" s="461" t="str">
        <f>_xll.BLUEMATRIX2("/servlet/excelData",J123,$B$1,$B123&amp;":"&amp;J$115&amp;":"&amp;$R$114)</f>
        <v>#</v>
      </c>
      <c r="Y123" s="461" t="str">
        <f>_xll.BLUEMATRIX2("/servlet/excelData",K123,$B$1,$B123&amp;":"&amp;K$115&amp;":"&amp;$R$114)</f>
        <v>#</v>
      </c>
      <c r="Z123" s="461" t="str">
        <f>_xll.BLUEMATRIX2("/servlet/excelData",L123,$B$1,$B123&amp;":"&amp;L$115&amp;":"&amp;$R$114)</f>
        <v>#</v>
      </c>
      <c r="AA123" s="461" t="str">
        <f>_xll.BLUEMATRIX2("/servlet/excelData",M123,$B$1,$B123&amp;":"&amp;M$115&amp;":"&amp;$R$114)</f>
        <v>#</v>
      </c>
      <c r="AB123" s="461" t="str">
        <f>_xll.BLUEMATRIX2("/servlet/excelData",N123,$B$1,$B123&amp;":"&amp;N$115&amp;":"&amp;$R$114)</f>
        <v>#</v>
      </c>
      <c r="AC123" s="461" t="str">
        <f>_xll.BLUEMATRIX2("/servlet/excelData",O123,$B$1,$B123&amp;":"&amp;O$115&amp;":"&amp;$R$114)</f>
        <v>#</v>
      </c>
      <c r="AD123" s="461" t="str">
        <f>_xll.BLUEMATRIX2("/servlet/excelData",P123,$B$1,$B123&amp;":"&amp;P$115&amp;":"&amp;$R$114)</f>
        <v>#</v>
      </c>
      <c r="AE123" s="461" t="str">
        <f>_xll.BLUEMATRIX2("/servlet/excelData",Q123,$B$1,$B123&amp;":"&amp;Q$115&amp;":"&amp;$R$114)</f>
        <v>#</v>
      </c>
    </row>
    <row r="124" spans="1:31" ht="12.95" customHeight="1">
      <c r="A124" s="342"/>
      <c r="B124" s="344" t="s">
        <v>288</v>
      </c>
      <c r="C124" s="572" t="s">
        <v>289</v>
      </c>
      <c r="D124" s="568"/>
      <c r="E124" s="560">
        <f>+E298</f>
        <v>3.3337826301837543</v>
      </c>
      <c r="F124" s="542">
        <f>+F298</f>
        <v>3.6966388212852732</v>
      </c>
      <c r="G124" s="542">
        <f>+G298</f>
        <v>1.2264534652875316</v>
      </c>
      <c r="H124" s="542">
        <f>+H298</f>
        <v>2.165794962451705</v>
      </c>
      <c r="I124" s="542">
        <f t="shared" ref="I124:P124" si="7">+I298</f>
        <v>3.1035837443799381</v>
      </c>
      <c r="J124" s="542">
        <f t="shared" si="7"/>
        <v>3.9130360299414386</v>
      </c>
      <c r="K124" s="542">
        <f t="shared" si="7"/>
        <v>4.8018683474970887</v>
      </c>
      <c r="L124" s="542">
        <f t="shared" si="7"/>
        <v>5.2629167230769109</v>
      </c>
      <c r="M124" s="542">
        <f t="shared" si="7"/>
        <v>5.9971759965477665</v>
      </c>
      <c r="N124" s="542">
        <f t="shared" si="7"/>
        <v>6.5009891188482261</v>
      </c>
      <c r="O124" s="542">
        <f t="shared" si="7"/>
        <v>6.9074881828417967</v>
      </c>
      <c r="P124" s="542">
        <f t="shared" si="7"/>
        <v>7.3260250222477836</v>
      </c>
      <c r="Q124" s="561">
        <f>+Q298</f>
        <v>8.8575235243393564</v>
      </c>
      <c r="R124" s="565" t="str">
        <f>_xll.BLUEMATRIX2("ExcelToolkitService",C124,$B$1,"[DivisionName:23]DIVISION")</f>
        <v>#</v>
      </c>
      <c r="S124" s="461" t="str">
        <f>_xll.BLUEMATRIX2("/servlet/excelData",E124,$B$1,$B124&amp;":"&amp;E$115&amp;":"&amp;$R$114)</f>
        <v>#</v>
      </c>
      <c r="T124" s="461" t="str">
        <f>_xll.BLUEMATRIX2("/servlet/excelData",F124,$B$1,$B124&amp;":"&amp;F$115&amp;":"&amp;$R$114)</f>
        <v>#</v>
      </c>
      <c r="U124" s="461" t="str">
        <f>_xll.BLUEMATRIX2("/servlet/excelData",G124,$B$1,$B124&amp;":"&amp;G$115&amp;":"&amp;$R$114)</f>
        <v>#</v>
      </c>
      <c r="V124" s="461" t="str">
        <f>_xll.BLUEMATRIX2("/servlet/excelData",H124,$B$1,$B124&amp;":"&amp;H$115&amp;":"&amp;$R$114)</f>
        <v>#</v>
      </c>
      <c r="W124" s="461" t="str">
        <f>_xll.BLUEMATRIX2("/servlet/excelData",I124,$B$1,$B124&amp;":"&amp;I$115&amp;":"&amp;$R$114)</f>
        <v>#</v>
      </c>
      <c r="X124" s="461" t="str">
        <f>_xll.BLUEMATRIX2("/servlet/excelData",J124,$B$1,$B124&amp;":"&amp;J$115&amp;":"&amp;$R$114)</f>
        <v>#</v>
      </c>
      <c r="Y124" s="461" t="str">
        <f>_xll.BLUEMATRIX2("/servlet/excelData",K124,$B$1,$B124&amp;":"&amp;K$115&amp;":"&amp;$R$114)</f>
        <v>#</v>
      </c>
      <c r="Z124" s="461" t="str">
        <f>_xll.BLUEMATRIX2("/servlet/excelData",L124,$B$1,$B124&amp;":"&amp;L$115&amp;":"&amp;$R$114)</f>
        <v>#</v>
      </c>
      <c r="AA124" s="461" t="str">
        <f>_xll.BLUEMATRIX2("/servlet/excelData",M124,$B$1,$B124&amp;":"&amp;M$115&amp;":"&amp;$R$114)</f>
        <v>#</v>
      </c>
      <c r="AB124" s="461" t="str">
        <f>_xll.BLUEMATRIX2("/servlet/excelData",N124,$B$1,$B124&amp;":"&amp;N$115&amp;":"&amp;$R$114)</f>
        <v>#</v>
      </c>
      <c r="AC124" s="461" t="str">
        <f>_xll.BLUEMATRIX2("/servlet/excelData",O124,$B$1,$B124&amp;":"&amp;O$115&amp;":"&amp;$R$114)</f>
        <v>#</v>
      </c>
      <c r="AD124" s="461" t="str">
        <f>_xll.BLUEMATRIX2("/servlet/excelData",P124,$B$1,$B124&amp;":"&amp;P$115&amp;":"&amp;$R$114)</f>
        <v>#</v>
      </c>
      <c r="AE124" s="461" t="str">
        <f>_xll.BLUEMATRIX2("/servlet/excelData",Q124,$B$1,$B124&amp;":"&amp;Q$115&amp;":"&amp;$R$114)</f>
        <v>#</v>
      </c>
    </row>
    <row r="125" spans="1:31" ht="12.95" customHeight="1" thickBot="1">
      <c r="A125" s="342"/>
      <c r="B125" s="344" t="s">
        <v>290</v>
      </c>
      <c r="C125" s="572" t="s">
        <v>291</v>
      </c>
      <c r="D125" s="568"/>
      <c r="E125" s="562">
        <f>+E302</f>
        <v>0</v>
      </c>
      <c r="F125" s="563">
        <f>+F302</f>
        <v>2.2999999999999998</v>
      </c>
      <c r="G125" s="563">
        <f>+G302</f>
        <v>1.3</v>
      </c>
      <c r="H125" s="563">
        <f>+H302</f>
        <v>2</v>
      </c>
      <c r="I125" s="563">
        <f t="shared" ref="I125:P125" si="8">+I302</f>
        <v>3</v>
      </c>
      <c r="J125" s="563">
        <f t="shared" si="8"/>
        <v>3.2</v>
      </c>
      <c r="K125" s="563">
        <f t="shared" si="8"/>
        <v>3.2</v>
      </c>
      <c r="L125" s="563">
        <f t="shared" si="8"/>
        <v>3.7282813083816082</v>
      </c>
      <c r="M125" s="563">
        <f t="shared" si="8"/>
        <v>3.2995563311710292</v>
      </c>
      <c r="N125" s="563">
        <f t="shared" si="8"/>
        <v>3.5318345227844894</v>
      </c>
      <c r="O125" s="563">
        <f t="shared" si="8"/>
        <v>0</v>
      </c>
      <c r="P125" s="563">
        <f t="shared" si="8"/>
        <v>0</v>
      </c>
      <c r="Q125" s="564">
        <f>+Q302</f>
        <v>0</v>
      </c>
      <c r="R125" s="565" t="str">
        <f>_xll.BLUEMATRIX2("ExcelToolkitService",C125,$B$1,"[DivisionName:24]DIVISION")</f>
        <v>#</v>
      </c>
      <c r="S125" s="461" t="str">
        <f>_xll.BLUEMATRIX2("/servlet/excelData",E125,$B$1,$B125&amp;":"&amp;E$115&amp;":"&amp;$R$114)</f>
        <v>#</v>
      </c>
      <c r="T125" s="461" t="str">
        <f>_xll.BLUEMATRIX2("/servlet/excelData",F125,$B$1,$B125&amp;":"&amp;F$115&amp;":"&amp;$R$114)</f>
        <v>#</v>
      </c>
      <c r="U125" s="461" t="str">
        <f>_xll.BLUEMATRIX2("/servlet/excelData",G125,$B$1,$B125&amp;":"&amp;G$115&amp;":"&amp;$R$114)</f>
        <v>#</v>
      </c>
      <c r="V125" s="461" t="str">
        <f>_xll.BLUEMATRIX2("/servlet/excelData",H125,$B$1,$B125&amp;":"&amp;H$115&amp;":"&amp;$R$114)</f>
        <v>#</v>
      </c>
      <c r="W125" s="461" t="str">
        <f>_xll.BLUEMATRIX2("/servlet/excelData",I125,$B$1,$B125&amp;":"&amp;I$115&amp;":"&amp;$R$114)</f>
        <v>#</v>
      </c>
      <c r="X125" s="461" t="str">
        <f>_xll.BLUEMATRIX2("/servlet/excelData",J125,$B$1,$B125&amp;":"&amp;J$115&amp;":"&amp;$R$114)</f>
        <v>#</v>
      </c>
      <c r="Y125" s="461" t="str">
        <f>_xll.BLUEMATRIX2("/servlet/excelData",K125,$B$1,$B125&amp;":"&amp;K$115&amp;":"&amp;$R$114)</f>
        <v>#</v>
      </c>
      <c r="Z125" s="461" t="str">
        <f>_xll.BLUEMATRIX2("/servlet/excelData",L125,$B$1,$B125&amp;":"&amp;L$115&amp;":"&amp;$R$114)</f>
        <v>#</v>
      </c>
      <c r="AA125" s="461" t="str">
        <f>_xll.BLUEMATRIX2("/servlet/excelData",M125,$B$1,$B125&amp;":"&amp;M$115&amp;":"&amp;$R$114)</f>
        <v>#</v>
      </c>
      <c r="AB125" s="461" t="str">
        <f>_xll.BLUEMATRIX2("/servlet/excelData",N125,$B$1,$B125&amp;":"&amp;N$115&amp;":"&amp;$R$114)</f>
        <v>#</v>
      </c>
      <c r="AC125" s="461" t="str">
        <f>_xll.BLUEMATRIX2("/servlet/excelData",O125,$B$1,$B125&amp;":"&amp;O$115&amp;":"&amp;$R$114)</f>
        <v>#</v>
      </c>
      <c r="AD125" s="461" t="str">
        <f>_xll.BLUEMATRIX2("/servlet/excelData",P125,$B$1,$B125&amp;":"&amp;P$115&amp;":"&amp;$R$114)</f>
        <v>#</v>
      </c>
      <c r="AE125" s="461" t="str">
        <f>_xll.BLUEMATRIX2("/servlet/excelData",Q125,$B$1,$B125&amp;":"&amp;Q$115&amp;":"&amp;$R$114)</f>
        <v>#</v>
      </c>
    </row>
    <row r="126" spans="1:31" ht="12.95" customHeight="1">
      <c r="A126" s="342"/>
      <c r="B126" s="344"/>
      <c r="C126" s="572"/>
      <c r="D126" s="567"/>
      <c r="E126" s="567"/>
      <c r="F126" s="567"/>
      <c r="G126" s="567"/>
      <c r="H126" s="567"/>
      <c r="I126" s="567"/>
      <c r="J126" s="567"/>
      <c r="K126" s="567"/>
      <c r="L126" s="567"/>
      <c r="M126" s="567"/>
      <c r="N126" s="567"/>
      <c r="O126" s="567"/>
      <c r="P126" s="567"/>
      <c r="Q126" s="567"/>
      <c r="R126" s="345"/>
      <c r="S126" s="458"/>
      <c r="T126" s="458"/>
      <c r="U126" s="458"/>
      <c r="V126" s="458"/>
      <c r="W126" s="458"/>
      <c r="X126" s="458"/>
      <c r="Y126" s="458"/>
      <c r="Z126" s="458"/>
      <c r="AA126" s="458"/>
      <c r="AB126" s="458"/>
      <c r="AC126" s="458"/>
      <c r="AD126" s="458"/>
      <c r="AE126" s="458"/>
    </row>
    <row r="127" spans="1:31" ht="12.95" customHeight="1" thickBot="1">
      <c r="A127" s="342"/>
      <c r="B127" s="344"/>
      <c r="C127" s="478" t="s">
        <v>1103</v>
      </c>
      <c r="D127" s="567"/>
      <c r="E127" s="567"/>
      <c r="F127" s="567"/>
      <c r="G127" s="567"/>
      <c r="H127" s="567"/>
      <c r="I127" s="567"/>
      <c r="J127" s="567"/>
      <c r="K127" s="567"/>
      <c r="L127" s="567"/>
      <c r="M127" s="567"/>
      <c r="N127" s="567"/>
      <c r="O127" s="567"/>
      <c r="P127" s="567"/>
      <c r="Q127" s="567"/>
      <c r="R127" s="345"/>
      <c r="S127" s="458"/>
      <c r="T127" s="458"/>
      <c r="U127" s="458"/>
      <c r="V127" s="458"/>
      <c r="W127" s="458"/>
      <c r="X127" s="458"/>
      <c r="Y127" s="458"/>
      <c r="Z127" s="458"/>
      <c r="AA127" s="458"/>
      <c r="AB127" s="458"/>
      <c r="AC127" s="458"/>
      <c r="AD127" s="458"/>
      <c r="AE127" s="458"/>
    </row>
    <row r="128" spans="1:31" ht="12.95" customHeight="1">
      <c r="A128" s="342"/>
      <c r="B128" s="344"/>
      <c r="C128" s="572" t="s">
        <v>292</v>
      </c>
      <c r="D128" s="568"/>
      <c r="E128" s="545">
        <v>2373.3000000000002</v>
      </c>
      <c r="F128" s="546">
        <v>2434.4</v>
      </c>
      <c r="G128" s="546">
        <v>2338.9</v>
      </c>
      <c r="H128" s="546">
        <v>2614.6</v>
      </c>
      <c r="I128" s="546">
        <v>2636.3</v>
      </c>
      <c r="J128" s="546">
        <v>2746.9683164500002</v>
      </c>
      <c r="K128" s="546">
        <v>2846.857735525</v>
      </c>
      <c r="L128" s="546">
        <v>2878.0066722777797</v>
      </c>
      <c r="M128" s="546">
        <v>2944.2613925879818</v>
      </c>
      <c r="N128" s="546">
        <v>2992.334805052195</v>
      </c>
      <c r="O128" s="546">
        <v>3042.2498441834691</v>
      </c>
      <c r="P128" s="546">
        <v>3094.0577645388848</v>
      </c>
      <c r="Q128" s="547">
        <v>3147.8113982546638</v>
      </c>
      <c r="R128" s="345"/>
      <c r="S128" s="458"/>
      <c r="T128" s="458"/>
      <c r="U128" s="458"/>
      <c r="V128" s="458"/>
      <c r="W128" s="458"/>
      <c r="X128" s="458"/>
      <c r="Y128" s="458"/>
      <c r="Z128" s="458"/>
      <c r="AA128" s="458"/>
      <c r="AB128" s="458"/>
      <c r="AC128" s="458"/>
      <c r="AD128" s="458"/>
      <c r="AE128" s="458"/>
    </row>
    <row r="129" spans="1:31" ht="12.95" customHeight="1">
      <c r="A129" s="342"/>
      <c r="B129" s="344"/>
      <c r="C129" s="572" t="s">
        <v>293</v>
      </c>
      <c r="D129" s="568"/>
      <c r="E129" s="548">
        <v>360.6</v>
      </c>
      <c r="F129" s="543">
        <v>391</v>
      </c>
      <c r="G129" s="543">
        <v>317.7</v>
      </c>
      <c r="H129" s="543">
        <v>391.5</v>
      </c>
      <c r="I129" s="543">
        <v>431.7</v>
      </c>
      <c r="J129" s="543">
        <v>466.42006447494691</v>
      </c>
      <c r="K129" s="543">
        <v>485.64577074650185</v>
      </c>
      <c r="L129" s="543">
        <v>494.3637097202735</v>
      </c>
      <c r="M129" s="543">
        <v>501.26085646792001</v>
      </c>
      <c r="N129" s="543">
        <v>507.07544936206921</v>
      </c>
      <c r="O129" s="543">
        <v>513.35579797440937</v>
      </c>
      <c r="P129" s="543">
        <v>520.11696815723963</v>
      </c>
      <c r="Q129" s="549">
        <v>527.37454693382267</v>
      </c>
      <c r="R129" s="345"/>
      <c r="S129" s="458"/>
      <c r="T129" s="458"/>
      <c r="U129" s="458"/>
      <c r="V129" s="458"/>
      <c r="W129" s="458"/>
      <c r="X129" s="458"/>
      <c r="Y129" s="458"/>
      <c r="Z129" s="458"/>
      <c r="AA129" s="458"/>
      <c r="AB129" s="458"/>
      <c r="AC129" s="458"/>
      <c r="AD129" s="458"/>
      <c r="AE129" s="458"/>
    </row>
    <row r="130" spans="1:31" ht="12.95" customHeight="1">
      <c r="A130" s="342"/>
      <c r="B130" s="344"/>
      <c r="C130" s="572" t="s">
        <v>294</v>
      </c>
      <c r="D130" s="568"/>
      <c r="E130" s="550">
        <v>3.3337826301837543</v>
      </c>
      <c r="F130" s="544">
        <v>3.6966388212852732</v>
      </c>
      <c r="G130" s="544">
        <v>1.2264534652875316</v>
      </c>
      <c r="H130" s="544">
        <v>2.165794962451705</v>
      </c>
      <c r="I130" s="544">
        <v>3.1035837443799381</v>
      </c>
      <c r="J130" s="544">
        <v>3.9130360299414386</v>
      </c>
      <c r="K130" s="544">
        <v>4.8018683474970887</v>
      </c>
      <c r="L130" s="544">
        <v>5.2629167230769109</v>
      </c>
      <c r="M130" s="544">
        <v>5.9971759965477665</v>
      </c>
      <c r="N130" s="544">
        <v>6.5009891188482261</v>
      </c>
      <c r="O130" s="544">
        <v>6.9074881828417967</v>
      </c>
      <c r="P130" s="544">
        <v>7.3260250222477836</v>
      </c>
      <c r="Q130" s="551">
        <v>8.8575235243393564</v>
      </c>
      <c r="R130" s="345"/>
      <c r="S130" s="458"/>
      <c r="T130" s="458"/>
      <c r="U130" s="458"/>
      <c r="V130" s="458"/>
      <c r="W130" s="458"/>
      <c r="X130" s="458"/>
      <c r="Y130" s="458"/>
      <c r="Z130" s="458"/>
      <c r="AA130" s="458"/>
      <c r="AB130" s="458"/>
      <c r="AC130" s="458"/>
      <c r="AD130" s="458"/>
      <c r="AE130" s="458"/>
    </row>
    <row r="131" spans="1:31" ht="12.95" customHeight="1" thickBot="1">
      <c r="A131" s="342"/>
      <c r="B131" s="344"/>
      <c r="C131" s="572" t="s">
        <v>295</v>
      </c>
      <c r="D131" s="568"/>
      <c r="E131" s="552">
        <v>0</v>
      </c>
      <c r="F131" s="553">
        <v>2.2999999999999998</v>
      </c>
      <c r="G131" s="553">
        <v>1.3</v>
      </c>
      <c r="H131" s="553">
        <v>2</v>
      </c>
      <c r="I131" s="553">
        <v>3</v>
      </c>
      <c r="J131" s="553">
        <v>3.2</v>
      </c>
      <c r="K131" s="553">
        <v>3.2</v>
      </c>
      <c r="L131" s="553">
        <v>3.7282813083816082</v>
      </c>
      <c r="M131" s="553">
        <v>3.2995563311710292</v>
      </c>
      <c r="N131" s="553">
        <v>3.5318345227844894</v>
      </c>
      <c r="O131" s="553">
        <v>0</v>
      </c>
      <c r="P131" s="553">
        <v>0</v>
      </c>
      <c r="Q131" s="554">
        <v>0</v>
      </c>
      <c r="R131" s="345"/>
      <c r="S131" s="458"/>
      <c r="T131" s="458"/>
      <c r="U131" s="458"/>
      <c r="V131" s="458"/>
      <c r="W131" s="458"/>
      <c r="X131" s="458"/>
      <c r="Y131" s="458"/>
      <c r="Z131" s="458"/>
      <c r="AA131" s="458"/>
      <c r="AB131" s="458"/>
      <c r="AC131" s="458"/>
      <c r="AD131" s="458"/>
      <c r="AE131" s="458"/>
    </row>
    <row r="132" spans="1:31" ht="12.95" customHeight="1">
      <c r="A132" s="342"/>
      <c r="B132" s="344"/>
      <c r="C132" s="572"/>
      <c r="D132" s="567"/>
      <c r="E132" s="567"/>
      <c r="F132" s="567"/>
      <c r="G132" s="567"/>
      <c r="H132" s="567"/>
      <c r="I132" s="567"/>
      <c r="J132" s="567"/>
      <c r="K132" s="567"/>
      <c r="L132" s="567"/>
      <c r="M132" s="567"/>
      <c r="N132" s="567"/>
      <c r="O132" s="567"/>
      <c r="P132" s="567"/>
      <c r="Q132" s="567"/>
      <c r="R132" s="345"/>
      <c r="S132" s="458"/>
      <c r="T132" s="458"/>
      <c r="U132" s="458"/>
      <c r="V132" s="458"/>
      <c r="W132" s="458"/>
      <c r="X132" s="458"/>
      <c r="Y132" s="458"/>
      <c r="Z132" s="458"/>
      <c r="AA132" s="458"/>
      <c r="AB132" s="458"/>
      <c r="AC132" s="458"/>
      <c r="AD132" s="458"/>
      <c r="AE132" s="458"/>
    </row>
    <row r="133" spans="1:31" ht="12.95" customHeight="1">
      <c r="A133" s="342"/>
      <c r="B133" s="344"/>
      <c r="C133" s="478" t="s">
        <v>1153</v>
      </c>
      <c r="D133" s="567"/>
      <c r="E133" s="567"/>
      <c r="F133" s="567"/>
      <c r="G133" s="567"/>
      <c r="H133" s="567"/>
      <c r="I133" s="567"/>
      <c r="J133" s="567"/>
      <c r="K133" s="567"/>
      <c r="L133" s="567"/>
      <c r="M133" s="567"/>
      <c r="N133" s="567"/>
      <c r="O133" s="567"/>
      <c r="P133" s="567"/>
      <c r="Q133" s="567"/>
      <c r="R133" s="345"/>
      <c r="S133" s="458"/>
      <c r="T133" s="458"/>
      <c r="U133" s="458"/>
      <c r="V133" s="458"/>
      <c r="W133" s="458"/>
      <c r="X133" s="458"/>
      <c r="Y133" s="458"/>
      <c r="Z133" s="458"/>
      <c r="AA133" s="458"/>
      <c r="AB133" s="458"/>
      <c r="AC133" s="458"/>
      <c r="AD133" s="458"/>
      <c r="AE133" s="458"/>
    </row>
    <row r="134" spans="1:31" ht="12.95" customHeight="1">
      <c r="A134" s="342"/>
      <c r="B134" s="344" t="s">
        <v>296</v>
      </c>
      <c r="C134" s="572" t="s">
        <v>297</v>
      </c>
      <c r="D134" s="568"/>
      <c r="E134" s="568" cm="1">
        <f t="array" ref="E134">_xlfn.IFS(AND(E128=0,E122=0),0,AND(E128=0,E122&lt;&gt;0),"nm",E128&lt;&gt;0,E122/E128-1)</f>
        <v>0</v>
      </c>
      <c r="F134" s="568" cm="1">
        <f t="array" ref="F134">_xlfn.IFS(AND(F128=0,F122=0),0,AND(F128=0,F122&lt;&gt;0),"nm",F128&lt;&gt;0,F122/F128-1)</f>
        <v>0</v>
      </c>
      <c r="G134" s="568" cm="1">
        <f t="array" ref="G134">_xlfn.IFS(AND(G128=0,G122=0),0,AND(G128=0,G122&lt;&gt;0),"nm",G128&lt;&gt;0,G122/G128-1)</f>
        <v>0</v>
      </c>
      <c r="H134" s="568" cm="1">
        <f t="array" ref="H134">_xlfn.IFS(AND(H128=0,H122=0),0,AND(H128=0,H122&lt;&gt;0),"nm",H128&lt;&gt;0,H122/H128-1)</f>
        <v>0</v>
      </c>
      <c r="I134" s="568" cm="1">
        <f t="array" ref="I134">_xlfn.IFS(AND(I128=0,I122=0),0,AND(I128=0,I122&lt;&gt;0),"nm",I128&lt;&gt;0,I122/I128-1)</f>
        <v>0</v>
      </c>
      <c r="J134" s="568" cm="1">
        <f t="array" ref="J134">_xlfn.IFS(AND(J128=0,J122=0),0,AND(J128=0,J122&lt;&gt;0),"nm",J128&lt;&gt;0,J122/J128-1)</f>
        <v>0</v>
      </c>
      <c r="K134" s="568" cm="1">
        <f t="array" ref="K134">_xlfn.IFS(AND(K128=0,K122=0),0,AND(K128=0,K122&lt;&gt;0),"nm",K128&lt;&gt;0,K122/K128-1)</f>
        <v>0</v>
      </c>
      <c r="L134" s="568" cm="1">
        <f t="array" ref="L134">_xlfn.IFS(AND(L128=0,L122=0),0,AND(L128=0,L122&lt;&gt;0),"nm",L128&lt;&gt;0,L122/L128-1)</f>
        <v>0</v>
      </c>
      <c r="M134" s="568" cm="1">
        <f t="array" ref="M134">_xlfn.IFS(AND(M128=0,M122=0),0,AND(M128=0,M122&lt;&gt;0),"nm",M128&lt;&gt;0,M122/M128-1)</f>
        <v>0</v>
      </c>
      <c r="N134" s="568" cm="1">
        <f t="array" ref="N134">_xlfn.IFS(AND(N128=0,N122=0),0,AND(N128=0,N122&lt;&gt;0),"nm",N128&lt;&gt;0,N122/N128-1)</f>
        <v>0</v>
      </c>
      <c r="O134" s="568" cm="1">
        <f t="array" ref="O134">_xlfn.IFS(AND(O128=0,O122=0),0,AND(O128=0,O122&lt;&gt;0),"nm",O128&lt;&gt;0,O122/O128-1)</f>
        <v>0</v>
      </c>
      <c r="P134" s="568" cm="1">
        <f t="array" ref="P134">_xlfn.IFS(AND(P128=0,P122=0),0,AND(P128=0,P122&lt;&gt;0),"nm",P128&lt;&gt;0,P122/P128-1)</f>
        <v>0</v>
      </c>
      <c r="Q134" s="568" cm="1">
        <f t="array" ref="Q134">_xlfn.IFS(AND(Q128=0,Q122=0),0,AND(Q128=0,Q122&lt;&gt;0),"nm",Q128&lt;&gt;0,Q122/Q128-1)</f>
        <v>0</v>
      </c>
      <c r="R134" s="565" t="str">
        <f>_xll.BLUEMATRIX2("ExcelToolkitService",C134,$B$1,"[DivisionName:25]DIVISION")</f>
        <v>#</v>
      </c>
      <c r="S134" s="461" t="str">
        <f>_xll.BLUEMATRIX2("/servlet/excelData",E134,$B$1,$B134&amp;":"&amp;E$115&amp;":"&amp;$R$114)</f>
        <v>#</v>
      </c>
      <c r="T134" s="461" t="str">
        <f>_xll.BLUEMATRIX2("/servlet/excelData",F134,$B$1,$B134&amp;":"&amp;F$115&amp;":"&amp;$R$114)</f>
        <v>#</v>
      </c>
      <c r="U134" s="461" t="str">
        <f>_xll.BLUEMATRIX2("/servlet/excelData",G134,$B$1,$B134&amp;":"&amp;G$115&amp;":"&amp;$R$114)</f>
        <v>#</v>
      </c>
      <c r="V134" s="461" t="str">
        <f>_xll.BLUEMATRIX2("/servlet/excelData",H134,$B$1,$B134&amp;":"&amp;H$115&amp;":"&amp;$R$114)</f>
        <v>#</v>
      </c>
      <c r="W134" s="461" t="str">
        <f>_xll.BLUEMATRIX2("/servlet/excelData",I134,$B$1,$B134&amp;":"&amp;I$115&amp;":"&amp;$R$114)</f>
        <v>#</v>
      </c>
      <c r="X134" s="461" t="str">
        <f>_xll.BLUEMATRIX2("/servlet/excelData",J134,$B$1,$B134&amp;":"&amp;J$115&amp;":"&amp;$R$114)</f>
        <v>#</v>
      </c>
      <c r="Y134" s="461" t="str">
        <f>_xll.BLUEMATRIX2("/servlet/excelData",K134,$B$1,$B134&amp;":"&amp;K$115&amp;":"&amp;$R$114)</f>
        <v>#</v>
      </c>
      <c r="Z134" s="461" t="str">
        <f>_xll.BLUEMATRIX2("/servlet/excelData",L134,$B$1,$B134&amp;":"&amp;L$115&amp;":"&amp;$R$114)</f>
        <v>#</v>
      </c>
      <c r="AA134" s="461" t="str">
        <f>_xll.BLUEMATRIX2("/servlet/excelData",M134,$B$1,$B134&amp;":"&amp;M$115&amp;":"&amp;$R$114)</f>
        <v>#</v>
      </c>
      <c r="AB134" s="461" t="str">
        <f>_xll.BLUEMATRIX2("/servlet/excelData",N134,$B$1,$B134&amp;":"&amp;N$115&amp;":"&amp;$R$114)</f>
        <v>#</v>
      </c>
      <c r="AC134" s="461" t="str">
        <f>_xll.BLUEMATRIX2("/servlet/excelData",O134,$B$1,$B134&amp;":"&amp;O$115&amp;":"&amp;$R$114)</f>
        <v>#</v>
      </c>
      <c r="AD134" s="461" t="str">
        <f>_xll.BLUEMATRIX2("/servlet/excelData",P134,$B$1,$B134&amp;":"&amp;P$115&amp;":"&amp;$R$114)</f>
        <v>#</v>
      </c>
      <c r="AE134" s="461" t="str">
        <f>_xll.BLUEMATRIX2("/servlet/excelData",Q134,$B$1,$B134&amp;":"&amp;Q$115&amp;":"&amp;$R$114)</f>
        <v>#</v>
      </c>
    </row>
    <row r="135" spans="1:31" ht="12.95" customHeight="1">
      <c r="A135" s="342"/>
      <c r="B135" s="344" t="s">
        <v>298</v>
      </c>
      <c r="C135" s="572" t="s">
        <v>299</v>
      </c>
      <c r="D135" s="568"/>
      <c r="E135" s="568" cm="1">
        <f t="array" ref="E135">_xlfn.IFS(AND(E129=0,E123=0),0,AND(E129=0,E123&lt;&gt;0),"nm",E129&lt;&gt;0,E123/E129-1)</f>
        <v>0</v>
      </c>
      <c r="F135" s="568" cm="1">
        <f t="array" ref="F135">_xlfn.IFS(AND(F129=0,F123=0),0,AND(F129=0,F123&lt;&gt;0),"nm",F129&lt;&gt;0,F123/F129-1)</f>
        <v>0</v>
      </c>
      <c r="G135" s="568" cm="1">
        <f t="array" ref="G135">_xlfn.IFS(AND(G129=0,G123=0),0,AND(G129=0,G123&lt;&gt;0),"nm",G129&lt;&gt;0,G123/G129-1)</f>
        <v>0</v>
      </c>
      <c r="H135" s="568" cm="1">
        <f t="array" ref="H135">_xlfn.IFS(AND(H129=0,H123=0),0,AND(H129=0,H123&lt;&gt;0),"nm",H129&lt;&gt;0,H123/H129-1)</f>
        <v>0</v>
      </c>
      <c r="I135" s="568" cm="1">
        <f t="array" ref="I135">_xlfn.IFS(AND(I129=0,I123=0),0,AND(I129=0,I123&lt;&gt;0),"nm",I129&lt;&gt;0,I123/I129-1)</f>
        <v>0</v>
      </c>
      <c r="J135" s="568" cm="1">
        <f t="array" ref="J135">_xlfn.IFS(AND(J129=0,J123=0),0,AND(J129=0,J123&lt;&gt;0),"nm",J129&lt;&gt;0,J123/J129-1)</f>
        <v>0</v>
      </c>
      <c r="K135" s="568" cm="1">
        <f t="array" ref="K135">_xlfn.IFS(AND(K129=0,K123=0),0,AND(K129=0,K123&lt;&gt;0),"nm",K129&lt;&gt;0,K123/K129-1)</f>
        <v>0</v>
      </c>
      <c r="L135" s="568" cm="1">
        <f t="array" ref="L135">_xlfn.IFS(AND(L129=0,L123=0),0,AND(L129=0,L123&lt;&gt;0),"nm",L129&lt;&gt;0,L123/L129-1)</f>
        <v>0</v>
      </c>
      <c r="M135" s="568" cm="1">
        <f t="array" ref="M135">_xlfn.IFS(AND(M129=0,M123=0),0,AND(M129=0,M123&lt;&gt;0),"nm",M129&lt;&gt;0,M123/M129-1)</f>
        <v>0</v>
      </c>
      <c r="N135" s="568" cm="1">
        <f t="array" ref="N135">_xlfn.IFS(AND(N129=0,N123=0),0,AND(N129=0,N123&lt;&gt;0),"nm",N129&lt;&gt;0,N123/N129-1)</f>
        <v>0</v>
      </c>
      <c r="O135" s="568" cm="1">
        <f t="array" ref="O135">_xlfn.IFS(AND(O129=0,O123=0),0,AND(O129=0,O123&lt;&gt;0),"nm",O129&lt;&gt;0,O123/O129-1)</f>
        <v>0</v>
      </c>
      <c r="P135" s="568" cm="1">
        <f t="array" ref="P135">_xlfn.IFS(AND(P129=0,P123=0),0,AND(P129=0,P123&lt;&gt;0),"nm",P129&lt;&gt;0,P123/P129-1)</f>
        <v>0</v>
      </c>
      <c r="Q135" s="568" cm="1">
        <f t="array" ref="Q135">_xlfn.IFS(AND(Q129=0,Q123=0),0,AND(Q129=0,Q123&lt;&gt;0),"nm",Q129&lt;&gt;0,Q123/Q129-1)</f>
        <v>0</v>
      </c>
      <c r="R135" s="565" t="str">
        <f>_xll.BLUEMATRIX2("ExcelToolkitService",C135,$B$1,"[DivisionName:26]DIVISION")</f>
        <v>#</v>
      </c>
      <c r="S135" s="461" t="str">
        <f>_xll.BLUEMATRIX2("/servlet/excelData",E135,$B$1,$B135&amp;":"&amp;E$115&amp;":"&amp;$R$114)</f>
        <v>#</v>
      </c>
      <c r="T135" s="461" t="str">
        <f>_xll.BLUEMATRIX2("/servlet/excelData",F135,$B$1,$B135&amp;":"&amp;F$115&amp;":"&amp;$R$114)</f>
        <v>#</v>
      </c>
      <c r="U135" s="461" t="str">
        <f>_xll.BLUEMATRIX2("/servlet/excelData",G135,$B$1,$B135&amp;":"&amp;G$115&amp;":"&amp;$R$114)</f>
        <v>#</v>
      </c>
      <c r="V135" s="461" t="str">
        <f>_xll.BLUEMATRIX2("/servlet/excelData",H135,$B$1,$B135&amp;":"&amp;H$115&amp;":"&amp;$R$114)</f>
        <v>#</v>
      </c>
      <c r="W135" s="461" t="str">
        <f>_xll.BLUEMATRIX2("/servlet/excelData",I135,$B$1,$B135&amp;":"&amp;I$115&amp;":"&amp;$R$114)</f>
        <v>#</v>
      </c>
      <c r="X135" s="461" t="str">
        <f>_xll.BLUEMATRIX2("/servlet/excelData",J135,$B$1,$B135&amp;":"&amp;J$115&amp;":"&amp;$R$114)</f>
        <v>#</v>
      </c>
      <c r="Y135" s="461" t="str">
        <f>_xll.BLUEMATRIX2("/servlet/excelData",K135,$B$1,$B135&amp;":"&amp;K$115&amp;":"&amp;$R$114)</f>
        <v>#</v>
      </c>
      <c r="Z135" s="461" t="str">
        <f>_xll.BLUEMATRIX2("/servlet/excelData",L135,$B$1,$B135&amp;":"&amp;L$115&amp;":"&amp;$R$114)</f>
        <v>#</v>
      </c>
      <c r="AA135" s="461" t="str">
        <f>_xll.BLUEMATRIX2("/servlet/excelData",M135,$B$1,$B135&amp;":"&amp;M$115&amp;":"&amp;$R$114)</f>
        <v>#</v>
      </c>
      <c r="AB135" s="461" t="str">
        <f>_xll.BLUEMATRIX2("/servlet/excelData",N135,$B$1,$B135&amp;":"&amp;N$115&amp;":"&amp;$R$114)</f>
        <v>#</v>
      </c>
      <c r="AC135" s="461" t="str">
        <f>_xll.BLUEMATRIX2("/servlet/excelData",O135,$B$1,$B135&amp;":"&amp;O$115&amp;":"&amp;$R$114)</f>
        <v>#</v>
      </c>
      <c r="AD135" s="461" t="str">
        <f>_xll.BLUEMATRIX2("/servlet/excelData",P135,$B$1,$B135&amp;":"&amp;P$115&amp;":"&amp;$R$114)</f>
        <v>#</v>
      </c>
      <c r="AE135" s="461" t="str">
        <f>_xll.BLUEMATRIX2("/servlet/excelData",Q135,$B$1,$B135&amp;":"&amp;Q$115&amp;":"&amp;$R$114)</f>
        <v>#</v>
      </c>
    </row>
    <row r="136" spans="1:31" ht="12.95" customHeight="1">
      <c r="A136" s="342"/>
      <c r="B136" s="344" t="s">
        <v>300</v>
      </c>
      <c r="C136" s="572" t="s">
        <v>301</v>
      </c>
      <c r="D136" s="568"/>
      <c r="E136" s="568" cm="1">
        <f t="array" ref="E136">_xlfn.IFS(AND(E130=0,E124=0),0,AND(E130=0,E124&lt;&gt;0),"nm",E130&lt;&gt;0,E124/E130-1)</f>
        <v>0</v>
      </c>
      <c r="F136" s="568" cm="1">
        <f t="array" ref="F136">_xlfn.IFS(AND(F130=0,F124=0),0,AND(F130=0,F124&lt;&gt;0),"nm",F130&lt;&gt;0,F124/F130-1)</f>
        <v>0</v>
      </c>
      <c r="G136" s="568" cm="1">
        <f t="array" ref="G136">_xlfn.IFS(AND(G130=0,G124=0),0,AND(G130=0,G124&lt;&gt;0),"nm",G130&lt;&gt;0,G124/G130-1)</f>
        <v>0</v>
      </c>
      <c r="H136" s="568" cm="1">
        <f t="array" ref="H136">_xlfn.IFS(AND(H130=0,H124=0),0,AND(H130=0,H124&lt;&gt;0),"nm",H130&lt;&gt;0,H124/H130-1)</f>
        <v>0</v>
      </c>
      <c r="I136" s="568" cm="1">
        <f t="array" ref="I136">_xlfn.IFS(AND(I130=0,I124=0),0,AND(I130=0,I124&lt;&gt;0),"nm",I130&lt;&gt;0,I124/I130-1)</f>
        <v>0</v>
      </c>
      <c r="J136" s="568" cm="1">
        <f t="array" ref="J136">_xlfn.IFS(AND(J130=0,J124=0),0,AND(J130=0,J124&lt;&gt;0),"nm",J130&lt;&gt;0,J124/J130-1)</f>
        <v>0</v>
      </c>
      <c r="K136" s="568" cm="1">
        <f t="array" ref="K136">_xlfn.IFS(AND(K130=0,K124=0),0,AND(K130=0,K124&lt;&gt;0),"nm",K130&lt;&gt;0,K124/K130-1)</f>
        <v>0</v>
      </c>
      <c r="L136" s="568" cm="1">
        <f t="array" ref="L136">_xlfn.IFS(AND(L130=0,L124=0),0,AND(L130=0,L124&lt;&gt;0),"nm",L130&lt;&gt;0,L124/L130-1)</f>
        <v>0</v>
      </c>
      <c r="M136" s="568" cm="1">
        <f t="array" ref="M136">_xlfn.IFS(AND(M130=0,M124=0),0,AND(M130=0,M124&lt;&gt;0),"nm",M130&lt;&gt;0,M124/M130-1)</f>
        <v>0</v>
      </c>
      <c r="N136" s="568" cm="1">
        <f t="array" ref="N136">_xlfn.IFS(AND(N130=0,N124=0),0,AND(N130=0,N124&lt;&gt;0),"nm",N130&lt;&gt;0,N124/N130-1)</f>
        <v>0</v>
      </c>
      <c r="O136" s="568" cm="1">
        <f t="array" ref="O136">_xlfn.IFS(AND(O130=0,O124=0),0,AND(O130=0,O124&lt;&gt;0),"nm",O130&lt;&gt;0,O124/O130-1)</f>
        <v>0</v>
      </c>
      <c r="P136" s="568" cm="1">
        <f t="array" ref="P136">_xlfn.IFS(AND(P130=0,P124=0),0,AND(P130=0,P124&lt;&gt;0),"nm",P130&lt;&gt;0,P124/P130-1)</f>
        <v>0</v>
      </c>
      <c r="Q136" s="568" cm="1">
        <f t="array" ref="Q136">_xlfn.IFS(AND(Q130=0,Q124=0),0,AND(Q130=0,Q124&lt;&gt;0),"nm",Q130&lt;&gt;0,Q124/Q130-1)</f>
        <v>0</v>
      </c>
      <c r="R136" s="565" t="str">
        <f>_xll.BLUEMATRIX2("ExcelToolkitService",C136,$B$1,"[DivisionName:27]DIVISION")</f>
        <v>#</v>
      </c>
      <c r="S136" s="461" t="str">
        <f>_xll.BLUEMATRIX2("/servlet/excelData",E136,$B$1,$B136&amp;":"&amp;E$115&amp;":"&amp;$R$114)</f>
        <v>#</v>
      </c>
      <c r="T136" s="461" t="str">
        <f>_xll.BLUEMATRIX2("/servlet/excelData",F136,$B$1,$B136&amp;":"&amp;F$115&amp;":"&amp;$R$114)</f>
        <v>#</v>
      </c>
      <c r="U136" s="461" t="str">
        <f>_xll.BLUEMATRIX2("/servlet/excelData",G136,$B$1,$B136&amp;":"&amp;G$115&amp;":"&amp;$R$114)</f>
        <v>#</v>
      </c>
      <c r="V136" s="461" t="str">
        <f>_xll.BLUEMATRIX2("/servlet/excelData",H136,$B$1,$B136&amp;":"&amp;H$115&amp;":"&amp;$R$114)</f>
        <v>#</v>
      </c>
      <c r="W136" s="461" t="str">
        <f>_xll.BLUEMATRIX2("/servlet/excelData",I136,$B$1,$B136&amp;":"&amp;I$115&amp;":"&amp;$R$114)</f>
        <v>#</v>
      </c>
      <c r="X136" s="461" t="str">
        <f>_xll.BLUEMATRIX2("/servlet/excelData",J136,$B$1,$B136&amp;":"&amp;J$115&amp;":"&amp;$R$114)</f>
        <v>#</v>
      </c>
      <c r="Y136" s="461" t="str">
        <f>_xll.BLUEMATRIX2("/servlet/excelData",K136,$B$1,$B136&amp;":"&amp;K$115&amp;":"&amp;$R$114)</f>
        <v>#</v>
      </c>
      <c r="Z136" s="461" t="str">
        <f>_xll.BLUEMATRIX2("/servlet/excelData",L136,$B$1,$B136&amp;":"&amp;L$115&amp;":"&amp;$R$114)</f>
        <v>#</v>
      </c>
      <c r="AA136" s="461" t="str">
        <f>_xll.BLUEMATRIX2("/servlet/excelData",M136,$B$1,$B136&amp;":"&amp;M$115&amp;":"&amp;$R$114)</f>
        <v>#</v>
      </c>
      <c r="AB136" s="461" t="str">
        <f>_xll.BLUEMATRIX2("/servlet/excelData",N136,$B$1,$B136&amp;":"&amp;N$115&amp;":"&amp;$R$114)</f>
        <v>#</v>
      </c>
      <c r="AC136" s="461" t="str">
        <f>_xll.BLUEMATRIX2("/servlet/excelData",O136,$B$1,$B136&amp;":"&amp;O$115&amp;":"&amp;$R$114)</f>
        <v>#</v>
      </c>
      <c r="AD136" s="461" t="str">
        <f>_xll.BLUEMATRIX2("/servlet/excelData",P136,$B$1,$B136&amp;":"&amp;P$115&amp;":"&amp;$R$114)</f>
        <v>#</v>
      </c>
      <c r="AE136" s="461" t="str">
        <f>_xll.BLUEMATRIX2("/servlet/excelData",Q136,$B$1,$B136&amp;":"&amp;Q$115&amp;":"&amp;$R$114)</f>
        <v>#</v>
      </c>
    </row>
    <row r="137" spans="1:31" ht="12.95" customHeight="1">
      <c r="A137" s="342"/>
      <c r="B137" s="344" t="s">
        <v>302</v>
      </c>
      <c r="C137" s="572" t="s">
        <v>303</v>
      </c>
      <c r="D137" s="568"/>
      <c r="E137" s="568" cm="1">
        <f t="array" ref="E137">_xlfn.IFS(AND(E131=0,E125=0),0,AND(E131=0,E125&lt;&gt;0),"nm",E131&lt;&gt;0,E125/E131-1)</f>
        <v>0</v>
      </c>
      <c r="F137" s="568" cm="1">
        <f t="array" ref="F137">_xlfn.IFS(AND(F131=0,F125=0),0,AND(F131=0,F125&lt;&gt;0),"nm",F131&lt;&gt;0,F125/F131-1)</f>
        <v>0</v>
      </c>
      <c r="G137" s="568" cm="1">
        <f t="array" ref="G137">_xlfn.IFS(AND(G131=0,G125=0),0,AND(G131=0,G125&lt;&gt;0),"nm",G131&lt;&gt;0,G125/G131-1)</f>
        <v>0</v>
      </c>
      <c r="H137" s="568" cm="1">
        <f t="array" ref="H137">_xlfn.IFS(AND(H131=0,H125=0),0,AND(H131=0,H125&lt;&gt;0),"nm",H131&lt;&gt;0,H125/H131-1)</f>
        <v>0</v>
      </c>
      <c r="I137" s="568" cm="1">
        <f t="array" ref="I137">_xlfn.IFS(AND(I131=0,I125=0),0,AND(I131=0,I125&lt;&gt;0),"nm",I131&lt;&gt;0,I125/I131-1)</f>
        <v>0</v>
      </c>
      <c r="J137" s="568" cm="1">
        <f t="array" ref="J137">_xlfn.IFS(AND(J131=0,J125=0),0,AND(J131=0,J125&lt;&gt;0),"nm",J131&lt;&gt;0,J125/J131-1)</f>
        <v>0</v>
      </c>
      <c r="K137" s="568" cm="1">
        <f t="array" ref="K137">_xlfn.IFS(AND(K131=0,K125=0),0,AND(K131=0,K125&lt;&gt;0),"nm",K131&lt;&gt;0,K125/K131-1)</f>
        <v>0</v>
      </c>
      <c r="L137" s="568" cm="1">
        <f t="array" ref="L137">_xlfn.IFS(AND(L131=0,L125=0),0,AND(L131=0,L125&lt;&gt;0),"nm",L131&lt;&gt;0,L125/L131-1)</f>
        <v>0</v>
      </c>
      <c r="M137" s="568" cm="1">
        <f t="array" ref="M137">_xlfn.IFS(AND(M131=0,M125=0),0,AND(M131=0,M125&lt;&gt;0),"nm",M131&lt;&gt;0,M125/M131-1)</f>
        <v>0</v>
      </c>
      <c r="N137" s="568" cm="1">
        <f t="array" ref="N137">_xlfn.IFS(AND(N131=0,N125=0),0,AND(N131=0,N125&lt;&gt;0),"nm",N131&lt;&gt;0,N125/N131-1)</f>
        <v>0</v>
      </c>
      <c r="O137" s="568" cm="1">
        <f t="array" ref="O137">_xlfn.IFS(AND(O131=0,O125=0),0,AND(O131=0,O125&lt;&gt;0),"nm",O131&lt;&gt;0,O125/O131-1)</f>
        <v>0</v>
      </c>
      <c r="P137" s="568" cm="1">
        <f t="array" ref="P137">_xlfn.IFS(AND(P131=0,P125=0),0,AND(P131=0,P125&lt;&gt;0),"nm",P131&lt;&gt;0,P125/P131-1)</f>
        <v>0</v>
      </c>
      <c r="Q137" s="568" cm="1">
        <f t="array" ref="Q137">_xlfn.IFS(AND(Q131=0,Q125=0),0,AND(Q131=0,Q125&lt;&gt;0),"nm",Q131&lt;&gt;0,Q125/Q131-1)</f>
        <v>0</v>
      </c>
      <c r="R137" s="565" t="str">
        <f>_xll.BLUEMATRIX2("ExcelToolkitService",C137,$B$1,"[DivisionName:28]DIVISION")</f>
        <v>#</v>
      </c>
      <c r="S137" s="461" t="str">
        <f>_xll.BLUEMATRIX2("/servlet/excelData",E137,$B$1,$B137&amp;":"&amp;E$115&amp;":"&amp;$R$114)</f>
        <v>#</v>
      </c>
      <c r="T137" s="461" t="str">
        <f>_xll.BLUEMATRIX2("/servlet/excelData",F137,$B$1,$B137&amp;":"&amp;F$115&amp;":"&amp;$R$114)</f>
        <v>#</v>
      </c>
      <c r="U137" s="461" t="str">
        <f>_xll.BLUEMATRIX2("/servlet/excelData",G137,$B$1,$B137&amp;":"&amp;G$115&amp;":"&amp;$R$114)</f>
        <v>#</v>
      </c>
      <c r="V137" s="461" t="str">
        <f>_xll.BLUEMATRIX2("/servlet/excelData",H137,$B$1,$B137&amp;":"&amp;H$115&amp;":"&amp;$R$114)</f>
        <v>#</v>
      </c>
      <c r="W137" s="461" t="str">
        <f>_xll.BLUEMATRIX2("/servlet/excelData",I137,$B$1,$B137&amp;":"&amp;I$115&amp;":"&amp;$R$114)</f>
        <v>#</v>
      </c>
      <c r="X137" s="461" t="str">
        <f>_xll.BLUEMATRIX2("/servlet/excelData",J137,$B$1,$B137&amp;":"&amp;J$115&amp;":"&amp;$R$114)</f>
        <v>#</v>
      </c>
      <c r="Y137" s="461" t="str">
        <f>_xll.BLUEMATRIX2("/servlet/excelData",K137,$B$1,$B137&amp;":"&amp;K$115&amp;":"&amp;$R$114)</f>
        <v>#</v>
      </c>
      <c r="Z137" s="461" t="str">
        <f>_xll.BLUEMATRIX2("/servlet/excelData",L137,$B$1,$B137&amp;":"&amp;L$115&amp;":"&amp;$R$114)</f>
        <v>#</v>
      </c>
      <c r="AA137" s="461" t="str">
        <f>_xll.BLUEMATRIX2("/servlet/excelData",M137,$B$1,$B137&amp;":"&amp;M$115&amp;":"&amp;$R$114)</f>
        <v>#</v>
      </c>
      <c r="AB137" s="461" t="str">
        <f>_xll.BLUEMATRIX2("/servlet/excelData",N137,$B$1,$B137&amp;":"&amp;N$115&amp;":"&amp;$R$114)</f>
        <v>#</v>
      </c>
      <c r="AC137" s="461" t="str">
        <f>_xll.BLUEMATRIX2("/servlet/excelData",O137,$B$1,$B137&amp;":"&amp;O$115&amp;":"&amp;$R$114)</f>
        <v>#</v>
      </c>
      <c r="AD137" s="461" t="str">
        <f>_xll.BLUEMATRIX2("/servlet/excelData",P137,$B$1,$B137&amp;":"&amp;P$115&amp;":"&amp;$R$114)</f>
        <v>#</v>
      </c>
      <c r="AE137" s="461" t="str">
        <f>_xll.BLUEMATRIX2("/servlet/excelData",Q137,$B$1,$B137&amp;":"&amp;Q$115&amp;":"&amp;$R$114)</f>
        <v>#</v>
      </c>
    </row>
    <row r="138" spans="1:31" ht="12.95" customHeight="1">
      <c r="A138" s="342"/>
      <c r="B138" s="344"/>
      <c r="C138" s="572"/>
      <c r="D138" s="567"/>
      <c r="E138" s="567"/>
      <c r="F138" s="567"/>
      <c r="G138" s="567"/>
      <c r="H138" s="567"/>
      <c r="I138" s="567"/>
      <c r="J138" s="567"/>
      <c r="K138" s="567"/>
      <c r="L138" s="567"/>
      <c r="M138" s="567"/>
      <c r="N138" s="567"/>
      <c r="O138" s="567"/>
      <c r="P138" s="567"/>
      <c r="Q138" s="567"/>
      <c r="R138" s="320"/>
      <c r="S138" s="458"/>
      <c r="T138" s="458"/>
      <c r="U138" s="458"/>
      <c r="V138" s="458"/>
      <c r="W138" s="458"/>
      <c r="X138" s="458"/>
      <c r="Y138" s="458"/>
      <c r="Z138" s="458"/>
      <c r="AA138" s="458"/>
      <c r="AB138" s="458"/>
      <c r="AC138" s="458"/>
      <c r="AD138" s="458"/>
      <c r="AE138" s="458"/>
    </row>
    <row r="139" spans="1:31" ht="15" customHeight="1">
      <c r="A139" s="372"/>
      <c r="B139" s="372"/>
      <c r="C139" s="362" t="s">
        <v>304</v>
      </c>
      <c r="D139" s="363"/>
      <c r="E139" s="363"/>
      <c r="F139" s="363"/>
      <c r="G139" s="363"/>
      <c r="H139" s="363"/>
      <c r="I139" s="363"/>
      <c r="J139" s="363"/>
      <c r="K139" s="363"/>
      <c r="L139" s="363"/>
      <c r="M139" s="363"/>
      <c r="N139" s="363"/>
      <c r="O139" s="363"/>
      <c r="P139" s="363"/>
      <c r="Q139" s="363"/>
      <c r="R139" s="326"/>
    </row>
    <row r="140" spans="1:31" ht="12.95" customHeight="1">
      <c r="A140" s="373" t="s">
        <v>305</v>
      </c>
      <c r="B140" s="344" t="s">
        <v>306</v>
      </c>
      <c r="C140" s="390" t="s">
        <v>69</v>
      </c>
      <c r="D140" s="375"/>
      <c r="E140" s="375">
        <f>FY!C60</f>
        <v>2373.3000000000002</v>
      </c>
      <c r="F140" s="375">
        <f>FY!D60</f>
        <v>2434.4</v>
      </c>
      <c r="G140" s="375">
        <f>FY!E60</f>
        <v>2338.9</v>
      </c>
      <c r="H140" s="375">
        <f>FY!F60</f>
        <v>2614.6</v>
      </c>
      <c r="I140" s="375">
        <f>FY!G60</f>
        <v>2636.3</v>
      </c>
      <c r="J140" s="375">
        <f>FY!H60</f>
        <v>2746.9683164500002</v>
      </c>
      <c r="K140" s="375">
        <f>FY!I60</f>
        <v>2846.857735525</v>
      </c>
      <c r="L140" s="375">
        <f>FY!J60</f>
        <v>2878.0066722777797</v>
      </c>
      <c r="M140" s="375">
        <f>FY!K60</f>
        <v>2944.2613925879818</v>
      </c>
      <c r="N140" s="375">
        <f>FY!L60</f>
        <v>2992.334805052195</v>
      </c>
      <c r="O140" s="375">
        <f>FY!M60</f>
        <v>3042.2498441834691</v>
      </c>
      <c r="P140" s="375">
        <f>FY!N60</f>
        <v>3094.0577645388848</v>
      </c>
      <c r="Q140" s="375">
        <f>FY!O60</f>
        <v>3147.8113982546638</v>
      </c>
      <c r="R140" s="376"/>
      <c r="S140" s="461" t="str">
        <f>_xll.BLUEMATRIX2("/servlet/excelData",E140,$B$1,$B140&amp;":"&amp;E$115&amp;":"&amp;$R$114)</f>
        <v>#</v>
      </c>
      <c r="T140" s="461" t="str">
        <f>_xll.BLUEMATRIX2("/servlet/excelData",F140,$B$1,$B140&amp;":"&amp;F$115&amp;":"&amp;$R$114)</f>
        <v>#</v>
      </c>
      <c r="U140" s="461" t="str">
        <f>_xll.BLUEMATRIX2("/servlet/excelData",G140,$B$1,$B140&amp;":"&amp;G$115&amp;":"&amp;$R$114)</f>
        <v>#</v>
      </c>
      <c r="V140" s="461" t="str">
        <f>_xll.BLUEMATRIX2("/servlet/excelData",H140,$B$1,$B140&amp;":"&amp;H$115&amp;":"&amp;$R$114)</f>
        <v>#</v>
      </c>
      <c r="W140" s="461" t="str">
        <f>_xll.BLUEMATRIX2("/servlet/excelData",I140,$B$1,$B140&amp;":"&amp;I$115&amp;":"&amp;$R$114)</f>
        <v>#</v>
      </c>
      <c r="X140" s="461" t="str">
        <f>_xll.BLUEMATRIX2("/servlet/excelData",J140,$B$1,$B140&amp;":"&amp;J$115&amp;":"&amp;$R$114)</f>
        <v>#</v>
      </c>
      <c r="Y140" s="461" t="str">
        <f>_xll.BLUEMATRIX2("/servlet/excelData",K140,$B$1,$B140&amp;":"&amp;K$115&amp;":"&amp;$R$114)</f>
        <v>#</v>
      </c>
      <c r="Z140" s="461" t="str">
        <f>_xll.BLUEMATRIX2("/servlet/excelData",L140,$B$1,$B140&amp;":"&amp;L$115&amp;":"&amp;$R$114)</f>
        <v>#</v>
      </c>
      <c r="AA140" s="461" t="str">
        <f>_xll.BLUEMATRIX2("/servlet/excelData",M140,$B$1,$B140&amp;":"&amp;M$115&amp;":"&amp;$R$114)</f>
        <v>#</v>
      </c>
      <c r="AB140" s="461" t="str">
        <f>_xll.BLUEMATRIX2("/servlet/excelData",N140,$B$1,$B140&amp;":"&amp;N$115&amp;":"&amp;$R$114)</f>
        <v>#</v>
      </c>
      <c r="AC140" s="461" t="str">
        <f>_xll.BLUEMATRIX2("/servlet/excelData",O140,$B$1,$B140&amp;":"&amp;O$115&amp;":"&amp;$R$114)</f>
        <v>#</v>
      </c>
      <c r="AD140" s="461" t="str">
        <f>_xll.BLUEMATRIX2("/servlet/excelData",P140,$B$1,$B140&amp;":"&amp;P$115&amp;":"&amp;$R$114)</f>
        <v>#</v>
      </c>
      <c r="AE140" s="461" t="str">
        <f>_xll.BLUEMATRIX2("/servlet/excelData",Q140,$B$1,$B140&amp;":"&amp;Q$115&amp;":"&amp;$R$114)</f>
        <v>#</v>
      </c>
    </row>
    <row r="141" spans="1:31" ht="12.95" customHeight="1">
      <c r="A141" s="373" t="s">
        <v>307</v>
      </c>
      <c r="B141" s="344" t="s">
        <v>308</v>
      </c>
      <c r="C141" s="390" t="s">
        <v>95</v>
      </c>
      <c r="D141" s="375"/>
      <c r="E141" s="375"/>
      <c r="F141" s="375"/>
      <c r="G141" s="375"/>
      <c r="H141" s="375"/>
      <c r="I141" s="375"/>
      <c r="J141" s="375"/>
      <c r="K141" s="375"/>
      <c r="L141" s="375"/>
      <c r="M141" s="375"/>
      <c r="N141" s="375"/>
      <c r="O141" s="375"/>
      <c r="P141" s="375"/>
      <c r="Q141" s="375"/>
      <c r="R141" s="376"/>
      <c r="S141" s="461" t="str">
        <f>_xll.BLUEMATRIX2("/servlet/excelData",E141,$B$1,$B141&amp;":"&amp;E$115&amp;":"&amp;$R$114)</f>
        <v>#</v>
      </c>
      <c r="T141" s="461" t="str">
        <f>_xll.BLUEMATRIX2("/servlet/excelData",F141,$B$1,$B141&amp;":"&amp;F$115&amp;":"&amp;$R$114)</f>
        <v>#</v>
      </c>
      <c r="U141" s="461" t="str">
        <f>_xll.BLUEMATRIX2("/servlet/excelData",G141,$B$1,$B141&amp;":"&amp;G$115&amp;":"&amp;$R$114)</f>
        <v>#</v>
      </c>
      <c r="V141" s="461" t="str">
        <f>_xll.BLUEMATRIX2("/servlet/excelData",H141,$B$1,$B141&amp;":"&amp;H$115&amp;":"&amp;$R$114)</f>
        <v>#</v>
      </c>
      <c r="W141" s="461" t="str">
        <f>_xll.BLUEMATRIX2("/servlet/excelData",I141,$B$1,$B141&amp;":"&amp;I$115&amp;":"&amp;$R$114)</f>
        <v>#</v>
      </c>
      <c r="X141" s="461" t="str">
        <f>_xll.BLUEMATRIX2("/servlet/excelData",J141,$B$1,$B141&amp;":"&amp;J$115&amp;":"&amp;$R$114)</f>
        <v>#</v>
      </c>
      <c r="Y141" s="461" t="str">
        <f>_xll.BLUEMATRIX2("/servlet/excelData",K141,$B$1,$B141&amp;":"&amp;K$115&amp;":"&amp;$R$114)</f>
        <v>#</v>
      </c>
      <c r="Z141" s="461" t="str">
        <f>_xll.BLUEMATRIX2("/servlet/excelData",L141,$B$1,$B141&amp;":"&amp;L$115&amp;":"&amp;$R$114)</f>
        <v>#</v>
      </c>
      <c r="AA141" s="461" t="str">
        <f>_xll.BLUEMATRIX2("/servlet/excelData",M141,$B$1,$B141&amp;":"&amp;M$115&amp;":"&amp;$R$114)</f>
        <v>#</v>
      </c>
      <c r="AB141" s="461" t="str">
        <f>_xll.BLUEMATRIX2("/servlet/excelData",N141,$B$1,$B141&amp;":"&amp;N$115&amp;":"&amp;$R$114)</f>
        <v>#</v>
      </c>
      <c r="AC141" s="461" t="str">
        <f>_xll.BLUEMATRIX2("/servlet/excelData",O141,$B$1,$B141&amp;":"&amp;O$115&amp;":"&amp;$R$114)</f>
        <v>#</v>
      </c>
      <c r="AD141" s="461" t="str">
        <f>_xll.BLUEMATRIX2("/servlet/excelData",P141,$B$1,$B141&amp;":"&amp;P$115&amp;":"&amp;$R$114)</f>
        <v>#</v>
      </c>
      <c r="AE141" s="461" t="str">
        <f>_xll.BLUEMATRIX2("/servlet/excelData",Q141,$B$1,$B141&amp;":"&amp;Q$115&amp;":"&amp;$R$114)</f>
        <v>#</v>
      </c>
    </row>
    <row r="142" spans="1:31" ht="12.95" customHeight="1">
      <c r="A142" s="373" t="s">
        <v>309</v>
      </c>
      <c r="B142" s="344" t="s">
        <v>310</v>
      </c>
      <c r="C142" s="377" t="s">
        <v>311</v>
      </c>
      <c r="D142" s="378"/>
      <c r="E142" s="378">
        <f>SUM(E140:E141)</f>
        <v>2373.3000000000002</v>
      </c>
      <c r="F142" s="378">
        <f>SUM(F140:F141)</f>
        <v>2434.4</v>
      </c>
      <c r="G142" s="378">
        <f>SUM(G140:G141)</f>
        <v>2338.9</v>
      </c>
      <c r="H142" s="378">
        <f>SUM(H140:H141)</f>
        <v>2614.6</v>
      </c>
      <c r="I142" s="378">
        <f t="shared" ref="I142:P142" si="9">SUM(I140:I141)</f>
        <v>2636.3</v>
      </c>
      <c r="J142" s="378">
        <f t="shared" si="9"/>
        <v>2746.9683164500002</v>
      </c>
      <c r="K142" s="378">
        <f t="shared" si="9"/>
        <v>2846.857735525</v>
      </c>
      <c r="L142" s="378">
        <f t="shared" si="9"/>
        <v>2878.0066722777797</v>
      </c>
      <c r="M142" s="378">
        <f t="shared" si="9"/>
        <v>2944.2613925879818</v>
      </c>
      <c r="N142" s="378">
        <f t="shared" si="9"/>
        <v>2992.334805052195</v>
      </c>
      <c r="O142" s="378">
        <f t="shared" si="9"/>
        <v>3042.2498441834691</v>
      </c>
      <c r="P142" s="378">
        <f t="shared" si="9"/>
        <v>3094.0577645388848</v>
      </c>
      <c r="Q142" s="378">
        <f>SUM(Q140:Q141)</f>
        <v>3147.8113982546638</v>
      </c>
      <c r="R142" s="376"/>
      <c r="S142" s="461" t="str">
        <f>_xll.BLUEMATRIX2("/servlet/excelData",E142,$B$1,$B142&amp;":"&amp;E$115&amp;":"&amp;$R$114)</f>
        <v>#</v>
      </c>
      <c r="T142" s="461" t="str">
        <f>_xll.BLUEMATRIX2("/servlet/excelData",F142,$B$1,$B142&amp;":"&amp;F$115&amp;":"&amp;$R$114)</f>
        <v>#</v>
      </c>
      <c r="U142" s="461" t="str">
        <f>_xll.BLUEMATRIX2("/servlet/excelData",G142,$B$1,$B142&amp;":"&amp;G$115&amp;":"&amp;$R$114)</f>
        <v>#</v>
      </c>
      <c r="V142" s="461" t="str">
        <f>_xll.BLUEMATRIX2("/servlet/excelData",H142,$B$1,$B142&amp;":"&amp;H$115&amp;":"&amp;$R$114)</f>
        <v>#</v>
      </c>
      <c r="W142" s="461" t="str">
        <f>_xll.BLUEMATRIX2("/servlet/excelData",I142,$B$1,$B142&amp;":"&amp;I$115&amp;":"&amp;$R$114)</f>
        <v>#</v>
      </c>
      <c r="X142" s="461" t="str">
        <f>_xll.BLUEMATRIX2("/servlet/excelData",J142,$B$1,$B142&amp;":"&amp;J$115&amp;":"&amp;$R$114)</f>
        <v>#</v>
      </c>
      <c r="Y142" s="461" t="str">
        <f>_xll.BLUEMATRIX2("/servlet/excelData",K142,$B$1,$B142&amp;":"&amp;K$115&amp;":"&amp;$R$114)</f>
        <v>#</v>
      </c>
      <c r="Z142" s="461" t="str">
        <f>_xll.BLUEMATRIX2("/servlet/excelData",L142,$B$1,$B142&amp;":"&amp;L$115&amp;":"&amp;$R$114)</f>
        <v>#</v>
      </c>
      <c r="AA142" s="461" t="str">
        <f>_xll.BLUEMATRIX2("/servlet/excelData",M142,$B$1,$B142&amp;":"&amp;M$115&amp;":"&amp;$R$114)</f>
        <v>#</v>
      </c>
      <c r="AB142" s="461" t="str">
        <f>_xll.BLUEMATRIX2("/servlet/excelData",N142,$B$1,$B142&amp;":"&amp;N$115&amp;":"&amp;$R$114)</f>
        <v>#</v>
      </c>
      <c r="AC142" s="461" t="str">
        <f>_xll.BLUEMATRIX2("/servlet/excelData",O142,$B$1,$B142&amp;":"&amp;O$115&amp;":"&amp;$R$114)</f>
        <v>#</v>
      </c>
      <c r="AD142" s="461" t="str">
        <f>_xll.BLUEMATRIX2("/servlet/excelData",P142,$B$1,$B142&amp;":"&amp;P$115&amp;":"&amp;$R$114)</f>
        <v>#</v>
      </c>
      <c r="AE142" s="461" t="str">
        <f>_xll.BLUEMATRIX2("/servlet/excelData",Q142,$B$1,$B142&amp;":"&amp;Q$115&amp;":"&amp;$R$114)</f>
        <v>#</v>
      </c>
    </row>
    <row r="143" spans="1:31" ht="12.95" customHeight="1">
      <c r="A143" s="373" t="s">
        <v>312</v>
      </c>
      <c r="B143" s="344" t="s">
        <v>6</v>
      </c>
      <c r="C143" s="390" t="s">
        <v>313</v>
      </c>
      <c r="D143" s="375"/>
      <c r="E143" s="375">
        <f>FY!C64</f>
        <v>-1392.1000000000001</v>
      </c>
      <c r="F143" s="375">
        <f>FY!D64</f>
        <v>-1466.2000000000003</v>
      </c>
      <c r="G143" s="375">
        <f>FY!E64</f>
        <v>-1406.3000000000002</v>
      </c>
      <c r="H143" s="375">
        <f>FY!F64</f>
        <v>-1525.9</v>
      </c>
      <c r="I143" s="375">
        <f>FY!G64</f>
        <v>-1503.8999999999996</v>
      </c>
      <c r="J143" s="375">
        <f>FY!H64</f>
        <v>-1544.2383519750533</v>
      </c>
      <c r="K143" s="375">
        <f>FY!I64</f>
        <v>-1574.2274947784981</v>
      </c>
      <c r="L143" s="375">
        <f>FY!J64</f>
        <v>-1580.8389584575061</v>
      </c>
      <c r="M143" s="375">
        <f>FY!K64</f>
        <v>-1616.1124118970617</v>
      </c>
      <c r="N143" s="375">
        <f>FY!L64</f>
        <v>-1640.2418545193509</v>
      </c>
      <c r="O143" s="375">
        <f>FY!M64</f>
        <v>-1665.3368321176549</v>
      </c>
      <c r="P143" s="375">
        <f>FY!N64</f>
        <v>-1691.423894224281</v>
      </c>
      <c r="Q143" s="375">
        <f>FY!O64</f>
        <v>-1718.5304110226748</v>
      </c>
      <c r="R143" s="320"/>
      <c r="S143" s="461" t="str">
        <f>_xll.BLUEMATRIX2("/servlet/excelData",E143,$B$1,$B143&amp;":"&amp;E$115&amp;":"&amp;$R$114)</f>
        <v>#</v>
      </c>
      <c r="T143" s="461" t="str">
        <f>_xll.BLUEMATRIX2("/servlet/excelData",F143,$B$1,$B143&amp;":"&amp;F$115&amp;":"&amp;$R$114)</f>
        <v>#</v>
      </c>
      <c r="U143" s="461" t="str">
        <f>_xll.BLUEMATRIX2("/servlet/excelData",G143,$B$1,$B143&amp;":"&amp;G$115&amp;":"&amp;$R$114)</f>
        <v>#</v>
      </c>
      <c r="V143" s="461" t="str">
        <f>_xll.BLUEMATRIX2("/servlet/excelData",H143,$B$1,$B143&amp;":"&amp;H$115&amp;":"&amp;$R$114)</f>
        <v>#</v>
      </c>
      <c r="W143" s="461" t="str">
        <f>_xll.BLUEMATRIX2("/servlet/excelData",I143,$B$1,$B143&amp;":"&amp;I$115&amp;":"&amp;$R$114)</f>
        <v>#</v>
      </c>
      <c r="X143" s="461" t="str">
        <f>_xll.BLUEMATRIX2("/servlet/excelData",J143,$B$1,$B143&amp;":"&amp;J$115&amp;":"&amp;$R$114)</f>
        <v>#</v>
      </c>
      <c r="Y143" s="461" t="str">
        <f>_xll.BLUEMATRIX2("/servlet/excelData",K143,$B$1,$B143&amp;":"&amp;K$115&amp;":"&amp;$R$114)</f>
        <v>#</v>
      </c>
      <c r="Z143" s="461" t="str">
        <f>_xll.BLUEMATRIX2("/servlet/excelData",L143,$B$1,$B143&amp;":"&amp;L$115&amp;":"&amp;$R$114)</f>
        <v>#</v>
      </c>
      <c r="AA143" s="461" t="str">
        <f>_xll.BLUEMATRIX2("/servlet/excelData",M143,$B$1,$B143&amp;":"&amp;M$115&amp;":"&amp;$R$114)</f>
        <v>#</v>
      </c>
      <c r="AB143" s="461" t="str">
        <f>_xll.BLUEMATRIX2("/servlet/excelData",N143,$B$1,$B143&amp;":"&amp;N$115&amp;":"&amp;$R$114)</f>
        <v>#</v>
      </c>
      <c r="AC143" s="461" t="str">
        <f>_xll.BLUEMATRIX2("/servlet/excelData",O143,$B$1,$B143&amp;":"&amp;O$115&amp;":"&amp;$R$114)</f>
        <v>#</v>
      </c>
      <c r="AD143" s="461" t="str">
        <f>_xll.BLUEMATRIX2("/servlet/excelData",P143,$B$1,$B143&amp;":"&amp;P$115&amp;":"&amp;$R$114)</f>
        <v>#</v>
      </c>
      <c r="AE143" s="461" t="str">
        <f>_xll.BLUEMATRIX2("/servlet/excelData",Q143,$B$1,$B143&amp;":"&amp;Q$115&amp;":"&amp;$R$114)</f>
        <v>#</v>
      </c>
    </row>
    <row r="144" spans="1:31" ht="12.95" customHeight="1">
      <c r="A144" s="379" t="s">
        <v>314</v>
      </c>
      <c r="B144" s="344" t="s">
        <v>315</v>
      </c>
      <c r="C144" s="390" t="s">
        <v>316</v>
      </c>
      <c r="D144" s="375"/>
      <c r="E144" s="375"/>
      <c r="F144" s="375"/>
      <c r="G144" s="375"/>
      <c r="H144" s="375"/>
      <c r="I144" s="375"/>
      <c r="J144" s="375"/>
      <c r="K144" s="375"/>
      <c r="L144" s="375"/>
      <c r="M144" s="375"/>
      <c r="N144" s="375"/>
      <c r="O144" s="375"/>
      <c r="P144" s="375"/>
      <c r="Q144" s="375"/>
      <c r="R144" s="320"/>
      <c r="S144" s="461" t="str">
        <f>_xll.BLUEMATRIX2("/servlet/excelData",E144,$B$1,$B144&amp;":"&amp;E$115&amp;":"&amp;$R$114)</f>
        <v>#</v>
      </c>
      <c r="T144" s="461" t="str">
        <f>_xll.BLUEMATRIX2("/servlet/excelData",F144,$B$1,$B144&amp;":"&amp;F$115&amp;":"&amp;$R$114)</f>
        <v>#</v>
      </c>
      <c r="U144" s="461" t="str">
        <f>_xll.BLUEMATRIX2("/servlet/excelData",G144,$B$1,$B144&amp;":"&amp;G$115&amp;":"&amp;$R$114)</f>
        <v>#</v>
      </c>
      <c r="V144" s="461" t="str">
        <f>_xll.BLUEMATRIX2("/servlet/excelData",H144,$B$1,$B144&amp;":"&amp;H$115&amp;":"&amp;$R$114)</f>
        <v>#</v>
      </c>
      <c r="W144" s="461" t="str">
        <f>_xll.BLUEMATRIX2("/servlet/excelData",I144,$B$1,$B144&amp;":"&amp;I$115&amp;":"&amp;$R$114)</f>
        <v>#</v>
      </c>
      <c r="X144" s="461" t="str">
        <f>_xll.BLUEMATRIX2("/servlet/excelData",J144,$B$1,$B144&amp;":"&amp;J$115&amp;":"&amp;$R$114)</f>
        <v>#</v>
      </c>
      <c r="Y144" s="461" t="str">
        <f>_xll.BLUEMATRIX2("/servlet/excelData",K144,$B$1,$B144&amp;":"&amp;K$115&amp;":"&amp;$R$114)</f>
        <v>#</v>
      </c>
      <c r="Z144" s="461" t="str">
        <f>_xll.BLUEMATRIX2("/servlet/excelData",L144,$B$1,$B144&amp;":"&amp;L$115&amp;":"&amp;$R$114)</f>
        <v>#</v>
      </c>
      <c r="AA144" s="461" t="str">
        <f>_xll.BLUEMATRIX2("/servlet/excelData",M144,$B$1,$B144&amp;":"&amp;M$115&amp;":"&amp;$R$114)</f>
        <v>#</v>
      </c>
      <c r="AB144" s="461" t="str">
        <f>_xll.BLUEMATRIX2("/servlet/excelData",N144,$B$1,$B144&amp;":"&amp;N$115&amp;":"&amp;$R$114)</f>
        <v>#</v>
      </c>
      <c r="AC144" s="461" t="str">
        <f>_xll.BLUEMATRIX2("/servlet/excelData",O144,$B$1,$B144&amp;":"&amp;O$115&amp;":"&amp;$R$114)</f>
        <v>#</v>
      </c>
      <c r="AD144" s="461" t="str">
        <f>_xll.BLUEMATRIX2("/servlet/excelData",P144,$B$1,$B144&amp;":"&amp;P$115&amp;":"&amp;$R$114)</f>
        <v>#</v>
      </c>
      <c r="AE144" s="461" t="str">
        <f>_xll.BLUEMATRIX2("/servlet/excelData",Q144,$B$1,$B144&amp;":"&amp;Q$115&amp;":"&amp;$R$114)</f>
        <v>#</v>
      </c>
    </row>
    <row r="145" spans="1:31" ht="12.95" customHeight="1">
      <c r="A145" s="379" t="s">
        <v>317</v>
      </c>
      <c r="B145" s="344" t="s">
        <v>318</v>
      </c>
      <c r="C145" s="390" t="s">
        <v>319</v>
      </c>
      <c r="D145" s="375"/>
      <c r="E145" s="375"/>
      <c r="F145" s="375"/>
      <c r="G145" s="375"/>
      <c r="H145" s="375"/>
      <c r="I145" s="375"/>
      <c r="J145" s="375"/>
      <c r="K145" s="375"/>
      <c r="L145" s="375"/>
      <c r="M145" s="375"/>
      <c r="N145" s="375"/>
      <c r="O145" s="375"/>
      <c r="P145" s="375"/>
      <c r="Q145" s="375"/>
      <c r="R145" s="320"/>
      <c r="S145" s="461" t="str">
        <f>_xll.BLUEMATRIX2("/servlet/excelData",E145,$B$1,$B145&amp;":"&amp;E$115&amp;":"&amp;$R$114)</f>
        <v>#</v>
      </c>
      <c r="T145" s="461" t="str">
        <f>_xll.BLUEMATRIX2("/servlet/excelData",F145,$B$1,$B145&amp;":"&amp;F$115&amp;":"&amp;$R$114)</f>
        <v>#</v>
      </c>
      <c r="U145" s="461" t="str">
        <f>_xll.BLUEMATRIX2("/servlet/excelData",G145,$B$1,$B145&amp;":"&amp;G$115&amp;":"&amp;$R$114)</f>
        <v>#</v>
      </c>
      <c r="V145" s="461" t="str">
        <f>_xll.BLUEMATRIX2("/servlet/excelData",H145,$B$1,$B145&amp;":"&amp;H$115&amp;":"&amp;$R$114)</f>
        <v>#</v>
      </c>
      <c r="W145" s="461" t="str">
        <f>_xll.BLUEMATRIX2("/servlet/excelData",I145,$B$1,$B145&amp;":"&amp;I$115&amp;":"&amp;$R$114)</f>
        <v>#</v>
      </c>
      <c r="X145" s="461" t="str">
        <f>_xll.BLUEMATRIX2("/servlet/excelData",J145,$B$1,$B145&amp;":"&amp;J$115&amp;":"&amp;$R$114)</f>
        <v>#</v>
      </c>
      <c r="Y145" s="461" t="str">
        <f>_xll.BLUEMATRIX2("/servlet/excelData",K145,$B$1,$B145&amp;":"&amp;K$115&amp;":"&amp;$R$114)</f>
        <v>#</v>
      </c>
      <c r="Z145" s="461" t="str">
        <f>_xll.BLUEMATRIX2("/servlet/excelData",L145,$B$1,$B145&amp;":"&amp;L$115&amp;":"&amp;$R$114)</f>
        <v>#</v>
      </c>
      <c r="AA145" s="461" t="str">
        <f>_xll.BLUEMATRIX2("/servlet/excelData",M145,$B$1,$B145&amp;":"&amp;M$115&amp;":"&amp;$R$114)</f>
        <v>#</v>
      </c>
      <c r="AB145" s="461" t="str">
        <f>_xll.BLUEMATRIX2("/servlet/excelData",N145,$B$1,$B145&amp;":"&amp;N$115&amp;":"&amp;$R$114)</f>
        <v>#</v>
      </c>
      <c r="AC145" s="461" t="str">
        <f>_xll.BLUEMATRIX2("/servlet/excelData",O145,$B$1,$B145&amp;":"&amp;O$115&amp;":"&amp;$R$114)</f>
        <v>#</v>
      </c>
      <c r="AD145" s="461" t="str">
        <f>_xll.BLUEMATRIX2("/servlet/excelData",P145,$B$1,$B145&amp;":"&amp;P$115&amp;":"&amp;$R$114)</f>
        <v>#</v>
      </c>
      <c r="AE145" s="461" t="str">
        <f>_xll.BLUEMATRIX2("/servlet/excelData",Q145,$B$1,$B145&amp;":"&amp;Q$115&amp;":"&amp;$R$114)</f>
        <v>#</v>
      </c>
    </row>
    <row r="146" spans="1:31" ht="12.95" customHeight="1">
      <c r="A146" s="379" t="s">
        <v>320</v>
      </c>
      <c r="B146" s="344" t="s">
        <v>321</v>
      </c>
      <c r="C146" s="390" t="s">
        <v>322</v>
      </c>
      <c r="D146" s="375"/>
      <c r="E146" s="375"/>
      <c r="F146" s="375"/>
      <c r="G146" s="375"/>
      <c r="H146" s="375"/>
      <c r="I146" s="375"/>
      <c r="J146" s="375"/>
      <c r="K146" s="375"/>
      <c r="L146" s="375"/>
      <c r="M146" s="375"/>
      <c r="N146" s="375"/>
      <c r="O146" s="375"/>
      <c r="P146" s="375"/>
      <c r="Q146" s="375"/>
      <c r="R146" s="320"/>
      <c r="S146" s="461" t="str">
        <f>_xll.BLUEMATRIX2("/servlet/excelData",E146,$B$1,$B146&amp;":"&amp;E$115&amp;":"&amp;$R$114)</f>
        <v>#</v>
      </c>
      <c r="T146" s="461" t="str">
        <f>_xll.BLUEMATRIX2("/servlet/excelData",F146,$B$1,$B146&amp;":"&amp;F$115&amp;":"&amp;$R$114)</f>
        <v>#</v>
      </c>
      <c r="U146" s="461" t="str">
        <f>_xll.BLUEMATRIX2("/servlet/excelData",G146,$B$1,$B146&amp;":"&amp;G$115&amp;":"&amp;$R$114)</f>
        <v>#</v>
      </c>
      <c r="V146" s="461" t="str">
        <f>_xll.BLUEMATRIX2("/servlet/excelData",H146,$B$1,$B146&amp;":"&amp;H$115&amp;":"&amp;$R$114)</f>
        <v>#</v>
      </c>
      <c r="W146" s="461" t="str">
        <f>_xll.BLUEMATRIX2("/servlet/excelData",I146,$B$1,$B146&amp;":"&amp;I$115&amp;":"&amp;$R$114)</f>
        <v>#</v>
      </c>
      <c r="X146" s="461" t="str">
        <f>_xll.BLUEMATRIX2("/servlet/excelData",J146,$B$1,$B146&amp;":"&amp;J$115&amp;":"&amp;$R$114)</f>
        <v>#</v>
      </c>
      <c r="Y146" s="461" t="str">
        <f>_xll.BLUEMATRIX2("/servlet/excelData",K146,$B$1,$B146&amp;":"&amp;K$115&amp;":"&amp;$R$114)</f>
        <v>#</v>
      </c>
      <c r="Z146" s="461" t="str">
        <f>_xll.BLUEMATRIX2("/servlet/excelData",L146,$B$1,$B146&amp;":"&amp;L$115&amp;":"&amp;$R$114)</f>
        <v>#</v>
      </c>
      <c r="AA146" s="461" t="str">
        <f>_xll.BLUEMATRIX2("/servlet/excelData",M146,$B$1,$B146&amp;":"&amp;M$115&amp;":"&amp;$R$114)</f>
        <v>#</v>
      </c>
      <c r="AB146" s="461" t="str">
        <f>_xll.BLUEMATRIX2("/servlet/excelData",N146,$B$1,$B146&amp;":"&amp;N$115&amp;":"&amp;$R$114)</f>
        <v>#</v>
      </c>
      <c r="AC146" s="461" t="str">
        <f>_xll.BLUEMATRIX2("/servlet/excelData",O146,$B$1,$B146&amp;":"&amp;O$115&amp;":"&amp;$R$114)</f>
        <v>#</v>
      </c>
      <c r="AD146" s="461" t="str">
        <f>_xll.BLUEMATRIX2("/servlet/excelData",P146,$B$1,$B146&amp;":"&amp;P$115&amp;":"&amp;$R$114)</f>
        <v>#</v>
      </c>
      <c r="AE146" s="461" t="str">
        <f>_xll.BLUEMATRIX2("/servlet/excelData",Q146,$B$1,$B146&amp;":"&amp;Q$115&amp;":"&amp;$R$114)</f>
        <v>#</v>
      </c>
    </row>
    <row r="147" spans="1:31" ht="12.95" customHeight="1">
      <c r="A147" s="379" t="s">
        <v>323</v>
      </c>
      <c r="B147" s="344" t="s">
        <v>324</v>
      </c>
      <c r="C147" s="390" t="s">
        <v>325</v>
      </c>
      <c r="D147" s="375"/>
      <c r="E147" s="375"/>
      <c r="F147" s="375"/>
      <c r="G147" s="375"/>
      <c r="H147" s="375"/>
      <c r="I147" s="375"/>
      <c r="J147" s="375"/>
      <c r="K147" s="375"/>
      <c r="L147" s="375"/>
      <c r="M147" s="375"/>
      <c r="N147" s="375"/>
      <c r="O147" s="375"/>
      <c r="P147" s="375"/>
      <c r="Q147" s="375"/>
      <c r="R147" s="320"/>
      <c r="S147" s="461" t="str">
        <f>_xll.BLUEMATRIX2("/servlet/excelData",E147,$B$1,$B147&amp;":"&amp;E$115&amp;":"&amp;$R$114)</f>
        <v>#</v>
      </c>
      <c r="T147" s="461" t="str">
        <f>_xll.BLUEMATRIX2("/servlet/excelData",F147,$B$1,$B147&amp;":"&amp;F$115&amp;":"&amp;$R$114)</f>
        <v>#</v>
      </c>
      <c r="U147" s="461" t="str">
        <f>_xll.BLUEMATRIX2("/servlet/excelData",G147,$B$1,$B147&amp;":"&amp;G$115&amp;":"&amp;$R$114)</f>
        <v>#</v>
      </c>
      <c r="V147" s="461" t="str">
        <f>_xll.BLUEMATRIX2("/servlet/excelData",H147,$B$1,$B147&amp;":"&amp;H$115&amp;":"&amp;$R$114)</f>
        <v>#</v>
      </c>
      <c r="W147" s="461" t="str">
        <f>_xll.BLUEMATRIX2("/servlet/excelData",I147,$B$1,$B147&amp;":"&amp;I$115&amp;":"&amp;$R$114)</f>
        <v>#</v>
      </c>
      <c r="X147" s="461" t="str">
        <f>_xll.BLUEMATRIX2("/servlet/excelData",J147,$B$1,$B147&amp;":"&amp;J$115&amp;":"&amp;$R$114)</f>
        <v>#</v>
      </c>
      <c r="Y147" s="461" t="str">
        <f>_xll.BLUEMATRIX2("/servlet/excelData",K147,$B$1,$B147&amp;":"&amp;K$115&amp;":"&amp;$R$114)</f>
        <v>#</v>
      </c>
      <c r="Z147" s="461" t="str">
        <f>_xll.BLUEMATRIX2("/servlet/excelData",L147,$B$1,$B147&amp;":"&amp;L$115&amp;":"&amp;$R$114)</f>
        <v>#</v>
      </c>
      <c r="AA147" s="461" t="str">
        <f>_xll.BLUEMATRIX2("/servlet/excelData",M147,$B$1,$B147&amp;":"&amp;M$115&amp;":"&amp;$R$114)</f>
        <v>#</v>
      </c>
      <c r="AB147" s="461" t="str">
        <f>_xll.BLUEMATRIX2("/servlet/excelData",N147,$B$1,$B147&amp;":"&amp;N$115&amp;":"&amp;$R$114)</f>
        <v>#</v>
      </c>
      <c r="AC147" s="461" t="str">
        <f>_xll.BLUEMATRIX2("/servlet/excelData",O147,$B$1,$B147&amp;":"&amp;O$115&amp;":"&amp;$R$114)</f>
        <v>#</v>
      </c>
      <c r="AD147" s="461" t="str">
        <f>_xll.BLUEMATRIX2("/servlet/excelData",P147,$B$1,$B147&amp;":"&amp;P$115&amp;":"&amp;$R$114)</f>
        <v>#</v>
      </c>
      <c r="AE147" s="461" t="str">
        <f>_xll.BLUEMATRIX2("/servlet/excelData",Q147,$B$1,$B147&amp;":"&amp;Q$115&amp;":"&amp;$R$114)</f>
        <v>#</v>
      </c>
    </row>
    <row r="148" spans="1:31" ht="12.95" customHeight="1">
      <c r="A148" s="379" t="s">
        <v>326</v>
      </c>
      <c r="B148" s="344" t="s">
        <v>327</v>
      </c>
      <c r="C148" s="380" t="s">
        <v>328</v>
      </c>
      <c r="D148" s="381"/>
      <c r="E148" s="381">
        <f>FY!C65</f>
        <v>-599.6</v>
      </c>
      <c r="F148" s="381">
        <f>FY!D65</f>
        <v>-577.4</v>
      </c>
      <c r="G148" s="381">
        <f>FY!E65</f>
        <v>-614</v>
      </c>
      <c r="H148" s="381">
        <f>FY!F65</f>
        <v>-697.2</v>
      </c>
      <c r="I148" s="381">
        <f>FY!G65</f>
        <v>-700.7</v>
      </c>
      <c r="J148" s="381">
        <f>FY!H65</f>
        <v>-736.30989999999997</v>
      </c>
      <c r="K148" s="381">
        <f>FY!I65</f>
        <v>-786.98446999999987</v>
      </c>
      <c r="L148" s="381">
        <f>FY!J65</f>
        <v>-802.80400409999993</v>
      </c>
      <c r="M148" s="381">
        <f>FY!K65</f>
        <v>-826.88812422299998</v>
      </c>
      <c r="N148" s="381">
        <f>FY!L65</f>
        <v>-845.01750117077506</v>
      </c>
      <c r="O148" s="381">
        <f>FY!M65</f>
        <v>-863.55721409140494</v>
      </c>
      <c r="P148" s="381">
        <f>FY!N65</f>
        <v>-882.51690215736403</v>
      </c>
      <c r="Q148" s="381">
        <f>FY!O65</f>
        <v>-901.90644029816622</v>
      </c>
      <c r="R148" s="320"/>
      <c r="S148" s="461" t="str">
        <f>_xll.BLUEMATRIX2("/servlet/excelData",E148,$B$1,$B148&amp;":"&amp;E$115&amp;":"&amp;$R$114)</f>
        <v>#</v>
      </c>
      <c r="T148" s="461" t="str">
        <f>_xll.BLUEMATRIX2("/servlet/excelData",F148,$B$1,$B148&amp;":"&amp;F$115&amp;":"&amp;$R$114)</f>
        <v>#</v>
      </c>
      <c r="U148" s="461" t="str">
        <f>_xll.BLUEMATRIX2("/servlet/excelData",G148,$B$1,$B148&amp;":"&amp;G$115&amp;":"&amp;$R$114)</f>
        <v>#</v>
      </c>
      <c r="V148" s="461" t="str">
        <f>_xll.BLUEMATRIX2("/servlet/excelData",H148,$B$1,$B148&amp;":"&amp;H$115&amp;":"&amp;$R$114)</f>
        <v>#</v>
      </c>
      <c r="W148" s="461" t="str">
        <f>_xll.BLUEMATRIX2("/servlet/excelData",I148,$B$1,$B148&amp;":"&amp;I$115&amp;":"&amp;$R$114)</f>
        <v>#</v>
      </c>
      <c r="X148" s="461" t="str">
        <f>_xll.BLUEMATRIX2("/servlet/excelData",J148,$B$1,$B148&amp;":"&amp;J$115&amp;":"&amp;$R$114)</f>
        <v>#</v>
      </c>
      <c r="Y148" s="461" t="str">
        <f>_xll.BLUEMATRIX2("/servlet/excelData",K148,$B$1,$B148&amp;":"&amp;K$115&amp;":"&amp;$R$114)</f>
        <v>#</v>
      </c>
      <c r="Z148" s="461" t="str">
        <f>_xll.BLUEMATRIX2("/servlet/excelData",L148,$B$1,$B148&amp;":"&amp;L$115&amp;":"&amp;$R$114)</f>
        <v>#</v>
      </c>
      <c r="AA148" s="461" t="str">
        <f>_xll.BLUEMATRIX2("/servlet/excelData",M148,$B$1,$B148&amp;":"&amp;M$115&amp;":"&amp;$R$114)</f>
        <v>#</v>
      </c>
      <c r="AB148" s="461" t="str">
        <f>_xll.BLUEMATRIX2("/servlet/excelData",N148,$B$1,$B148&amp;":"&amp;N$115&amp;":"&amp;$R$114)</f>
        <v>#</v>
      </c>
      <c r="AC148" s="461" t="str">
        <f>_xll.BLUEMATRIX2("/servlet/excelData",O148,$B$1,$B148&amp;":"&amp;O$115&amp;":"&amp;$R$114)</f>
        <v>#</v>
      </c>
      <c r="AD148" s="461" t="str">
        <f>_xll.BLUEMATRIX2("/servlet/excelData",P148,$B$1,$B148&amp;":"&amp;P$115&amp;":"&amp;$R$114)</f>
        <v>#</v>
      </c>
      <c r="AE148" s="461" t="str">
        <f>_xll.BLUEMATRIX2("/servlet/excelData",Q148,$B$1,$B148&amp;":"&amp;Q$115&amp;":"&amp;$R$114)</f>
        <v>#</v>
      </c>
    </row>
    <row r="149" spans="1:31" ht="12.95" customHeight="1">
      <c r="A149" s="373" t="s">
        <v>329</v>
      </c>
      <c r="B149" s="344" t="s">
        <v>2</v>
      </c>
      <c r="C149" s="382" t="s">
        <v>2</v>
      </c>
      <c r="D149" s="383"/>
      <c r="E149" s="383">
        <f>FY!C33</f>
        <v>360.6</v>
      </c>
      <c r="F149" s="383">
        <f>FY!D33</f>
        <v>391</v>
      </c>
      <c r="G149" s="383">
        <f>FY!E33</f>
        <v>317.7</v>
      </c>
      <c r="H149" s="383">
        <f>FY!F33</f>
        <v>391.5</v>
      </c>
      <c r="I149" s="383">
        <f>FY!G33</f>
        <v>431.7</v>
      </c>
      <c r="J149" s="383">
        <f>FY!H33</f>
        <v>466.42006447494691</v>
      </c>
      <c r="K149" s="383">
        <f>FY!I33</f>
        <v>485.64577074650185</v>
      </c>
      <c r="L149" s="383">
        <f>FY!J33</f>
        <v>494.3637097202735</v>
      </c>
      <c r="M149" s="383">
        <f>FY!K33</f>
        <v>501.26085646792001</v>
      </c>
      <c r="N149" s="383">
        <f>FY!L33</f>
        <v>507.07544936206921</v>
      </c>
      <c r="O149" s="383">
        <f>FY!M33</f>
        <v>513.35579797440937</v>
      </c>
      <c r="P149" s="383">
        <f>FY!N33</f>
        <v>520.11696815723963</v>
      </c>
      <c r="Q149" s="383">
        <f>FY!O33</f>
        <v>527.37454693382267</v>
      </c>
      <c r="R149" s="320"/>
      <c r="S149" s="461" t="str">
        <f>_xll.BLUEMATRIX2("/servlet/excelData",E149,$B$1,$B149&amp;":"&amp;E$115&amp;":"&amp;$R$114)</f>
        <v>#</v>
      </c>
      <c r="T149" s="461" t="str">
        <f>_xll.BLUEMATRIX2("/servlet/excelData",F149,$B$1,$B149&amp;":"&amp;F$115&amp;":"&amp;$R$114)</f>
        <v>#</v>
      </c>
      <c r="U149" s="461" t="str">
        <f>_xll.BLUEMATRIX2("/servlet/excelData",G149,$B$1,$B149&amp;":"&amp;G$115&amp;":"&amp;$R$114)</f>
        <v>#</v>
      </c>
      <c r="V149" s="461" t="str">
        <f>_xll.BLUEMATRIX2("/servlet/excelData",H149,$B$1,$B149&amp;":"&amp;H$115&amp;":"&amp;$R$114)</f>
        <v>#</v>
      </c>
      <c r="W149" s="461" t="str">
        <f>_xll.BLUEMATRIX2("/servlet/excelData",I149,$B$1,$B149&amp;":"&amp;I$115&amp;":"&amp;$R$114)</f>
        <v>#</v>
      </c>
      <c r="X149" s="461" t="str">
        <f>_xll.BLUEMATRIX2("/servlet/excelData",J149,$B$1,$B149&amp;":"&amp;J$115&amp;":"&amp;$R$114)</f>
        <v>#</v>
      </c>
      <c r="Y149" s="461" t="str">
        <f>_xll.BLUEMATRIX2("/servlet/excelData",K149,$B$1,$B149&amp;":"&amp;K$115&amp;":"&amp;$R$114)</f>
        <v>#</v>
      </c>
      <c r="Z149" s="461" t="str">
        <f>_xll.BLUEMATRIX2("/servlet/excelData",L149,$B$1,$B149&amp;":"&amp;L$115&amp;":"&amp;$R$114)</f>
        <v>#</v>
      </c>
      <c r="AA149" s="461" t="str">
        <f>_xll.BLUEMATRIX2("/servlet/excelData",M149,$B$1,$B149&amp;":"&amp;M$115&amp;":"&amp;$R$114)</f>
        <v>#</v>
      </c>
      <c r="AB149" s="461" t="str">
        <f>_xll.BLUEMATRIX2("/servlet/excelData",N149,$B$1,$B149&amp;":"&amp;N$115&amp;":"&amp;$R$114)</f>
        <v>#</v>
      </c>
      <c r="AC149" s="461" t="str">
        <f>_xll.BLUEMATRIX2("/servlet/excelData",O149,$B$1,$B149&amp;":"&amp;O$115&amp;":"&amp;$R$114)</f>
        <v>#</v>
      </c>
      <c r="AD149" s="461" t="str">
        <f>_xll.BLUEMATRIX2("/servlet/excelData",P149,$B$1,$B149&amp;":"&amp;P$115&amp;":"&amp;$R$114)</f>
        <v>#</v>
      </c>
      <c r="AE149" s="461" t="str">
        <f>_xll.BLUEMATRIX2("/servlet/excelData",Q149,$B$1,$B149&amp;":"&amp;Q$115&amp;":"&amp;$R$114)</f>
        <v>#</v>
      </c>
    </row>
    <row r="150" spans="1:31" ht="12.95" customHeight="1">
      <c r="A150" s="373" t="s">
        <v>330</v>
      </c>
      <c r="B150" s="344" t="s">
        <v>8</v>
      </c>
      <c r="C150" s="390" t="s">
        <v>8</v>
      </c>
      <c r="D150" s="375"/>
      <c r="E150" s="375"/>
      <c r="F150" s="375"/>
      <c r="G150" s="375"/>
      <c r="H150" s="375"/>
      <c r="I150" s="375"/>
      <c r="J150" s="375"/>
      <c r="K150" s="375"/>
      <c r="L150" s="375"/>
      <c r="M150" s="375"/>
      <c r="N150" s="375"/>
      <c r="O150" s="375"/>
      <c r="P150" s="375"/>
      <c r="Q150" s="375"/>
      <c r="R150" s="320"/>
      <c r="S150" s="461" t="str">
        <f>_xll.BLUEMATRIX2("/servlet/excelData",E150,$B$1,$B150&amp;":"&amp;E$115&amp;":"&amp;$R$114)</f>
        <v>#</v>
      </c>
      <c r="T150" s="461" t="str">
        <f>_xll.BLUEMATRIX2("/servlet/excelData",F150,$B$1,$B150&amp;":"&amp;F$115&amp;":"&amp;$R$114)</f>
        <v>#</v>
      </c>
      <c r="U150" s="461" t="str">
        <f>_xll.BLUEMATRIX2("/servlet/excelData",G150,$B$1,$B150&amp;":"&amp;G$115&amp;":"&amp;$R$114)</f>
        <v>#</v>
      </c>
      <c r="V150" s="461" t="str">
        <f>_xll.BLUEMATRIX2("/servlet/excelData",H150,$B$1,$B150&amp;":"&amp;H$115&amp;":"&amp;$R$114)</f>
        <v>#</v>
      </c>
      <c r="W150" s="461" t="str">
        <f>_xll.BLUEMATRIX2("/servlet/excelData",I150,$B$1,$B150&amp;":"&amp;I$115&amp;":"&amp;$R$114)</f>
        <v>#</v>
      </c>
      <c r="X150" s="461" t="str">
        <f>_xll.BLUEMATRIX2("/servlet/excelData",J150,$B$1,$B150&amp;":"&amp;J$115&amp;":"&amp;$R$114)</f>
        <v>#</v>
      </c>
      <c r="Y150" s="461" t="str">
        <f>_xll.BLUEMATRIX2("/servlet/excelData",K150,$B$1,$B150&amp;":"&amp;K$115&amp;":"&amp;$R$114)</f>
        <v>#</v>
      </c>
      <c r="Z150" s="461" t="str">
        <f>_xll.BLUEMATRIX2("/servlet/excelData",L150,$B$1,$B150&amp;":"&amp;L$115&amp;":"&amp;$R$114)</f>
        <v>#</v>
      </c>
      <c r="AA150" s="461" t="str">
        <f>_xll.BLUEMATRIX2("/servlet/excelData",M150,$B$1,$B150&amp;":"&amp;M$115&amp;":"&amp;$R$114)</f>
        <v>#</v>
      </c>
      <c r="AB150" s="461" t="str">
        <f>_xll.BLUEMATRIX2("/servlet/excelData",N150,$B$1,$B150&amp;":"&amp;N$115&amp;":"&amp;$R$114)</f>
        <v>#</v>
      </c>
      <c r="AC150" s="461" t="str">
        <f>_xll.BLUEMATRIX2("/servlet/excelData",O150,$B$1,$B150&amp;":"&amp;O$115&amp;":"&amp;$R$114)</f>
        <v>#</v>
      </c>
      <c r="AD150" s="461" t="str">
        <f>_xll.BLUEMATRIX2("/servlet/excelData",P150,$B$1,$B150&amp;":"&amp;P$115&amp;":"&amp;$R$114)</f>
        <v>#</v>
      </c>
      <c r="AE150" s="461" t="str">
        <f>_xll.BLUEMATRIX2("/servlet/excelData",Q150,$B$1,$B150&amp;":"&amp;Q$115&amp;":"&amp;$R$114)</f>
        <v>#</v>
      </c>
    </row>
    <row r="151" spans="1:31" ht="12.95" customHeight="1">
      <c r="A151" s="373" t="s">
        <v>331</v>
      </c>
      <c r="B151" s="344" t="s">
        <v>332</v>
      </c>
      <c r="C151" s="390" t="s">
        <v>333</v>
      </c>
      <c r="D151" s="375"/>
      <c r="E151" s="375"/>
      <c r="F151" s="375"/>
      <c r="G151" s="375"/>
      <c r="H151" s="375"/>
      <c r="I151" s="375"/>
      <c r="J151" s="375"/>
      <c r="K151" s="375"/>
      <c r="L151" s="375"/>
      <c r="M151" s="375"/>
      <c r="N151" s="375"/>
      <c r="O151" s="375"/>
      <c r="P151" s="375"/>
      <c r="Q151" s="375"/>
      <c r="R151" s="320"/>
      <c r="S151" s="461" t="str">
        <f>_xll.BLUEMATRIX2("/servlet/excelData",E151,$B$1,$B151&amp;":"&amp;E$115&amp;":"&amp;$R$114)</f>
        <v>#</v>
      </c>
      <c r="T151" s="461" t="str">
        <f>_xll.BLUEMATRIX2("/servlet/excelData",F151,$B$1,$B151&amp;":"&amp;F$115&amp;":"&amp;$R$114)</f>
        <v>#</v>
      </c>
      <c r="U151" s="461" t="str">
        <f>_xll.BLUEMATRIX2("/servlet/excelData",G151,$B$1,$B151&amp;":"&amp;G$115&amp;":"&amp;$R$114)</f>
        <v>#</v>
      </c>
      <c r="V151" s="461" t="str">
        <f>_xll.BLUEMATRIX2("/servlet/excelData",H151,$B$1,$B151&amp;":"&amp;H$115&amp;":"&amp;$R$114)</f>
        <v>#</v>
      </c>
      <c r="W151" s="461" t="str">
        <f>_xll.BLUEMATRIX2("/servlet/excelData",I151,$B$1,$B151&amp;":"&amp;I$115&amp;":"&amp;$R$114)</f>
        <v>#</v>
      </c>
      <c r="X151" s="461" t="str">
        <f>_xll.BLUEMATRIX2("/servlet/excelData",J151,$B$1,$B151&amp;":"&amp;J$115&amp;":"&amp;$R$114)</f>
        <v>#</v>
      </c>
      <c r="Y151" s="461" t="str">
        <f>_xll.BLUEMATRIX2("/servlet/excelData",K151,$B$1,$B151&amp;":"&amp;K$115&amp;":"&amp;$R$114)</f>
        <v>#</v>
      </c>
      <c r="Z151" s="461" t="str">
        <f>_xll.BLUEMATRIX2("/servlet/excelData",L151,$B$1,$B151&amp;":"&amp;L$115&amp;":"&amp;$R$114)</f>
        <v>#</v>
      </c>
      <c r="AA151" s="461" t="str">
        <f>_xll.BLUEMATRIX2("/servlet/excelData",M151,$B$1,$B151&amp;":"&amp;M$115&amp;":"&amp;$R$114)</f>
        <v>#</v>
      </c>
      <c r="AB151" s="461" t="str">
        <f>_xll.BLUEMATRIX2("/servlet/excelData",N151,$B$1,$B151&amp;":"&amp;N$115&amp;":"&amp;$R$114)</f>
        <v>#</v>
      </c>
      <c r="AC151" s="461" t="str">
        <f>_xll.BLUEMATRIX2("/servlet/excelData",O151,$B$1,$B151&amp;":"&amp;O$115&amp;":"&amp;$R$114)</f>
        <v>#</v>
      </c>
      <c r="AD151" s="461" t="str">
        <f>_xll.BLUEMATRIX2("/servlet/excelData",P151,$B$1,$B151&amp;":"&amp;P$115&amp;":"&amp;$R$114)</f>
        <v>#</v>
      </c>
      <c r="AE151" s="461" t="str">
        <f>_xll.BLUEMATRIX2("/servlet/excelData",Q151,$B$1,$B151&amp;":"&amp;Q$115&amp;":"&amp;$R$114)</f>
        <v>#</v>
      </c>
    </row>
    <row r="152" spans="1:31" ht="12.95" customHeight="1">
      <c r="A152" s="373" t="s">
        <v>334</v>
      </c>
      <c r="B152" s="344" t="s">
        <v>335</v>
      </c>
      <c r="C152" s="390" t="s">
        <v>336</v>
      </c>
      <c r="D152" s="375"/>
      <c r="E152" s="375"/>
      <c r="F152" s="375"/>
      <c r="G152" s="375"/>
      <c r="H152" s="375"/>
      <c r="I152" s="375"/>
      <c r="J152" s="375"/>
      <c r="K152" s="375"/>
      <c r="L152" s="375"/>
      <c r="M152" s="375"/>
      <c r="N152" s="375"/>
      <c r="O152" s="375"/>
      <c r="P152" s="375"/>
      <c r="Q152" s="375"/>
      <c r="R152" s="320"/>
      <c r="S152" s="461" t="str">
        <f>_xll.BLUEMATRIX2("/servlet/excelData",E152,$B$1,$B152&amp;":"&amp;E$115&amp;":"&amp;$R$114)</f>
        <v>#</v>
      </c>
      <c r="T152" s="461" t="str">
        <f>_xll.BLUEMATRIX2("/servlet/excelData",F152,$B$1,$B152&amp;":"&amp;F$115&amp;":"&amp;$R$114)</f>
        <v>#</v>
      </c>
      <c r="U152" s="461" t="str">
        <f>_xll.BLUEMATRIX2("/servlet/excelData",G152,$B$1,$B152&amp;":"&amp;G$115&amp;":"&amp;$R$114)</f>
        <v>#</v>
      </c>
      <c r="V152" s="461" t="str">
        <f>_xll.BLUEMATRIX2("/servlet/excelData",H152,$B$1,$B152&amp;":"&amp;H$115&amp;":"&amp;$R$114)</f>
        <v>#</v>
      </c>
      <c r="W152" s="461" t="str">
        <f>_xll.BLUEMATRIX2("/servlet/excelData",I152,$B$1,$B152&amp;":"&amp;I$115&amp;":"&amp;$R$114)</f>
        <v>#</v>
      </c>
      <c r="X152" s="461" t="str">
        <f>_xll.BLUEMATRIX2("/servlet/excelData",J152,$B$1,$B152&amp;":"&amp;J$115&amp;":"&amp;$R$114)</f>
        <v>#</v>
      </c>
      <c r="Y152" s="461" t="str">
        <f>_xll.BLUEMATRIX2("/servlet/excelData",K152,$B$1,$B152&amp;":"&amp;K$115&amp;":"&amp;$R$114)</f>
        <v>#</v>
      </c>
      <c r="Z152" s="461" t="str">
        <f>_xll.BLUEMATRIX2("/servlet/excelData",L152,$B$1,$B152&amp;":"&amp;L$115&amp;":"&amp;$R$114)</f>
        <v>#</v>
      </c>
      <c r="AA152" s="461" t="str">
        <f>_xll.BLUEMATRIX2("/servlet/excelData",M152,$B$1,$B152&amp;":"&amp;M$115&amp;":"&amp;$R$114)</f>
        <v>#</v>
      </c>
      <c r="AB152" s="461" t="str">
        <f>_xll.BLUEMATRIX2("/servlet/excelData",N152,$B$1,$B152&amp;":"&amp;N$115&amp;":"&amp;$R$114)</f>
        <v>#</v>
      </c>
      <c r="AC152" s="461" t="str">
        <f>_xll.BLUEMATRIX2("/servlet/excelData",O152,$B$1,$B152&amp;":"&amp;O$115&amp;":"&amp;$R$114)</f>
        <v>#</v>
      </c>
      <c r="AD152" s="461" t="str">
        <f>_xll.BLUEMATRIX2("/servlet/excelData",P152,$B$1,$B152&amp;":"&amp;P$115&amp;":"&amp;$R$114)</f>
        <v>#</v>
      </c>
      <c r="AE152" s="461" t="str">
        <f>_xll.BLUEMATRIX2("/servlet/excelData",Q152,$B$1,$B152&amp;":"&amp;Q$115&amp;":"&amp;$R$114)</f>
        <v>#</v>
      </c>
    </row>
    <row r="153" spans="1:31" ht="12.95" customHeight="1">
      <c r="A153" s="373" t="s">
        <v>337</v>
      </c>
      <c r="B153" s="344" t="s">
        <v>338</v>
      </c>
      <c r="C153" s="390" t="s">
        <v>339</v>
      </c>
      <c r="D153" s="375"/>
      <c r="E153" s="375"/>
      <c r="F153" s="375"/>
      <c r="G153" s="375"/>
      <c r="H153" s="375"/>
      <c r="I153" s="375"/>
      <c r="J153" s="375"/>
      <c r="K153" s="375"/>
      <c r="L153" s="375"/>
      <c r="M153" s="375"/>
      <c r="N153" s="375"/>
      <c r="O153" s="375"/>
      <c r="P153" s="375"/>
      <c r="Q153" s="375"/>
      <c r="R153" s="320"/>
      <c r="S153" s="461" t="str">
        <f>_xll.BLUEMATRIX2("/servlet/excelData",E153,$B$1,$B153&amp;":"&amp;E$115&amp;":"&amp;$R$114)</f>
        <v>#</v>
      </c>
      <c r="T153" s="461" t="str">
        <f>_xll.BLUEMATRIX2("/servlet/excelData",F153,$B$1,$B153&amp;":"&amp;F$115&amp;":"&amp;$R$114)</f>
        <v>#</v>
      </c>
      <c r="U153" s="461" t="str">
        <f>_xll.BLUEMATRIX2("/servlet/excelData",G153,$B$1,$B153&amp;":"&amp;G$115&amp;":"&amp;$R$114)</f>
        <v>#</v>
      </c>
      <c r="V153" s="461" t="str">
        <f>_xll.BLUEMATRIX2("/servlet/excelData",H153,$B$1,$B153&amp;":"&amp;H$115&amp;":"&amp;$R$114)</f>
        <v>#</v>
      </c>
      <c r="W153" s="461" t="str">
        <f>_xll.BLUEMATRIX2("/servlet/excelData",I153,$B$1,$B153&amp;":"&amp;I$115&amp;":"&amp;$R$114)</f>
        <v>#</v>
      </c>
      <c r="X153" s="461" t="str">
        <f>_xll.BLUEMATRIX2("/servlet/excelData",J153,$B$1,$B153&amp;":"&amp;J$115&amp;":"&amp;$R$114)</f>
        <v>#</v>
      </c>
      <c r="Y153" s="461" t="str">
        <f>_xll.BLUEMATRIX2("/servlet/excelData",K153,$B$1,$B153&amp;":"&amp;K$115&amp;":"&amp;$R$114)</f>
        <v>#</v>
      </c>
      <c r="Z153" s="461" t="str">
        <f>_xll.BLUEMATRIX2("/servlet/excelData",L153,$B$1,$B153&amp;":"&amp;L$115&amp;":"&amp;$R$114)</f>
        <v>#</v>
      </c>
      <c r="AA153" s="461" t="str">
        <f>_xll.BLUEMATRIX2("/servlet/excelData",M153,$B$1,$B153&amp;":"&amp;M$115&amp;":"&amp;$R$114)</f>
        <v>#</v>
      </c>
      <c r="AB153" s="461" t="str">
        <f>_xll.BLUEMATRIX2("/servlet/excelData",N153,$B$1,$B153&amp;":"&amp;N$115&amp;":"&amp;$R$114)</f>
        <v>#</v>
      </c>
      <c r="AC153" s="461" t="str">
        <f>_xll.BLUEMATRIX2("/servlet/excelData",O153,$B$1,$B153&amp;":"&amp;O$115&amp;":"&amp;$R$114)</f>
        <v>#</v>
      </c>
      <c r="AD153" s="461" t="str">
        <f>_xll.BLUEMATRIX2("/servlet/excelData",P153,$B$1,$B153&amp;":"&amp;P$115&amp;":"&amp;$R$114)</f>
        <v>#</v>
      </c>
      <c r="AE153" s="461" t="str">
        <f>_xll.BLUEMATRIX2("/servlet/excelData",Q153,$B$1,$B153&amp;":"&amp;Q$115&amp;":"&amp;$R$114)</f>
        <v>#</v>
      </c>
    </row>
    <row r="154" spans="1:31" ht="12.95" customHeight="1">
      <c r="A154" s="373" t="s">
        <v>340</v>
      </c>
      <c r="B154" s="344" t="s">
        <v>341</v>
      </c>
      <c r="C154" s="380" t="s">
        <v>48</v>
      </c>
      <c r="D154" s="381"/>
      <c r="E154" s="381">
        <f>FY!C47</f>
        <v>-286.39999999999998</v>
      </c>
      <c r="F154" s="381">
        <f>FY!D47</f>
        <v>-240.5</v>
      </c>
      <c r="G154" s="381">
        <f>FY!E47</f>
        <v>-220.3</v>
      </c>
      <c r="H154" s="381">
        <f>FY!F47</f>
        <v>-202.8</v>
      </c>
      <c r="I154" s="381">
        <f>FY!G47</f>
        <v>-213</v>
      </c>
      <c r="J154" s="381">
        <f>FY!H47</f>
        <v>-228.39999999999964</v>
      </c>
      <c r="K154" s="381">
        <f>FY!I47</f>
        <v>-223.39999999999964</v>
      </c>
      <c r="L154" s="381">
        <f>FY!J47</f>
        <v>-225.19597381526398</v>
      </c>
      <c r="M154" s="381">
        <f>FY!K47</f>
        <v>-215.35471019044775</v>
      </c>
      <c r="N154" s="381">
        <f>FY!L47</f>
        <v>-208.32140194825044</v>
      </c>
      <c r="O154" s="381">
        <f>FY!M47</f>
        <v>-203.76337018421489</v>
      </c>
      <c r="P154" s="381">
        <f>FY!N47</f>
        <v>-201.03343767708526</v>
      </c>
      <c r="Q154" s="381">
        <f>FY!O47</f>
        <v>-199.66010795270577</v>
      </c>
      <c r="R154" s="320"/>
      <c r="S154" s="461" t="str">
        <f>_xll.BLUEMATRIX2("/servlet/excelData",E154,$B$1,$B154&amp;":"&amp;E$115&amp;":"&amp;$R$114)</f>
        <v>#</v>
      </c>
      <c r="T154" s="461" t="str">
        <f>_xll.BLUEMATRIX2("/servlet/excelData",F154,$B$1,$B154&amp;":"&amp;F$115&amp;":"&amp;$R$114)</f>
        <v>#</v>
      </c>
      <c r="U154" s="461" t="str">
        <f>_xll.BLUEMATRIX2("/servlet/excelData",G154,$B$1,$B154&amp;":"&amp;G$115&amp;":"&amp;$R$114)</f>
        <v>#</v>
      </c>
      <c r="V154" s="461" t="str">
        <f>_xll.BLUEMATRIX2("/servlet/excelData",H154,$B$1,$B154&amp;":"&amp;H$115&amp;":"&amp;$R$114)</f>
        <v>#</v>
      </c>
      <c r="W154" s="461" t="str">
        <f>_xll.BLUEMATRIX2("/servlet/excelData",I154,$B$1,$B154&amp;":"&amp;I$115&amp;":"&amp;$R$114)</f>
        <v>#</v>
      </c>
      <c r="X154" s="461" t="str">
        <f>_xll.BLUEMATRIX2("/servlet/excelData",J154,$B$1,$B154&amp;":"&amp;J$115&amp;":"&amp;$R$114)</f>
        <v>#</v>
      </c>
      <c r="Y154" s="461" t="str">
        <f>_xll.BLUEMATRIX2("/servlet/excelData",K154,$B$1,$B154&amp;":"&amp;K$115&amp;":"&amp;$R$114)</f>
        <v>#</v>
      </c>
      <c r="Z154" s="461" t="str">
        <f>_xll.BLUEMATRIX2("/servlet/excelData",L154,$B$1,$B154&amp;":"&amp;L$115&amp;":"&amp;$R$114)</f>
        <v>#</v>
      </c>
      <c r="AA154" s="461" t="str">
        <f>_xll.BLUEMATRIX2("/servlet/excelData",M154,$B$1,$B154&amp;":"&amp;M$115&amp;":"&amp;$R$114)</f>
        <v>#</v>
      </c>
      <c r="AB154" s="461" t="str">
        <f>_xll.BLUEMATRIX2("/servlet/excelData",N154,$B$1,$B154&amp;":"&amp;N$115&amp;":"&amp;$R$114)</f>
        <v>#</v>
      </c>
      <c r="AC154" s="461" t="str">
        <f>_xll.BLUEMATRIX2("/servlet/excelData",O154,$B$1,$B154&amp;":"&amp;O$115&amp;":"&amp;$R$114)</f>
        <v>#</v>
      </c>
      <c r="AD154" s="461" t="str">
        <f>_xll.BLUEMATRIX2("/servlet/excelData",P154,$B$1,$B154&amp;":"&amp;P$115&amp;":"&amp;$R$114)</f>
        <v>#</v>
      </c>
      <c r="AE154" s="461" t="str">
        <f>_xll.BLUEMATRIX2("/servlet/excelData",Q154,$B$1,$B154&amp;":"&amp;Q$115&amp;":"&amp;$R$114)</f>
        <v>#</v>
      </c>
    </row>
    <row r="155" spans="1:31" ht="12.95" customHeight="1">
      <c r="A155" s="373" t="s">
        <v>342</v>
      </c>
      <c r="B155" s="344" t="s">
        <v>343</v>
      </c>
      <c r="C155" s="380" t="s">
        <v>343</v>
      </c>
      <c r="D155" s="381"/>
      <c r="E155" s="381"/>
      <c r="F155" s="381"/>
      <c r="G155" s="381"/>
      <c r="H155" s="381"/>
      <c r="I155" s="381"/>
      <c r="J155" s="381"/>
      <c r="K155" s="381"/>
      <c r="L155" s="381"/>
      <c r="M155" s="381"/>
      <c r="N155" s="381"/>
      <c r="O155" s="381"/>
      <c r="P155" s="381"/>
      <c r="Q155" s="381"/>
      <c r="R155" s="320"/>
      <c r="S155" s="461" t="str">
        <f>_xll.BLUEMATRIX2("/servlet/excelData",E155,$B$1,$B155&amp;":"&amp;E$115&amp;":"&amp;$R$114)</f>
        <v>#</v>
      </c>
      <c r="T155" s="461" t="str">
        <f>_xll.BLUEMATRIX2("/servlet/excelData",F155,$B$1,$B155&amp;":"&amp;F$115&amp;":"&amp;$R$114)</f>
        <v>#</v>
      </c>
      <c r="U155" s="461" t="str">
        <f>_xll.BLUEMATRIX2("/servlet/excelData",G155,$B$1,$B155&amp;":"&amp;G$115&amp;":"&amp;$R$114)</f>
        <v>#</v>
      </c>
      <c r="V155" s="461" t="str">
        <f>_xll.BLUEMATRIX2("/servlet/excelData",H155,$B$1,$B155&amp;":"&amp;H$115&amp;":"&amp;$R$114)</f>
        <v>#</v>
      </c>
      <c r="W155" s="461" t="str">
        <f>_xll.BLUEMATRIX2("/servlet/excelData",I155,$B$1,$B155&amp;":"&amp;I$115&amp;":"&amp;$R$114)</f>
        <v>#</v>
      </c>
      <c r="X155" s="461" t="str">
        <f>_xll.BLUEMATRIX2("/servlet/excelData",J155,$B$1,$B155&amp;":"&amp;J$115&amp;":"&amp;$R$114)</f>
        <v>#</v>
      </c>
      <c r="Y155" s="461" t="str">
        <f>_xll.BLUEMATRIX2("/servlet/excelData",K155,$B$1,$B155&amp;":"&amp;K$115&amp;":"&amp;$R$114)</f>
        <v>#</v>
      </c>
      <c r="Z155" s="461" t="str">
        <f>_xll.BLUEMATRIX2("/servlet/excelData",L155,$B$1,$B155&amp;":"&amp;L$115&amp;":"&amp;$R$114)</f>
        <v>#</v>
      </c>
      <c r="AA155" s="461" t="str">
        <f>_xll.BLUEMATRIX2("/servlet/excelData",M155,$B$1,$B155&amp;":"&amp;M$115&amp;":"&amp;$R$114)</f>
        <v>#</v>
      </c>
      <c r="AB155" s="461" t="str">
        <f>_xll.BLUEMATRIX2("/servlet/excelData",N155,$B$1,$B155&amp;":"&amp;N$115&amp;":"&amp;$R$114)</f>
        <v>#</v>
      </c>
      <c r="AC155" s="461" t="str">
        <f>_xll.BLUEMATRIX2("/servlet/excelData",O155,$B$1,$B155&amp;":"&amp;O$115&amp;":"&amp;$R$114)</f>
        <v>#</v>
      </c>
      <c r="AD155" s="461" t="str">
        <f>_xll.BLUEMATRIX2("/servlet/excelData",P155,$B$1,$B155&amp;":"&amp;P$115&amp;":"&amp;$R$114)</f>
        <v>#</v>
      </c>
      <c r="AE155" s="461" t="str">
        <f>_xll.BLUEMATRIX2("/servlet/excelData",Q155,$B$1,$B155&amp;":"&amp;Q$115&amp;":"&amp;$R$114)</f>
        <v>#</v>
      </c>
    </row>
    <row r="156" spans="1:31" ht="12.95" customHeight="1">
      <c r="A156" s="373" t="s">
        <v>344</v>
      </c>
      <c r="B156" s="344" t="s">
        <v>10</v>
      </c>
      <c r="C156" s="382" t="s">
        <v>10</v>
      </c>
      <c r="D156" s="383"/>
      <c r="E156" s="383">
        <f>E149+E154</f>
        <v>74.200000000000045</v>
      </c>
      <c r="F156" s="383">
        <f>F149+F154</f>
        <v>150.5</v>
      </c>
      <c r="G156" s="383">
        <f>G149+G154</f>
        <v>97.399999999999977</v>
      </c>
      <c r="H156" s="383">
        <f>H149+H154</f>
        <v>188.7</v>
      </c>
      <c r="I156" s="383">
        <f>I149+I154</f>
        <v>218.7</v>
      </c>
      <c r="J156" s="383">
        <f t="shared" ref="J156:P156" si="10">J149+J154</f>
        <v>238.02006447494728</v>
      </c>
      <c r="K156" s="383">
        <f t="shared" si="10"/>
        <v>262.24577074650222</v>
      </c>
      <c r="L156" s="383">
        <f t="shared" si="10"/>
        <v>269.16773590500952</v>
      </c>
      <c r="M156" s="383">
        <f t="shared" si="10"/>
        <v>285.90614627747226</v>
      </c>
      <c r="N156" s="383">
        <f t="shared" si="10"/>
        <v>298.75404741381874</v>
      </c>
      <c r="O156" s="383">
        <f t="shared" si="10"/>
        <v>309.59242779019451</v>
      </c>
      <c r="P156" s="383">
        <f t="shared" si="10"/>
        <v>319.08353048015437</v>
      </c>
      <c r="Q156" s="383">
        <f>Q149+Q154</f>
        <v>327.71443898111693</v>
      </c>
      <c r="R156" s="320"/>
      <c r="S156" s="461" t="str">
        <f>_xll.BLUEMATRIX2("/servlet/excelData",E156,$B$1,$B156&amp;":"&amp;E$115&amp;":"&amp;$R$114)</f>
        <v>#</v>
      </c>
      <c r="T156" s="461" t="str">
        <f>_xll.BLUEMATRIX2("/servlet/excelData",F156,$B$1,$B156&amp;":"&amp;F$115&amp;":"&amp;$R$114)</f>
        <v>#</v>
      </c>
      <c r="U156" s="461" t="str">
        <f>_xll.BLUEMATRIX2("/servlet/excelData",G156,$B$1,$B156&amp;":"&amp;G$115&amp;":"&amp;$R$114)</f>
        <v>#</v>
      </c>
      <c r="V156" s="461" t="str">
        <f>_xll.BLUEMATRIX2("/servlet/excelData",H156,$B$1,$B156&amp;":"&amp;H$115&amp;":"&amp;$R$114)</f>
        <v>#</v>
      </c>
      <c r="W156" s="461" t="str">
        <f>_xll.BLUEMATRIX2("/servlet/excelData",I156,$B$1,$B156&amp;":"&amp;I$115&amp;":"&amp;$R$114)</f>
        <v>#</v>
      </c>
      <c r="X156" s="461" t="str">
        <f>_xll.BLUEMATRIX2("/servlet/excelData",J156,$B$1,$B156&amp;":"&amp;J$115&amp;":"&amp;$R$114)</f>
        <v>#</v>
      </c>
      <c r="Y156" s="461" t="str">
        <f>_xll.BLUEMATRIX2("/servlet/excelData",K156,$B$1,$B156&amp;":"&amp;K$115&amp;":"&amp;$R$114)</f>
        <v>#</v>
      </c>
      <c r="Z156" s="461" t="str">
        <f>_xll.BLUEMATRIX2("/servlet/excelData",L156,$B$1,$B156&amp;":"&amp;L$115&amp;":"&amp;$R$114)</f>
        <v>#</v>
      </c>
      <c r="AA156" s="461" t="str">
        <f>_xll.BLUEMATRIX2("/servlet/excelData",M156,$B$1,$B156&amp;":"&amp;M$115&amp;":"&amp;$R$114)</f>
        <v>#</v>
      </c>
      <c r="AB156" s="461" t="str">
        <f>_xll.BLUEMATRIX2("/servlet/excelData",N156,$B$1,$B156&amp;":"&amp;N$115&amp;":"&amp;$R$114)</f>
        <v>#</v>
      </c>
      <c r="AC156" s="461" t="str">
        <f>_xll.BLUEMATRIX2("/servlet/excelData",O156,$B$1,$B156&amp;":"&amp;O$115&amp;":"&amp;$R$114)</f>
        <v>#</v>
      </c>
      <c r="AD156" s="461" t="str">
        <f>_xll.BLUEMATRIX2("/servlet/excelData",P156,$B$1,$B156&amp;":"&amp;P$115&amp;":"&amp;$R$114)</f>
        <v>#</v>
      </c>
      <c r="AE156" s="461" t="str">
        <f>_xll.BLUEMATRIX2("/servlet/excelData",Q156,$B$1,$B156&amp;":"&amp;Q$115&amp;":"&amp;$R$114)</f>
        <v>#</v>
      </c>
    </row>
    <row r="157" spans="1:31" ht="12.95" customHeight="1">
      <c r="A157" s="373" t="s">
        <v>345</v>
      </c>
      <c r="B157" s="344" t="s">
        <v>346</v>
      </c>
      <c r="C157" s="390" t="s">
        <v>12</v>
      </c>
      <c r="D157" s="375"/>
      <c r="E157" s="375"/>
      <c r="F157" s="375"/>
      <c r="G157" s="375"/>
      <c r="H157" s="375"/>
      <c r="I157" s="375"/>
      <c r="J157" s="375"/>
      <c r="K157" s="375"/>
      <c r="L157" s="375"/>
      <c r="M157" s="375"/>
      <c r="N157" s="375"/>
      <c r="O157" s="375"/>
      <c r="P157" s="375"/>
      <c r="Q157" s="375"/>
      <c r="R157" s="376"/>
      <c r="S157" s="461" t="str">
        <f>_xll.BLUEMATRIX2("/servlet/excelData",E157,$B$1,$B157&amp;":"&amp;E$115&amp;":"&amp;$R$114)</f>
        <v>#</v>
      </c>
      <c r="T157" s="461" t="str">
        <f>_xll.BLUEMATRIX2("/servlet/excelData",F157,$B$1,$B157&amp;":"&amp;F$115&amp;":"&amp;$R$114)</f>
        <v>#</v>
      </c>
      <c r="U157" s="461" t="str">
        <f>_xll.BLUEMATRIX2("/servlet/excelData",G157,$B$1,$B157&amp;":"&amp;G$115&amp;":"&amp;$R$114)</f>
        <v>#</v>
      </c>
      <c r="V157" s="461" t="str">
        <f>_xll.BLUEMATRIX2("/servlet/excelData",H157,$B$1,$B157&amp;":"&amp;H$115&amp;":"&amp;$R$114)</f>
        <v>#</v>
      </c>
      <c r="W157" s="461" t="str">
        <f>_xll.BLUEMATRIX2("/servlet/excelData",I157,$B$1,$B157&amp;":"&amp;I$115&amp;":"&amp;$R$114)</f>
        <v>#</v>
      </c>
      <c r="X157" s="461" t="str">
        <f>_xll.BLUEMATRIX2("/servlet/excelData",J157,$B$1,$B157&amp;":"&amp;J$115&amp;":"&amp;$R$114)</f>
        <v>#</v>
      </c>
      <c r="Y157" s="461" t="str">
        <f>_xll.BLUEMATRIX2("/servlet/excelData",K157,$B$1,$B157&amp;":"&amp;K$115&amp;":"&amp;$R$114)</f>
        <v>#</v>
      </c>
      <c r="Z157" s="461" t="str">
        <f>_xll.BLUEMATRIX2("/servlet/excelData",L157,$B$1,$B157&amp;":"&amp;L$115&amp;":"&amp;$R$114)</f>
        <v>#</v>
      </c>
      <c r="AA157" s="461" t="str">
        <f>_xll.BLUEMATRIX2("/servlet/excelData",M157,$B$1,$B157&amp;":"&amp;M$115&amp;":"&amp;$R$114)</f>
        <v>#</v>
      </c>
      <c r="AB157" s="461" t="str">
        <f>_xll.BLUEMATRIX2("/servlet/excelData",N157,$B$1,$B157&amp;":"&amp;N$115&amp;":"&amp;$R$114)</f>
        <v>#</v>
      </c>
      <c r="AC157" s="461" t="str">
        <f>_xll.BLUEMATRIX2("/servlet/excelData",O157,$B$1,$B157&amp;":"&amp;O$115&amp;":"&amp;$R$114)</f>
        <v>#</v>
      </c>
      <c r="AD157" s="461" t="str">
        <f>_xll.BLUEMATRIX2("/servlet/excelData",P157,$B$1,$B157&amp;":"&amp;P$115&amp;":"&amp;$R$114)</f>
        <v>#</v>
      </c>
      <c r="AE157" s="461" t="str">
        <f>_xll.BLUEMATRIX2("/servlet/excelData",Q157,$B$1,$B157&amp;":"&amp;Q$115&amp;":"&amp;$R$114)</f>
        <v>#</v>
      </c>
    </row>
    <row r="158" spans="1:31" ht="12.95" customHeight="1">
      <c r="A158" s="373" t="s">
        <v>347</v>
      </c>
      <c r="B158" s="344" t="s">
        <v>348</v>
      </c>
      <c r="C158" s="390" t="s">
        <v>349</v>
      </c>
      <c r="D158" s="375"/>
      <c r="E158" s="375"/>
      <c r="F158" s="375"/>
      <c r="G158" s="375"/>
      <c r="H158" s="375"/>
      <c r="I158" s="375"/>
      <c r="J158" s="375"/>
      <c r="K158" s="375"/>
      <c r="L158" s="375"/>
      <c r="M158" s="375"/>
      <c r="N158" s="375"/>
      <c r="O158" s="375"/>
      <c r="P158" s="375"/>
      <c r="Q158" s="375"/>
      <c r="R158" s="320"/>
      <c r="S158" s="461" t="str">
        <f>_xll.BLUEMATRIX2("/servlet/excelData",E158,$B$1,$B158&amp;":"&amp;E$115&amp;":"&amp;$R$114)</f>
        <v>#</v>
      </c>
      <c r="T158" s="461" t="str">
        <f>_xll.BLUEMATRIX2("/servlet/excelData",F158,$B$1,$B158&amp;":"&amp;F$115&amp;":"&amp;$R$114)</f>
        <v>#</v>
      </c>
      <c r="U158" s="461" t="str">
        <f>_xll.BLUEMATRIX2("/servlet/excelData",G158,$B$1,$B158&amp;":"&amp;G$115&amp;":"&amp;$R$114)</f>
        <v>#</v>
      </c>
      <c r="V158" s="461" t="str">
        <f>_xll.BLUEMATRIX2("/servlet/excelData",H158,$B$1,$B158&amp;":"&amp;H$115&amp;":"&amp;$R$114)</f>
        <v>#</v>
      </c>
      <c r="W158" s="461" t="str">
        <f>_xll.BLUEMATRIX2("/servlet/excelData",I158,$B$1,$B158&amp;":"&amp;I$115&amp;":"&amp;$R$114)</f>
        <v>#</v>
      </c>
      <c r="X158" s="461" t="str">
        <f>_xll.BLUEMATRIX2("/servlet/excelData",J158,$B$1,$B158&amp;":"&amp;J$115&amp;":"&amp;$R$114)</f>
        <v>#</v>
      </c>
      <c r="Y158" s="461" t="str">
        <f>_xll.BLUEMATRIX2("/servlet/excelData",K158,$B$1,$B158&amp;":"&amp;K$115&amp;":"&amp;$R$114)</f>
        <v>#</v>
      </c>
      <c r="Z158" s="461" t="str">
        <f>_xll.BLUEMATRIX2("/servlet/excelData",L158,$B$1,$B158&amp;":"&amp;L$115&amp;":"&amp;$R$114)</f>
        <v>#</v>
      </c>
      <c r="AA158" s="461" t="str">
        <f>_xll.BLUEMATRIX2("/servlet/excelData",M158,$B$1,$B158&amp;":"&amp;M$115&amp;":"&amp;$R$114)</f>
        <v>#</v>
      </c>
      <c r="AB158" s="461" t="str">
        <f>_xll.BLUEMATRIX2("/servlet/excelData",N158,$B$1,$B158&amp;":"&amp;N$115&amp;":"&amp;$R$114)</f>
        <v>#</v>
      </c>
      <c r="AC158" s="461" t="str">
        <f>_xll.BLUEMATRIX2("/servlet/excelData",O158,$B$1,$B158&amp;":"&amp;O$115&amp;":"&amp;$R$114)</f>
        <v>#</v>
      </c>
      <c r="AD158" s="461" t="str">
        <f>_xll.BLUEMATRIX2("/servlet/excelData",P158,$B$1,$B158&amp;":"&amp;P$115&amp;":"&amp;$R$114)</f>
        <v>#</v>
      </c>
      <c r="AE158" s="461" t="str">
        <f>_xll.BLUEMATRIX2("/servlet/excelData",Q158,$B$1,$B158&amp;":"&amp;Q$115&amp;":"&amp;$R$114)</f>
        <v>#</v>
      </c>
    </row>
    <row r="159" spans="1:31" ht="12.95" customHeight="1">
      <c r="A159" s="373" t="s">
        <v>350</v>
      </c>
      <c r="B159" s="344" t="s">
        <v>351</v>
      </c>
      <c r="C159" s="384" t="s">
        <v>352</v>
      </c>
      <c r="D159" s="383"/>
      <c r="E159" s="383">
        <f>FY!C50</f>
        <v>0</v>
      </c>
      <c r="F159" s="383">
        <f>FY!D50</f>
        <v>-32.5</v>
      </c>
      <c r="G159" s="383">
        <f>FY!E50</f>
        <v>-42.2</v>
      </c>
      <c r="H159" s="383">
        <f>FY!F50</f>
        <v>-91.5</v>
      </c>
      <c r="I159" s="383">
        <f>FY!G50</f>
        <v>-86.2</v>
      </c>
      <c r="J159" s="383">
        <f>FY!H50</f>
        <v>-87.439530078163997</v>
      </c>
      <c r="K159" s="383">
        <f>FY!I50</f>
        <v>-94.00824065173947</v>
      </c>
      <c r="L159" s="383">
        <f>FY!J50</f>
        <v>-93.699704180586792</v>
      </c>
      <c r="M159" s="383">
        <f>FY!K50</f>
        <v>-90.858558835964288</v>
      </c>
      <c r="N159" s="383">
        <f>FY!L50</f>
        <v>-85.684866651067949</v>
      </c>
      <c r="O159" s="383">
        <f>FY!M50</f>
        <v>-82.174395722590972</v>
      </c>
      <c r="P159" s="383">
        <f>FY!N50</f>
        <v>-76.894334497383142</v>
      </c>
      <c r="Q159" s="383">
        <f>FY!O50</f>
        <v>-71.383154253968314</v>
      </c>
      <c r="R159" s="320"/>
      <c r="S159" s="461" t="str">
        <f>_xll.BLUEMATRIX2("/servlet/excelData",E159,$B$1,$B159&amp;":"&amp;E$115&amp;":"&amp;$R$114)</f>
        <v>#</v>
      </c>
      <c r="T159" s="461" t="str">
        <f>_xll.BLUEMATRIX2("/servlet/excelData",F159,$B$1,$B159&amp;":"&amp;F$115&amp;":"&amp;$R$114)</f>
        <v>#</v>
      </c>
      <c r="U159" s="461" t="str">
        <f>_xll.BLUEMATRIX2("/servlet/excelData",G159,$B$1,$B159&amp;":"&amp;G$115&amp;":"&amp;$R$114)</f>
        <v>#</v>
      </c>
      <c r="V159" s="461" t="str">
        <f>_xll.BLUEMATRIX2("/servlet/excelData",H159,$B$1,$B159&amp;":"&amp;H$115&amp;":"&amp;$R$114)</f>
        <v>#</v>
      </c>
      <c r="W159" s="461" t="str">
        <f>_xll.BLUEMATRIX2("/servlet/excelData",I159,$B$1,$B159&amp;":"&amp;I$115&amp;":"&amp;$R$114)</f>
        <v>#</v>
      </c>
      <c r="X159" s="461" t="str">
        <f>_xll.BLUEMATRIX2("/servlet/excelData",J159,$B$1,$B159&amp;":"&amp;J$115&amp;":"&amp;$R$114)</f>
        <v>#</v>
      </c>
      <c r="Y159" s="461" t="str">
        <f>_xll.BLUEMATRIX2("/servlet/excelData",K159,$B$1,$B159&amp;":"&amp;K$115&amp;":"&amp;$R$114)</f>
        <v>#</v>
      </c>
      <c r="Z159" s="461" t="str">
        <f>_xll.BLUEMATRIX2("/servlet/excelData",L159,$B$1,$B159&amp;":"&amp;L$115&amp;":"&amp;$R$114)</f>
        <v>#</v>
      </c>
      <c r="AA159" s="461" t="str">
        <f>_xll.BLUEMATRIX2("/servlet/excelData",M159,$B$1,$B159&amp;":"&amp;M$115&amp;":"&amp;$R$114)</f>
        <v>#</v>
      </c>
      <c r="AB159" s="461" t="str">
        <f>_xll.BLUEMATRIX2("/servlet/excelData",N159,$B$1,$B159&amp;":"&amp;N$115&amp;":"&amp;$R$114)</f>
        <v>#</v>
      </c>
      <c r="AC159" s="461" t="str">
        <f>_xll.BLUEMATRIX2("/servlet/excelData",O159,$B$1,$B159&amp;":"&amp;O$115&amp;":"&amp;$R$114)</f>
        <v>#</v>
      </c>
      <c r="AD159" s="461" t="str">
        <f>_xll.BLUEMATRIX2("/servlet/excelData",P159,$B$1,$B159&amp;":"&amp;P$115&amp;":"&amp;$R$114)</f>
        <v>#</v>
      </c>
      <c r="AE159" s="461" t="str">
        <f>_xll.BLUEMATRIX2("/servlet/excelData",Q159,$B$1,$B159&amp;":"&amp;Q$115&amp;":"&amp;$R$114)</f>
        <v>#</v>
      </c>
    </row>
    <row r="160" spans="1:31" ht="12.95" customHeight="1">
      <c r="A160" s="373" t="s">
        <v>353</v>
      </c>
      <c r="B160" s="344" t="s">
        <v>354</v>
      </c>
      <c r="C160" s="390" t="s">
        <v>355</v>
      </c>
      <c r="D160" s="375"/>
      <c r="E160" s="375"/>
      <c r="F160" s="375"/>
      <c r="G160" s="375"/>
      <c r="H160" s="375"/>
      <c r="I160" s="375"/>
      <c r="J160" s="375"/>
      <c r="K160" s="375"/>
      <c r="L160" s="375"/>
      <c r="M160" s="375"/>
      <c r="N160" s="375"/>
      <c r="O160" s="375"/>
      <c r="P160" s="375"/>
      <c r="Q160" s="375"/>
      <c r="R160" s="320"/>
      <c r="S160" s="461" t="str">
        <f>_xll.BLUEMATRIX2("/servlet/excelData",E160,$B$1,$B160&amp;":"&amp;E$115&amp;":"&amp;$R$114)</f>
        <v>#</v>
      </c>
      <c r="T160" s="461" t="str">
        <f>_xll.BLUEMATRIX2("/servlet/excelData",F160,$B$1,$B160&amp;":"&amp;F$115&amp;":"&amp;$R$114)</f>
        <v>#</v>
      </c>
      <c r="U160" s="461" t="str">
        <f>_xll.BLUEMATRIX2("/servlet/excelData",G160,$B$1,$B160&amp;":"&amp;G$115&amp;":"&amp;$R$114)</f>
        <v>#</v>
      </c>
      <c r="V160" s="461" t="str">
        <f>_xll.BLUEMATRIX2("/servlet/excelData",H160,$B$1,$B160&amp;":"&amp;H$115&amp;":"&amp;$R$114)</f>
        <v>#</v>
      </c>
      <c r="W160" s="461" t="str">
        <f>_xll.BLUEMATRIX2("/servlet/excelData",I160,$B$1,$B160&amp;":"&amp;I$115&amp;":"&amp;$R$114)</f>
        <v>#</v>
      </c>
      <c r="X160" s="461" t="str">
        <f>_xll.BLUEMATRIX2("/servlet/excelData",J160,$B$1,$B160&amp;":"&amp;J$115&amp;":"&amp;$R$114)</f>
        <v>#</v>
      </c>
      <c r="Y160" s="461" t="str">
        <f>_xll.BLUEMATRIX2("/servlet/excelData",K160,$B$1,$B160&amp;":"&amp;K$115&amp;":"&amp;$R$114)</f>
        <v>#</v>
      </c>
      <c r="Z160" s="461" t="str">
        <f>_xll.BLUEMATRIX2("/servlet/excelData",L160,$B$1,$B160&amp;":"&amp;L$115&amp;":"&amp;$R$114)</f>
        <v>#</v>
      </c>
      <c r="AA160" s="461" t="str">
        <f>_xll.BLUEMATRIX2("/servlet/excelData",M160,$B$1,$B160&amp;":"&amp;M$115&amp;":"&amp;$R$114)</f>
        <v>#</v>
      </c>
      <c r="AB160" s="461" t="str">
        <f>_xll.BLUEMATRIX2("/servlet/excelData",N160,$B$1,$B160&amp;":"&amp;N$115&amp;":"&amp;$R$114)</f>
        <v>#</v>
      </c>
      <c r="AC160" s="461" t="str">
        <f>_xll.BLUEMATRIX2("/servlet/excelData",O160,$B$1,$B160&amp;":"&amp;O$115&amp;":"&amp;$R$114)</f>
        <v>#</v>
      </c>
      <c r="AD160" s="461" t="str">
        <f>_xll.BLUEMATRIX2("/servlet/excelData",P160,$B$1,$B160&amp;":"&amp;P$115&amp;":"&amp;$R$114)</f>
        <v>#</v>
      </c>
      <c r="AE160" s="461" t="str">
        <f>_xll.BLUEMATRIX2("/servlet/excelData",Q160,$B$1,$B160&amp;":"&amp;Q$115&amp;":"&amp;$R$114)</f>
        <v>#</v>
      </c>
    </row>
    <row r="161" spans="1:31" ht="12.95" customHeight="1">
      <c r="A161" s="379" t="s">
        <v>356</v>
      </c>
      <c r="B161" s="344" t="s">
        <v>357</v>
      </c>
      <c r="C161" s="390" t="s">
        <v>358</v>
      </c>
      <c r="D161" s="375"/>
      <c r="E161" s="375"/>
      <c r="F161" s="375"/>
      <c r="G161" s="375"/>
      <c r="H161" s="375"/>
      <c r="I161" s="375"/>
      <c r="J161" s="375"/>
      <c r="K161" s="375"/>
      <c r="L161" s="375"/>
      <c r="M161" s="375"/>
      <c r="N161" s="375"/>
      <c r="O161" s="375"/>
      <c r="P161" s="375"/>
      <c r="Q161" s="375"/>
      <c r="R161" s="320"/>
      <c r="S161" s="461" t="str">
        <f>_xll.BLUEMATRIX2("/servlet/excelData",E161,$B$1,$B161&amp;":"&amp;E$115&amp;":"&amp;$R$114)</f>
        <v>#</v>
      </c>
      <c r="T161" s="461" t="str">
        <f>_xll.BLUEMATRIX2("/servlet/excelData",F161,$B$1,$B161&amp;":"&amp;F$115&amp;":"&amp;$R$114)</f>
        <v>#</v>
      </c>
      <c r="U161" s="461" t="str">
        <f>_xll.BLUEMATRIX2("/servlet/excelData",G161,$B$1,$B161&amp;":"&amp;G$115&amp;":"&amp;$R$114)</f>
        <v>#</v>
      </c>
      <c r="V161" s="461" t="str">
        <f>_xll.BLUEMATRIX2("/servlet/excelData",H161,$B$1,$B161&amp;":"&amp;H$115&amp;":"&amp;$R$114)</f>
        <v>#</v>
      </c>
      <c r="W161" s="461" t="str">
        <f>_xll.BLUEMATRIX2("/servlet/excelData",I161,$B$1,$B161&amp;":"&amp;I$115&amp;":"&amp;$R$114)</f>
        <v>#</v>
      </c>
      <c r="X161" s="461" t="str">
        <f>_xll.BLUEMATRIX2("/servlet/excelData",J161,$B$1,$B161&amp;":"&amp;J$115&amp;":"&amp;$R$114)</f>
        <v>#</v>
      </c>
      <c r="Y161" s="461" t="str">
        <f>_xll.BLUEMATRIX2("/servlet/excelData",K161,$B$1,$B161&amp;":"&amp;K$115&amp;":"&amp;$R$114)</f>
        <v>#</v>
      </c>
      <c r="Z161" s="461" t="str">
        <f>_xll.BLUEMATRIX2("/servlet/excelData",L161,$B$1,$B161&amp;":"&amp;L$115&amp;":"&amp;$R$114)</f>
        <v>#</v>
      </c>
      <c r="AA161" s="461" t="str">
        <f>_xll.BLUEMATRIX2("/servlet/excelData",M161,$B$1,$B161&amp;":"&amp;M$115&amp;":"&amp;$R$114)</f>
        <v>#</v>
      </c>
      <c r="AB161" s="461" t="str">
        <f>_xll.BLUEMATRIX2("/servlet/excelData",N161,$B$1,$B161&amp;":"&amp;N$115&amp;":"&amp;$R$114)</f>
        <v>#</v>
      </c>
      <c r="AC161" s="461" t="str">
        <f>_xll.BLUEMATRIX2("/servlet/excelData",O161,$B$1,$B161&amp;":"&amp;O$115&amp;":"&amp;$R$114)</f>
        <v>#</v>
      </c>
      <c r="AD161" s="461" t="str">
        <f>_xll.BLUEMATRIX2("/servlet/excelData",P161,$B$1,$B161&amp;":"&amp;P$115&amp;":"&amp;$R$114)</f>
        <v>#</v>
      </c>
      <c r="AE161" s="461" t="str">
        <f>_xll.BLUEMATRIX2("/servlet/excelData",Q161,$B$1,$B161&amp;":"&amp;Q$115&amp;":"&amp;$R$114)</f>
        <v>#</v>
      </c>
    </row>
    <row r="162" spans="1:31" ht="12.95" customHeight="1">
      <c r="A162" s="373" t="s">
        <v>359</v>
      </c>
      <c r="B162" s="344" t="s">
        <v>360</v>
      </c>
      <c r="C162" s="377" t="s">
        <v>360</v>
      </c>
      <c r="D162" s="378"/>
      <c r="E162" s="378">
        <f>E156+E159+E160+E161</f>
        <v>74.200000000000045</v>
      </c>
      <c r="F162" s="378">
        <f>F156+F159+F160+F161</f>
        <v>118</v>
      </c>
      <c r="G162" s="378">
        <f>G156+G159+G160+G161</f>
        <v>55.199999999999974</v>
      </c>
      <c r="H162" s="378">
        <f>H156+H159+H160+H161</f>
        <v>97.199999999999989</v>
      </c>
      <c r="I162" s="378">
        <f>I156+I159+I160+I161</f>
        <v>132.5</v>
      </c>
      <c r="J162" s="378">
        <f t="shared" ref="J162:Q162" si="11">J156+J159+J160+J161</f>
        <v>150.58053439678326</v>
      </c>
      <c r="K162" s="378">
        <f t="shared" si="11"/>
        <v>168.23753009476275</v>
      </c>
      <c r="L162" s="378">
        <f t="shared" si="11"/>
        <v>175.46803172442273</v>
      </c>
      <c r="M162" s="378">
        <f t="shared" si="11"/>
        <v>195.04758744150797</v>
      </c>
      <c r="N162" s="378">
        <f t="shared" si="11"/>
        <v>213.06918076275079</v>
      </c>
      <c r="O162" s="378">
        <f t="shared" si="11"/>
        <v>227.41803206760352</v>
      </c>
      <c r="P162" s="378">
        <f t="shared" si="11"/>
        <v>242.18919598277122</v>
      </c>
      <c r="Q162" s="378">
        <f t="shared" si="11"/>
        <v>256.33128472714861</v>
      </c>
      <c r="R162" s="320"/>
      <c r="S162" s="461" t="str">
        <f>_xll.BLUEMATRIX2("/servlet/excelData",E162,$B$1,$B162&amp;":"&amp;E$115&amp;":"&amp;$R$114)</f>
        <v>#</v>
      </c>
      <c r="T162" s="461" t="str">
        <f>_xll.BLUEMATRIX2("/servlet/excelData",F162,$B$1,$B162&amp;":"&amp;F$115&amp;":"&amp;$R$114)</f>
        <v>#</v>
      </c>
      <c r="U162" s="461" t="str">
        <f>_xll.BLUEMATRIX2("/servlet/excelData",G162,$B$1,$B162&amp;":"&amp;G$115&amp;":"&amp;$R$114)</f>
        <v>#</v>
      </c>
      <c r="V162" s="461" t="str">
        <f>_xll.BLUEMATRIX2("/servlet/excelData",H162,$B$1,$B162&amp;":"&amp;H$115&amp;":"&amp;$R$114)</f>
        <v>#</v>
      </c>
      <c r="W162" s="461" t="str">
        <f>_xll.BLUEMATRIX2("/servlet/excelData",I162,$B$1,$B162&amp;":"&amp;I$115&amp;":"&amp;$R$114)</f>
        <v>#</v>
      </c>
      <c r="X162" s="461" t="str">
        <f>_xll.BLUEMATRIX2("/servlet/excelData",J162,$B$1,$B162&amp;":"&amp;J$115&amp;":"&amp;$R$114)</f>
        <v>#</v>
      </c>
      <c r="Y162" s="461" t="str">
        <f>_xll.BLUEMATRIX2("/servlet/excelData",K162,$B$1,$B162&amp;":"&amp;K$115&amp;":"&amp;$R$114)</f>
        <v>#</v>
      </c>
      <c r="Z162" s="461" t="str">
        <f>_xll.BLUEMATRIX2("/servlet/excelData",L162,$B$1,$B162&amp;":"&amp;L$115&amp;":"&amp;$R$114)</f>
        <v>#</v>
      </c>
      <c r="AA162" s="461" t="str">
        <f>_xll.BLUEMATRIX2("/servlet/excelData",M162,$B$1,$B162&amp;":"&amp;M$115&amp;":"&amp;$R$114)</f>
        <v>#</v>
      </c>
      <c r="AB162" s="461" t="str">
        <f>_xll.BLUEMATRIX2("/servlet/excelData",N162,$B$1,$B162&amp;":"&amp;N$115&amp;":"&amp;$R$114)</f>
        <v>#</v>
      </c>
      <c r="AC162" s="461" t="str">
        <f>_xll.BLUEMATRIX2("/servlet/excelData",O162,$B$1,$B162&amp;":"&amp;O$115&amp;":"&amp;$R$114)</f>
        <v>#</v>
      </c>
      <c r="AD162" s="461" t="str">
        <f>_xll.BLUEMATRIX2("/servlet/excelData",P162,$B$1,$B162&amp;":"&amp;P$115&amp;":"&amp;$R$114)</f>
        <v>#</v>
      </c>
      <c r="AE162" s="461" t="str">
        <f>_xll.BLUEMATRIX2("/servlet/excelData",Q162,$B$1,$B162&amp;":"&amp;Q$115&amp;":"&amp;$R$114)</f>
        <v>#</v>
      </c>
    </row>
    <row r="163" spans="1:31" ht="12.95" customHeight="1">
      <c r="A163" s="373" t="s">
        <v>361</v>
      </c>
      <c r="B163" s="344" t="s">
        <v>362</v>
      </c>
      <c r="C163" s="390" t="s">
        <v>55</v>
      </c>
      <c r="D163" s="375"/>
      <c r="E163" s="375">
        <f>FY!C54</f>
        <v>0</v>
      </c>
      <c r="F163" s="375">
        <f>FY!D54</f>
        <v>-31</v>
      </c>
      <c r="G163" s="375">
        <f>FY!E54</f>
        <v>-24</v>
      </c>
      <c r="H163" s="375">
        <f>FY!F54</f>
        <v>-51.5</v>
      </c>
      <c r="I163" s="375">
        <f>FY!G54</f>
        <v>-58.4</v>
      </c>
      <c r="J163" s="375">
        <f>FY!H54</f>
        <v>-61.87027037434585</v>
      </c>
      <c r="K163" s="375">
        <f>FY!I54</f>
        <v>-70.149896360044494</v>
      </c>
      <c r="L163" s="375">
        <f>FY!J54</f>
        <v>-76.810402931161477</v>
      </c>
      <c r="M163" s="375">
        <f>FY!K54</f>
        <v>-87.556330544653889</v>
      </c>
      <c r="N163" s="375">
        <f>FY!L54</f>
        <v>-94.927504224036369</v>
      </c>
      <c r="O163" s="375">
        <f>FY!M54</f>
        <v>-100.8839579877725</v>
      </c>
      <c r="P163" s="375">
        <f>FY!N54</f>
        <v>-107.01455632271853</v>
      </c>
      <c r="Q163" s="375">
        <f>FY!O54</f>
        <v>-87.028964708144571</v>
      </c>
      <c r="R163" s="320"/>
      <c r="S163" s="461" t="str">
        <f>_xll.BLUEMATRIX2("/servlet/excelData",E163,$B$1,$B163&amp;":"&amp;E$115&amp;":"&amp;$R$114)</f>
        <v>#</v>
      </c>
      <c r="T163" s="461" t="str">
        <f>_xll.BLUEMATRIX2("/servlet/excelData",F163,$B$1,$B163&amp;":"&amp;F$115&amp;":"&amp;$R$114)</f>
        <v>#</v>
      </c>
      <c r="U163" s="461" t="str">
        <f>_xll.BLUEMATRIX2("/servlet/excelData",G163,$B$1,$B163&amp;":"&amp;G$115&amp;":"&amp;$R$114)</f>
        <v>#</v>
      </c>
      <c r="V163" s="461" t="str">
        <f>_xll.BLUEMATRIX2("/servlet/excelData",H163,$B$1,$B163&amp;":"&amp;H$115&amp;":"&amp;$R$114)</f>
        <v>#</v>
      </c>
      <c r="W163" s="461" t="str">
        <f>_xll.BLUEMATRIX2("/servlet/excelData",I163,$B$1,$B163&amp;":"&amp;I$115&amp;":"&amp;$R$114)</f>
        <v>#</v>
      </c>
      <c r="X163" s="461" t="str">
        <f>_xll.BLUEMATRIX2("/servlet/excelData",J163,$B$1,$B163&amp;":"&amp;J$115&amp;":"&amp;$R$114)</f>
        <v>#</v>
      </c>
      <c r="Y163" s="461" t="str">
        <f>_xll.BLUEMATRIX2("/servlet/excelData",K163,$B$1,$B163&amp;":"&amp;K$115&amp;":"&amp;$R$114)</f>
        <v>#</v>
      </c>
      <c r="Z163" s="461" t="str">
        <f>_xll.BLUEMATRIX2("/servlet/excelData",L163,$B$1,$B163&amp;":"&amp;L$115&amp;":"&amp;$R$114)</f>
        <v>#</v>
      </c>
      <c r="AA163" s="461" t="str">
        <f>_xll.BLUEMATRIX2("/servlet/excelData",M163,$B$1,$B163&amp;":"&amp;M$115&amp;":"&amp;$R$114)</f>
        <v>#</v>
      </c>
      <c r="AB163" s="461" t="str">
        <f>_xll.BLUEMATRIX2("/servlet/excelData",N163,$B$1,$B163&amp;":"&amp;N$115&amp;":"&amp;$R$114)</f>
        <v>#</v>
      </c>
      <c r="AC163" s="461" t="str">
        <f>_xll.BLUEMATRIX2("/servlet/excelData",O163,$B$1,$B163&amp;":"&amp;O$115&amp;":"&amp;$R$114)</f>
        <v>#</v>
      </c>
      <c r="AD163" s="461" t="str">
        <f>_xll.BLUEMATRIX2("/servlet/excelData",P163,$B$1,$B163&amp;":"&amp;P$115&amp;":"&amp;$R$114)</f>
        <v>#</v>
      </c>
      <c r="AE163" s="461" t="str">
        <f>_xll.BLUEMATRIX2("/servlet/excelData",Q163,$B$1,$B163&amp;":"&amp;Q$115&amp;":"&amp;$R$114)</f>
        <v>#</v>
      </c>
    </row>
    <row r="164" spans="1:31" ht="12.95" customHeight="1">
      <c r="A164" s="373" t="s">
        <v>363</v>
      </c>
      <c r="B164" s="344" t="s">
        <v>364</v>
      </c>
      <c r="C164" s="390" t="s">
        <v>365</v>
      </c>
      <c r="D164" s="375"/>
      <c r="E164" s="375"/>
      <c r="F164" s="375"/>
      <c r="G164" s="375"/>
      <c r="H164" s="375"/>
      <c r="I164" s="375"/>
      <c r="J164" s="375"/>
      <c r="K164" s="375"/>
      <c r="L164" s="375"/>
      <c r="M164" s="375"/>
      <c r="N164" s="375"/>
      <c r="O164" s="375"/>
      <c r="P164" s="375"/>
      <c r="Q164" s="375"/>
      <c r="R164" s="320"/>
      <c r="S164" s="461" t="str">
        <f>_xll.BLUEMATRIX2("/servlet/excelData",E164,$B$1,$B164&amp;":"&amp;E$115&amp;":"&amp;$R$114)</f>
        <v>#</v>
      </c>
      <c r="T164" s="461" t="str">
        <f>_xll.BLUEMATRIX2("/servlet/excelData",F164,$B$1,$B164&amp;":"&amp;F$115&amp;":"&amp;$R$114)</f>
        <v>#</v>
      </c>
      <c r="U164" s="461" t="str">
        <f>_xll.BLUEMATRIX2("/servlet/excelData",G164,$B$1,$B164&amp;":"&amp;G$115&amp;":"&amp;$R$114)</f>
        <v>#</v>
      </c>
      <c r="V164" s="461" t="str">
        <f>_xll.BLUEMATRIX2("/servlet/excelData",H164,$B$1,$B164&amp;":"&amp;H$115&amp;":"&amp;$R$114)</f>
        <v>#</v>
      </c>
      <c r="W164" s="461" t="str">
        <f>_xll.BLUEMATRIX2("/servlet/excelData",I164,$B$1,$B164&amp;":"&amp;I$115&amp;":"&amp;$R$114)</f>
        <v>#</v>
      </c>
      <c r="X164" s="461" t="str">
        <f>_xll.BLUEMATRIX2("/servlet/excelData",J164,$B$1,$B164&amp;":"&amp;J$115&amp;":"&amp;$R$114)</f>
        <v>#</v>
      </c>
      <c r="Y164" s="461" t="str">
        <f>_xll.BLUEMATRIX2("/servlet/excelData",K164,$B$1,$B164&amp;":"&amp;K$115&amp;":"&amp;$R$114)</f>
        <v>#</v>
      </c>
      <c r="Z164" s="461" t="str">
        <f>_xll.BLUEMATRIX2("/servlet/excelData",L164,$B$1,$B164&amp;":"&amp;L$115&amp;":"&amp;$R$114)</f>
        <v>#</v>
      </c>
      <c r="AA164" s="461" t="str">
        <f>_xll.BLUEMATRIX2("/servlet/excelData",M164,$B$1,$B164&amp;":"&amp;M$115&amp;":"&amp;$R$114)</f>
        <v>#</v>
      </c>
      <c r="AB164" s="461" t="str">
        <f>_xll.BLUEMATRIX2("/servlet/excelData",N164,$B$1,$B164&amp;":"&amp;N$115&amp;":"&amp;$R$114)</f>
        <v>#</v>
      </c>
      <c r="AC164" s="461" t="str">
        <f>_xll.BLUEMATRIX2("/servlet/excelData",O164,$B$1,$B164&amp;":"&amp;O$115&amp;":"&amp;$R$114)</f>
        <v>#</v>
      </c>
      <c r="AD164" s="461" t="str">
        <f>_xll.BLUEMATRIX2("/servlet/excelData",P164,$B$1,$B164&amp;":"&amp;P$115&amp;":"&amp;$R$114)</f>
        <v>#</v>
      </c>
      <c r="AE164" s="461" t="str">
        <f>_xll.BLUEMATRIX2("/servlet/excelData",Q164,$B$1,$B164&amp;":"&amp;Q$115&amp;":"&amp;$R$114)</f>
        <v>#</v>
      </c>
    </row>
    <row r="165" spans="1:31" ht="12.95" customHeight="1">
      <c r="A165" s="373" t="s">
        <v>366</v>
      </c>
      <c r="B165" s="344" t="s">
        <v>367</v>
      </c>
      <c r="C165" s="377" t="s">
        <v>368</v>
      </c>
      <c r="D165" s="378"/>
      <c r="E165" s="378">
        <f>E162+E163+E164</f>
        <v>74.200000000000045</v>
      </c>
      <c r="F165" s="378">
        <f>F162+F163+F164</f>
        <v>87</v>
      </c>
      <c r="G165" s="378">
        <f>G162+G163+G164</f>
        <v>31.199999999999974</v>
      </c>
      <c r="H165" s="378">
        <f>H162+H163+H164</f>
        <v>45.699999999999989</v>
      </c>
      <c r="I165" s="378">
        <f>I162+I163+I164</f>
        <v>74.099999999999994</v>
      </c>
      <c r="J165" s="378">
        <f t="shared" ref="J165:Q165" si="12">J162+J163+J164</f>
        <v>88.710264022437414</v>
      </c>
      <c r="K165" s="378">
        <f t="shared" si="12"/>
        <v>98.087633734718253</v>
      </c>
      <c r="L165" s="378">
        <f t="shared" si="12"/>
        <v>98.657628793261253</v>
      </c>
      <c r="M165" s="378">
        <f t="shared" si="12"/>
        <v>107.49125689685408</v>
      </c>
      <c r="N165" s="378">
        <f t="shared" si="12"/>
        <v>118.14167653871442</v>
      </c>
      <c r="O165" s="378">
        <f t="shared" si="12"/>
        <v>126.53407407983102</v>
      </c>
      <c r="P165" s="378">
        <f t="shared" si="12"/>
        <v>135.17463966005269</v>
      </c>
      <c r="Q165" s="378">
        <f t="shared" si="12"/>
        <v>169.30232001900404</v>
      </c>
      <c r="R165" s="320"/>
      <c r="S165" s="461" t="str">
        <f>_xll.BLUEMATRIX2("/servlet/excelData",E165,$B$1,$B165&amp;":"&amp;E$115&amp;":"&amp;$R$114)</f>
        <v>#</v>
      </c>
      <c r="T165" s="461" t="str">
        <f>_xll.BLUEMATRIX2("/servlet/excelData",F165,$B$1,$B165&amp;":"&amp;F$115&amp;":"&amp;$R$114)</f>
        <v>#</v>
      </c>
      <c r="U165" s="461" t="str">
        <f>_xll.BLUEMATRIX2("/servlet/excelData",G165,$B$1,$B165&amp;":"&amp;G$115&amp;":"&amp;$R$114)</f>
        <v>#</v>
      </c>
      <c r="V165" s="461" t="str">
        <f>_xll.BLUEMATRIX2("/servlet/excelData",H165,$B$1,$B165&amp;":"&amp;H$115&amp;":"&amp;$R$114)</f>
        <v>#</v>
      </c>
      <c r="W165" s="461" t="str">
        <f>_xll.BLUEMATRIX2("/servlet/excelData",I165,$B$1,$B165&amp;":"&amp;I$115&amp;":"&amp;$R$114)</f>
        <v>#</v>
      </c>
      <c r="X165" s="461" t="str">
        <f>_xll.BLUEMATRIX2("/servlet/excelData",J165,$B$1,$B165&amp;":"&amp;J$115&amp;":"&amp;$R$114)</f>
        <v>#</v>
      </c>
      <c r="Y165" s="461" t="str">
        <f>_xll.BLUEMATRIX2("/servlet/excelData",K165,$B$1,$B165&amp;":"&amp;K$115&amp;":"&amp;$R$114)</f>
        <v>#</v>
      </c>
      <c r="Z165" s="461" t="str">
        <f>_xll.BLUEMATRIX2("/servlet/excelData",L165,$B$1,$B165&amp;":"&amp;L$115&amp;":"&amp;$R$114)</f>
        <v>#</v>
      </c>
      <c r="AA165" s="461" t="str">
        <f>_xll.BLUEMATRIX2("/servlet/excelData",M165,$B$1,$B165&amp;":"&amp;M$115&amp;":"&amp;$R$114)</f>
        <v>#</v>
      </c>
      <c r="AB165" s="461" t="str">
        <f>_xll.BLUEMATRIX2("/servlet/excelData",N165,$B$1,$B165&amp;":"&amp;N$115&amp;":"&amp;$R$114)</f>
        <v>#</v>
      </c>
      <c r="AC165" s="461" t="str">
        <f>_xll.BLUEMATRIX2("/servlet/excelData",O165,$B$1,$B165&amp;":"&amp;O$115&amp;":"&amp;$R$114)</f>
        <v>#</v>
      </c>
      <c r="AD165" s="461" t="str">
        <f>_xll.BLUEMATRIX2("/servlet/excelData",P165,$B$1,$B165&amp;":"&amp;P$115&amp;":"&amp;$R$114)</f>
        <v>#</v>
      </c>
      <c r="AE165" s="461" t="str">
        <f>_xll.BLUEMATRIX2("/servlet/excelData",Q165,$B$1,$B165&amp;":"&amp;Q$115&amp;":"&amp;$R$114)</f>
        <v>#</v>
      </c>
    </row>
    <row r="166" spans="1:31" ht="12.95" customHeight="1">
      <c r="A166" s="373" t="s">
        <v>369</v>
      </c>
      <c r="B166" s="344" t="s">
        <v>370</v>
      </c>
      <c r="C166" s="390" t="s">
        <v>371</v>
      </c>
      <c r="D166" s="375"/>
      <c r="E166" s="375">
        <f>FY!C74</f>
        <v>0</v>
      </c>
      <c r="F166" s="375">
        <f>FY!D74</f>
        <v>-2.7</v>
      </c>
      <c r="G166" s="375">
        <f>FY!E74</f>
        <v>-3.2</v>
      </c>
      <c r="H166" s="375">
        <f>FY!F74</f>
        <v>3.8</v>
      </c>
      <c r="I166" s="375">
        <f>FY!G74</f>
        <v>-3</v>
      </c>
      <c r="J166" s="375">
        <f>FY!H74</f>
        <v>1</v>
      </c>
      <c r="K166" s="375">
        <f>FY!I74</f>
        <v>12</v>
      </c>
      <c r="L166" s="375">
        <f>FY!J74</f>
        <v>22</v>
      </c>
      <c r="M166" s="375">
        <f>FY!K74</f>
        <v>30</v>
      </c>
      <c r="N166" s="375">
        <f>FY!L74</f>
        <v>30.9</v>
      </c>
      <c r="O166" s="375">
        <f>FY!M74</f>
        <v>31.826999999999998</v>
      </c>
      <c r="P166" s="375">
        <f>FY!N74</f>
        <v>32.78181</v>
      </c>
      <c r="Q166" s="375">
        <f>FY!O74</f>
        <v>33.765264300000005</v>
      </c>
      <c r="R166" s="320"/>
      <c r="S166" s="461" t="str">
        <f>_xll.BLUEMATRIX2("/servlet/excelData",E166,$B$1,$B166&amp;":"&amp;E$115&amp;":"&amp;$R$114)</f>
        <v>#</v>
      </c>
      <c r="T166" s="461" t="str">
        <f>_xll.BLUEMATRIX2("/servlet/excelData",F166,$B$1,$B166&amp;":"&amp;F$115&amp;":"&amp;$R$114)</f>
        <v>#</v>
      </c>
      <c r="U166" s="461" t="str">
        <f>_xll.BLUEMATRIX2("/servlet/excelData",G166,$B$1,$B166&amp;":"&amp;G$115&amp;":"&amp;$R$114)</f>
        <v>#</v>
      </c>
      <c r="V166" s="461" t="str">
        <f>_xll.BLUEMATRIX2("/servlet/excelData",H166,$B$1,$B166&amp;":"&amp;H$115&amp;":"&amp;$R$114)</f>
        <v>#</v>
      </c>
      <c r="W166" s="461" t="str">
        <f>_xll.BLUEMATRIX2("/servlet/excelData",I166,$B$1,$B166&amp;":"&amp;I$115&amp;":"&amp;$R$114)</f>
        <v>#</v>
      </c>
      <c r="X166" s="461" t="str">
        <f>_xll.BLUEMATRIX2("/servlet/excelData",J166,$B$1,$B166&amp;":"&amp;J$115&amp;":"&amp;$R$114)</f>
        <v>#</v>
      </c>
      <c r="Y166" s="461" t="str">
        <f>_xll.BLUEMATRIX2("/servlet/excelData",K166,$B$1,$B166&amp;":"&amp;K$115&amp;":"&amp;$R$114)</f>
        <v>#</v>
      </c>
      <c r="Z166" s="461" t="str">
        <f>_xll.BLUEMATRIX2("/servlet/excelData",L166,$B$1,$B166&amp;":"&amp;L$115&amp;":"&amp;$R$114)</f>
        <v>#</v>
      </c>
      <c r="AA166" s="461" t="str">
        <f>_xll.BLUEMATRIX2("/servlet/excelData",M166,$B$1,$B166&amp;":"&amp;M$115&amp;":"&amp;$R$114)</f>
        <v>#</v>
      </c>
      <c r="AB166" s="461" t="str">
        <f>_xll.BLUEMATRIX2("/servlet/excelData",N166,$B$1,$B166&amp;":"&amp;N$115&amp;":"&amp;$R$114)</f>
        <v>#</v>
      </c>
      <c r="AC166" s="461" t="str">
        <f>_xll.BLUEMATRIX2("/servlet/excelData",O166,$B$1,$B166&amp;":"&amp;O$115&amp;":"&amp;$R$114)</f>
        <v>#</v>
      </c>
      <c r="AD166" s="461" t="str">
        <f>_xll.BLUEMATRIX2("/servlet/excelData",P166,$B$1,$B166&amp;":"&amp;P$115&amp;":"&amp;$R$114)</f>
        <v>#</v>
      </c>
      <c r="AE166" s="461" t="str">
        <f>_xll.BLUEMATRIX2("/servlet/excelData",Q166,$B$1,$B166&amp;":"&amp;Q$115&amp;":"&amp;$R$114)</f>
        <v>#</v>
      </c>
    </row>
    <row r="167" spans="1:31" ht="12.95" customHeight="1">
      <c r="A167" s="373" t="s">
        <v>372</v>
      </c>
      <c r="B167" s="344" t="s">
        <v>373</v>
      </c>
      <c r="C167" s="377" t="s">
        <v>374</v>
      </c>
      <c r="D167" s="378"/>
      <c r="E167" s="378">
        <f>E165+E166</f>
        <v>74.200000000000045</v>
      </c>
      <c r="F167" s="378">
        <f>F165+F166</f>
        <v>84.3</v>
      </c>
      <c r="G167" s="378">
        <f>G165+G166</f>
        <v>27.999999999999975</v>
      </c>
      <c r="H167" s="378">
        <f>H165+H166</f>
        <v>49.499999999999986</v>
      </c>
      <c r="I167" s="378">
        <f>I165+I166</f>
        <v>71.099999999999994</v>
      </c>
      <c r="J167" s="378">
        <f t="shared" ref="J167:Q167" si="13">J165+J166</f>
        <v>89.710264022437414</v>
      </c>
      <c r="K167" s="378">
        <f t="shared" si="13"/>
        <v>110.08763373471825</v>
      </c>
      <c r="L167" s="378">
        <f t="shared" si="13"/>
        <v>120.65762879326125</v>
      </c>
      <c r="M167" s="378">
        <f t="shared" si="13"/>
        <v>137.49125689685408</v>
      </c>
      <c r="N167" s="378">
        <f t="shared" si="13"/>
        <v>149.04167653871443</v>
      </c>
      <c r="O167" s="378">
        <f t="shared" si="13"/>
        <v>158.36107407983101</v>
      </c>
      <c r="P167" s="378">
        <f t="shared" si="13"/>
        <v>167.9564496600527</v>
      </c>
      <c r="Q167" s="378">
        <f t="shared" si="13"/>
        <v>203.06758431900406</v>
      </c>
      <c r="R167" s="320"/>
      <c r="S167" s="461" t="str">
        <f>_xll.BLUEMATRIX2("/servlet/excelData",E167,$B$1,$B167&amp;":"&amp;E$115&amp;":"&amp;$R$114)</f>
        <v>#</v>
      </c>
      <c r="T167" s="461" t="str">
        <f>_xll.BLUEMATRIX2("/servlet/excelData",F167,$B$1,$B167&amp;":"&amp;F$115&amp;":"&amp;$R$114)</f>
        <v>#</v>
      </c>
      <c r="U167" s="461" t="str">
        <f>_xll.BLUEMATRIX2("/servlet/excelData",G167,$B$1,$B167&amp;":"&amp;G$115&amp;":"&amp;$R$114)</f>
        <v>#</v>
      </c>
      <c r="V167" s="461" t="str">
        <f>_xll.BLUEMATRIX2("/servlet/excelData",H167,$B$1,$B167&amp;":"&amp;H$115&amp;":"&amp;$R$114)</f>
        <v>#</v>
      </c>
      <c r="W167" s="461" t="str">
        <f>_xll.BLUEMATRIX2("/servlet/excelData",I167,$B$1,$B167&amp;":"&amp;I$115&amp;":"&amp;$R$114)</f>
        <v>#</v>
      </c>
      <c r="X167" s="461" t="str">
        <f>_xll.BLUEMATRIX2("/servlet/excelData",J167,$B$1,$B167&amp;":"&amp;J$115&amp;":"&amp;$R$114)</f>
        <v>#</v>
      </c>
      <c r="Y167" s="461" t="str">
        <f>_xll.BLUEMATRIX2("/servlet/excelData",K167,$B$1,$B167&amp;":"&amp;K$115&amp;":"&amp;$R$114)</f>
        <v>#</v>
      </c>
      <c r="Z167" s="461" t="str">
        <f>_xll.BLUEMATRIX2("/servlet/excelData",L167,$B$1,$B167&amp;":"&amp;L$115&amp;":"&amp;$R$114)</f>
        <v>#</v>
      </c>
      <c r="AA167" s="461" t="str">
        <f>_xll.BLUEMATRIX2("/servlet/excelData",M167,$B$1,$B167&amp;":"&amp;M$115&amp;":"&amp;$R$114)</f>
        <v>#</v>
      </c>
      <c r="AB167" s="461" t="str">
        <f>_xll.BLUEMATRIX2("/servlet/excelData",N167,$B$1,$B167&amp;":"&amp;N$115&amp;":"&amp;$R$114)</f>
        <v>#</v>
      </c>
      <c r="AC167" s="461" t="str">
        <f>_xll.BLUEMATRIX2("/servlet/excelData",O167,$B$1,$B167&amp;":"&amp;O$115&amp;":"&amp;$R$114)</f>
        <v>#</v>
      </c>
      <c r="AD167" s="461" t="str">
        <f>_xll.BLUEMATRIX2("/servlet/excelData",P167,$B$1,$B167&amp;":"&amp;P$115&amp;":"&amp;$R$114)</f>
        <v>#</v>
      </c>
      <c r="AE167" s="461" t="str">
        <f>_xll.BLUEMATRIX2("/servlet/excelData",Q167,$B$1,$B167&amp;":"&amp;Q$115&amp;":"&amp;$R$114)</f>
        <v>#</v>
      </c>
    </row>
    <row r="168" spans="1:31" ht="12.95" customHeight="1">
      <c r="A168" s="373" t="s">
        <v>375</v>
      </c>
      <c r="B168" s="344" t="s">
        <v>376</v>
      </c>
      <c r="C168" s="390" t="s">
        <v>377</v>
      </c>
      <c r="D168" s="375"/>
      <c r="E168" s="375"/>
      <c r="F168" s="375"/>
      <c r="G168" s="375"/>
      <c r="H168" s="375"/>
      <c r="I168" s="375"/>
      <c r="J168" s="375"/>
      <c r="K168" s="375"/>
      <c r="L168" s="375"/>
      <c r="M168" s="375"/>
      <c r="N168" s="375"/>
      <c r="O168" s="375"/>
      <c r="P168" s="375"/>
      <c r="Q168" s="375"/>
      <c r="R168" s="320"/>
      <c r="S168" s="461" t="str">
        <f>_xll.BLUEMATRIX2("/servlet/excelData",E168,$B$1,$B168&amp;":"&amp;E$115&amp;":"&amp;$R$114)</f>
        <v>#</v>
      </c>
      <c r="T168" s="461" t="str">
        <f>_xll.BLUEMATRIX2("/servlet/excelData",F168,$B$1,$B168&amp;":"&amp;F$115&amp;":"&amp;$R$114)</f>
        <v>#</v>
      </c>
      <c r="U168" s="461" t="str">
        <f>_xll.BLUEMATRIX2("/servlet/excelData",G168,$B$1,$B168&amp;":"&amp;G$115&amp;":"&amp;$R$114)</f>
        <v>#</v>
      </c>
      <c r="V168" s="461" t="str">
        <f>_xll.BLUEMATRIX2("/servlet/excelData",H168,$B$1,$B168&amp;":"&amp;H$115&amp;":"&amp;$R$114)</f>
        <v>#</v>
      </c>
      <c r="W168" s="461" t="str">
        <f>_xll.BLUEMATRIX2("/servlet/excelData",I168,$B$1,$B168&amp;":"&amp;I$115&amp;":"&amp;$R$114)</f>
        <v>#</v>
      </c>
      <c r="X168" s="461" t="str">
        <f>_xll.BLUEMATRIX2("/servlet/excelData",J168,$B$1,$B168&amp;":"&amp;J$115&amp;":"&amp;$R$114)</f>
        <v>#</v>
      </c>
      <c r="Y168" s="461" t="str">
        <f>_xll.BLUEMATRIX2("/servlet/excelData",K168,$B$1,$B168&amp;":"&amp;K$115&amp;":"&amp;$R$114)</f>
        <v>#</v>
      </c>
      <c r="Z168" s="461" t="str">
        <f>_xll.BLUEMATRIX2("/servlet/excelData",L168,$B$1,$B168&amp;":"&amp;L$115&amp;":"&amp;$R$114)</f>
        <v>#</v>
      </c>
      <c r="AA168" s="461" t="str">
        <f>_xll.BLUEMATRIX2("/servlet/excelData",M168,$B$1,$B168&amp;":"&amp;M$115&amp;":"&amp;$R$114)</f>
        <v>#</v>
      </c>
      <c r="AB168" s="461" t="str">
        <f>_xll.BLUEMATRIX2("/servlet/excelData",N168,$B$1,$B168&amp;":"&amp;N$115&amp;":"&amp;$R$114)</f>
        <v>#</v>
      </c>
      <c r="AC168" s="461" t="str">
        <f>_xll.BLUEMATRIX2("/servlet/excelData",O168,$B$1,$B168&amp;":"&amp;O$115&amp;":"&amp;$R$114)</f>
        <v>#</v>
      </c>
      <c r="AD168" s="461" t="str">
        <f>_xll.BLUEMATRIX2("/servlet/excelData",P168,$B$1,$B168&amp;":"&amp;P$115&amp;":"&amp;$R$114)</f>
        <v>#</v>
      </c>
      <c r="AE168" s="461" t="str">
        <f>_xll.BLUEMATRIX2("/servlet/excelData",Q168,$B$1,$B168&amp;":"&amp;Q$115&amp;":"&amp;$R$114)</f>
        <v>#</v>
      </c>
    </row>
    <row r="169" spans="1:31" ht="12.95" customHeight="1">
      <c r="A169" s="373" t="s">
        <v>378</v>
      </c>
      <c r="B169" s="344" t="s">
        <v>379</v>
      </c>
      <c r="C169" s="377" t="s">
        <v>380</v>
      </c>
      <c r="D169" s="378"/>
      <c r="E169" s="378">
        <f>E167+E168</f>
        <v>74.200000000000045</v>
      </c>
      <c r="F169" s="378">
        <f>F167+F168</f>
        <v>84.3</v>
      </c>
      <c r="G169" s="378">
        <f>G167+G168</f>
        <v>27.999999999999975</v>
      </c>
      <c r="H169" s="378">
        <f>H167+H168</f>
        <v>49.499999999999986</v>
      </c>
      <c r="I169" s="378">
        <f>I167+I168</f>
        <v>71.099999999999994</v>
      </c>
      <c r="J169" s="378">
        <f t="shared" ref="J169:Q169" si="14">J167+J168</f>
        <v>89.710264022437414</v>
      </c>
      <c r="K169" s="378">
        <f t="shared" si="14"/>
        <v>110.08763373471825</v>
      </c>
      <c r="L169" s="378">
        <f t="shared" si="14"/>
        <v>120.65762879326125</v>
      </c>
      <c r="M169" s="378">
        <f t="shared" si="14"/>
        <v>137.49125689685408</v>
      </c>
      <c r="N169" s="378">
        <f t="shared" si="14"/>
        <v>149.04167653871443</v>
      </c>
      <c r="O169" s="378">
        <f t="shared" si="14"/>
        <v>158.36107407983101</v>
      </c>
      <c r="P169" s="378">
        <f t="shared" si="14"/>
        <v>167.9564496600527</v>
      </c>
      <c r="Q169" s="378">
        <f t="shared" si="14"/>
        <v>203.06758431900406</v>
      </c>
      <c r="R169" s="320"/>
      <c r="S169" s="461" t="str">
        <f>_xll.BLUEMATRIX2("/servlet/excelData",E169,$B$1,$B169&amp;":"&amp;E$115&amp;":"&amp;$R$114)</f>
        <v>#</v>
      </c>
      <c r="T169" s="461" t="str">
        <f>_xll.BLUEMATRIX2("/servlet/excelData",F169,$B$1,$B169&amp;":"&amp;F$115&amp;":"&amp;$R$114)</f>
        <v>#</v>
      </c>
      <c r="U169" s="461" t="str">
        <f>_xll.BLUEMATRIX2("/servlet/excelData",G169,$B$1,$B169&amp;":"&amp;G$115&amp;":"&amp;$R$114)</f>
        <v>#</v>
      </c>
      <c r="V169" s="461" t="str">
        <f>_xll.BLUEMATRIX2("/servlet/excelData",H169,$B$1,$B169&amp;":"&amp;H$115&amp;":"&amp;$R$114)</f>
        <v>#</v>
      </c>
      <c r="W169" s="461" t="str">
        <f>_xll.BLUEMATRIX2("/servlet/excelData",I169,$B$1,$B169&amp;":"&amp;I$115&amp;":"&amp;$R$114)</f>
        <v>#</v>
      </c>
      <c r="X169" s="461" t="str">
        <f>_xll.BLUEMATRIX2("/servlet/excelData",J169,$B$1,$B169&amp;":"&amp;J$115&amp;":"&amp;$R$114)</f>
        <v>#</v>
      </c>
      <c r="Y169" s="461" t="str">
        <f>_xll.BLUEMATRIX2("/servlet/excelData",K169,$B$1,$B169&amp;":"&amp;K$115&amp;":"&amp;$R$114)</f>
        <v>#</v>
      </c>
      <c r="Z169" s="461" t="str">
        <f>_xll.BLUEMATRIX2("/servlet/excelData",L169,$B$1,$B169&amp;":"&amp;L$115&amp;":"&amp;$R$114)</f>
        <v>#</v>
      </c>
      <c r="AA169" s="461" t="str">
        <f>_xll.BLUEMATRIX2("/servlet/excelData",M169,$B$1,$B169&amp;":"&amp;M$115&amp;":"&amp;$R$114)</f>
        <v>#</v>
      </c>
      <c r="AB169" s="461" t="str">
        <f>_xll.BLUEMATRIX2("/servlet/excelData",N169,$B$1,$B169&amp;":"&amp;N$115&amp;":"&amp;$R$114)</f>
        <v>#</v>
      </c>
      <c r="AC169" s="461" t="str">
        <f>_xll.BLUEMATRIX2("/servlet/excelData",O169,$B$1,$B169&amp;":"&amp;O$115&amp;":"&amp;$R$114)</f>
        <v>#</v>
      </c>
      <c r="AD169" s="461" t="str">
        <f>_xll.BLUEMATRIX2("/servlet/excelData",P169,$B$1,$B169&amp;":"&amp;P$115&amp;":"&amp;$R$114)</f>
        <v>#</v>
      </c>
      <c r="AE169" s="461" t="str">
        <f>_xll.BLUEMATRIX2("/servlet/excelData",Q169,$B$1,$B169&amp;":"&amp;Q$115&amp;":"&amp;$R$114)</f>
        <v>#</v>
      </c>
    </row>
    <row r="170" spans="1:31" ht="12.95" customHeight="1">
      <c r="A170" s="373" t="s">
        <v>381</v>
      </c>
      <c r="B170" s="344" t="s">
        <v>382</v>
      </c>
      <c r="C170" s="390" t="s">
        <v>383</v>
      </c>
      <c r="D170" s="375"/>
      <c r="E170" s="375">
        <f>FY!C80+FY!C82</f>
        <v>6794</v>
      </c>
      <c r="F170" s="375">
        <f>FY!D80+FY!D82</f>
        <v>-17.800000000000004</v>
      </c>
      <c r="G170" s="375">
        <f>FY!E80+FY!E82</f>
        <v>-1387.7</v>
      </c>
      <c r="H170" s="375">
        <f>FY!F80+FY!F82</f>
        <v>-12.899999999999999</v>
      </c>
      <c r="I170" s="375">
        <f>FY!G80+FY!G82</f>
        <v>-24.799999999999997</v>
      </c>
      <c r="J170" s="375">
        <f>FY!H80+FY!H82</f>
        <v>-37</v>
      </c>
      <c r="K170" s="375">
        <f>FY!I80+FY!I82</f>
        <v>-5</v>
      </c>
      <c r="L170" s="375">
        <f>FY!J80+FY!J82</f>
        <v>0</v>
      </c>
      <c r="M170" s="375">
        <f>FY!K80+FY!K82</f>
        <v>0</v>
      </c>
      <c r="N170" s="375">
        <f>FY!L80+FY!L82</f>
        <v>0</v>
      </c>
      <c r="O170" s="375">
        <f>FY!M80+FY!M82</f>
        <v>0</v>
      </c>
      <c r="P170" s="375">
        <f>FY!N80+FY!N82</f>
        <v>0</v>
      </c>
      <c r="Q170" s="375">
        <f>FY!O80+FY!O82</f>
        <v>0</v>
      </c>
      <c r="R170" s="320"/>
      <c r="S170" s="461" t="str">
        <f>_xll.BLUEMATRIX2("/servlet/excelData",E170,$B$1,$B170&amp;":"&amp;E$115&amp;":"&amp;$R$114)</f>
        <v>#</v>
      </c>
      <c r="T170" s="461" t="str">
        <f>_xll.BLUEMATRIX2("/servlet/excelData",F170,$B$1,$B170&amp;":"&amp;F$115&amp;":"&amp;$R$114)</f>
        <v>#</v>
      </c>
      <c r="U170" s="461" t="str">
        <f>_xll.BLUEMATRIX2("/servlet/excelData",G170,$B$1,$B170&amp;":"&amp;G$115&amp;":"&amp;$R$114)</f>
        <v>#</v>
      </c>
      <c r="V170" s="461" t="str">
        <f>_xll.BLUEMATRIX2("/servlet/excelData",H170,$B$1,$B170&amp;":"&amp;H$115&amp;":"&amp;$R$114)</f>
        <v>#</v>
      </c>
      <c r="W170" s="461" t="str">
        <f>_xll.BLUEMATRIX2("/servlet/excelData",I170,$B$1,$B170&amp;":"&amp;I$115&amp;":"&amp;$R$114)</f>
        <v>#</v>
      </c>
      <c r="X170" s="461" t="str">
        <f>_xll.BLUEMATRIX2("/servlet/excelData",J170,$B$1,$B170&amp;":"&amp;J$115&amp;":"&amp;$R$114)</f>
        <v>#</v>
      </c>
      <c r="Y170" s="461" t="str">
        <f>_xll.BLUEMATRIX2("/servlet/excelData",K170,$B$1,$B170&amp;":"&amp;K$115&amp;":"&amp;$R$114)</f>
        <v>#</v>
      </c>
      <c r="Z170" s="461" t="str">
        <f>_xll.BLUEMATRIX2("/servlet/excelData",L170,$B$1,$B170&amp;":"&amp;L$115&amp;":"&amp;$R$114)</f>
        <v>#</v>
      </c>
      <c r="AA170" s="461" t="str">
        <f>_xll.BLUEMATRIX2("/servlet/excelData",M170,$B$1,$B170&amp;":"&amp;M$115&amp;":"&amp;$R$114)</f>
        <v>#</v>
      </c>
      <c r="AB170" s="461" t="str">
        <f>_xll.BLUEMATRIX2("/servlet/excelData",N170,$B$1,$B170&amp;":"&amp;N$115&amp;":"&amp;$R$114)</f>
        <v>#</v>
      </c>
      <c r="AC170" s="461" t="str">
        <f>_xll.BLUEMATRIX2("/servlet/excelData",O170,$B$1,$B170&amp;":"&amp;O$115&amp;":"&amp;$R$114)</f>
        <v>#</v>
      </c>
      <c r="AD170" s="461" t="str">
        <f>_xll.BLUEMATRIX2("/servlet/excelData",P170,$B$1,$B170&amp;":"&amp;P$115&amp;":"&amp;$R$114)</f>
        <v>#</v>
      </c>
      <c r="AE170" s="461" t="str">
        <f>_xll.BLUEMATRIX2("/servlet/excelData",Q170,$B$1,$B170&amp;":"&amp;Q$115&amp;":"&amp;$R$114)</f>
        <v>#</v>
      </c>
    </row>
    <row r="171" spans="1:31" ht="12.95" customHeight="1">
      <c r="A171" s="373" t="s">
        <v>384</v>
      </c>
      <c r="B171" s="344" t="s">
        <v>385</v>
      </c>
      <c r="C171" s="390" t="s">
        <v>386</v>
      </c>
      <c r="D171" s="375"/>
      <c r="E171" s="375"/>
      <c r="F171" s="375"/>
      <c r="G171" s="375"/>
      <c r="H171" s="375"/>
      <c r="I171" s="375"/>
      <c r="J171" s="375"/>
      <c r="K171" s="375"/>
      <c r="L171" s="375"/>
      <c r="M171" s="375"/>
      <c r="N171" s="375"/>
      <c r="O171" s="375"/>
      <c r="P171" s="375"/>
      <c r="Q171" s="375"/>
      <c r="R171" s="320"/>
      <c r="S171" s="461" t="str">
        <f>_xll.BLUEMATRIX2("/servlet/excelData",E171,$B$1,$B171&amp;":"&amp;E$115&amp;":"&amp;$R$114)</f>
        <v>#</v>
      </c>
      <c r="T171" s="461" t="str">
        <f>_xll.BLUEMATRIX2("/servlet/excelData",F171,$B$1,$B171&amp;":"&amp;F$115&amp;":"&amp;$R$114)</f>
        <v>#</v>
      </c>
      <c r="U171" s="461" t="str">
        <f>_xll.BLUEMATRIX2("/servlet/excelData",G171,$B$1,$B171&amp;":"&amp;G$115&amp;":"&amp;$R$114)</f>
        <v>#</v>
      </c>
      <c r="V171" s="461" t="str">
        <f>_xll.BLUEMATRIX2("/servlet/excelData",H171,$B$1,$B171&amp;":"&amp;H$115&amp;":"&amp;$R$114)</f>
        <v>#</v>
      </c>
      <c r="W171" s="461" t="str">
        <f>_xll.BLUEMATRIX2("/servlet/excelData",I171,$B$1,$B171&amp;":"&amp;I$115&amp;":"&amp;$R$114)</f>
        <v>#</v>
      </c>
      <c r="X171" s="461" t="str">
        <f>_xll.BLUEMATRIX2("/servlet/excelData",J171,$B$1,$B171&amp;":"&amp;J$115&amp;":"&amp;$R$114)</f>
        <v>#</v>
      </c>
      <c r="Y171" s="461" t="str">
        <f>_xll.BLUEMATRIX2("/servlet/excelData",K171,$B$1,$B171&amp;":"&amp;K$115&amp;":"&amp;$R$114)</f>
        <v>#</v>
      </c>
      <c r="Z171" s="461" t="str">
        <f>_xll.BLUEMATRIX2("/servlet/excelData",L171,$B$1,$B171&amp;":"&amp;L$115&amp;":"&amp;$R$114)</f>
        <v>#</v>
      </c>
      <c r="AA171" s="461" t="str">
        <f>_xll.BLUEMATRIX2("/servlet/excelData",M171,$B$1,$B171&amp;":"&amp;M$115&amp;":"&amp;$R$114)</f>
        <v>#</v>
      </c>
      <c r="AB171" s="461" t="str">
        <f>_xll.BLUEMATRIX2("/servlet/excelData",N171,$B$1,$B171&amp;":"&amp;N$115&amp;":"&amp;$R$114)</f>
        <v>#</v>
      </c>
      <c r="AC171" s="461" t="str">
        <f>_xll.BLUEMATRIX2("/servlet/excelData",O171,$B$1,$B171&amp;":"&amp;O$115&amp;":"&amp;$R$114)</f>
        <v>#</v>
      </c>
      <c r="AD171" s="461" t="str">
        <f>_xll.BLUEMATRIX2("/servlet/excelData",P171,$B$1,$B171&amp;":"&amp;P$115&amp;":"&amp;$R$114)</f>
        <v>#</v>
      </c>
      <c r="AE171" s="461" t="str">
        <f>_xll.BLUEMATRIX2("/servlet/excelData",Q171,$B$1,$B171&amp;":"&amp;Q$115&amp;":"&amp;$R$114)</f>
        <v>#</v>
      </c>
    </row>
    <row r="172" spans="1:31" ht="12.95" customHeight="1">
      <c r="A172" s="373" t="s">
        <v>387</v>
      </c>
      <c r="B172" s="344" t="s">
        <v>379</v>
      </c>
      <c r="C172" s="377" t="s">
        <v>388</v>
      </c>
      <c r="D172" s="378"/>
      <c r="E172" s="378">
        <f>E169+E170+E171</f>
        <v>6868.2</v>
      </c>
      <c r="F172" s="378">
        <f>F169+F170+F171</f>
        <v>66.5</v>
      </c>
      <c r="G172" s="378">
        <f>G169+G170+G171</f>
        <v>-1359.7</v>
      </c>
      <c r="H172" s="378">
        <f>H169+H170+H171</f>
        <v>36.599999999999987</v>
      </c>
      <c r="I172" s="378">
        <f>I169+I170+I171</f>
        <v>46.3</v>
      </c>
      <c r="J172" s="378">
        <f t="shared" ref="J172:Q172" si="15">J169+J170+J171</f>
        <v>52.710264022437414</v>
      </c>
      <c r="K172" s="378">
        <f t="shared" si="15"/>
        <v>105.08763373471825</v>
      </c>
      <c r="L172" s="378">
        <f t="shared" si="15"/>
        <v>120.65762879326125</v>
      </c>
      <c r="M172" s="378">
        <f t="shared" si="15"/>
        <v>137.49125689685408</v>
      </c>
      <c r="N172" s="378">
        <f t="shared" si="15"/>
        <v>149.04167653871443</v>
      </c>
      <c r="O172" s="378">
        <f t="shared" si="15"/>
        <v>158.36107407983101</v>
      </c>
      <c r="P172" s="378">
        <f t="shared" si="15"/>
        <v>167.9564496600527</v>
      </c>
      <c r="Q172" s="378">
        <f t="shared" si="15"/>
        <v>203.06758431900406</v>
      </c>
      <c r="R172" s="320"/>
      <c r="S172" s="461" t="str">
        <f>_xll.BLUEMATRIX2("/servlet/excelData",E172,$B$1,$B172&amp;":"&amp;E$115&amp;":"&amp;$R$114)</f>
        <v>#</v>
      </c>
      <c r="T172" s="461" t="str">
        <f>_xll.BLUEMATRIX2("/servlet/excelData",F172,$B$1,$B172&amp;":"&amp;F$115&amp;":"&amp;$R$114)</f>
        <v>#</v>
      </c>
      <c r="U172" s="461" t="str">
        <f>_xll.BLUEMATRIX2("/servlet/excelData",G172,$B$1,$B172&amp;":"&amp;G$115&amp;":"&amp;$R$114)</f>
        <v>#</v>
      </c>
      <c r="V172" s="461" t="str">
        <f>_xll.BLUEMATRIX2("/servlet/excelData",H172,$B$1,$B172&amp;":"&amp;H$115&amp;":"&amp;$R$114)</f>
        <v>#</v>
      </c>
      <c r="W172" s="461" t="str">
        <f>_xll.BLUEMATRIX2("/servlet/excelData",I172,$B$1,$B172&amp;":"&amp;I$115&amp;":"&amp;$R$114)</f>
        <v>#</v>
      </c>
      <c r="X172" s="461" t="str">
        <f>_xll.BLUEMATRIX2("/servlet/excelData",J172,$B$1,$B172&amp;":"&amp;J$115&amp;":"&amp;$R$114)</f>
        <v>#</v>
      </c>
      <c r="Y172" s="461" t="str">
        <f>_xll.BLUEMATRIX2("/servlet/excelData",K172,$B$1,$B172&amp;":"&amp;K$115&amp;":"&amp;$R$114)</f>
        <v>#</v>
      </c>
      <c r="Z172" s="461" t="str">
        <f>_xll.BLUEMATRIX2("/servlet/excelData",L172,$B$1,$B172&amp;":"&amp;L$115&amp;":"&amp;$R$114)</f>
        <v>#</v>
      </c>
      <c r="AA172" s="461" t="str">
        <f>_xll.BLUEMATRIX2("/servlet/excelData",M172,$B$1,$B172&amp;":"&amp;M$115&amp;":"&amp;$R$114)</f>
        <v>#</v>
      </c>
      <c r="AB172" s="461" t="str">
        <f>_xll.BLUEMATRIX2("/servlet/excelData",N172,$B$1,$B172&amp;":"&amp;N$115&amp;":"&amp;$R$114)</f>
        <v>#</v>
      </c>
      <c r="AC172" s="461" t="str">
        <f>_xll.BLUEMATRIX2("/servlet/excelData",O172,$B$1,$B172&amp;":"&amp;O$115&amp;":"&amp;$R$114)</f>
        <v>#</v>
      </c>
      <c r="AD172" s="461" t="str">
        <f>_xll.BLUEMATRIX2("/servlet/excelData",P172,$B$1,$B172&amp;":"&amp;P$115&amp;":"&amp;$R$114)</f>
        <v>#</v>
      </c>
      <c r="AE172" s="461" t="str">
        <f>_xll.BLUEMATRIX2("/servlet/excelData",Q172,$B$1,$B172&amp;":"&amp;Q$115&amp;":"&amp;$R$114)</f>
        <v>#</v>
      </c>
    </row>
    <row r="173" spans="1:31" ht="12.95" customHeight="1">
      <c r="A173" s="373" t="s">
        <v>389</v>
      </c>
      <c r="B173" s="344" t="s">
        <v>390</v>
      </c>
      <c r="C173" s="390" t="s">
        <v>391</v>
      </c>
      <c r="D173" s="375"/>
      <c r="E173" s="375">
        <f>-E170</f>
        <v>-6794</v>
      </c>
      <c r="F173" s="375">
        <f>-F170</f>
        <v>17.800000000000004</v>
      </c>
      <c r="G173" s="375">
        <f>-G170</f>
        <v>1387.7</v>
      </c>
      <c r="H173" s="375">
        <f>-H170</f>
        <v>12.899999999999999</v>
      </c>
      <c r="I173" s="375">
        <f t="shared" ref="I173:P173" si="16">-I170</f>
        <v>24.799999999999997</v>
      </c>
      <c r="J173" s="375">
        <f t="shared" si="16"/>
        <v>37</v>
      </c>
      <c r="K173" s="375">
        <f t="shared" si="16"/>
        <v>5</v>
      </c>
      <c r="L173" s="375">
        <f t="shared" si="16"/>
        <v>0</v>
      </c>
      <c r="M173" s="375">
        <f t="shared" si="16"/>
        <v>0</v>
      </c>
      <c r="N173" s="375">
        <f t="shared" si="16"/>
        <v>0</v>
      </c>
      <c r="O173" s="375">
        <f t="shared" si="16"/>
        <v>0</v>
      </c>
      <c r="P173" s="375">
        <f t="shared" si="16"/>
        <v>0</v>
      </c>
      <c r="Q173" s="375">
        <f>-Q170</f>
        <v>0</v>
      </c>
      <c r="R173" s="320"/>
      <c r="S173" s="461" t="str">
        <f>_xll.BLUEMATRIX2("/servlet/excelData",E173,$B$1,$B173&amp;":"&amp;E$115&amp;":"&amp;$R$114)</f>
        <v>#</v>
      </c>
      <c r="T173" s="461" t="str">
        <f>_xll.BLUEMATRIX2("/servlet/excelData",F173,$B$1,$B173&amp;":"&amp;F$115&amp;":"&amp;$R$114)</f>
        <v>#</v>
      </c>
      <c r="U173" s="461" t="str">
        <f>_xll.BLUEMATRIX2("/servlet/excelData",G173,$B$1,$B173&amp;":"&amp;G$115&amp;":"&amp;$R$114)</f>
        <v>#</v>
      </c>
      <c r="V173" s="461" t="str">
        <f>_xll.BLUEMATRIX2("/servlet/excelData",H173,$B$1,$B173&amp;":"&amp;H$115&amp;":"&amp;$R$114)</f>
        <v>#</v>
      </c>
      <c r="W173" s="461" t="str">
        <f>_xll.BLUEMATRIX2("/servlet/excelData",I173,$B$1,$B173&amp;":"&amp;I$115&amp;":"&amp;$R$114)</f>
        <v>#</v>
      </c>
      <c r="X173" s="461" t="str">
        <f>_xll.BLUEMATRIX2("/servlet/excelData",J173,$B$1,$B173&amp;":"&amp;J$115&amp;":"&amp;$R$114)</f>
        <v>#</v>
      </c>
      <c r="Y173" s="461" t="str">
        <f>_xll.BLUEMATRIX2("/servlet/excelData",K173,$B$1,$B173&amp;":"&amp;K$115&amp;":"&amp;$R$114)</f>
        <v>#</v>
      </c>
      <c r="Z173" s="461" t="str">
        <f>_xll.BLUEMATRIX2("/servlet/excelData",L173,$B$1,$B173&amp;":"&amp;L$115&amp;":"&amp;$R$114)</f>
        <v>#</v>
      </c>
      <c r="AA173" s="461" t="str">
        <f>_xll.BLUEMATRIX2("/servlet/excelData",M173,$B$1,$B173&amp;":"&amp;M$115&amp;":"&amp;$R$114)</f>
        <v>#</v>
      </c>
      <c r="AB173" s="461" t="str">
        <f>_xll.BLUEMATRIX2("/servlet/excelData",N173,$B$1,$B173&amp;":"&amp;N$115&amp;":"&amp;$R$114)</f>
        <v>#</v>
      </c>
      <c r="AC173" s="461" t="str">
        <f>_xll.BLUEMATRIX2("/servlet/excelData",O173,$B$1,$B173&amp;":"&amp;O$115&amp;":"&amp;$R$114)</f>
        <v>#</v>
      </c>
      <c r="AD173" s="461" t="str">
        <f>_xll.BLUEMATRIX2("/servlet/excelData",P173,$B$1,$B173&amp;":"&amp;P$115&amp;":"&amp;$R$114)</f>
        <v>#</v>
      </c>
      <c r="AE173" s="461" t="str">
        <f>_xll.BLUEMATRIX2("/servlet/excelData",Q173,$B$1,$B173&amp;":"&amp;Q$115&amp;":"&amp;$R$114)</f>
        <v>#</v>
      </c>
    </row>
    <row r="174" spans="1:31" ht="12.95" customHeight="1">
      <c r="A174" s="373" t="s">
        <v>392</v>
      </c>
      <c r="B174" s="344" t="s">
        <v>393</v>
      </c>
      <c r="C174" s="390" t="s">
        <v>394</v>
      </c>
      <c r="D174" s="375"/>
      <c r="E174" s="375"/>
      <c r="F174" s="375"/>
      <c r="G174" s="375"/>
      <c r="H174" s="375"/>
      <c r="I174" s="375"/>
      <c r="J174" s="375"/>
      <c r="K174" s="375"/>
      <c r="L174" s="375"/>
      <c r="M174" s="375"/>
      <c r="N174" s="375"/>
      <c r="O174" s="375"/>
      <c r="P174" s="375"/>
      <c r="Q174" s="375"/>
      <c r="R174" s="320"/>
      <c r="S174" s="461" t="str">
        <f>_xll.BLUEMATRIX2("/servlet/excelData",E174,$B$1,$B174&amp;":"&amp;E$115&amp;":"&amp;$R$114)</f>
        <v>#</v>
      </c>
      <c r="T174" s="461" t="str">
        <f>_xll.BLUEMATRIX2("/servlet/excelData",F174,$B$1,$B174&amp;":"&amp;F$115&amp;":"&amp;$R$114)</f>
        <v>#</v>
      </c>
      <c r="U174" s="461" t="str">
        <f>_xll.BLUEMATRIX2("/servlet/excelData",G174,$B$1,$B174&amp;":"&amp;G$115&amp;":"&amp;$R$114)</f>
        <v>#</v>
      </c>
      <c r="V174" s="461" t="str">
        <f>_xll.BLUEMATRIX2("/servlet/excelData",H174,$B$1,$B174&amp;":"&amp;H$115&amp;":"&amp;$R$114)</f>
        <v>#</v>
      </c>
      <c r="W174" s="461" t="str">
        <f>_xll.BLUEMATRIX2("/servlet/excelData",I174,$B$1,$B174&amp;":"&amp;I$115&amp;":"&amp;$R$114)</f>
        <v>#</v>
      </c>
      <c r="X174" s="461" t="str">
        <f>_xll.BLUEMATRIX2("/servlet/excelData",J174,$B$1,$B174&amp;":"&amp;J$115&amp;":"&amp;$R$114)</f>
        <v>#</v>
      </c>
      <c r="Y174" s="461" t="str">
        <f>_xll.BLUEMATRIX2("/servlet/excelData",K174,$B$1,$B174&amp;":"&amp;K$115&amp;":"&amp;$R$114)</f>
        <v>#</v>
      </c>
      <c r="Z174" s="461" t="str">
        <f>_xll.BLUEMATRIX2("/servlet/excelData",L174,$B$1,$B174&amp;":"&amp;L$115&amp;":"&amp;$R$114)</f>
        <v>#</v>
      </c>
      <c r="AA174" s="461" t="str">
        <f>_xll.BLUEMATRIX2("/servlet/excelData",M174,$B$1,$B174&amp;":"&amp;M$115&amp;":"&amp;$R$114)</f>
        <v>#</v>
      </c>
      <c r="AB174" s="461" t="str">
        <f>_xll.BLUEMATRIX2("/servlet/excelData",N174,$B$1,$B174&amp;":"&amp;N$115&amp;":"&amp;$R$114)</f>
        <v>#</v>
      </c>
      <c r="AC174" s="461" t="str">
        <f>_xll.BLUEMATRIX2("/servlet/excelData",O174,$B$1,$B174&amp;":"&amp;O$115&amp;":"&amp;$R$114)</f>
        <v>#</v>
      </c>
      <c r="AD174" s="461" t="str">
        <f>_xll.BLUEMATRIX2("/servlet/excelData",P174,$B$1,$B174&amp;":"&amp;P$115&amp;":"&amp;$R$114)</f>
        <v>#</v>
      </c>
      <c r="AE174" s="461" t="str">
        <f>_xll.BLUEMATRIX2("/servlet/excelData",Q174,$B$1,$B174&amp;":"&amp;Q$115&amp;":"&amp;$R$114)</f>
        <v>#</v>
      </c>
    </row>
    <row r="175" spans="1:31" ht="12.95" customHeight="1">
      <c r="A175" s="373" t="s">
        <v>395</v>
      </c>
      <c r="B175" s="344" t="s">
        <v>396</v>
      </c>
      <c r="C175" s="390" t="s">
        <v>397</v>
      </c>
      <c r="D175" s="375"/>
      <c r="E175" s="375"/>
      <c r="F175" s="375"/>
      <c r="G175" s="375"/>
      <c r="H175" s="375"/>
      <c r="I175" s="375"/>
      <c r="J175" s="375"/>
      <c r="K175" s="375"/>
      <c r="L175" s="375"/>
      <c r="M175" s="375"/>
      <c r="N175" s="375"/>
      <c r="O175" s="375"/>
      <c r="P175" s="375"/>
      <c r="Q175" s="375"/>
      <c r="R175" s="320"/>
      <c r="S175" s="461" t="str">
        <f>_xll.BLUEMATRIX2("/servlet/excelData",E175,$B$1,$B175&amp;":"&amp;E$115&amp;":"&amp;$R$114)</f>
        <v>#</v>
      </c>
      <c r="T175" s="461" t="str">
        <f>_xll.BLUEMATRIX2("/servlet/excelData",F175,$B$1,$B175&amp;":"&amp;F$115&amp;":"&amp;$R$114)</f>
        <v>#</v>
      </c>
      <c r="U175" s="461" t="str">
        <f>_xll.BLUEMATRIX2("/servlet/excelData",G175,$B$1,$B175&amp;":"&amp;G$115&amp;":"&amp;$R$114)</f>
        <v>#</v>
      </c>
      <c r="V175" s="461" t="str">
        <f>_xll.BLUEMATRIX2("/servlet/excelData",H175,$B$1,$B175&amp;":"&amp;H$115&amp;":"&amp;$R$114)</f>
        <v>#</v>
      </c>
      <c r="W175" s="461" t="str">
        <f>_xll.BLUEMATRIX2("/servlet/excelData",I175,$B$1,$B175&amp;":"&amp;I$115&amp;":"&amp;$R$114)</f>
        <v>#</v>
      </c>
      <c r="X175" s="461" t="str">
        <f>_xll.BLUEMATRIX2("/servlet/excelData",J175,$B$1,$B175&amp;":"&amp;J$115&amp;":"&amp;$R$114)</f>
        <v>#</v>
      </c>
      <c r="Y175" s="461" t="str">
        <f>_xll.BLUEMATRIX2("/servlet/excelData",K175,$B$1,$B175&amp;":"&amp;K$115&amp;":"&amp;$R$114)</f>
        <v>#</v>
      </c>
      <c r="Z175" s="461" t="str">
        <f>_xll.BLUEMATRIX2("/servlet/excelData",L175,$B$1,$B175&amp;":"&amp;L$115&amp;":"&amp;$R$114)</f>
        <v>#</v>
      </c>
      <c r="AA175" s="461" t="str">
        <f>_xll.BLUEMATRIX2("/servlet/excelData",M175,$B$1,$B175&amp;":"&amp;M$115&amp;":"&amp;$R$114)</f>
        <v>#</v>
      </c>
      <c r="AB175" s="461" t="str">
        <f>_xll.BLUEMATRIX2("/servlet/excelData",N175,$B$1,$B175&amp;":"&amp;N$115&amp;":"&amp;$R$114)</f>
        <v>#</v>
      </c>
      <c r="AC175" s="461" t="str">
        <f>_xll.BLUEMATRIX2("/servlet/excelData",O175,$B$1,$B175&amp;":"&amp;O$115&amp;":"&amp;$R$114)</f>
        <v>#</v>
      </c>
      <c r="AD175" s="461" t="str">
        <f>_xll.BLUEMATRIX2("/servlet/excelData",P175,$B$1,$B175&amp;":"&amp;P$115&amp;":"&amp;$R$114)</f>
        <v>#</v>
      </c>
      <c r="AE175" s="461" t="str">
        <f>_xll.BLUEMATRIX2("/servlet/excelData",Q175,$B$1,$B175&amp;":"&amp;Q$115&amp;":"&amp;$R$114)</f>
        <v>#</v>
      </c>
    </row>
    <row r="176" spans="1:31" ht="12.95" customHeight="1">
      <c r="A176" s="373" t="s">
        <v>398</v>
      </c>
      <c r="B176" s="344" t="s">
        <v>399</v>
      </c>
      <c r="C176" s="377" t="s">
        <v>400</v>
      </c>
      <c r="D176" s="378"/>
      <c r="E176" s="378">
        <f>E172+E173+E174+E175</f>
        <v>74.199999999999818</v>
      </c>
      <c r="F176" s="378">
        <f>F172+F173+F174+F175</f>
        <v>84.300000000000011</v>
      </c>
      <c r="G176" s="378">
        <f>G172+G173+G174+G175</f>
        <v>28</v>
      </c>
      <c r="H176" s="378">
        <f>H172+H173+H174+H175</f>
        <v>49.499999999999986</v>
      </c>
      <c r="I176" s="378">
        <f>I172+I173+I174+I175</f>
        <v>71.099999999999994</v>
      </c>
      <c r="J176" s="378">
        <f t="shared" ref="J176:Q176" si="17">J172+J173+J174+J175</f>
        <v>89.710264022437414</v>
      </c>
      <c r="K176" s="378">
        <f t="shared" si="17"/>
        <v>110.08763373471825</v>
      </c>
      <c r="L176" s="378">
        <f t="shared" si="17"/>
        <v>120.65762879326125</v>
      </c>
      <c r="M176" s="378">
        <f t="shared" si="17"/>
        <v>137.49125689685408</v>
      </c>
      <c r="N176" s="378">
        <f t="shared" si="17"/>
        <v>149.04167653871443</v>
      </c>
      <c r="O176" s="378">
        <f t="shared" si="17"/>
        <v>158.36107407983101</v>
      </c>
      <c r="P176" s="378">
        <f t="shared" si="17"/>
        <v>167.9564496600527</v>
      </c>
      <c r="Q176" s="378">
        <f t="shared" si="17"/>
        <v>203.06758431900406</v>
      </c>
      <c r="R176" s="320"/>
      <c r="S176" s="461" t="str">
        <f>_xll.BLUEMATRIX2("/servlet/excelData",E176,$B$1,$B176&amp;":"&amp;E$115&amp;":"&amp;$R$114)</f>
        <v>#</v>
      </c>
      <c r="T176" s="461" t="str">
        <f>_xll.BLUEMATRIX2("/servlet/excelData",F176,$B$1,$B176&amp;":"&amp;F$115&amp;":"&amp;$R$114)</f>
        <v>#</v>
      </c>
      <c r="U176" s="461" t="str">
        <f>_xll.BLUEMATRIX2("/servlet/excelData",G176,$B$1,$B176&amp;":"&amp;G$115&amp;":"&amp;$R$114)</f>
        <v>#</v>
      </c>
      <c r="V176" s="461" t="str">
        <f>_xll.BLUEMATRIX2("/servlet/excelData",H176,$B$1,$B176&amp;":"&amp;H$115&amp;":"&amp;$R$114)</f>
        <v>#</v>
      </c>
      <c r="W176" s="461" t="str">
        <f>_xll.BLUEMATRIX2("/servlet/excelData",I176,$B$1,$B176&amp;":"&amp;I$115&amp;":"&amp;$R$114)</f>
        <v>#</v>
      </c>
      <c r="X176" s="461" t="str">
        <f>_xll.BLUEMATRIX2("/servlet/excelData",J176,$B$1,$B176&amp;":"&amp;J$115&amp;":"&amp;$R$114)</f>
        <v>#</v>
      </c>
      <c r="Y176" s="461" t="str">
        <f>_xll.BLUEMATRIX2("/servlet/excelData",K176,$B$1,$B176&amp;":"&amp;K$115&amp;":"&amp;$R$114)</f>
        <v>#</v>
      </c>
      <c r="Z176" s="461" t="str">
        <f>_xll.BLUEMATRIX2("/servlet/excelData",L176,$B$1,$B176&amp;":"&amp;L$115&amp;":"&amp;$R$114)</f>
        <v>#</v>
      </c>
      <c r="AA176" s="461" t="str">
        <f>_xll.BLUEMATRIX2("/servlet/excelData",M176,$B$1,$B176&amp;":"&amp;M$115&amp;":"&amp;$R$114)</f>
        <v>#</v>
      </c>
      <c r="AB176" s="461" t="str">
        <f>_xll.BLUEMATRIX2("/servlet/excelData",N176,$B$1,$B176&amp;":"&amp;N$115&amp;":"&amp;$R$114)</f>
        <v>#</v>
      </c>
      <c r="AC176" s="461" t="str">
        <f>_xll.BLUEMATRIX2("/servlet/excelData",O176,$B$1,$B176&amp;":"&amp;O$115&amp;":"&amp;$R$114)</f>
        <v>#</v>
      </c>
      <c r="AD176" s="461" t="str">
        <f>_xll.BLUEMATRIX2("/servlet/excelData",P176,$B$1,$B176&amp;":"&amp;P$115&amp;":"&amp;$R$114)</f>
        <v>#</v>
      </c>
      <c r="AE176" s="461" t="str">
        <f>_xll.BLUEMATRIX2("/servlet/excelData",Q176,$B$1,$B176&amp;":"&amp;Q$115&amp;":"&amp;$R$114)</f>
        <v>#</v>
      </c>
    </row>
    <row r="177" spans="1:31" ht="12.95" customHeight="1">
      <c r="A177" s="373"/>
      <c r="B177" s="344"/>
      <c r="C177" s="463" t="s">
        <v>1144</v>
      </c>
      <c r="D177" s="464"/>
      <c r="E177" s="465">
        <f>ROUND(FY!C83-E172,2)</f>
        <v>-92.3</v>
      </c>
      <c r="F177" s="465">
        <f>ROUND(FY!D83-F172,2)</f>
        <v>0</v>
      </c>
      <c r="G177" s="465">
        <f>ROUND(FY!E83-G172,2)</f>
        <v>0</v>
      </c>
      <c r="H177" s="465">
        <f>ROUND(FY!F83-H172,2)</f>
        <v>0</v>
      </c>
      <c r="I177" s="465">
        <f>ROUND(FY!G83-I172,2)</f>
        <v>0</v>
      </c>
      <c r="J177" s="465">
        <f>ROUND(FY!H83-J172,2)</f>
        <v>0</v>
      </c>
      <c r="K177" s="465">
        <f>ROUND(FY!I83-K172,2)</f>
        <v>0</v>
      </c>
      <c r="L177" s="465">
        <f>ROUND(FY!J83-L172,2)</f>
        <v>0</v>
      </c>
      <c r="M177" s="465">
        <f>ROUND(FY!K83-M172,2)</f>
        <v>0</v>
      </c>
      <c r="N177" s="465">
        <f>ROUND(FY!L83-N172,2)</f>
        <v>0</v>
      </c>
      <c r="O177" s="465">
        <f>ROUND(FY!M83-O172,2)</f>
        <v>0</v>
      </c>
      <c r="P177" s="465">
        <f>ROUND(FY!N83-P172,2)</f>
        <v>0</v>
      </c>
      <c r="Q177" s="465">
        <f>ROUND(FY!O83-Q172,2)</f>
        <v>0</v>
      </c>
      <c r="R177" s="320"/>
      <c r="S177" s="461"/>
      <c r="T177" s="461"/>
      <c r="U177" s="461"/>
      <c r="V177" s="461"/>
      <c r="W177" s="461"/>
      <c r="X177" s="461"/>
      <c r="Y177" s="461"/>
      <c r="Z177" s="461"/>
      <c r="AA177" s="461"/>
      <c r="AB177" s="461"/>
      <c r="AC177" s="461"/>
      <c r="AD177" s="461"/>
      <c r="AE177" s="461"/>
    </row>
    <row r="178" spans="1:31" ht="12.95" customHeight="1">
      <c r="A178" s="342"/>
      <c r="B178" s="342"/>
      <c r="C178" s="385"/>
      <c r="D178" s="386"/>
      <c r="E178" s="387"/>
      <c r="F178" s="387"/>
      <c r="G178" s="387"/>
      <c r="H178" s="387"/>
      <c r="I178" s="387"/>
      <c r="J178" s="387"/>
      <c r="K178" s="387"/>
      <c r="L178" s="387"/>
      <c r="M178" s="387"/>
      <c r="N178" s="387"/>
      <c r="O178" s="387"/>
      <c r="P178" s="387"/>
      <c r="Q178" s="387"/>
      <c r="R178" s="320"/>
      <c r="S178" s="458"/>
      <c r="T178" s="458"/>
      <c r="U178" s="458"/>
      <c r="V178" s="458"/>
      <c r="W178" s="458"/>
      <c r="X178" s="458"/>
      <c r="Y178" s="458"/>
      <c r="Z178" s="458"/>
      <c r="AA178" s="458"/>
      <c r="AB178" s="458"/>
      <c r="AC178" s="458"/>
      <c r="AD178" s="458"/>
      <c r="AE178" s="458"/>
    </row>
    <row r="179" spans="1:31" ht="12.95" customHeight="1">
      <c r="A179" s="342"/>
      <c r="B179" s="342"/>
      <c r="C179" s="385"/>
      <c r="D179" s="387"/>
      <c r="E179" s="387"/>
      <c r="F179" s="387"/>
      <c r="G179" s="387"/>
      <c r="H179" s="387"/>
      <c r="I179" s="387"/>
      <c r="J179" s="387"/>
      <c r="K179" s="387"/>
      <c r="L179" s="387"/>
      <c r="M179" s="387"/>
      <c r="N179" s="387"/>
      <c r="O179" s="387"/>
      <c r="P179" s="387"/>
      <c r="Q179" s="387"/>
      <c r="R179" s="320"/>
      <c r="S179" s="458"/>
      <c r="T179" s="458"/>
      <c r="U179" s="458"/>
      <c r="V179" s="458"/>
      <c r="W179" s="458"/>
      <c r="X179" s="458"/>
      <c r="Y179" s="458"/>
      <c r="Z179" s="458"/>
      <c r="AA179" s="458"/>
      <c r="AB179" s="458"/>
      <c r="AC179" s="458"/>
      <c r="AD179" s="458"/>
      <c r="AE179" s="458"/>
    </row>
    <row r="180" spans="1:31" ht="15" customHeight="1">
      <c r="A180" s="361"/>
      <c r="B180" s="361"/>
      <c r="C180" s="362" t="s">
        <v>401</v>
      </c>
      <c r="D180" s="363"/>
      <c r="E180" s="363"/>
      <c r="F180" s="363"/>
      <c r="G180" s="363"/>
      <c r="H180" s="363"/>
      <c r="I180" s="363"/>
      <c r="J180" s="363"/>
      <c r="K180" s="363"/>
      <c r="L180" s="363"/>
      <c r="M180" s="363"/>
      <c r="N180" s="363"/>
      <c r="O180" s="363"/>
      <c r="P180" s="363"/>
      <c r="Q180" s="363"/>
      <c r="R180" s="326"/>
      <c r="S180" s="458"/>
      <c r="T180" s="458"/>
      <c r="U180" s="458"/>
      <c r="V180" s="458"/>
      <c r="W180" s="458"/>
      <c r="X180" s="458"/>
      <c r="Y180" s="458"/>
      <c r="Z180" s="458"/>
      <c r="AA180" s="458"/>
      <c r="AB180" s="458"/>
      <c r="AC180" s="458"/>
      <c r="AD180" s="458"/>
      <c r="AE180" s="458"/>
    </row>
    <row r="181" spans="1:31" ht="12.95" customHeight="1">
      <c r="A181" s="361"/>
      <c r="B181" s="361"/>
      <c r="C181" s="388" t="s">
        <v>402</v>
      </c>
      <c r="D181" s="389"/>
      <c r="E181" s="389"/>
      <c r="F181" s="389"/>
      <c r="G181" s="389"/>
      <c r="H181" s="389"/>
      <c r="I181" s="389"/>
      <c r="J181" s="389"/>
      <c r="K181" s="389"/>
      <c r="L181" s="389"/>
      <c r="M181" s="389"/>
      <c r="N181" s="389"/>
      <c r="O181" s="389"/>
      <c r="P181" s="389"/>
      <c r="Q181" s="389"/>
      <c r="R181" s="326"/>
      <c r="S181" s="458"/>
      <c r="T181" s="458"/>
      <c r="U181" s="458"/>
      <c r="V181" s="458"/>
      <c r="W181" s="458"/>
      <c r="X181" s="458"/>
      <c r="Y181" s="458"/>
      <c r="Z181" s="458"/>
      <c r="AA181" s="458"/>
      <c r="AB181" s="458"/>
      <c r="AC181" s="458"/>
      <c r="AD181" s="458"/>
      <c r="AE181" s="458"/>
    </row>
    <row r="182" spans="1:31" ht="12.95" customHeight="1">
      <c r="A182" s="342" t="s">
        <v>403</v>
      </c>
      <c r="B182" s="344" t="s">
        <v>31</v>
      </c>
      <c r="C182" s="390" t="s">
        <v>31</v>
      </c>
      <c r="D182" s="375"/>
      <c r="E182" s="375">
        <f>FY!C129</f>
        <v>199.4</v>
      </c>
      <c r="F182" s="375">
        <f>FY!D129</f>
        <v>290.7</v>
      </c>
      <c r="G182" s="375">
        <f>FY!E129</f>
        <v>313.7</v>
      </c>
      <c r="H182" s="375">
        <f>FY!F129</f>
        <v>236.5</v>
      </c>
      <c r="I182" s="375">
        <f>FY!G129</f>
        <v>305.8</v>
      </c>
      <c r="J182" s="375">
        <f>FY!H129</f>
        <v>269.13943476485838</v>
      </c>
      <c r="K182" s="375">
        <f>FY!I129</f>
        <v>352.72355053915533</v>
      </c>
      <c r="L182" s="375">
        <f>FY!J129</f>
        <v>458.57229818837226</v>
      </c>
      <c r="M182" s="375">
        <f>FY!K129</f>
        <v>587.57566607467811</v>
      </c>
      <c r="N182" s="375">
        <f>FY!L129</f>
        <v>710.06859137762478</v>
      </c>
      <c r="O182" s="375">
        <f>FY!M129</f>
        <v>913.46297845982997</v>
      </c>
      <c r="P182" s="375">
        <f>FY!N129</f>
        <v>1127.6528188455538</v>
      </c>
      <c r="Q182" s="375">
        <f>FY!O129</f>
        <v>1370.598173245646</v>
      </c>
      <c r="R182" s="320"/>
      <c r="S182" s="461" t="str">
        <f>_xll.BLUEMATRIX2("/servlet/excelData",E182,$B$1,$B182&amp;":"&amp;E$115&amp;":"&amp;$R$114)</f>
        <v>#</v>
      </c>
      <c r="T182" s="461" t="str">
        <f>_xll.BLUEMATRIX2("/servlet/excelData",F182,$B$1,$B182&amp;":"&amp;F$115&amp;":"&amp;$R$114)</f>
        <v>#</v>
      </c>
      <c r="U182" s="461" t="str">
        <f>_xll.BLUEMATRIX2("/servlet/excelData",G182,$B$1,$B182&amp;":"&amp;G$115&amp;":"&amp;$R$114)</f>
        <v>#</v>
      </c>
      <c r="V182" s="461" t="str">
        <f>_xll.BLUEMATRIX2("/servlet/excelData",H182,$B$1,$B182&amp;":"&amp;H$115&amp;":"&amp;$R$114)</f>
        <v>#</v>
      </c>
      <c r="W182" s="461" t="str">
        <f>_xll.BLUEMATRIX2("/servlet/excelData",I182,$B$1,$B182&amp;":"&amp;I$115&amp;":"&amp;$R$114)</f>
        <v>#</v>
      </c>
      <c r="X182" s="461" t="str">
        <f>_xll.BLUEMATRIX2("/servlet/excelData",J182,$B$1,$B182&amp;":"&amp;J$115&amp;":"&amp;$R$114)</f>
        <v>#</v>
      </c>
      <c r="Y182" s="461" t="str">
        <f>_xll.BLUEMATRIX2("/servlet/excelData",K182,$B$1,$B182&amp;":"&amp;K$115&amp;":"&amp;$R$114)</f>
        <v>#</v>
      </c>
      <c r="Z182" s="461" t="str">
        <f>_xll.BLUEMATRIX2("/servlet/excelData",L182,$B$1,$B182&amp;":"&amp;L$115&amp;":"&amp;$R$114)</f>
        <v>#</v>
      </c>
      <c r="AA182" s="461" t="str">
        <f>_xll.BLUEMATRIX2("/servlet/excelData",M182,$B$1,$B182&amp;":"&amp;M$115&amp;":"&amp;$R$114)</f>
        <v>#</v>
      </c>
      <c r="AB182" s="461" t="str">
        <f>_xll.BLUEMATRIX2("/servlet/excelData",N182,$B$1,$B182&amp;":"&amp;N$115&amp;":"&amp;$R$114)</f>
        <v>#</v>
      </c>
      <c r="AC182" s="461" t="str">
        <f>_xll.BLUEMATRIX2("/servlet/excelData",O182,$B$1,$B182&amp;":"&amp;O$115&amp;":"&amp;$R$114)</f>
        <v>#</v>
      </c>
      <c r="AD182" s="461" t="str">
        <f>_xll.BLUEMATRIX2("/servlet/excelData",P182,$B$1,$B182&amp;":"&amp;P$115&amp;":"&amp;$R$114)</f>
        <v>#</v>
      </c>
      <c r="AE182" s="461" t="str">
        <f>_xll.BLUEMATRIX2("/servlet/excelData",Q182,$B$1,$B182&amp;":"&amp;Q$115&amp;":"&amp;$R$114)</f>
        <v>#</v>
      </c>
    </row>
    <row r="183" spans="1:31" ht="12.95" customHeight="1">
      <c r="A183" s="342" t="s">
        <v>404</v>
      </c>
      <c r="B183" s="344" t="s">
        <v>405</v>
      </c>
      <c r="C183" s="390" t="s">
        <v>406</v>
      </c>
      <c r="D183" s="375"/>
      <c r="E183" s="375">
        <f>FY!C130</f>
        <v>129.9</v>
      </c>
      <c r="F183" s="375">
        <f>FY!D130</f>
        <v>165.8</v>
      </c>
      <c r="G183" s="375">
        <f>FY!E130</f>
        <v>160.9</v>
      </c>
      <c r="H183" s="375">
        <f>FY!F130</f>
        <v>87.8</v>
      </c>
      <c r="I183" s="375">
        <f>FY!G130</f>
        <v>106.9</v>
      </c>
      <c r="J183" s="375">
        <f>FY!H130</f>
        <v>111.41842094359997</v>
      </c>
      <c r="K183" s="375">
        <f>FY!I130</f>
        <v>114.30616960306696</v>
      </c>
      <c r="L183" s="375">
        <f>FY!J130</f>
        <v>116.14119019170816</v>
      </c>
      <c r="M183" s="375">
        <f>FY!K130</f>
        <v>118.83330188508033</v>
      </c>
      <c r="N183" s="375">
        <f>FY!L130</f>
        <v>120.81138213246091</v>
      </c>
      <c r="O183" s="375">
        <f>FY!M130</f>
        <v>122.18946492437252</v>
      </c>
      <c r="P183" s="375">
        <f>FY!N130</f>
        <v>124.99488508424193</v>
      </c>
      <c r="Q183" s="375">
        <f>FY!O130</f>
        <v>127.20456236144469</v>
      </c>
      <c r="R183" s="320"/>
      <c r="S183" s="461" t="str">
        <f>_xll.BLUEMATRIX2("/servlet/excelData",E183,$B$1,$B183&amp;":"&amp;E$115&amp;":"&amp;$R$114)</f>
        <v>#</v>
      </c>
      <c r="T183" s="461" t="str">
        <f>_xll.BLUEMATRIX2("/servlet/excelData",F183,$B$1,$B183&amp;":"&amp;F$115&amp;":"&amp;$R$114)</f>
        <v>#</v>
      </c>
      <c r="U183" s="461" t="str">
        <f>_xll.BLUEMATRIX2("/servlet/excelData",G183,$B$1,$B183&amp;":"&amp;G$115&amp;":"&amp;$R$114)</f>
        <v>#</v>
      </c>
      <c r="V183" s="461" t="str">
        <f>_xll.BLUEMATRIX2("/servlet/excelData",H183,$B$1,$B183&amp;":"&amp;H$115&amp;":"&amp;$R$114)</f>
        <v>#</v>
      </c>
      <c r="W183" s="461" t="str">
        <f>_xll.BLUEMATRIX2("/servlet/excelData",I183,$B$1,$B183&amp;":"&amp;I$115&amp;":"&amp;$R$114)</f>
        <v>#</v>
      </c>
      <c r="X183" s="461" t="str">
        <f>_xll.BLUEMATRIX2("/servlet/excelData",J183,$B$1,$B183&amp;":"&amp;J$115&amp;":"&amp;$R$114)</f>
        <v>#</v>
      </c>
      <c r="Y183" s="461" t="str">
        <f>_xll.BLUEMATRIX2("/servlet/excelData",K183,$B$1,$B183&amp;":"&amp;K$115&amp;":"&amp;$R$114)</f>
        <v>#</v>
      </c>
      <c r="Z183" s="461" t="str">
        <f>_xll.BLUEMATRIX2("/servlet/excelData",L183,$B$1,$B183&amp;":"&amp;L$115&amp;":"&amp;$R$114)</f>
        <v>#</v>
      </c>
      <c r="AA183" s="461" t="str">
        <f>_xll.BLUEMATRIX2("/servlet/excelData",M183,$B$1,$B183&amp;":"&amp;M$115&amp;":"&amp;$R$114)</f>
        <v>#</v>
      </c>
      <c r="AB183" s="461" t="str">
        <f>_xll.BLUEMATRIX2("/servlet/excelData",N183,$B$1,$B183&amp;":"&amp;N$115&amp;":"&amp;$R$114)</f>
        <v>#</v>
      </c>
      <c r="AC183" s="461" t="str">
        <f>_xll.BLUEMATRIX2("/servlet/excelData",O183,$B$1,$B183&amp;":"&amp;O$115&amp;":"&amp;$R$114)</f>
        <v>#</v>
      </c>
      <c r="AD183" s="461" t="str">
        <f>_xll.BLUEMATRIX2("/servlet/excelData",P183,$B$1,$B183&amp;":"&amp;P$115&amp;":"&amp;$R$114)</f>
        <v>#</v>
      </c>
      <c r="AE183" s="461" t="str">
        <f>_xll.BLUEMATRIX2("/servlet/excelData",Q183,$B$1,$B183&amp;":"&amp;Q$115&amp;":"&amp;$R$114)</f>
        <v>#</v>
      </c>
    </row>
    <row r="184" spans="1:31" ht="12.95" customHeight="1">
      <c r="A184" s="342" t="s">
        <v>407</v>
      </c>
      <c r="B184" s="344" t="s">
        <v>408</v>
      </c>
      <c r="C184" s="390" t="s">
        <v>409</v>
      </c>
      <c r="D184" s="375"/>
      <c r="E184" s="375"/>
      <c r="F184" s="375"/>
      <c r="G184" s="375"/>
      <c r="H184" s="375"/>
      <c r="I184" s="375"/>
      <c r="J184" s="375"/>
      <c r="K184" s="375"/>
      <c r="L184" s="375"/>
      <c r="M184" s="375"/>
      <c r="N184" s="375"/>
      <c r="O184" s="375"/>
      <c r="P184" s="375"/>
      <c r="Q184" s="375"/>
      <c r="R184" s="320"/>
      <c r="S184" s="461" t="str">
        <f>_xll.BLUEMATRIX2("/servlet/excelData",E184,$B$1,$B184&amp;":"&amp;E$115&amp;":"&amp;$R$114)</f>
        <v>#</v>
      </c>
      <c r="T184" s="461" t="str">
        <f>_xll.BLUEMATRIX2("/servlet/excelData",F184,$B$1,$B184&amp;":"&amp;F$115&amp;":"&amp;$R$114)</f>
        <v>#</v>
      </c>
      <c r="U184" s="461" t="str">
        <f>_xll.BLUEMATRIX2("/servlet/excelData",G184,$B$1,$B184&amp;":"&amp;G$115&amp;":"&amp;$R$114)</f>
        <v>#</v>
      </c>
      <c r="V184" s="461" t="str">
        <f>_xll.BLUEMATRIX2("/servlet/excelData",H184,$B$1,$B184&amp;":"&amp;H$115&amp;":"&amp;$R$114)</f>
        <v>#</v>
      </c>
      <c r="W184" s="461" t="str">
        <f>_xll.BLUEMATRIX2("/servlet/excelData",I184,$B$1,$B184&amp;":"&amp;I$115&amp;":"&amp;$R$114)</f>
        <v>#</v>
      </c>
      <c r="X184" s="461" t="str">
        <f>_xll.BLUEMATRIX2("/servlet/excelData",J184,$B$1,$B184&amp;":"&amp;J$115&amp;":"&amp;$R$114)</f>
        <v>#</v>
      </c>
      <c r="Y184" s="461" t="str">
        <f>_xll.BLUEMATRIX2("/servlet/excelData",K184,$B$1,$B184&amp;":"&amp;K$115&amp;":"&amp;$R$114)</f>
        <v>#</v>
      </c>
      <c r="Z184" s="461" t="str">
        <f>_xll.BLUEMATRIX2("/servlet/excelData",L184,$B$1,$B184&amp;":"&amp;L$115&amp;":"&amp;$R$114)</f>
        <v>#</v>
      </c>
      <c r="AA184" s="461" t="str">
        <f>_xll.BLUEMATRIX2("/servlet/excelData",M184,$B$1,$B184&amp;":"&amp;M$115&amp;":"&amp;$R$114)</f>
        <v>#</v>
      </c>
      <c r="AB184" s="461" t="str">
        <f>_xll.BLUEMATRIX2("/servlet/excelData",N184,$B$1,$B184&amp;":"&amp;N$115&amp;":"&amp;$R$114)</f>
        <v>#</v>
      </c>
      <c r="AC184" s="461" t="str">
        <f>_xll.BLUEMATRIX2("/servlet/excelData",O184,$B$1,$B184&amp;":"&amp;O$115&amp;":"&amp;$R$114)</f>
        <v>#</v>
      </c>
      <c r="AD184" s="461" t="str">
        <f>_xll.BLUEMATRIX2("/servlet/excelData",P184,$B$1,$B184&amp;":"&amp;P$115&amp;":"&amp;$R$114)</f>
        <v>#</v>
      </c>
      <c r="AE184" s="461" t="str">
        <f>_xll.BLUEMATRIX2("/servlet/excelData",Q184,$B$1,$B184&amp;":"&amp;Q$115&amp;":"&amp;$R$114)</f>
        <v>#</v>
      </c>
    </row>
    <row r="185" spans="1:31" ht="12.95" customHeight="1">
      <c r="A185" s="342" t="s">
        <v>410</v>
      </c>
      <c r="B185" s="344" t="s">
        <v>411</v>
      </c>
      <c r="C185" s="390" t="s">
        <v>412</v>
      </c>
      <c r="D185" s="375"/>
      <c r="E185" s="375"/>
      <c r="F185" s="375"/>
      <c r="G185" s="375"/>
      <c r="H185" s="375"/>
      <c r="I185" s="375"/>
      <c r="J185" s="375"/>
      <c r="K185" s="375"/>
      <c r="L185" s="375"/>
      <c r="M185" s="375"/>
      <c r="N185" s="375"/>
      <c r="O185" s="375"/>
      <c r="P185" s="375"/>
      <c r="Q185" s="375"/>
      <c r="R185" s="320"/>
      <c r="S185" s="461" t="str">
        <f>_xll.BLUEMATRIX2("/servlet/excelData",E185,$B$1,$B185&amp;":"&amp;E$115&amp;":"&amp;$R$114)</f>
        <v>#</v>
      </c>
      <c r="T185" s="461" t="str">
        <f>_xll.BLUEMATRIX2("/servlet/excelData",F185,$B$1,$B185&amp;":"&amp;F$115&amp;":"&amp;$R$114)</f>
        <v>#</v>
      </c>
      <c r="U185" s="461" t="str">
        <f>_xll.BLUEMATRIX2("/servlet/excelData",G185,$B$1,$B185&amp;":"&amp;G$115&amp;":"&amp;$R$114)</f>
        <v>#</v>
      </c>
      <c r="V185" s="461" t="str">
        <f>_xll.BLUEMATRIX2("/servlet/excelData",H185,$B$1,$B185&amp;":"&amp;H$115&amp;":"&amp;$R$114)</f>
        <v>#</v>
      </c>
      <c r="W185" s="461" t="str">
        <f>_xll.BLUEMATRIX2("/servlet/excelData",I185,$B$1,$B185&amp;":"&amp;I$115&amp;":"&amp;$R$114)</f>
        <v>#</v>
      </c>
      <c r="X185" s="461" t="str">
        <f>_xll.BLUEMATRIX2("/servlet/excelData",J185,$B$1,$B185&amp;":"&amp;J$115&amp;":"&amp;$R$114)</f>
        <v>#</v>
      </c>
      <c r="Y185" s="461" t="str">
        <f>_xll.BLUEMATRIX2("/servlet/excelData",K185,$B$1,$B185&amp;":"&amp;K$115&amp;":"&amp;$R$114)</f>
        <v>#</v>
      </c>
      <c r="Z185" s="461" t="str">
        <f>_xll.BLUEMATRIX2("/servlet/excelData",L185,$B$1,$B185&amp;":"&amp;L$115&amp;":"&amp;$R$114)</f>
        <v>#</v>
      </c>
      <c r="AA185" s="461" t="str">
        <f>_xll.BLUEMATRIX2("/servlet/excelData",M185,$B$1,$B185&amp;":"&amp;M$115&amp;":"&amp;$R$114)</f>
        <v>#</v>
      </c>
      <c r="AB185" s="461" t="str">
        <f>_xll.BLUEMATRIX2("/servlet/excelData",N185,$B$1,$B185&amp;":"&amp;N$115&amp;":"&amp;$R$114)</f>
        <v>#</v>
      </c>
      <c r="AC185" s="461" t="str">
        <f>_xll.BLUEMATRIX2("/servlet/excelData",O185,$B$1,$B185&amp;":"&amp;O$115&amp;":"&amp;$R$114)</f>
        <v>#</v>
      </c>
      <c r="AD185" s="461" t="str">
        <f>_xll.BLUEMATRIX2("/servlet/excelData",P185,$B$1,$B185&amp;":"&amp;P$115&amp;":"&amp;$R$114)</f>
        <v>#</v>
      </c>
      <c r="AE185" s="461" t="str">
        <f>_xll.BLUEMATRIX2("/servlet/excelData",Q185,$B$1,$B185&amp;":"&amp;Q$115&amp;":"&amp;$R$114)</f>
        <v>#</v>
      </c>
    </row>
    <row r="186" spans="1:31" ht="12.95" customHeight="1">
      <c r="A186" s="342" t="s">
        <v>413</v>
      </c>
      <c r="B186" s="344" t="s">
        <v>414</v>
      </c>
      <c r="C186" s="390" t="s">
        <v>415</v>
      </c>
      <c r="D186" s="375"/>
      <c r="E186" s="375">
        <f>FY!C131+FY!C132</f>
        <v>102.1</v>
      </c>
      <c r="F186" s="375">
        <f>FY!D131+FY!D132</f>
        <v>95.3</v>
      </c>
      <c r="G186" s="375">
        <f>FY!E131+FY!E132</f>
        <v>96.5</v>
      </c>
      <c r="H186" s="375">
        <f>FY!F131+FY!F132</f>
        <v>59.3</v>
      </c>
      <c r="I186" s="375">
        <f>FY!G131+FY!G132</f>
        <v>64.3</v>
      </c>
      <c r="J186" s="375">
        <f>FY!H131+FY!H132</f>
        <v>64.3</v>
      </c>
      <c r="K186" s="375">
        <f>FY!I131+FY!I132</f>
        <v>64.3</v>
      </c>
      <c r="L186" s="375">
        <f>FY!J131+FY!J132</f>
        <v>64.3</v>
      </c>
      <c r="M186" s="375">
        <f>FY!K131+FY!K132</f>
        <v>64.3</v>
      </c>
      <c r="N186" s="375">
        <f>FY!L131+FY!L132</f>
        <v>64.3</v>
      </c>
      <c r="O186" s="375">
        <f>FY!M131+FY!M132</f>
        <v>64.3</v>
      </c>
      <c r="P186" s="375">
        <f>FY!N131+FY!N132</f>
        <v>64.3</v>
      </c>
      <c r="Q186" s="375">
        <f>FY!O131+FY!O132</f>
        <v>64.3</v>
      </c>
      <c r="R186" s="320"/>
      <c r="S186" s="461" t="str">
        <f>_xll.BLUEMATRIX2("/servlet/excelData",E186,$B$1,$B186&amp;":"&amp;E$115&amp;":"&amp;$R$114)</f>
        <v>#</v>
      </c>
      <c r="T186" s="461" t="str">
        <f>_xll.BLUEMATRIX2("/servlet/excelData",F186,$B$1,$B186&amp;":"&amp;F$115&amp;":"&amp;$R$114)</f>
        <v>#</v>
      </c>
      <c r="U186" s="461" t="str">
        <f>_xll.BLUEMATRIX2("/servlet/excelData",G186,$B$1,$B186&amp;":"&amp;G$115&amp;":"&amp;$R$114)</f>
        <v>#</v>
      </c>
      <c r="V186" s="461" t="str">
        <f>_xll.BLUEMATRIX2("/servlet/excelData",H186,$B$1,$B186&amp;":"&amp;H$115&amp;":"&amp;$R$114)</f>
        <v>#</v>
      </c>
      <c r="W186" s="461" t="str">
        <f>_xll.BLUEMATRIX2("/servlet/excelData",I186,$B$1,$B186&amp;":"&amp;I$115&amp;":"&amp;$R$114)</f>
        <v>#</v>
      </c>
      <c r="X186" s="461" t="str">
        <f>_xll.BLUEMATRIX2("/servlet/excelData",J186,$B$1,$B186&amp;":"&amp;J$115&amp;":"&amp;$R$114)</f>
        <v>#</v>
      </c>
      <c r="Y186" s="461" t="str">
        <f>_xll.BLUEMATRIX2("/servlet/excelData",K186,$B$1,$B186&amp;":"&amp;K$115&amp;":"&amp;$R$114)</f>
        <v>#</v>
      </c>
      <c r="Z186" s="461" t="str">
        <f>_xll.BLUEMATRIX2("/servlet/excelData",L186,$B$1,$B186&amp;":"&amp;L$115&amp;":"&amp;$R$114)</f>
        <v>#</v>
      </c>
      <c r="AA186" s="461" t="str">
        <f>_xll.BLUEMATRIX2("/servlet/excelData",M186,$B$1,$B186&amp;":"&amp;M$115&amp;":"&amp;$R$114)</f>
        <v>#</v>
      </c>
      <c r="AB186" s="461" t="str">
        <f>_xll.BLUEMATRIX2("/servlet/excelData",N186,$B$1,$B186&amp;":"&amp;N$115&amp;":"&amp;$R$114)</f>
        <v>#</v>
      </c>
      <c r="AC186" s="461" t="str">
        <f>_xll.BLUEMATRIX2("/servlet/excelData",O186,$B$1,$B186&amp;":"&amp;O$115&amp;":"&amp;$R$114)</f>
        <v>#</v>
      </c>
      <c r="AD186" s="461" t="str">
        <f>_xll.BLUEMATRIX2("/servlet/excelData",P186,$B$1,$B186&amp;":"&amp;P$115&amp;":"&amp;$R$114)</f>
        <v>#</v>
      </c>
      <c r="AE186" s="461" t="str">
        <f>_xll.BLUEMATRIX2("/servlet/excelData",Q186,$B$1,$B186&amp;":"&amp;Q$115&amp;":"&amp;$R$114)</f>
        <v>#</v>
      </c>
    </row>
    <row r="187" spans="1:31" ht="12.95" customHeight="1">
      <c r="A187" s="342" t="s">
        <v>416</v>
      </c>
      <c r="B187" s="344" t="s">
        <v>417</v>
      </c>
      <c r="C187" s="391" t="s">
        <v>418</v>
      </c>
      <c r="D187" s="378"/>
      <c r="E187" s="378">
        <f>E182+E183+E184+E185+E186</f>
        <v>431.4</v>
      </c>
      <c r="F187" s="378">
        <f>F182+F183+F184+F185+F186</f>
        <v>551.79999999999995</v>
      </c>
      <c r="G187" s="378">
        <f>G182+G183+G184+G185+G186</f>
        <v>571.1</v>
      </c>
      <c r="H187" s="378">
        <f>H182+H183+H184+H185+H186</f>
        <v>383.6</v>
      </c>
      <c r="I187" s="378">
        <f t="shared" ref="I187:P187" si="18">I182+I183+I184+I185+I186</f>
        <v>477.00000000000006</v>
      </c>
      <c r="J187" s="378">
        <f t="shared" si="18"/>
        <v>444.85785570845837</v>
      </c>
      <c r="K187" s="378">
        <f t="shared" si="18"/>
        <v>531.3297201422223</v>
      </c>
      <c r="L187" s="378">
        <f t="shared" si="18"/>
        <v>639.01348838008039</v>
      </c>
      <c r="M187" s="378">
        <f t="shared" si="18"/>
        <v>770.70896795975841</v>
      </c>
      <c r="N187" s="378">
        <f t="shared" si="18"/>
        <v>895.17997351008569</v>
      </c>
      <c r="O187" s="378">
        <f t="shared" si="18"/>
        <v>1099.9524433842025</v>
      </c>
      <c r="P187" s="378">
        <f t="shared" si="18"/>
        <v>1316.9477039297958</v>
      </c>
      <c r="Q187" s="378">
        <f>Q182+Q183+Q184+Q185+Q186</f>
        <v>1562.1027356070906</v>
      </c>
      <c r="R187" s="320"/>
      <c r="S187" s="461" t="str">
        <f>_xll.BLUEMATRIX2("/servlet/excelData",E187,$B$1,$B187&amp;":"&amp;E$115&amp;":"&amp;$R$114)</f>
        <v>#</v>
      </c>
      <c r="T187" s="461" t="str">
        <f>_xll.BLUEMATRIX2("/servlet/excelData",F187,$B$1,$B187&amp;":"&amp;F$115&amp;":"&amp;$R$114)</f>
        <v>#</v>
      </c>
      <c r="U187" s="461" t="str">
        <f>_xll.BLUEMATRIX2("/servlet/excelData",G187,$B$1,$B187&amp;":"&amp;G$115&amp;":"&amp;$R$114)</f>
        <v>#</v>
      </c>
      <c r="V187" s="461" t="str">
        <f>_xll.BLUEMATRIX2("/servlet/excelData",H187,$B$1,$B187&amp;":"&amp;H$115&amp;":"&amp;$R$114)</f>
        <v>#</v>
      </c>
      <c r="W187" s="461" t="str">
        <f>_xll.BLUEMATRIX2("/servlet/excelData",I187,$B$1,$B187&amp;":"&amp;I$115&amp;":"&amp;$R$114)</f>
        <v>#</v>
      </c>
      <c r="X187" s="461" t="str">
        <f>_xll.BLUEMATRIX2("/servlet/excelData",J187,$B$1,$B187&amp;":"&amp;J$115&amp;":"&amp;$R$114)</f>
        <v>#</v>
      </c>
      <c r="Y187" s="461" t="str">
        <f>_xll.BLUEMATRIX2("/servlet/excelData",K187,$B$1,$B187&amp;":"&amp;K$115&amp;":"&amp;$R$114)</f>
        <v>#</v>
      </c>
      <c r="Z187" s="461" t="str">
        <f>_xll.BLUEMATRIX2("/servlet/excelData",L187,$B$1,$B187&amp;":"&amp;L$115&amp;":"&amp;$R$114)</f>
        <v>#</v>
      </c>
      <c r="AA187" s="461" t="str">
        <f>_xll.BLUEMATRIX2("/servlet/excelData",M187,$B$1,$B187&amp;":"&amp;M$115&amp;":"&amp;$R$114)</f>
        <v>#</v>
      </c>
      <c r="AB187" s="461" t="str">
        <f>_xll.BLUEMATRIX2("/servlet/excelData",N187,$B$1,$B187&amp;":"&amp;N$115&amp;":"&amp;$R$114)</f>
        <v>#</v>
      </c>
      <c r="AC187" s="461" t="str">
        <f>_xll.BLUEMATRIX2("/servlet/excelData",O187,$B$1,$B187&amp;":"&amp;O$115&amp;":"&amp;$R$114)</f>
        <v>#</v>
      </c>
      <c r="AD187" s="461" t="str">
        <f>_xll.BLUEMATRIX2("/servlet/excelData",P187,$B$1,$B187&amp;":"&amp;P$115&amp;":"&amp;$R$114)</f>
        <v>#</v>
      </c>
      <c r="AE187" s="461" t="str">
        <f>_xll.BLUEMATRIX2("/servlet/excelData",Q187,$B$1,$B187&amp;":"&amp;Q$115&amp;":"&amp;$R$114)</f>
        <v>#</v>
      </c>
    </row>
    <row r="188" spans="1:31" ht="12.95" customHeight="1">
      <c r="A188" s="342" t="s">
        <v>419</v>
      </c>
      <c r="B188" s="344" t="s">
        <v>420</v>
      </c>
      <c r="C188" s="390" t="s">
        <v>421</v>
      </c>
      <c r="D188" s="375"/>
      <c r="E188" s="375">
        <f>FY!C140</f>
        <v>10.8</v>
      </c>
      <c r="F188" s="375">
        <f>FY!D140</f>
        <v>6.8</v>
      </c>
      <c r="G188" s="375">
        <f>FY!E140</f>
        <v>3.7</v>
      </c>
      <c r="H188" s="375">
        <f>FY!F140</f>
        <v>1.9</v>
      </c>
      <c r="I188" s="375">
        <f>FY!G140</f>
        <v>0</v>
      </c>
      <c r="J188" s="375">
        <f>FY!H140</f>
        <v>0</v>
      </c>
      <c r="K188" s="375">
        <f>FY!I140</f>
        <v>0</v>
      </c>
      <c r="L188" s="375">
        <f>FY!J140</f>
        <v>0</v>
      </c>
      <c r="M188" s="375">
        <f>FY!K140</f>
        <v>0</v>
      </c>
      <c r="N188" s="375">
        <f>FY!L140</f>
        <v>0</v>
      </c>
      <c r="O188" s="375">
        <f>FY!M140</f>
        <v>0</v>
      </c>
      <c r="P188" s="375">
        <f>FY!N140</f>
        <v>0</v>
      </c>
      <c r="Q188" s="375">
        <f>FY!O140</f>
        <v>0</v>
      </c>
      <c r="R188" s="320"/>
      <c r="S188" s="461" t="str">
        <f>_xll.BLUEMATRIX2("/servlet/excelData",E188,$B$1,$B188&amp;":"&amp;E$115&amp;":"&amp;$R$114)</f>
        <v>#</v>
      </c>
      <c r="T188" s="461" t="str">
        <f>_xll.BLUEMATRIX2("/servlet/excelData",F188,$B$1,$B188&amp;":"&amp;F$115&amp;":"&amp;$R$114)</f>
        <v>#</v>
      </c>
      <c r="U188" s="461" t="str">
        <f>_xll.BLUEMATRIX2("/servlet/excelData",G188,$B$1,$B188&amp;":"&amp;G$115&amp;":"&amp;$R$114)</f>
        <v>#</v>
      </c>
      <c r="V188" s="461" t="str">
        <f>_xll.BLUEMATRIX2("/servlet/excelData",H188,$B$1,$B188&amp;":"&amp;H$115&amp;":"&amp;$R$114)</f>
        <v>#</v>
      </c>
      <c r="W188" s="461" t="str">
        <f>_xll.BLUEMATRIX2("/servlet/excelData",I188,$B$1,$B188&amp;":"&amp;I$115&amp;":"&amp;$R$114)</f>
        <v>#</v>
      </c>
      <c r="X188" s="461" t="str">
        <f>_xll.BLUEMATRIX2("/servlet/excelData",J188,$B$1,$B188&amp;":"&amp;J$115&amp;":"&amp;$R$114)</f>
        <v>#</v>
      </c>
      <c r="Y188" s="461" t="str">
        <f>_xll.BLUEMATRIX2("/servlet/excelData",K188,$B$1,$B188&amp;":"&amp;K$115&amp;":"&amp;$R$114)</f>
        <v>#</v>
      </c>
      <c r="Z188" s="461" t="str">
        <f>_xll.BLUEMATRIX2("/servlet/excelData",L188,$B$1,$B188&amp;":"&amp;L$115&amp;":"&amp;$R$114)</f>
        <v>#</v>
      </c>
      <c r="AA188" s="461" t="str">
        <f>_xll.BLUEMATRIX2("/servlet/excelData",M188,$B$1,$B188&amp;":"&amp;M$115&amp;":"&amp;$R$114)</f>
        <v>#</v>
      </c>
      <c r="AB188" s="461" t="str">
        <f>_xll.BLUEMATRIX2("/servlet/excelData",N188,$B$1,$B188&amp;":"&amp;N$115&amp;":"&amp;$R$114)</f>
        <v>#</v>
      </c>
      <c r="AC188" s="461" t="str">
        <f>_xll.BLUEMATRIX2("/servlet/excelData",O188,$B$1,$B188&amp;":"&amp;O$115&amp;":"&amp;$R$114)</f>
        <v>#</v>
      </c>
      <c r="AD188" s="461" t="str">
        <f>_xll.BLUEMATRIX2("/servlet/excelData",P188,$B$1,$B188&amp;":"&amp;P$115&amp;":"&amp;$R$114)</f>
        <v>#</v>
      </c>
      <c r="AE188" s="461" t="str">
        <f>_xll.BLUEMATRIX2("/servlet/excelData",Q188,$B$1,$B188&amp;":"&amp;Q$115&amp;":"&amp;$R$114)</f>
        <v>#</v>
      </c>
    </row>
    <row r="189" spans="1:31" ht="12.95" customHeight="1">
      <c r="A189" s="342" t="s">
        <v>422</v>
      </c>
      <c r="B189" s="344" t="s">
        <v>423</v>
      </c>
      <c r="C189" s="390" t="s">
        <v>424</v>
      </c>
      <c r="D189" s="375"/>
      <c r="E189" s="375">
        <f>FY!C141</f>
        <v>0</v>
      </c>
      <c r="F189" s="375">
        <f>FY!D141</f>
        <v>30.6</v>
      </c>
      <c r="G189" s="375">
        <f>FY!E141</f>
        <v>30.1</v>
      </c>
      <c r="H189" s="375">
        <f>FY!F141</f>
        <v>33.9</v>
      </c>
      <c r="I189" s="375">
        <f>FY!G141</f>
        <v>30.9</v>
      </c>
      <c r="J189" s="375">
        <f>FY!H141</f>
        <v>30.9</v>
      </c>
      <c r="K189" s="375">
        <f>FY!I141</f>
        <v>30.9</v>
      </c>
      <c r="L189" s="375">
        <f>FY!J141</f>
        <v>30.9</v>
      </c>
      <c r="M189" s="375">
        <f>FY!K141</f>
        <v>30.9</v>
      </c>
      <c r="N189" s="375">
        <f>FY!L141</f>
        <v>30.899999999999991</v>
      </c>
      <c r="O189" s="375">
        <f>FY!M141</f>
        <v>30.899999999999991</v>
      </c>
      <c r="P189" s="375">
        <f>FY!N141</f>
        <v>30.899999999999991</v>
      </c>
      <c r="Q189" s="375">
        <f>FY!O141</f>
        <v>30.899999999999991</v>
      </c>
      <c r="R189" s="320"/>
      <c r="S189" s="461" t="str">
        <f>_xll.BLUEMATRIX2("/servlet/excelData",E189,$B$1,$B189&amp;":"&amp;E$115&amp;":"&amp;$R$114)</f>
        <v>#</v>
      </c>
      <c r="T189" s="461" t="str">
        <f>_xll.BLUEMATRIX2("/servlet/excelData",F189,$B$1,$B189&amp;":"&amp;F$115&amp;":"&amp;$R$114)</f>
        <v>#</v>
      </c>
      <c r="U189" s="461" t="str">
        <f>_xll.BLUEMATRIX2("/servlet/excelData",G189,$B$1,$B189&amp;":"&amp;G$115&amp;":"&amp;$R$114)</f>
        <v>#</v>
      </c>
      <c r="V189" s="461" t="str">
        <f>_xll.BLUEMATRIX2("/servlet/excelData",H189,$B$1,$B189&amp;":"&amp;H$115&amp;":"&amp;$R$114)</f>
        <v>#</v>
      </c>
      <c r="W189" s="461" t="str">
        <f>_xll.BLUEMATRIX2("/servlet/excelData",I189,$B$1,$B189&amp;":"&amp;I$115&amp;":"&amp;$R$114)</f>
        <v>#</v>
      </c>
      <c r="X189" s="461" t="str">
        <f>_xll.BLUEMATRIX2("/servlet/excelData",J189,$B$1,$B189&amp;":"&amp;J$115&amp;":"&amp;$R$114)</f>
        <v>#</v>
      </c>
      <c r="Y189" s="461" t="str">
        <f>_xll.BLUEMATRIX2("/servlet/excelData",K189,$B$1,$B189&amp;":"&amp;K$115&amp;":"&amp;$R$114)</f>
        <v>#</v>
      </c>
      <c r="Z189" s="461" t="str">
        <f>_xll.BLUEMATRIX2("/servlet/excelData",L189,$B$1,$B189&amp;":"&amp;L$115&amp;":"&amp;$R$114)</f>
        <v>#</v>
      </c>
      <c r="AA189" s="461" t="str">
        <f>_xll.BLUEMATRIX2("/servlet/excelData",M189,$B$1,$B189&amp;":"&amp;M$115&amp;":"&amp;$R$114)</f>
        <v>#</v>
      </c>
      <c r="AB189" s="461" t="str">
        <f>_xll.BLUEMATRIX2("/servlet/excelData",N189,$B$1,$B189&amp;":"&amp;N$115&amp;":"&amp;$R$114)</f>
        <v>#</v>
      </c>
      <c r="AC189" s="461" t="str">
        <f>_xll.BLUEMATRIX2("/servlet/excelData",O189,$B$1,$B189&amp;":"&amp;O$115&amp;":"&amp;$R$114)</f>
        <v>#</v>
      </c>
      <c r="AD189" s="461" t="str">
        <f>_xll.BLUEMATRIX2("/servlet/excelData",P189,$B$1,$B189&amp;":"&amp;P$115&amp;":"&amp;$R$114)</f>
        <v>#</v>
      </c>
      <c r="AE189" s="461" t="str">
        <f>_xll.BLUEMATRIX2("/servlet/excelData",Q189,$B$1,$B189&amp;":"&amp;Q$115&amp;":"&amp;$R$114)</f>
        <v>#</v>
      </c>
    </row>
    <row r="190" spans="1:31" ht="12.95" customHeight="1">
      <c r="A190" s="342" t="s">
        <v>425</v>
      </c>
      <c r="B190" s="344" t="s">
        <v>426</v>
      </c>
      <c r="C190" s="390" t="s">
        <v>427</v>
      </c>
      <c r="D190" s="375"/>
      <c r="E190" s="375">
        <f>FY!C139</f>
        <v>349.4</v>
      </c>
      <c r="F190" s="375">
        <f>FY!D139</f>
        <v>271.7</v>
      </c>
      <c r="G190" s="375">
        <f>FY!E139</f>
        <v>184</v>
      </c>
      <c r="H190" s="375">
        <f>FY!F139</f>
        <v>204.7</v>
      </c>
      <c r="I190" s="375">
        <f>FY!G139</f>
        <v>215.1</v>
      </c>
      <c r="J190" s="375">
        <f>FY!H139</f>
        <v>214.1</v>
      </c>
      <c r="K190" s="375">
        <f>FY!I139</f>
        <v>224.1</v>
      </c>
      <c r="L190" s="375">
        <f>FY!J139</f>
        <v>221.72715099494437</v>
      </c>
      <c r="M190" s="375">
        <f>FY!K139</f>
        <v>221.18185844374045</v>
      </c>
      <c r="N190" s="375">
        <f>FY!L139</f>
        <v>221.66952559303954</v>
      </c>
      <c r="O190" s="375">
        <f>FY!M139</f>
        <v>222.96643206412938</v>
      </c>
      <c r="P190" s="375">
        <f>FY!N139</f>
        <v>224.90570220454714</v>
      </c>
      <c r="Q190" s="375">
        <f>FY!O139</f>
        <v>227.36313373439387</v>
      </c>
      <c r="R190" s="320"/>
      <c r="S190" s="461" t="str">
        <f>_xll.BLUEMATRIX2("/servlet/excelData",E190,$B$1,$B190&amp;":"&amp;E$115&amp;":"&amp;$R$114)</f>
        <v>#</v>
      </c>
      <c r="T190" s="461" t="str">
        <f>_xll.BLUEMATRIX2("/servlet/excelData",F190,$B$1,$B190&amp;":"&amp;F$115&amp;":"&amp;$R$114)</f>
        <v>#</v>
      </c>
      <c r="U190" s="461" t="str">
        <f>_xll.BLUEMATRIX2("/servlet/excelData",G190,$B$1,$B190&amp;":"&amp;G$115&amp;":"&amp;$R$114)</f>
        <v>#</v>
      </c>
      <c r="V190" s="461" t="str">
        <f>_xll.BLUEMATRIX2("/servlet/excelData",H190,$B$1,$B190&amp;":"&amp;H$115&amp;":"&amp;$R$114)</f>
        <v>#</v>
      </c>
      <c r="W190" s="461" t="str">
        <f>_xll.BLUEMATRIX2("/servlet/excelData",I190,$B$1,$B190&amp;":"&amp;I$115&amp;":"&amp;$R$114)</f>
        <v>#</v>
      </c>
      <c r="X190" s="461" t="str">
        <f>_xll.BLUEMATRIX2("/servlet/excelData",J190,$B$1,$B190&amp;":"&amp;J$115&amp;":"&amp;$R$114)</f>
        <v>#</v>
      </c>
      <c r="Y190" s="461" t="str">
        <f>_xll.BLUEMATRIX2("/servlet/excelData",K190,$B$1,$B190&amp;":"&amp;K$115&amp;":"&amp;$R$114)</f>
        <v>#</v>
      </c>
      <c r="Z190" s="461" t="str">
        <f>_xll.BLUEMATRIX2("/servlet/excelData",L190,$B$1,$B190&amp;":"&amp;L$115&amp;":"&amp;$R$114)</f>
        <v>#</v>
      </c>
      <c r="AA190" s="461" t="str">
        <f>_xll.BLUEMATRIX2("/servlet/excelData",M190,$B$1,$B190&amp;":"&amp;M$115&amp;":"&amp;$R$114)</f>
        <v>#</v>
      </c>
      <c r="AB190" s="461" t="str">
        <f>_xll.BLUEMATRIX2("/servlet/excelData",N190,$B$1,$B190&amp;":"&amp;N$115&amp;":"&amp;$R$114)</f>
        <v>#</v>
      </c>
      <c r="AC190" s="461" t="str">
        <f>_xll.BLUEMATRIX2("/servlet/excelData",O190,$B$1,$B190&amp;":"&amp;O$115&amp;":"&amp;$R$114)</f>
        <v>#</v>
      </c>
      <c r="AD190" s="461" t="str">
        <f>_xll.BLUEMATRIX2("/servlet/excelData",P190,$B$1,$B190&amp;":"&amp;P$115&amp;":"&amp;$R$114)</f>
        <v>#</v>
      </c>
      <c r="AE190" s="461" t="str">
        <f>_xll.BLUEMATRIX2("/servlet/excelData",Q190,$B$1,$B190&amp;":"&amp;Q$115&amp;":"&amp;$R$114)</f>
        <v>#</v>
      </c>
    </row>
    <row r="191" spans="1:31" ht="12.95" customHeight="1">
      <c r="A191" s="342" t="s">
        <v>428</v>
      </c>
      <c r="B191" s="344" t="s">
        <v>429</v>
      </c>
      <c r="C191" s="390" t="s">
        <v>56</v>
      </c>
      <c r="D191" s="375"/>
      <c r="E191" s="375"/>
      <c r="F191" s="375"/>
      <c r="G191" s="375"/>
      <c r="H191" s="375"/>
      <c r="I191" s="375"/>
      <c r="J191" s="375"/>
      <c r="K191" s="375"/>
      <c r="L191" s="375"/>
      <c r="M191" s="375"/>
      <c r="N191" s="375"/>
      <c r="O191" s="375"/>
      <c r="P191" s="375"/>
      <c r="Q191" s="375"/>
      <c r="R191" s="320"/>
      <c r="S191" s="461" t="str">
        <f>_xll.BLUEMATRIX2("/servlet/excelData",E191,$B$1,$B191&amp;":"&amp;E$115&amp;":"&amp;$R$114)</f>
        <v>#</v>
      </c>
      <c r="T191" s="461" t="str">
        <f>_xll.BLUEMATRIX2("/servlet/excelData",F191,$B$1,$B191&amp;":"&amp;F$115&amp;":"&amp;$R$114)</f>
        <v>#</v>
      </c>
      <c r="U191" s="461" t="str">
        <f>_xll.BLUEMATRIX2("/servlet/excelData",G191,$B$1,$B191&amp;":"&amp;G$115&amp;":"&amp;$R$114)</f>
        <v>#</v>
      </c>
      <c r="V191" s="461" t="str">
        <f>_xll.BLUEMATRIX2("/servlet/excelData",H191,$B$1,$B191&amp;":"&amp;H$115&amp;":"&amp;$R$114)</f>
        <v>#</v>
      </c>
      <c r="W191" s="461" t="str">
        <f>_xll.BLUEMATRIX2("/servlet/excelData",I191,$B$1,$B191&amp;":"&amp;I$115&amp;":"&amp;$R$114)</f>
        <v>#</v>
      </c>
      <c r="X191" s="461" t="str">
        <f>_xll.BLUEMATRIX2("/servlet/excelData",J191,$B$1,$B191&amp;":"&amp;J$115&amp;":"&amp;$R$114)</f>
        <v>#</v>
      </c>
      <c r="Y191" s="461" t="str">
        <f>_xll.BLUEMATRIX2("/servlet/excelData",K191,$B$1,$B191&amp;":"&amp;K$115&amp;":"&amp;$R$114)</f>
        <v>#</v>
      </c>
      <c r="Z191" s="461" t="str">
        <f>_xll.BLUEMATRIX2("/servlet/excelData",L191,$B$1,$B191&amp;":"&amp;L$115&amp;":"&amp;$R$114)</f>
        <v>#</v>
      </c>
      <c r="AA191" s="461" t="str">
        <f>_xll.BLUEMATRIX2("/servlet/excelData",M191,$B$1,$B191&amp;":"&amp;M$115&amp;":"&amp;$R$114)</f>
        <v>#</v>
      </c>
      <c r="AB191" s="461" t="str">
        <f>_xll.BLUEMATRIX2("/servlet/excelData",N191,$B$1,$B191&amp;":"&amp;N$115&amp;":"&amp;$R$114)</f>
        <v>#</v>
      </c>
      <c r="AC191" s="461" t="str">
        <f>_xll.BLUEMATRIX2("/servlet/excelData",O191,$B$1,$B191&amp;":"&amp;O$115&amp;":"&amp;$R$114)</f>
        <v>#</v>
      </c>
      <c r="AD191" s="461" t="str">
        <f>_xll.BLUEMATRIX2("/servlet/excelData",P191,$B$1,$B191&amp;":"&amp;P$115&amp;":"&amp;$R$114)</f>
        <v>#</v>
      </c>
      <c r="AE191" s="461" t="str">
        <f>_xll.BLUEMATRIX2("/servlet/excelData",Q191,$B$1,$B191&amp;":"&amp;Q$115&amp;":"&amp;$R$114)</f>
        <v>#</v>
      </c>
    </row>
    <row r="192" spans="1:31" ht="12.95" customHeight="1">
      <c r="A192" s="342" t="s">
        <v>430</v>
      </c>
      <c r="B192" s="344" t="s">
        <v>431</v>
      </c>
      <c r="C192" s="390" t="s">
        <v>52</v>
      </c>
      <c r="D192" s="375"/>
      <c r="E192" s="375">
        <f>FY!C136</f>
        <v>1734</v>
      </c>
      <c r="F192" s="375">
        <f>FY!D136</f>
        <v>1734</v>
      </c>
      <c r="G192" s="375">
        <f>FY!E136</f>
        <v>988</v>
      </c>
      <c r="H192" s="375">
        <f>FY!F136</f>
        <v>988</v>
      </c>
      <c r="I192" s="375">
        <f>FY!G136</f>
        <v>988</v>
      </c>
      <c r="J192" s="375">
        <f>FY!H136</f>
        <v>1271</v>
      </c>
      <c r="K192" s="375">
        <f>FY!I136</f>
        <v>1271</v>
      </c>
      <c r="L192" s="375">
        <f>FY!J136</f>
        <v>1271</v>
      </c>
      <c r="M192" s="375">
        <f>FY!K136</f>
        <v>1271</v>
      </c>
      <c r="N192" s="375">
        <f>FY!L136</f>
        <v>1271</v>
      </c>
      <c r="O192" s="375">
        <f>FY!M136</f>
        <v>1271</v>
      </c>
      <c r="P192" s="375">
        <f>FY!N136</f>
        <v>1271</v>
      </c>
      <c r="Q192" s="375">
        <f>FY!O136</f>
        <v>1271</v>
      </c>
      <c r="R192" s="320"/>
      <c r="S192" s="461" t="str">
        <f>_xll.BLUEMATRIX2("/servlet/excelData",E192,$B$1,$B192&amp;":"&amp;E$115&amp;":"&amp;$R$114)</f>
        <v>#</v>
      </c>
      <c r="T192" s="461" t="str">
        <f>_xll.BLUEMATRIX2("/servlet/excelData",F192,$B$1,$B192&amp;":"&amp;F$115&amp;":"&amp;$R$114)</f>
        <v>#</v>
      </c>
      <c r="U192" s="461" t="str">
        <f>_xll.BLUEMATRIX2("/servlet/excelData",G192,$B$1,$B192&amp;":"&amp;G$115&amp;":"&amp;$R$114)</f>
        <v>#</v>
      </c>
      <c r="V192" s="461" t="str">
        <f>_xll.BLUEMATRIX2("/servlet/excelData",H192,$B$1,$B192&amp;":"&amp;H$115&amp;":"&amp;$R$114)</f>
        <v>#</v>
      </c>
      <c r="W192" s="461" t="str">
        <f>_xll.BLUEMATRIX2("/servlet/excelData",I192,$B$1,$B192&amp;":"&amp;I$115&amp;":"&amp;$R$114)</f>
        <v>#</v>
      </c>
      <c r="X192" s="461" t="str">
        <f>_xll.BLUEMATRIX2("/servlet/excelData",J192,$B$1,$B192&amp;":"&amp;J$115&amp;":"&amp;$R$114)</f>
        <v>#</v>
      </c>
      <c r="Y192" s="461" t="str">
        <f>_xll.BLUEMATRIX2("/servlet/excelData",K192,$B$1,$B192&amp;":"&amp;K$115&amp;":"&amp;$R$114)</f>
        <v>#</v>
      </c>
      <c r="Z192" s="461" t="str">
        <f>_xll.BLUEMATRIX2("/servlet/excelData",L192,$B$1,$B192&amp;":"&amp;L$115&amp;":"&amp;$R$114)</f>
        <v>#</v>
      </c>
      <c r="AA192" s="461" t="str">
        <f>_xll.BLUEMATRIX2("/servlet/excelData",M192,$B$1,$B192&amp;":"&amp;M$115&amp;":"&amp;$R$114)</f>
        <v>#</v>
      </c>
      <c r="AB192" s="461" t="str">
        <f>_xll.BLUEMATRIX2("/servlet/excelData",N192,$B$1,$B192&amp;":"&amp;N$115&amp;":"&amp;$R$114)</f>
        <v>#</v>
      </c>
      <c r="AC192" s="461" t="str">
        <f>_xll.BLUEMATRIX2("/servlet/excelData",O192,$B$1,$B192&amp;":"&amp;O$115&amp;":"&amp;$R$114)</f>
        <v>#</v>
      </c>
      <c r="AD192" s="461" t="str">
        <f>_xll.BLUEMATRIX2("/servlet/excelData",P192,$B$1,$B192&amp;":"&amp;P$115&amp;":"&amp;$R$114)</f>
        <v>#</v>
      </c>
      <c r="AE192" s="461" t="str">
        <f>_xll.BLUEMATRIX2("/servlet/excelData",Q192,$B$1,$B192&amp;":"&amp;Q$115&amp;":"&amp;$R$114)</f>
        <v>#</v>
      </c>
    </row>
    <row r="193" spans="1:31" ht="12.95" customHeight="1">
      <c r="A193" s="342" t="s">
        <v>432</v>
      </c>
      <c r="B193" s="344" t="s">
        <v>433</v>
      </c>
      <c r="C193" s="390" t="s">
        <v>35</v>
      </c>
      <c r="D193" s="375"/>
      <c r="E193" s="375">
        <f>FY!C138+FY!C137</f>
        <v>1474.4</v>
      </c>
      <c r="F193" s="375">
        <f>FY!D138+FY!D137</f>
        <v>1410.1999999999998</v>
      </c>
      <c r="G193" s="375">
        <f>FY!E138+FY!E137</f>
        <v>1554.4</v>
      </c>
      <c r="H193" s="375">
        <f>FY!F138+FY!F137</f>
        <v>1495.3999999999999</v>
      </c>
      <c r="I193" s="375">
        <f>FY!G138+FY!G137</f>
        <v>1434</v>
      </c>
      <c r="J193" s="375">
        <f>FY!H138+FY!H137</f>
        <v>1366.6000000000004</v>
      </c>
      <c r="K193" s="375">
        <f>FY!I138+FY!I137</f>
        <v>1283.2000000000007</v>
      </c>
      <c r="L193" s="375">
        <f>FY!J138+FY!J137</f>
        <v>1189.8871754422926</v>
      </c>
      <c r="M193" s="375">
        <f>FY!K138+FY!K137</f>
        <v>1104.62525907692</v>
      </c>
      <c r="N193" s="375">
        <f>FY!L138+FY!L137</f>
        <v>1027.4789214016669</v>
      </c>
      <c r="O193" s="375">
        <f>FY!M138+FY!M137</f>
        <v>956.27763789043479</v>
      </c>
      <c r="P193" s="375">
        <f>FY!N138+FY!N137</f>
        <v>889.4434717126428</v>
      </c>
      <c r="Q193" s="375">
        <f>FY!O138+FY!O137</f>
        <v>825.82963375329552</v>
      </c>
      <c r="R193" s="320"/>
      <c r="S193" s="461" t="str">
        <f>_xll.BLUEMATRIX2("/servlet/excelData",E193,$B$1,$B193&amp;":"&amp;E$115&amp;":"&amp;$R$114)</f>
        <v>#</v>
      </c>
      <c r="T193" s="461" t="str">
        <f>_xll.BLUEMATRIX2("/servlet/excelData",F193,$B$1,$B193&amp;":"&amp;F$115&amp;":"&amp;$R$114)</f>
        <v>#</v>
      </c>
      <c r="U193" s="461" t="str">
        <f>_xll.BLUEMATRIX2("/servlet/excelData",G193,$B$1,$B193&amp;":"&amp;G$115&amp;":"&amp;$R$114)</f>
        <v>#</v>
      </c>
      <c r="V193" s="461" t="str">
        <f>_xll.BLUEMATRIX2("/servlet/excelData",H193,$B$1,$B193&amp;":"&amp;H$115&amp;":"&amp;$R$114)</f>
        <v>#</v>
      </c>
      <c r="W193" s="461" t="str">
        <f>_xll.BLUEMATRIX2("/servlet/excelData",I193,$B$1,$B193&amp;":"&amp;I$115&amp;":"&amp;$R$114)</f>
        <v>#</v>
      </c>
      <c r="X193" s="461" t="str">
        <f>_xll.BLUEMATRIX2("/servlet/excelData",J193,$B$1,$B193&amp;":"&amp;J$115&amp;":"&amp;$R$114)</f>
        <v>#</v>
      </c>
      <c r="Y193" s="461" t="str">
        <f>_xll.BLUEMATRIX2("/servlet/excelData",K193,$B$1,$B193&amp;":"&amp;K$115&amp;":"&amp;$R$114)</f>
        <v>#</v>
      </c>
      <c r="Z193" s="461" t="str">
        <f>_xll.BLUEMATRIX2("/servlet/excelData",L193,$B$1,$B193&amp;":"&amp;L$115&amp;":"&amp;$R$114)</f>
        <v>#</v>
      </c>
      <c r="AA193" s="461" t="str">
        <f>_xll.BLUEMATRIX2("/servlet/excelData",M193,$B$1,$B193&amp;":"&amp;M$115&amp;":"&amp;$R$114)</f>
        <v>#</v>
      </c>
      <c r="AB193" s="461" t="str">
        <f>_xll.BLUEMATRIX2("/servlet/excelData",N193,$B$1,$B193&amp;":"&amp;N$115&amp;":"&amp;$R$114)</f>
        <v>#</v>
      </c>
      <c r="AC193" s="461" t="str">
        <f>_xll.BLUEMATRIX2("/servlet/excelData",O193,$B$1,$B193&amp;":"&amp;O$115&amp;":"&amp;$R$114)</f>
        <v>#</v>
      </c>
      <c r="AD193" s="461" t="str">
        <f>_xll.BLUEMATRIX2("/servlet/excelData",P193,$B$1,$B193&amp;":"&amp;P$115&amp;":"&amp;$R$114)</f>
        <v>#</v>
      </c>
      <c r="AE193" s="461" t="str">
        <f>_xll.BLUEMATRIX2("/servlet/excelData",Q193,$B$1,$B193&amp;":"&amp;Q$115&amp;":"&amp;$R$114)</f>
        <v>#</v>
      </c>
    </row>
    <row r="194" spans="1:31" ht="12.95" customHeight="1">
      <c r="A194" s="342" t="s">
        <v>434</v>
      </c>
      <c r="B194" s="344" t="s">
        <v>435</v>
      </c>
      <c r="C194" s="390" t="s">
        <v>436</v>
      </c>
      <c r="D194" s="375"/>
      <c r="E194" s="375">
        <f>FY!C142</f>
        <v>48.7</v>
      </c>
      <c r="F194" s="375">
        <f>FY!D142</f>
        <v>47.3</v>
      </c>
      <c r="G194" s="375">
        <f>FY!E142</f>
        <v>54</v>
      </c>
      <c r="H194" s="375">
        <f>FY!F142</f>
        <v>32.700000000000003</v>
      </c>
      <c r="I194" s="375">
        <f>FY!G142</f>
        <v>52.7</v>
      </c>
      <c r="J194" s="375">
        <f>FY!H142</f>
        <v>52.7</v>
      </c>
      <c r="K194" s="375">
        <f>FY!I142</f>
        <v>52.7</v>
      </c>
      <c r="L194" s="375">
        <f>FY!J142</f>
        <v>52.7</v>
      </c>
      <c r="M194" s="375">
        <f>FY!K142</f>
        <v>52.7</v>
      </c>
      <c r="N194" s="375">
        <f>FY!L142</f>
        <v>52.7</v>
      </c>
      <c r="O194" s="375">
        <f>FY!M142</f>
        <v>52.7</v>
      </c>
      <c r="P194" s="375">
        <f>FY!N142</f>
        <v>52.7</v>
      </c>
      <c r="Q194" s="375">
        <f>FY!O142</f>
        <v>52.7</v>
      </c>
      <c r="R194" s="320"/>
      <c r="S194" s="461" t="str">
        <f>_xll.BLUEMATRIX2("/servlet/excelData",E194,$B$1,$B194&amp;":"&amp;E$115&amp;":"&amp;$R$114)</f>
        <v>#</v>
      </c>
      <c r="T194" s="461" t="str">
        <f>_xll.BLUEMATRIX2("/servlet/excelData",F194,$B$1,$B194&amp;":"&amp;F$115&amp;":"&amp;$R$114)</f>
        <v>#</v>
      </c>
      <c r="U194" s="461" t="str">
        <f>_xll.BLUEMATRIX2("/servlet/excelData",G194,$B$1,$B194&amp;":"&amp;G$115&amp;":"&amp;$R$114)</f>
        <v>#</v>
      </c>
      <c r="V194" s="461" t="str">
        <f>_xll.BLUEMATRIX2("/servlet/excelData",H194,$B$1,$B194&amp;":"&amp;H$115&amp;":"&amp;$R$114)</f>
        <v>#</v>
      </c>
      <c r="W194" s="461" t="str">
        <f>_xll.BLUEMATRIX2("/servlet/excelData",I194,$B$1,$B194&amp;":"&amp;I$115&amp;":"&amp;$R$114)</f>
        <v>#</v>
      </c>
      <c r="X194" s="461" t="str">
        <f>_xll.BLUEMATRIX2("/servlet/excelData",J194,$B$1,$B194&amp;":"&amp;J$115&amp;":"&amp;$R$114)</f>
        <v>#</v>
      </c>
      <c r="Y194" s="461" t="str">
        <f>_xll.BLUEMATRIX2("/servlet/excelData",K194,$B$1,$B194&amp;":"&amp;K$115&amp;":"&amp;$R$114)</f>
        <v>#</v>
      </c>
      <c r="Z194" s="461" t="str">
        <f>_xll.BLUEMATRIX2("/servlet/excelData",L194,$B$1,$B194&amp;":"&amp;L$115&amp;":"&amp;$R$114)</f>
        <v>#</v>
      </c>
      <c r="AA194" s="461" t="str">
        <f>_xll.BLUEMATRIX2("/servlet/excelData",M194,$B$1,$B194&amp;":"&amp;M$115&amp;":"&amp;$R$114)</f>
        <v>#</v>
      </c>
      <c r="AB194" s="461" t="str">
        <f>_xll.BLUEMATRIX2("/servlet/excelData",N194,$B$1,$B194&amp;":"&amp;N$115&amp;":"&amp;$R$114)</f>
        <v>#</v>
      </c>
      <c r="AC194" s="461" t="str">
        <f>_xll.BLUEMATRIX2("/servlet/excelData",O194,$B$1,$B194&amp;":"&amp;O$115&amp;":"&amp;$R$114)</f>
        <v>#</v>
      </c>
      <c r="AD194" s="461" t="str">
        <f>_xll.BLUEMATRIX2("/servlet/excelData",P194,$B$1,$B194&amp;":"&amp;P$115&amp;":"&amp;$R$114)</f>
        <v>#</v>
      </c>
      <c r="AE194" s="461" t="str">
        <f>_xll.BLUEMATRIX2("/servlet/excelData",Q194,$B$1,$B194&amp;":"&amp;Q$115&amp;":"&amp;$R$114)</f>
        <v>#</v>
      </c>
    </row>
    <row r="195" spans="1:31" ht="12.95" customHeight="1">
      <c r="A195" s="342" t="s">
        <v>437</v>
      </c>
      <c r="B195" s="344" t="s">
        <v>438</v>
      </c>
      <c r="C195" s="392" t="s">
        <v>439</v>
      </c>
      <c r="D195" s="381"/>
      <c r="E195" s="381">
        <f>E188+E189+E190+E191+E192+E193+E194</f>
        <v>3617.2999999999997</v>
      </c>
      <c r="F195" s="381">
        <f>F188+F189+F190+F191+F192+F193+F194</f>
        <v>3500.6</v>
      </c>
      <c r="G195" s="381">
        <f>G188+G189+G190+G191+G192+G193+G194</f>
        <v>2814.2</v>
      </c>
      <c r="H195" s="381">
        <f>H188+H189+H190+H191+H192+H193+H194</f>
        <v>2756.5999999999995</v>
      </c>
      <c r="I195" s="381">
        <f t="shared" ref="I195:P195" si="19">I188+I189+I190+I191+I192+I193+I194</f>
        <v>2720.7</v>
      </c>
      <c r="J195" s="381">
        <f t="shared" si="19"/>
        <v>2935.3</v>
      </c>
      <c r="K195" s="381">
        <f t="shared" si="19"/>
        <v>2861.9000000000005</v>
      </c>
      <c r="L195" s="381">
        <f t="shared" si="19"/>
        <v>2766.2143264372367</v>
      </c>
      <c r="M195" s="381">
        <f t="shared" si="19"/>
        <v>2680.40711752066</v>
      </c>
      <c r="N195" s="381">
        <f t="shared" si="19"/>
        <v>2603.7484469947062</v>
      </c>
      <c r="O195" s="381">
        <f t="shared" si="19"/>
        <v>2533.844069954564</v>
      </c>
      <c r="P195" s="381">
        <f t="shared" si="19"/>
        <v>2468.9491739171899</v>
      </c>
      <c r="Q195" s="381">
        <f>Q188+Q189+Q190+Q191+Q192+Q193+Q194</f>
        <v>2407.7927674876892</v>
      </c>
      <c r="R195" s="376"/>
      <c r="S195" s="461" t="str">
        <f>_xll.BLUEMATRIX2("/servlet/excelData",E195,$B$1,$B195&amp;":"&amp;E$115&amp;":"&amp;$R$114)</f>
        <v>#</v>
      </c>
      <c r="T195" s="461" t="str">
        <f>_xll.BLUEMATRIX2("/servlet/excelData",F195,$B$1,$B195&amp;":"&amp;F$115&amp;":"&amp;$R$114)</f>
        <v>#</v>
      </c>
      <c r="U195" s="461" t="str">
        <f>_xll.BLUEMATRIX2("/servlet/excelData",G195,$B$1,$B195&amp;":"&amp;G$115&amp;":"&amp;$R$114)</f>
        <v>#</v>
      </c>
      <c r="V195" s="461" t="str">
        <f>_xll.BLUEMATRIX2("/servlet/excelData",H195,$B$1,$B195&amp;":"&amp;H$115&amp;":"&amp;$R$114)</f>
        <v>#</v>
      </c>
      <c r="W195" s="461" t="str">
        <f>_xll.BLUEMATRIX2("/servlet/excelData",I195,$B$1,$B195&amp;":"&amp;I$115&amp;":"&amp;$R$114)</f>
        <v>#</v>
      </c>
      <c r="X195" s="461" t="str">
        <f>_xll.BLUEMATRIX2("/servlet/excelData",J195,$B$1,$B195&amp;":"&amp;J$115&amp;":"&amp;$R$114)</f>
        <v>#</v>
      </c>
      <c r="Y195" s="461" t="str">
        <f>_xll.BLUEMATRIX2("/servlet/excelData",K195,$B$1,$B195&amp;":"&amp;K$115&amp;":"&amp;$R$114)</f>
        <v>#</v>
      </c>
      <c r="Z195" s="461" t="str">
        <f>_xll.BLUEMATRIX2("/servlet/excelData",L195,$B$1,$B195&amp;":"&amp;L$115&amp;":"&amp;$R$114)</f>
        <v>#</v>
      </c>
      <c r="AA195" s="461" t="str">
        <f>_xll.BLUEMATRIX2("/servlet/excelData",M195,$B$1,$B195&amp;":"&amp;M$115&amp;":"&amp;$R$114)</f>
        <v>#</v>
      </c>
      <c r="AB195" s="461" t="str">
        <f>_xll.BLUEMATRIX2("/servlet/excelData",N195,$B$1,$B195&amp;":"&amp;N$115&amp;":"&amp;$R$114)</f>
        <v>#</v>
      </c>
      <c r="AC195" s="461" t="str">
        <f>_xll.BLUEMATRIX2("/servlet/excelData",O195,$B$1,$B195&amp;":"&amp;O$115&amp;":"&amp;$R$114)</f>
        <v>#</v>
      </c>
      <c r="AD195" s="461" t="str">
        <f>_xll.BLUEMATRIX2("/servlet/excelData",P195,$B$1,$B195&amp;":"&amp;P$115&amp;":"&amp;$R$114)</f>
        <v>#</v>
      </c>
      <c r="AE195" s="461" t="str">
        <f>_xll.BLUEMATRIX2("/servlet/excelData",Q195,$B$1,$B195&amp;":"&amp;Q$115&amp;":"&amp;$R$114)</f>
        <v>#</v>
      </c>
    </row>
    <row r="196" spans="1:31" ht="12.95" customHeight="1">
      <c r="A196" s="342" t="s">
        <v>440</v>
      </c>
      <c r="B196" s="344" t="s">
        <v>441</v>
      </c>
      <c r="C196" s="380" t="s">
        <v>442</v>
      </c>
      <c r="D196" s="381"/>
      <c r="E196" s="381">
        <f>E183+E184</f>
        <v>129.9</v>
      </c>
      <c r="F196" s="381">
        <f>F183+F184</f>
        <v>165.8</v>
      </c>
      <c r="G196" s="381">
        <f>G183+G184</f>
        <v>160.9</v>
      </c>
      <c r="H196" s="381">
        <f>H183+H184</f>
        <v>87.8</v>
      </c>
      <c r="I196" s="381">
        <f t="shared" ref="I196:P196" si="20">I183+I184</f>
        <v>106.9</v>
      </c>
      <c r="J196" s="381">
        <f t="shared" si="20"/>
        <v>111.41842094359997</v>
      </c>
      <c r="K196" s="381">
        <f t="shared" si="20"/>
        <v>114.30616960306696</v>
      </c>
      <c r="L196" s="381">
        <f t="shared" si="20"/>
        <v>116.14119019170816</v>
      </c>
      <c r="M196" s="381">
        <f t="shared" si="20"/>
        <v>118.83330188508033</v>
      </c>
      <c r="N196" s="381">
        <f t="shared" si="20"/>
        <v>120.81138213246091</v>
      </c>
      <c r="O196" s="381">
        <f t="shared" si="20"/>
        <v>122.18946492437252</v>
      </c>
      <c r="P196" s="381">
        <f t="shared" si="20"/>
        <v>124.99488508424193</v>
      </c>
      <c r="Q196" s="381">
        <f>Q183+Q184</f>
        <v>127.20456236144469</v>
      </c>
      <c r="R196" s="320"/>
      <c r="S196" s="461" t="str">
        <f>_xll.BLUEMATRIX2("/servlet/excelData",E196,$B$1,$B196&amp;":"&amp;E$115&amp;":"&amp;$R$114)</f>
        <v>#</v>
      </c>
      <c r="T196" s="461" t="str">
        <f>_xll.BLUEMATRIX2("/servlet/excelData",F196,$B$1,$B196&amp;":"&amp;F$115&amp;":"&amp;$R$114)</f>
        <v>#</v>
      </c>
      <c r="U196" s="461" t="str">
        <f>_xll.BLUEMATRIX2("/servlet/excelData",G196,$B$1,$B196&amp;":"&amp;G$115&amp;":"&amp;$R$114)</f>
        <v>#</v>
      </c>
      <c r="V196" s="461" t="str">
        <f>_xll.BLUEMATRIX2("/servlet/excelData",H196,$B$1,$B196&amp;":"&amp;H$115&amp;":"&amp;$R$114)</f>
        <v>#</v>
      </c>
      <c r="W196" s="461" t="str">
        <f>_xll.BLUEMATRIX2("/servlet/excelData",I196,$B$1,$B196&amp;":"&amp;I$115&amp;":"&amp;$R$114)</f>
        <v>#</v>
      </c>
      <c r="X196" s="461" t="str">
        <f>_xll.BLUEMATRIX2("/servlet/excelData",J196,$B$1,$B196&amp;":"&amp;J$115&amp;":"&amp;$R$114)</f>
        <v>#</v>
      </c>
      <c r="Y196" s="461" t="str">
        <f>_xll.BLUEMATRIX2("/servlet/excelData",K196,$B$1,$B196&amp;":"&amp;K$115&amp;":"&amp;$R$114)</f>
        <v>#</v>
      </c>
      <c r="Z196" s="461" t="str">
        <f>_xll.BLUEMATRIX2("/servlet/excelData",L196,$B$1,$B196&amp;":"&amp;L$115&amp;":"&amp;$R$114)</f>
        <v>#</v>
      </c>
      <c r="AA196" s="461" t="str">
        <f>_xll.BLUEMATRIX2("/servlet/excelData",M196,$B$1,$B196&amp;":"&amp;M$115&amp;":"&amp;$R$114)</f>
        <v>#</v>
      </c>
      <c r="AB196" s="461" t="str">
        <f>_xll.BLUEMATRIX2("/servlet/excelData",N196,$B$1,$B196&amp;":"&amp;N$115&amp;":"&amp;$R$114)</f>
        <v>#</v>
      </c>
      <c r="AC196" s="461" t="str">
        <f>_xll.BLUEMATRIX2("/servlet/excelData",O196,$B$1,$B196&amp;":"&amp;O$115&amp;":"&amp;$R$114)</f>
        <v>#</v>
      </c>
      <c r="AD196" s="461" t="str">
        <f>_xll.BLUEMATRIX2("/servlet/excelData",P196,$B$1,$B196&amp;":"&amp;P$115&amp;":"&amp;$R$114)</f>
        <v>#</v>
      </c>
      <c r="AE196" s="461" t="str">
        <f>_xll.BLUEMATRIX2("/servlet/excelData",Q196,$B$1,$B196&amp;":"&amp;Q$115&amp;":"&amp;$R$114)</f>
        <v>#</v>
      </c>
    </row>
    <row r="197" spans="1:31" ht="12.95" customHeight="1">
      <c r="A197" s="342" t="s">
        <v>443</v>
      </c>
      <c r="B197" s="344" t="s">
        <v>444</v>
      </c>
      <c r="C197" s="382" t="s">
        <v>445</v>
      </c>
      <c r="D197" s="383"/>
      <c r="E197" s="383">
        <f>E187+E195</f>
        <v>4048.7</v>
      </c>
      <c r="F197" s="383">
        <f>F187+F195</f>
        <v>4052.3999999999996</v>
      </c>
      <c r="G197" s="383">
        <f>G187+G195</f>
        <v>3385.2999999999997</v>
      </c>
      <c r="H197" s="383">
        <f>H187+H195</f>
        <v>3140.1999999999994</v>
      </c>
      <c r="I197" s="383">
        <f t="shared" ref="I197:P197" si="21">I187+I195</f>
        <v>3197.7</v>
      </c>
      <c r="J197" s="383">
        <f t="shared" si="21"/>
        <v>3380.1578557084586</v>
      </c>
      <c r="K197" s="383">
        <f t="shared" si="21"/>
        <v>3393.229720142223</v>
      </c>
      <c r="L197" s="383">
        <f t="shared" si="21"/>
        <v>3405.2278148173173</v>
      </c>
      <c r="M197" s="383">
        <f t="shared" si="21"/>
        <v>3451.1160854804184</v>
      </c>
      <c r="N197" s="383">
        <f t="shared" si="21"/>
        <v>3498.928420504792</v>
      </c>
      <c r="O197" s="383">
        <f t="shared" si="21"/>
        <v>3633.7965133387665</v>
      </c>
      <c r="P197" s="383">
        <f t="shared" si="21"/>
        <v>3785.8968778469857</v>
      </c>
      <c r="Q197" s="383">
        <f>Q187+Q195</f>
        <v>3969.89550309478</v>
      </c>
      <c r="R197" s="320"/>
      <c r="S197" s="461" t="str">
        <f>_xll.BLUEMATRIX2("/servlet/excelData",E197,$B$1,$B197&amp;":"&amp;E$115&amp;":"&amp;$R$114)</f>
        <v>#</v>
      </c>
      <c r="T197" s="461" t="str">
        <f>_xll.BLUEMATRIX2("/servlet/excelData",F197,$B$1,$B197&amp;":"&amp;F$115&amp;":"&amp;$R$114)</f>
        <v>#</v>
      </c>
      <c r="U197" s="461" t="str">
        <f>_xll.BLUEMATRIX2("/servlet/excelData",G197,$B$1,$B197&amp;":"&amp;G$115&amp;":"&amp;$R$114)</f>
        <v>#</v>
      </c>
      <c r="V197" s="461" t="str">
        <f>_xll.BLUEMATRIX2("/servlet/excelData",H197,$B$1,$B197&amp;":"&amp;H$115&amp;":"&amp;$R$114)</f>
        <v>#</v>
      </c>
      <c r="W197" s="461" t="str">
        <f>_xll.BLUEMATRIX2("/servlet/excelData",I197,$B$1,$B197&amp;":"&amp;I$115&amp;":"&amp;$R$114)</f>
        <v>#</v>
      </c>
      <c r="X197" s="461" t="str">
        <f>_xll.BLUEMATRIX2("/servlet/excelData",J197,$B$1,$B197&amp;":"&amp;J$115&amp;":"&amp;$R$114)</f>
        <v>#</v>
      </c>
      <c r="Y197" s="461" t="str">
        <f>_xll.BLUEMATRIX2("/servlet/excelData",K197,$B$1,$B197&amp;":"&amp;K$115&amp;":"&amp;$R$114)</f>
        <v>#</v>
      </c>
      <c r="Z197" s="461" t="str">
        <f>_xll.BLUEMATRIX2("/servlet/excelData",L197,$B$1,$B197&amp;":"&amp;L$115&amp;":"&amp;$R$114)</f>
        <v>#</v>
      </c>
      <c r="AA197" s="461" t="str">
        <f>_xll.BLUEMATRIX2("/servlet/excelData",M197,$B$1,$B197&amp;":"&amp;M$115&amp;":"&amp;$R$114)</f>
        <v>#</v>
      </c>
      <c r="AB197" s="461" t="str">
        <f>_xll.BLUEMATRIX2("/servlet/excelData",N197,$B$1,$B197&amp;":"&amp;N$115&amp;":"&amp;$R$114)</f>
        <v>#</v>
      </c>
      <c r="AC197" s="461" t="str">
        <f>_xll.BLUEMATRIX2("/servlet/excelData",O197,$B$1,$B197&amp;":"&amp;O$115&amp;":"&amp;$R$114)</f>
        <v>#</v>
      </c>
      <c r="AD197" s="461" t="str">
        <f>_xll.BLUEMATRIX2("/servlet/excelData",P197,$B$1,$B197&amp;":"&amp;P$115&amp;":"&amp;$R$114)</f>
        <v>#</v>
      </c>
      <c r="AE197" s="461" t="str">
        <f>_xll.BLUEMATRIX2("/servlet/excelData",Q197,$B$1,$B197&amp;":"&amp;Q$115&amp;":"&amp;$R$114)</f>
        <v>#</v>
      </c>
    </row>
    <row r="198" spans="1:31" ht="12.95" customHeight="1">
      <c r="A198" s="342"/>
      <c r="B198" s="344"/>
      <c r="C198" s="463" t="s">
        <v>1145</v>
      </c>
      <c r="D198" s="464"/>
      <c r="E198" s="465">
        <f>ROUND(FY!C145-E197,2)</f>
        <v>0</v>
      </c>
      <c r="F198" s="465">
        <f>ROUND(FY!D145-F197,2)</f>
        <v>0</v>
      </c>
      <c r="G198" s="465">
        <f>ROUND(FY!E145-G197,2)</f>
        <v>0</v>
      </c>
      <c r="H198" s="465">
        <f>ROUND(FY!F145-H197,2)</f>
        <v>0</v>
      </c>
      <c r="I198" s="465">
        <f>ROUND(FY!G145-I197,2)</f>
        <v>0</v>
      </c>
      <c r="J198" s="465">
        <f>ROUND(FY!H145-J197,2)</f>
        <v>0</v>
      </c>
      <c r="K198" s="465">
        <f>ROUND(FY!I145-K197,2)</f>
        <v>0</v>
      </c>
      <c r="L198" s="465">
        <f>ROUND(FY!J145-L197,2)</f>
        <v>0</v>
      </c>
      <c r="M198" s="465">
        <f>ROUND(FY!K145-M197,2)</f>
        <v>0</v>
      </c>
      <c r="N198" s="465">
        <f>ROUND(FY!L145-N197,2)</f>
        <v>0</v>
      </c>
      <c r="O198" s="465">
        <f>ROUND(FY!M145-O197,2)</f>
        <v>0</v>
      </c>
      <c r="P198" s="465">
        <f>ROUND(FY!N145-P197,2)</f>
        <v>0</v>
      </c>
      <c r="Q198" s="465">
        <f>ROUND(FY!O145-Q197,2)</f>
        <v>0</v>
      </c>
      <c r="R198" s="376"/>
      <c r="S198" s="461"/>
      <c r="T198" s="461"/>
      <c r="U198" s="461"/>
      <c r="V198" s="461"/>
      <c r="W198" s="461"/>
      <c r="X198" s="461"/>
      <c r="Y198" s="461"/>
      <c r="Z198" s="461"/>
      <c r="AA198" s="461"/>
      <c r="AB198" s="461"/>
      <c r="AC198" s="461"/>
      <c r="AD198" s="461"/>
      <c r="AE198" s="461"/>
    </row>
    <row r="199" spans="1:31" ht="12.95" customHeight="1">
      <c r="A199" s="342"/>
      <c r="B199" s="344"/>
      <c r="C199" s="393"/>
      <c r="D199" s="394"/>
      <c r="E199" s="394"/>
      <c r="F199" s="394"/>
      <c r="G199" s="394"/>
      <c r="H199" s="394"/>
      <c r="I199" s="394"/>
      <c r="J199" s="394"/>
      <c r="K199" s="394"/>
      <c r="L199" s="394"/>
      <c r="M199" s="394"/>
      <c r="N199" s="394"/>
      <c r="O199" s="394"/>
      <c r="P199" s="394"/>
      <c r="Q199" s="394"/>
      <c r="R199" s="376"/>
      <c r="S199" s="461"/>
      <c r="T199" s="461"/>
      <c r="U199" s="461"/>
      <c r="V199" s="461"/>
      <c r="W199" s="461"/>
      <c r="X199" s="461"/>
      <c r="Y199" s="461"/>
      <c r="Z199" s="461"/>
      <c r="AA199" s="461"/>
      <c r="AB199" s="461"/>
      <c r="AC199" s="461"/>
      <c r="AD199" s="461"/>
      <c r="AE199" s="461"/>
    </row>
    <row r="200" spans="1:31" ht="12.95" customHeight="1">
      <c r="A200" s="342"/>
      <c r="B200" s="344"/>
      <c r="C200" s="393"/>
      <c r="D200" s="394"/>
      <c r="E200" s="394"/>
      <c r="F200" s="394"/>
      <c r="G200" s="394"/>
      <c r="H200" s="394"/>
      <c r="I200" s="394"/>
      <c r="J200" s="394"/>
      <c r="K200" s="394"/>
      <c r="L200" s="394"/>
      <c r="M200" s="394"/>
      <c r="N200" s="394"/>
      <c r="O200" s="394"/>
      <c r="P200" s="394"/>
      <c r="Q200" s="394"/>
      <c r="R200" s="376"/>
      <c r="S200" s="461"/>
      <c r="T200" s="461"/>
      <c r="U200" s="461"/>
      <c r="V200" s="461"/>
      <c r="W200" s="461"/>
      <c r="X200" s="461"/>
      <c r="Y200" s="461"/>
      <c r="Z200" s="461"/>
      <c r="AA200" s="461"/>
      <c r="AB200" s="461"/>
      <c r="AC200" s="461"/>
      <c r="AD200" s="461"/>
      <c r="AE200" s="461"/>
    </row>
    <row r="201" spans="1:31" ht="12.95" customHeight="1">
      <c r="A201" s="361"/>
      <c r="B201" s="344"/>
      <c r="C201" s="388" t="s">
        <v>446</v>
      </c>
      <c r="D201" s="389"/>
      <c r="E201" s="389"/>
      <c r="F201" s="389"/>
      <c r="G201" s="389"/>
      <c r="H201" s="389"/>
      <c r="I201" s="389"/>
      <c r="J201" s="389"/>
      <c r="K201" s="389"/>
      <c r="L201" s="389"/>
      <c r="M201" s="389"/>
      <c r="N201" s="389"/>
      <c r="O201" s="389"/>
      <c r="P201" s="389"/>
      <c r="Q201" s="389"/>
      <c r="R201" s="326"/>
      <c r="S201" s="461"/>
      <c r="T201" s="461"/>
      <c r="U201" s="461"/>
      <c r="V201" s="461"/>
      <c r="W201" s="461"/>
      <c r="X201" s="461"/>
      <c r="Y201" s="461"/>
      <c r="Z201" s="461"/>
      <c r="AA201" s="461"/>
      <c r="AB201" s="461"/>
      <c r="AC201" s="461"/>
      <c r="AD201" s="461"/>
      <c r="AE201" s="461"/>
    </row>
    <row r="202" spans="1:31" ht="12.95" customHeight="1">
      <c r="A202" s="342" t="s">
        <v>447</v>
      </c>
      <c r="B202" s="344" t="s">
        <v>448</v>
      </c>
      <c r="C202" s="390" t="s">
        <v>449</v>
      </c>
      <c r="D202" s="375"/>
      <c r="E202" s="375">
        <f>FY!C147</f>
        <v>0</v>
      </c>
      <c r="F202" s="375">
        <f>FY!D147</f>
        <v>0</v>
      </c>
      <c r="G202" s="375">
        <f>FY!E147</f>
        <v>0</v>
      </c>
      <c r="H202" s="375">
        <f>FY!F147</f>
        <v>0</v>
      </c>
      <c r="I202" s="375">
        <f>FY!G147</f>
        <v>0</v>
      </c>
      <c r="J202" s="375">
        <f>FY!H147</f>
        <v>0</v>
      </c>
      <c r="K202" s="375">
        <f>FY!I147</f>
        <v>0</v>
      </c>
      <c r="L202" s="375">
        <f>FY!J147</f>
        <v>0</v>
      </c>
      <c r="M202" s="375">
        <f>FY!K147</f>
        <v>0</v>
      </c>
      <c r="N202" s="375">
        <f>FY!L147</f>
        <v>0</v>
      </c>
      <c r="O202" s="375">
        <f>FY!M147</f>
        <v>0</v>
      </c>
      <c r="P202" s="375">
        <f>FY!N147</f>
        <v>0</v>
      </c>
      <c r="Q202" s="375">
        <f>FY!O147</f>
        <v>0</v>
      </c>
      <c r="R202" s="320"/>
      <c r="S202" s="461" t="str">
        <f>_xll.BLUEMATRIX2("/servlet/excelData",E202,$B$1,$B202&amp;":"&amp;E$115&amp;":"&amp;$R$114)</f>
        <v>#</v>
      </c>
      <c r="T202" s="461" t="str">
        <f>_xll.BLUEMATRIX2("/servlet/excelData",F202,$B$1,$B202&amp;":"&amp;F$115&amp;":"&amp;$R$114)</f>
        <v>#</v>
      </c>
      <c r="U202" s="461" t="str">
        <f>_xll.BLUEMATRIX2("/servlet/excelData",G202,$B$1,$B202&amp;":"&amp;G$115&amp;":"&amp;$R$114)</f>
        <v>#</v>
      </c>
      <c r="V202" s="461" t="str">
        <f>_xll.BLUEMATRIX2("/servlet/excelData",H202,$B$1,$B202&amp;":"&amp;H$115&amp;":"&amp;$R$114)</f>
        <v>#</v>
      </c>
      <c r="W202" s="461" t="str">
        <f>_xll.BLUEMATRIX2("/servlet/excelData",I202,$B$1,$B202&amp;":"&amp;I$115&amp;":"&amp;$R$114)</f>
        <v>#</v>
      </c>
      <c r="X202" s="461" t="str">
        <f>_xll.BLUEMATRIX2("/servlet/excelData",J202,$B$1,$B202&amp;":"&amp;J$115&amp;":"&amp;$R$114)</f>
        <v>#</v>
      </c>
      <c r="Y202" s="461" t="str">
        <f>_xll.BLUEMATRIX2("/servlet/excelData",K202,$B$1,$B202&amp;":"&amp;K$115&amp;":"&amp;$R$114)</f>
        <v>#</v>
      </c>
      <c r="Z202" s="461" t="str">
        <f>_xll.BLUEMATRIX2("/servlet/excelData",L202,$B$1,$B202&amp;":"&amp;L$115&amp;":"&amp;$R$114)</f>
        <v>#</v>
      </c>
      <c r="AA202" s="461" t="str">
        <f>_xll.BLUEMATRIX2("/servlet/excelData",M202,$B$1,$B202&amp;":"&amp;M$115&amp;":"&amp;$R$114)</f>
        <v>#</v>
      </c>
      <c r="AB202" s="461" t="str">
        <f>_xll.BLUEMATRIX2("/servlet/excelData",N202,$B$1,$B202&amp;":"&amp;N$115&amp;":"&amp;$R$114)</f>
        <v>#</v>
      </c>
      <c r="AC202" s="461" t="str">
        <f>_xll.BLUEMATRIX2("/servlet/excelData",O202,$B$1,$B202&amp;":"&amp;O$115&amp;":"&amp;$R$114)</f>
        <v>#</v>
      </c>
      <c r="AD202" s="461" t="str">
        <f>_xll.BLUEMATRIX2("/servlet/excelData",P202,$B$1,$B202&amp;":"&amp;P$115&amp;":"&amp;$R$114)</f>
        <v>#</v>
      </c>
      <c r="AE202" s="461" t="str">
        <f>_xll.BLUEMATRIX2("/servlet/excelData",Q202,$B$1,$B202&amp;":"&amp;Q$115&amp;":"&amp;$R$114)</f>
        <v>#</v>
      </c>
    </row>
    <row r="203" spans="1:31" ht="12.95" customHeight="1">
      <c r="A203" s="342" t="s">
        <v>450</v>
      </c>
      <c r="B203" s="344" t="s">
        <v>451</v>
      </c>
      <c r="C203" s="390" t="s">
        <v>452</v>
      </c>
      <c r="D203" s="375"/>
      <c r="E203" s="375">
        <f>FY!C148</f>
        <v>598.5</v>
      </c>
      <c r="F203" s="375">
        <f>FY!D148</f>
        <v>571</v>
      </c>
      <c r="G203" s="375">
        <f>FY!E148</f>
        <v>554.9</v>
      </c>
      <c r="H203" s="375">
        <f>FY!F148</f>
        <v>564.29999999999995</v>
      </c>
      <c r="I203" s="375">
        <f>FY!G148</f>
        <v>590.70000000000005</v>
      </c>
      <c r="J203" s="375">
        <f>FY!H148</f>
        <v>611.81079168602139</v>
      </c>
      <c r="K203" s="375">
        <f>FY!I148</f>
        <v>618.15822238506735</v>
      </c>
      <c r="L203" s="375">
        <f>FY!J148</f>
        <v>624.97326554285701</v>
      </c>
      <c r="M203" s="375">
        <f>FY!K148</f>
        <v>639.01590775753152</v>
      </c>
      <c r="N203" s="375">
        <f>FY!L148</f>
        <v>648.75740451254774</v>
      </c>
      <c r="O203" s="375">
        <f>FY!M148</f>
        <v>655.26442326669121</v>
      </c>
      <c r="P203" s="375">
        <f>FY!N148</f>
        <v>669.40833811485732</v>
      </c>
      <c r="Q203" s="375">
        <f>FY!O148</f>
        <v>680.33937904364768</v>
      </c>
      <c r="R203" s="320"/>
      <c r="S203" s="461" t="str">
        <f>_xll.BLUEMATRIX2("/servlet/excelData",E203,$B$1,$B203&amp;":"&amp;E$115&amp;":"&amp;$R$114)</f>
        <v>#</v>
      </c>
      <c r="T203" s="461" t="str">
        <f>_xll.BLUEMATRIX2("/servlet/excelData",F203,$B$1,$B203&amp;":"&amp;F$115&amp;":"&amp;$R$114)</f>
        <v>#</v>
      </c>
      <c r="U203" s="461" t="str">
        <f>_xll.BLUEMATRIX2("/servlet/excelData",G203,$B$1,$B203&amp;":"&amp;G$115&amp;":"&amp;$R$114)</f>
        <v>#</v>
      </c>
      <c r="V203" s="461" t="str">
        <f>_xll.BLUEMATRIX2("/servlet/excelData",H203,$B$1,$B203&amp;":"&amp;H$115&amp;":"&amp;$R$114)</f>
        <v>#</v>
      </c>
      <c r="W203" s="461" t="str">
        <f>_xll.BLUEMATRIX2("/servlet/excelData",I203,$B$1,$B203&amp;":"&amp;I$115&amp;":"&amp;$R$114)</f>
        <v>#</v>
      </c>
      <c r="X203" s="461" t="str">
        <f>_xll.BLUEMATRIX2("/servlet/excelData",J203,$B$1,$B203&amp;":"&amp;J$115&amp;":"&amp;$R$114)</f>
        <v>#</v>
      </c>
      <c r="Y203" s="461" t="str">
        <f>_xll.BLUEMATRIX2("/servlet/excelData",K203,$B$1,$B203&amp;":"&amp;K$115&amp;":"&amp;$R$114)</f>
        <v>#</v>
      </c>
      <c r="Z203" s="461" t="str">
        <f>_xll.BLUEMATRIX2("/servlet/excelData",L203,$B$1,$B203&amp;":"&amp;L$115&amp;":"&amp;$R$114)</f>
        <v>#</v>
      </c>
      <c r="AA203" s="461" t="str">
        <f>_xll.BLUEMATRIX2("/servlet/excelData",M203,$B$1,$B203&amp;":"&amp;M$115&amp;":"&amp;$R$114)</f>
        <v>#</v>
      </c>
      <c r="AB203" s="461" t="str">
        <f>_xll.BLUEMATRIX2("/servlet/excelData",N203,$B$1,$B203&amp;":"&amp;N$115&amp;":"&amp;$R$114)</f>
        <v>#</v>
      </c>
      <c r="AC203" s="461" t="str">
        <f>_xll.BLUEMATRIX2("/servlet/excelData",O203,$B$1,$B203&amp;":"&amp;O$115&amp;":"&amp;$R$114)</f>
        <v>#</v>
      </c>
      <c r="AD203" s="461" t="str">
        <f>_xll.BLUEMATRIX2("/servlet/excelData",P203,$B$1,$B203&amp;":"&amp;P$115&amp;":"&amp;$R$114)</f>
        <v>#</v>
      </c>
      <c r="AE203" s="461" t="str">
        <f>_xll.BLUEMATRIX2("/servlet/excelData",Q203,$B$1,$B203&amp;":"&amp;Q$115&amp;":"&amp;$R$114)</f>
        <v>#</v>
      </c>
    </row>
    <row r="204" spans="1:31" ht="12.95" customHeight="1">
      <c r="A204" s="342" t="s">
        <v>453</v>
      </c>
      <c r="B204" s="344" t="s">
        <v>454</v>
      </c>
      <c r="C204" s="390" t="s">
        <v>40</v>
      </c>
      <c r="D204" s="375"/>
      <c r="E204" s="375"/>
      <c r="F204" s="375"/>
      <c r="G204" s="375"/>
      <c r="H204" s="375"/>
      <c r="I204" s="375"/>
      <c r="J204" s="375"/>
      <c r="K204" s="375"/>
      <c r="L204" s="375"/>
      <c r="M204" s="375"/>
      <c r="N204" s="375"/>
      <c r="O204" s="375"/>
      <c r="P204" s="375"/>
      <c r="Q204" s="375"/>
      <c r="R204" s="320"/>
      <c r="S204" s="461" t="str">
        <f>_xll.BLUEMATRIX2("/servlet/excelData",E204,$B$1,$B204&amp;":"&amp;E$115&amp;":"&amp;$R$114)</f>
        <v>#</v>
      </c>
      <c r="T204" s="461" t="str">
        <f>_xll.BLUEMATRIX2("/servlet/excelData",F204,$B$1,$B204&amp;":"&amp;F$115&amp;":"&amp;$R$114)</f>
        <v>#</v>
      </c>
      <c r="U204" s="461" t="str">
        <f>_xll.BLUEMATRIX2("/servlet/excelData",G204,$B$1,$B204&amp;":"&amp;G$115&amp;":"&amp;$R$114)</f>
        <v>#</v>
      </c>
      <c r="V204" s="461" t="str">
        <f>_xll.BLUEMATRIX2("/servlet/excelData",H204,$B$1,$B204&amp;":"&amp;H$115&amp;":"&amp;$R$114)</f>
        <v>#</v>
      </c>
      <c r="W204" s="461" t="str">
        <f>_xll.BLUEMATRIX2("/servlet/excelData",I204,$B$1,$B204&amp;":"&amp;I$115&amp;":"&amp;$R$114)</f>
        <v>#</v>
      </c>
      <c r="X204" s="461" t="str">
        <f>_xll.BLUEMATRIX2("/servlet/excelData",J204,$B$1,$B204&amp;":"&amp;J$115&amp;":"&amp;$R$114)</f>
        <v>#</v>
      </c>
      <c r="Y204" s="461" t="str">
        <f>_xll.BLUEMATRIX2("/servlet/excelData",K204,$B$1,$B204&amp;":"&amp;K$115&amp;":"&amp;$R$114)</f>
        <v>#</v>
      </c>
      <c r="Z204" s="461" t="str">
        <f>_xll.BLUEMATRIX2("/servlet/excelData",L204,$B$1,$B204&amp;":"&amp;L$115&amp;":"&amp;$R$114)</f>
        <v>#</v>
      </c>
      <c r="AA204" s="461" t="str">
        <f>_xll.BLUEMATRIX2("/servlet/excelData",M204,$B$1,$B204&amp;":"&amp;M$115&amp;":"&amp;$R$114)</f>
        <v>#</v>
      </c>
      <c r="AB204" s="461" t="str">
        <f>_xll.BLUEMATRIX2("/servlet/excelData",N204,$B$1,$B204&amp;":"&amp;N$115&amp;":"&amp;$R$114)</f>
        <v>#</v>
      </c>
      <c r="AC204" s="461" t="str">
        <f>_xll.BLUEMATRIX2("/servlet/excelData",O204,$B$1,$B204&amp;":"&amp;O$115&amp;":"&amp;$R$114)</f>
        <v>#</v>
      </c>
      <c r="AD204" s="461" t="str">
        <f>_xll.BLUEMATRIX2("/servlet/excelData",P204,$B$1,$B204&amp;":"&amp;P$115&amp;":"&amp;$R$114)</f>
        <v>#</v>
      </c>
      <c r="AE204" s="461" t="str">
        <f>_xll.BLUEMATRIX2("/servlet/excelData",Q204,$B$1,$B204&amp;":"&amp;Q$115&amp;":"&amp;$R$114)</f>
        <v>#</v>
      </c>
    </row>
    <row r="205" spans="1:31" ht="12.95" customHeight="1">
      <c r="A205" s="342" t="s">
        <v>455</v>
      </c>
      <c r="B205" s="344" t="s">
        <v>456</v>
      </c>
      <c r="C205" s="390" t="s">
        <v>457</v>
      </c>
      <c r="D205" s="375"/>
      <c r="E205" s="375"/>
      <c r="F205" s="375"/>
      <c r="G205" s="375"/>
      <c r="H205" s="375"/>
      <c r="I205" s="375"/>
      <c r="J205" s="375"/>
      <c r="K205" s="375"/>
      <c r="L205" s="375"/>
      <c r="M205" s="375"/>
      <c r="N205" s="375"/>
      <c r="O205" s="375"/>
      <c r="P205" s="375"/>
      <c r="Q205" s="375"/>
      <c r="R205" s="320"/>
      <c r="S205" s="461" t="str">
        <f>_xll.BLUEMATRIX2("/servlet/excelData",E205,$B$1,$B205&amp;":"&amp;E$115&amp;":"&amp;$R$114)</f>
        <v>#</v>
      </c>
      <c r="T205" s="461" t="str">
        <f>_xll.BLUEMATRIX2("/servlet/excelData",F205,$B$1,$B205&amp;":"&amp;F$115&amp;":"&amp;$R$114)</f>
        <v>#</v>
      </c>
      <c r="U205" s="461" t="str">
        <f>_xll.BLUEMATRIX2("/servlet/excelData",G205,$B$1,$B205&amp;":"&amp;G$115&amp;":"&amp;$R$114)</f>
        <v>#</v>
      </c>
      <c r="V205" s="461" t="str">
        <f>_xll.BLUEMATRIX2("/servlet/excelData",H205,$B$1,$B205&amp;":"&amp;H$115&amp;":"&amp;$R$114)</f>
        <v>#</v>
      </c>
      <c r="W205" s="461" t="str">
        <f>_xll.BLUEMATRIX2("/servlet/excelData",I205,$B$1,$B205&amp;":"&amp;I$115&amp;":"&amp;$R$114)</f>
        <v>#</v>
      </c>
      <c r="X205" s="461" t="str">
        <f>_xll.BLUEMATRIX2("/servlet/excelData",J205,$B$1,$B205&amp;":"&amp;J$115&amp;":"&amp;$R$114)</f>
        <v>#</v>
      </c>
      <c r="Y205" s="461" t="str">
        <f>_xll.BLUEMATRIX2("/servlet/excelData",K205,$B$1,$B205&amp;":"&amp;K$115&amp;":"&amp;$R$114)</f>
        <v>#</v>
      </c>
      <c r="Z205" s="461" t="str">
        <f>_xll.BLUEMATRIX2("/servlet/excelData",L205,$B$1,$B205&amp;":"&amp;L$115&amp;":"&amp;$R$114)</f>
        <v>#</v>
      </c>
      <c r="AA205" s="461" t="str">
        <f>_xll.BLUEMATRIX2("/servlet/excelData",M205,$B$1,$B205&amp;":"&amp;M$115&amp;":"&amp;$R$114)</f>
        <v>#</v>
      </c>
      <c r="AB205" s="461" t="str">
        <f>_xll.BLUEMATRIX2("/servlet/excelData",N205,$B$1,$B205&amp;":"&amp;N$115&amp;":"&amp;$R$114)</f>
        <v>#</v>
      </c>
      <c r="AC205" s="461" t="str">
        <f>_xll.BLUEMATRIX2("/servlet/excelData",O205,$B$1,$B205&amp;":"&amp;O$115&amp;":"&amp;$R$114)</f>
        <v>#</v>
      </c>
      <c r="AD205" s="461" t="str">
        <f>_xll.BLUEMATRIX2("/servlet/excelData",P205,$B$1,$B205&amp;":"&amp;P$115&amp;":"&amp;$R$114)</f>
        <v>#</v>
      </c>
      <c r="AE205" s="461" t="str">
        <f>_xll.BLUEMATRIX2("/servlet/excelData",Q205,$B$1,$B205&amp;":"&amp;Q$115&amp;":"&amp;$R$114)</f>
        <v>#</v>
      </c>
    </row>
    <row r="206" spans="1:31" ht="12.95" customHeight="1">
      <c r="A206" s="342" t="s">
        <v>458</v>
      </c>
      <c r="B206" s="344" t="s">
        <v>459</v>
      </c>
      <c r="C206" s="390" t="s">
        <v>1055</v>
      </c>
      <c r="D206" s="375"/>
      <c r="E206" s="375"/>
      <c r="F206" s="375"/>
      <c r="G206" s="375"/>
      <c r="H206" s="375"/>
      <c r="I206" s="375"/>
      <c r="J206" s="375"/>
      <c r="K206" s="375"/>
      <c r="L206" s="375"/>
      <c r="M206" s="375"/>
      <c r="N206" s="375"/>
      <c r="O206" s="375"/>
      <c r="P206" s="375"/>
      <c r="Q206" s="375"/>
      <c r="R206" s="320"/>
      <c r="S206" s="461" t="str">
        <f>_xll.BLUEMATRIX2("/servlet/excelData",E206,$B$1,$B206&amp;":"&amp;E$115&amp;":"&amp;$R$114)</f>
        <v>#</v>
      </c>
      <c r="T206" s="461" t="str">
        <f>_xll.BLUEMATRIX2("/servlet/excelData",F206,$B$1,$B206&amp;":"&amp;F$115&amp;":"&amp;$R$114)</f>
        <v>#</v>
      </c>
      <c r="U206" s="461" t="str">
        <f>_xll.BLUEMATRIX2("/servlet/excelData",G206,$B$1,$B206&amp;":"&amp;G$115&amp;":"&amp;$R$114)</f>
        <v>#</v>
      </c>
      <c r="V206" s="461" t="str">
        <f>_xll.BLUEMATRIX2("/servlet/excelData",H206,$B$1,$B206&amp;":"&amp;H$115&amp;":"&amp;$R$114)</f>
        <v>#</v>
      </c>
      <c r="W206" s="461" t="str">
        <f>_xll.BLUEMATRIX2("/servlet/excelData",I206,$B$1,$B206&amp;":"&amp;I$115&amp;":"&amp;$R$114)</f>
        <v>#</v>
      </c>
      <c r="X206" s="461" t="str">
        <f>_xll.BLUEMATRIX2("/servlet/excelData",J206,$B$1,$B206&amp;":"&amp;J$115&amp;":"&amp;$R$114)</f>
        <v>#</v>
      </c>
      <c r="Y206" s="461" t="str">
        <f>_xll.BLUEMATRIX2("/servlet/excelData",K206,$B$1,$B206&amp;":"&amp;K$115&amp;":"&amp;$R$114)</f>
        <v>#</v>
      </c>
      <c r="Z206" s="461" t="str">
        <f>_xll.BLUEMATRIX2("/servlet/excelData",L206,$B$1,$B206&amp;":"&amp;L$115&amp;":"&amp;$R$114)</f>
        <v>#</v>
      </c>
      <c r="AA206" s="461" t="str">
        <f>_xll.BLUEMATRIX2("/servlet/excelData",M206,$B$1,$B206&amp;":"&amp;M$115&amp;":"&amp;$R$114)</f>
        <v>#</v>
      </c>
      <c r="AB206" s="461" t="str">
        <f>_xll.BLUEMATRIX2("/servlet/excelData",N206,$B$1,$B206&amp;":"&amp;N$115&amp;":"&amp;$R$114)</f>
        <v>#</v>
      </c>
      <c r="AC206" s="461" t="str">
        <f>_xll.BLUEMATRIX2("/servlet/excelData",O206,$B$1,$B206&amp;":"&amp;O$115&amp;":"&amp;$R$114)</f>
        <v>#</v>
      </c>
      <c r="AD206" s="461" t="str">
        <f>_xll.BLUEMATRIX2("/servlet/excelData",P206,$B$1,$B206&amp;":"&amp;P$115&amp;":"&amp;$R$114)</f>
        <v>#</v>
      </c>
      <c r="AE206" s="461" t="str">
        <f>_xll.BLUEMATRIX2("/servlet/excelData",Q206,$B$1,$B206&amp;":"&amp;Q$115&amp;":"&amp;$R$114)</f>
        <v>#</v>
      </c>
    </row>
    <row r="207" spans="1:31" ht="12.95" customHeight="1">
      <c r="A207" s="342" t="s">
        <v>460</v>
      </c>
      <c r="B207" s="344" t="s">
        <v>461</v>
      </c>
      <c r="C207" s="390" t="s">
        <v>462</v>
      </c>
      <c r="D207" s="395"/>
      <c r="E207" s="375">
        <f>FY!C149</f>
        <v>223.2</v>
      </c>
      <c r="F207" s="375">
        <f>FY!D149</f>
        <v>59.099999999999994</v>
      </c>
      <c r="G207" s="375">
        <f>FY!E149</f>
        <v>80.300000000000011</v>
      </c>
      <c r="H207" s="375">
        <f>FY!F149</f>
        <v>128.80000000000001</v>
      </c>
      <c r="I207" s="375">
        <f>FY!G149</f>
        <v>154.5</v>
      </c>
      <c r="J207" s="375">
        <f>FY!H149</f>
        <v>154.5</v>
      </c>
      <c r="K207" s="375">
        <f>FY!I149</f>
        <v>154.5</v>
      </c>
      <c r="L207" s="375">
        <f>FY!J149</f>
        <v>154.5</v>
      </c>
      <c r="M207" s="375">
        <f>FY!K149</f>
        <v>154.5</v>
      </c>
      <c r="N207" s="375">
        <f>FY!L149</f>
        <v>154.5</v>
      </c>
      <c r="O207" s="375">
        <f>FY!M149</f>
        <v>154.5</v>
      </c>
      <c r="P207" s="375">
        <f>FY!N149</f>
        <v>154.5</v>
      </c>
      <c r="Q207" s="375">
        <f>FY!O149</f>
        <v>154.5</v>
      </c>
      <c r="R207" s="320"/>
      <c r="S207" s="461" t="str">
        <f>_xll.BLUEMATRIX2("/servlet/excelData",E207,$B$1,$B207&amp;":"&amp;E$115&amp;":"&amp;$R$114)</f>
        <v>#</v>
      </c>
      <c r="T207" s="461" t="str">
        <f>_xll.BLUEMATRIX2("/servlet/excelData",F207,$B$1,$B207&amp;":"&amp;F$115&amp;":"&amp;$R$114)</f>
        <v>#</v>
      </c>
      <c r="U207" s="461" t="str">
        <f>_xll.BLUEMATRIX2("/servlet/excelData",G207,$B$1,$B207&amp;":"&amp;G$115&amp;":"&amp;$R$114)</f>
        <v>#</v>
      </c>
      <c r="V207" s="461" t="str">
        <f>_xll.BLUEMATRIX2("/servlet/excelData",H207,$B$1,$B207&amp;":"&amp;H$115&amp;":"&amp;$R$114)</f>
        <v>#</v>
      </c>
      <c r="W207" s="461" t="str">
        <f>_xll.BLUEMATRIX2("/servlet/excelData",I207,$B$1,$B207&amp;":"&amp;I$115&amp;":"&amp;$R$114)</f>
        <v>#</v>
      </c>
      <c r="X207" s="461" t="str">
        <f>_xll.BLUEMATRIX2("/servlet/excelData",J207,$B$1,$B207&amp;":"&amp;J$115&amp;":"&amp;$R$114)</f>
        <v>#</v>
      </c>
      <c r="Y207" s="461" t="str">
        <f>_xll.BLUEMATRIX2("/servlet/excelData",K207,$B$1,$B207&amp;":"&amp;K$115&amp;":"&amp;$R$114)</f>
        <v>#</v>
      </c>
      <c r="Z207" s="461" t="str">
        <f>_xll.BLUEMATRIX2("/servlet/excelData",L207,$B$1,$B207&amp;":"&amp;L$115&amp;":"&amp;$R$114)</f>
        <v>#</v>
      </c>
      <c r="AA207" s="461" t="str">
        <f>_xll.BLUEMATRIX2("/servlet/excelData",M207,$B$1,$B207&amp;":"&amp;M$115&amp;":"&amp;$R$114)</f>
        <v>#</v>
      </c>
      <c r="AB207" s="461" t="str">
        <f>_xll.BLUEMATRIX2("/servlet/excelData",N207,$B$1,$B207&amp;":"&amp;N$115&amp;":"&amp;$R$114)</f>
        <v>#</v>
      </c>
      <c r="AC207" s="461" t="str">
        <f>_xll.BLUEMATRIX2("/servlet/excelData",O207,$B$1,$B207&amp;":"&amp;O$115&amp;":"&amp;$R$114)</f>
        <v>#</v>
      </c>
      <c r="AD207" s="461" t="str">
        <f>_xll.BLUEMATRIX2("/servlet/excelData",P207,$B$1,$B207&amp;":"&amp;P$115&amp;":"&amp;$R$114)</f>
        <v>#</v>
      </c>
      <c r="AE207" s="461" t="str">
        <f>_xll.BLUEMATRIX2("/servlet/excelData",Q207,$B$1,$B207&amp;":"&amp;Q$115&amp;":"&amp;$R$114)</f>
        <v>#</v>
      </c>
    </row>
    <row r="208" spans="1:31" ht="12.95" customHeight="1">
      <c r="A208" s="342" t="s">
        <v>463</v>
      </c>
      <c r="B208" s="344" t="s">
        <v>464</v>
      </c>
      <c r="C208" s="391" t="s">
        <v>465</v>
      </c>
      <c r="D208" s="378"/>
      <c r="E208" s="378">
        <f>SUM(E202:E207)</f>
        <v>821.7</v>
      </c>
      <c r="F208" s="378">
        <f>SUM(F202:F207)</f>
        <v>630.1</v>
      </c>
      <c r="G208" s="378">
        <f>SUM(G202:G207)</f>
        <v>635.20000000000005</v>
      </c>
      <c r="H208" s="378">
        <f>SUM(H202:H207)</f>
        <v>693.09999999999991</v>
      </c>
      <c r="I208" s="378">
        <f>SUM(I202:I207)</f>
        <v>745.2</v>
      </c>
      <c r="J208" s="378">
        <f t="shared" ref="J208:Q208" si="22">SUM(J202:J207)</f>
        <v>766.31079168602139</v>
      </c>
      <c r="K208" s="378">
        <f t="shared" si="22"/>
        <v>772.65822238506735</v>
      </c>
      <c r="L208" s="378">
        <f t="shared" si="22"/>
        <v>779.47326554285701</v>
      </c>
      <c r="M208" s="378">
        <f t="shared" si="22"/>
        <v>793.51590775753152</v>
      </c>
      <c r="N208" s="378">
        <f t="shared" si="22"/>
        <v>803.25740451254774</v>
      </c>
      <c r="O208" s="378">
        <f t="shared" si="22"/>
        <v>809.76442326669121</v>
      </c>
      <c r="P208" s="378">
        <f t="shared" si="22"/>
        <v>823.90833811485732</v>
      </c>
      <c r="Q208" s="378">
        <f t="shared" si="22"/>
        <v>834.83937904364768</v>
      </c>
      <c r="R208" s="320"/>
      <c r="S208" s="461" t="str">
        <f>_xll.BLUEMATRIX2("/servlet/excelData",E208,$B$1,$B208&amp;":"&amp;E$115&amp;":"&amp;$R$114)</f>
        <v>#</v>
      </c>
      <c r="T208" s="461" t="str">
        <f>_xll.BLUEMATRIX2("/servlet/excelData",F208,$B$1,$B208&amp;":"&amp;F$115&amp;":"&amp;$R$114)</f>
        <v>#</v>
      </c>
      <c r="U208" s="461" t="str">
        <f>_xll.BLUEMATRIX2("/servlet/excelData",G208,$B$1,$B208&amp;":"&amp;G$115&amp;":"&amp;$R$114)</f>
        <v>#</v>
      </c>
      <c r="V208" s="461" t="str">
        <f>_xll.BLUEMATRIX2("/servlet/excelData",H208,$B$1,$B208&amp;":"&amp;H$115&amp;":"&amp;$R$114)</f>
        <v>#</v>
      </c>
      <c r="W208" s="461" t="str">
        <f>_xll.BLUEMATRIX2("/servlet/excelData",I208,$B$1,$B208&amp;":"&amp;I$115&amp;":"&amp;$R$114)</f>
        <v>#</v>
      </c>
      <c r="X208" s="461" t="str">
        <f>_xll.BLUEMATRIX2("/servlet/excelData",J208,$B$1,$B208&amp;":"&amp;J$115&amp;":"&amp;$R$114)</f>
        <v>#</v>
      </c>
      <c r="Y208" s="461" t="str">
        <f>_xll.BLUEMATRIX2("/servlet/excelData",K208,$B$1,$B208&amp;":"&amp;K$115&amp;":"&amp;$R$114)</f>
        <v>#</v>
      </c>
      <c r="Z208" s="461" t="str">
        <f>_xll.BLUEMATRIX2("/servlet/excelData",L208,$B$1,$B208&amp;":"&amp;L$115&amp;":"&amp;$R$114)</f>
        <v>#</v>
      </c>
      <c r="AA208" s="461" t="str">
        <f>_xll.BLUEMATRIX2("/servlet/excelData",M208,$B$1,$B208&amp;":"&amp;M$115&amp;":"&amp;$R$114)</f>
        <v>#</v>
      </c>
      <c r="AB208" s="461" t="str">
        <f>_xll.BLUEMATRIX2("/servlet/excelData",N208,$B$1,$B208&amp;":"&amp;N$115&amp;":"&amp;$R$114)</f>
        <v>#</v>
      </c>
      <c r="AC208" s="461" t="str">
        <f>_xll.BLUEMATRIX2("/servlet/excelData",O208,$B$1,$B208&amp;":"&amp;O$115&amp;":"&amp;$R$114)</f>
        <v>#</v>
      </c>
      <c r="AD208" s="461" t="str">
        <f>_xll.BLUEMATRIX2("/servlet/excelData",P208,$B$1,$B208&amp;":"&amp;P$115&amp;":"&amp;$R$114)</f>
        <v>#</v>
      </c>
      <c r="AE208" s="461" t="str">
        <f>_xll.BLUEMATRIX2("/servlet/excelData",Q208,$B$1,$B208&amp;":"&amp;Q$115&amp;":"&amp;$R$114)</f>
        <v>#</v>
      </c>
    </row>
    <row r="209" spans="1:31" ht="12.95" customHeight="1">
      <c r="A209" s="342" t="s">
        <v>466</v>
      </c>
      <c r="B209" s="344" t="s">
        <v>467</v>
      </c>
      <c r="C209" s="390" t="s">
        <v>42</v>
      </c>
      <c r="D209" s="375"/>
      <c r="E209" s="375">
        <f>FY!C153</f>
        <v>135.30000000000001</v>
      </c>
      <c r="F209" s="375">
        <f>FY!D153</f>
        <v>431.9</v>
      </c>
      <c r="G209" s="375">
        <f>FY!E153</f>
        <v>1032.5999999999999</v>
      </c>
      <c r="H209" s="375">
        <f>FY!F153</f>
        <v>738.1</v>
      </c>
      <c r="I209" s="375">
        <f>FY!G153</f>
        <v>716.3</v>
      </c>
      <c r="J209" s="375">
        <f>FY!H153</f>
        <v>891.3</v>
      </c>
      <c r="K209" s="375">
        <f>FY!I153</f>
        <v>891.3</v>
      </c>
      <c r="L209" s="375">
        <f>FY!J153</f>
        <v>891.3</v>
      </c>
      <c r="M209" s="375">
        <f>FY!K153</f>
        <v>891.3</v>
      </c>
      <c r="N209" s="375">
        <f>FY!L153</f>
        <v>891.3</v>
      </c>
      <c r="O209" s="375">
        <f>FY!M153</f>
        <v>891.3</v>
      </c>
      <c r="P209" s="375">
        <f>FY!N153</f>
        <v>891.3</v>
      </c>
      <c r="Q209" s="375">
        <f>FY!O153</f>
        <v>891.3</v>
      </c>
      <c r="R209" s="320"/>
      <c r="S209" s="461" t="str">
        <f>_xll.BLUEMATRIX2("/servlet/excelData",E209,$B$1,$B209&amp;":"&amp;E$115&amp;":"&amp;$R$114)</f>
        <v>#</v>
      </c>
      <c r="T209" s="461" t="str">
        <f>_xll.BLUEMATRIX2("/servlet/excelData",F209,$B$1,$B209&amp;":"&amp;F$115&amp;":"&amp;$R$114)</f>
        <v>#</v>
      </c>
      <c r="U209" s="461" t="str">
        <f>_xll.BLUEMATRIX2("/servlet/excelData",G209,$B$1,$B209&amp;":"&amp;G$115&amp;":"&amp;$R$114)</f>
        <v>#</v>
      </c>
      <c r="V209" s="461" t="str">
        <f>_xll.BLUEMATRIX2("/servlet/excelData",H209,$B$1,$B209&amp;":"&amp;H$115&amp;":"&amp;$R$114)</f>
        <v>#</v>
      </c>
      <c r="W209" s="461" t="str">
        <f>_xll.BLUEMATRIX2("/servlet/excelData",I209,$B$1,$B209&amp;":"&amp;I$115&amp;":"&amp;$R$114)</f>
        <v>#</v>
      </c>
      <c r="X209" s="461" t="str">
        <f>_xll.BLUEMATRIX2("/servlet/excelData",J209,$B$1,$B209&amp;":"&amp;J$115&amp;":"&amp;$R$114)</f>
        <v>#</v>
      </c>
      <c r="Y209" s="461" t="str">
        <f>_xll.BLUEMATRIX2("/servlet/excelData",K209,$B$1,$B209&amp;":"&amp;K$115&amp;":"&amp;$R$114)</f>
        <v>#</v>
      </c>
      <c r="Z209" s="461" t="str">
        <f>_xll.BLUEMATRIX2("/servlet/excelData",L209,$B$1,$B209&amp;":"&amp;L$115&amp;":"&amp;$R$114)</f>
        <v>#</v>
      </c>
      <c r="AA209" s="461" t="str">
        <f>_xll.BLUEMATRIX2("/servlet/excelData",M209,$B$1,$B209&amp;":"&amp;M$115&amp;":"&amp;$R$114)</f>
        <v>#</v>
      </c>
      <c r="AB209" s="461" t="str">
        <f>_xll.BLUEMATRIX2("/servlet/excelData",N209,$B$1,$B209&amp;":"&amp;N$115&amp;":"&amp;$R$114)</f>
        <v>#</v>
      </c>
      <c r="AC209" s="461" t="str">
        <f>_xll.BLUEMATRIX2("/servlet/excelData",O209,$B$1,$B209&amp;":"&amp;O$115&amp;":"&amp;$R$114)</f>
        <v>#</v>
      </c>
      <c r="AD209" s="461" t="str">
        <f>_xll.BLUEMATRIX2("/servlet/excelData",P209,$B$1,$B209&amp;":"&amp;P$115&amp;":"&amp;$R$114)</f>
        <v>#</v>
      </c>
      <c r="AE209" s="461" t="str">
        <f>_xll.BLUEMATRIX2("/servlet/excelData",Q209,$B$1,$B209&amp;":"&amp;Q$115&amp;":"&amp;$R$114)</f>
        <v>#</v>
      </c>
    </row>
    <row r="210" spans="1:31" ht="12.95" customHeight="1">
      <c r="A210" s="342" t="s">
        <v>468</v>
      </c>
      <c r="B210" s="344" t="s">
        <v>469</v>
      </c>
      <c r="C210" s="390" t="s">
        <v>470</v>
      </c>
      <c r="D210" s="375"/>
      <c r="E210" s="375"/>
      <c r="F210" s="375"/>
      <c r="G210" s="375"/>
      <c r="H210" s="375"/>
      <c r="I210" s="375"/>
      <c r="J210" s="375"/>
      <c r="K210" s="375"/>
      <c r="L210" s="375"/>
      <c r="M210" s="375"/>
      <c r="N210" s="375"/>
      <c r="O210" s="375"/>
      <c r="P210" s="375"/>
      <c r="Q210" s="375"/>
      <c r="R210" s="320"/>
      <c r="S210" s="461" t="str">
        <f>_xll.BLUEMATRIX2("/servlet/excelData",E210,$B$1,$B210&amp;":"&amp;E$115&amp;":"&amp;$R$114)</f>
        <v>#</v>
      </c>
      <c r="T210" s="461" t="str">
        <f>_xll.BLUEMATRIX2("/servlet/excelData",F210,$B$1,$B210&amp;":"&amp;F$115&amp;":"&amp;$R$114)</f>
        <v>#</v>
      </c>
      <c r="U210" s="461" t="str">
        <f>_xll.BLUEMATRIX2("/servlet/excelData",G210,$B$1,$B210&amp;":"&amp;G$115&amp;":"&amp;$R$114)</f>
        <v>#</v>
      </c>
      <c r="V210" s="461" t="str">
        <f>_xll.BLUEMATRIX2("/servlet/excelData",H210,$B$1,$B210&amp;":"&amp;H$115&amp;":"&amp;$R$114)</f>
        <v>#</v>
      </c>
      <c r="W210" s="461" t="str">
        <f>_xll.BLUEMATRIX2("/servlet/excelData",I210,$B$1,$B210&amp;":"&amp;I$115&amp;":"&amp;$R$114)</f>
        <v>#</v>
      </c>
      <c r="X210" s="461" t="str">
        <f>_xll.BLUEMATRIX2("/servlet/excelData",J210,$B$1,$B210&amp;":"&amp;J$115&amp;":"&amp;$R$114)</f>
        <v>#</v>
      </c>
      <c r="Y210" s="461" t="str">
        <f>_xll.BLUEMATRIX2("/servlet/excelData",K210,$B$1,$B210&amp;":"&amp;K$115&amp;":"&amp;$R$114)</f>
        <v>#</v>
      </c>
      <c r="Z210" s="461" t="str">
        <f>_xll.BLUEMATRIX2("/servlet/excelData",L210,$B$1,$B210&amp;":"&amp;L$115&amp;":"&amp;$R$114)</f>
        <v>#</v>
      </c>
      <c r="AA210" s="461" t="str">
        <f>_xll.BLUEMATRIX2("/servlet/excelData",M210,$B$1,$B210&amp;":"&amp;M$115&amp;":"&amp;$R$114)</f>
        <v>#</v>
      </c>
      <c r="AB210" s="461" t="str">
        <f>_xll.BLUEMATRIX2("/servlet/excelData",N210,$B$1,$B210&amp;":"&amp;N$115&amp;":"&amp;$R$114)</f>
        <v>#</v>
      </c>
      <c r="AC210" s="461" t="str">
        <f>_xll.BLUEMATRIX2("/servlet/excelData",O210,$B$1,$B210&amp;":"&amp;O$115&amp;":"&amp;$R$114)</f>
        <v>#</v>
      </c>
      <c r="AD210" s="461" t="str">
        <f>_xll.BLUEMATRIX2("/servlet/excelData",P210,$B$1,$B210&amp;":"&amp;P$115&amp;":"&amp;$R$114)</f>
        <v>#</v>
      </c>
      <c r="AE210" s="461" t="str">
        <f>_xll.BLUEMATRIX2("/servlet/excelData",Q210,$B$1,$B210&amp;":"&amp;Q$115&amp;":"&amp;$R$114)</f>
        <v>#</v>
      </c>
    </row>
    <row r="211" spans="1:31" ht="12.95" customHeight="1">
      <c r="A211" s="342" t="s">
        <v>471</v>
      </c>
      <c r="B211" s="344" t="s">
        <v>472</v>
      </c>
      <c r="C211" s="390" t="s">
        <v>473</v>
      </c>
      <c r="D211" s="375"/>
      <c r="E211" s="375"/>
      <c r="F211" s="375"/>
      <c r="G211" s="375"/>
      <c r="H211" s="375"/>
      <c r="I211" s="375"/>
      <c r="J211" s="375"/>
      <c r="K211" s="375"/>
      <c r="L211" s="375"/>
      <c r="M211" s="375"/>
      <c r="N211" s="375"/>
      <c r="O211" s="375"/>
      <c r="P211" s="375"/>
      <c r="Q211" s="375"/>
      <c r="R211" s="320"/>
      <c r="S211" s="461" t="str">
        <f>_xll.BLUEMATRIX2("/servlet/excelData",E211,$B$1,$B211&amp;":"&amp;E$115&amp;":"&amp;$R$114)</f>
        <v>#</v>
      </c>
      <c r="T211" s="461" t="str">
        <f>_xll.BLUEMATRIX2("/servlet/excelData",F211,$B$1,$B211&amp;":"&amp;F$115&amp;":"&amp;$R$114)</f>
        <v>#</v>
      </c>
      <c r="U211" s="461" t="str">
        <f>_xll.BLUEMATRIX2("/servlet/excelData",G211,$B$1,$B211&amp;":"&amp;G$115&amp;":"&amp;$R$114)</f>
        <v>#</v>
      </c>
      <c r="V211" s="461" t="str">
        <f>_xll.BLUEMATRIX2("/servlet/excelData",H211,$B$1,$B211&amp;":"&amp;H$115&amp;":"&amp;$R$114)</f>
        <v>#</v>
      </c>
      <c r="W211" s="461" t="str">
        <f>_xll.BLUEMATRIX2("/servlet/excelData",I211,$B$1,$B211&amp;":"&amp;I$115&amp;":"&amp;$R$114)</f>
        <v>#</v>
      </c>
      <c r="X211" s="461" t="str">
        <f>_xll.BLUEMATRIX2("/servlet/excelData",J211,$B$1,$B211&amp;":"&amp;J$115&amp;":"&amp;$R$114)</f>
        <v>#</v>
      </c>
      <c r="Y211" s="461" t="str">
        <f>_xll.BLUEMATRIX2("/servlet/excelData",K211,$B$1,$B211&amp;":"&amp;K$115&amp;":"&amp;$R$114)</f>
        <v>#</v>
      </c>
      <c r="Z211" s="461" t="str">
        <f>_xll.BLUEMATRIX2("/servlet/excelData",L211,$B$1,$B211&amp;":"&amp;L$115&amp;":"&amp;$R$114)</f>
        <v>#</v>
      </c>
      <c r="AA211" s="461" t="str">
        <f>_xll.BLUEMATRIX2("/servlet/excelData",M211,$B$1,$B211&amp;":"&amp;M$115&amp;":"&amp;$R$114)</f>
        <v>#</v>
      </c>
      <c r="AB211" s="461" t="str">
        <f>_xll.BLUEMATRIX2("/servlet/excelData",N211,$B$1,$B211&amp;":"&amp;N$115&amp;":"&amp;$R$114)</f>
        <v>#</v>
      </c>
      <c r="AC211" s="461" t="str">
        <f>_xll.BLUEMATRIX2("/servlet/excelData",O211,$B$1,$B211&amp;":"&amp;O$115&amp;":"&amp;$R$114)</f>
        <v>#</v>
      </c>
      <c r="AD211" s="461" t="str">
        <f>_xll.BLUEMATRIX2("/servlet/excelData",P211,$B$1,$B211&amp;":"&amp;P$115&amp;":"&amp;$R$114)</f>
        <v>#</v>
      </c>
      <c r="AE211" s="461" t="str">
        <f>_xll.BLUEMATRIX2("/servlet/excelData",Q211,$B$1,$B211&amp;":"&amp;Q$115&amp;":"&amp;$R$114)</f>
        <v>#</v>
      </c>
    </row>
    <row r="212" spans="1:31" ht="12.95" customHeight="1">
      <c r="A212" s="342" t="s">
        <v>474</v>
      </c>
      <c r="B212" s="344" t="s">
        <v>475</v>
      </c>
      <c r="C212" s="390" t="s">
        <v>476</v>
      </c>
      <c r="D212" s="375"/>
      <c r="E212" s="375">
        <f>FY!C154</f>
        <v>181.7</v>
      </c>
      <c r="F212" s="375">
        <f>FY!D154</f>
        <v>140.5</v>
      </c>
      <c r="G212" s="375">
        <f>FY!E154</f>
        <v>111.80000000000001</v>
      </c>
      <c r="H212" s="375">
        <f>FY!F154</f>
        <v>124.5</v>
      </c>
      <c r="I212" s="375">
        <f>FY!G154</f>
        <v>115.69999999999999</v>
      </c>
      <c r="J212" s="375">
        <f>FY!H154</f>
        <v>115.69999999999999</v>
      </c>
      <c r="K212" s="375">
        <f>FY!I154</f>
        <v>115.69999999999999</v>
      </c>
      <c r="L212" s="375">
        <f>FY!J154</f>
        <v>115.69999999999999</v>
      </c>
      <c r="M212" s="375">
        <f>FY!K154</f>
        <v>115.69999999999999</v>
      </c>
      <c r="N212" s="375">
        <f>FY!L154</f>
        <v>115.69999999999999</v>
      </c>
      <c r="O212" s="375">
        <f>FY!M154</f>
        <v>115.69999999999999</v>
      </c>
      <c r="P212" s="375">
        <f>FY!N154</f>
        <v>115.69999999999999</v>
      </c>
      <c r="Q212" s="375">
        <f>FY!O154</f>
        <v>115.69999999999999</v>
      </c>
      <c r="R212" s="320"/>
      <c r="S212" s="461" t="str">
        <f>_xll.BLUEMATRIX2("/servlet/excelData",E212,$B$1,$B212&amp;":"&amp;E$115&amp;":"&amp;$R$114)</f>
        <v>#</v>
      </c>
      <c r="T212" s="461" t="str">
        <f>_xll.BLUEMATRIX2("/servlet/excelData",F212,$B$1,$B212&amp;":"&amp;F$115&amp;":"&amp;$R$114)</f>
        <v>#</v>
      </c>
      <c r="U212" s="461" t="str">
        <f>_xll.BLUEMATRIX2("/servlet/excelData",G212,$B$1,$B212&amp;":"&amp;G$115&amp;":"&amp;$R$114)</f>
        <v>#</v>
      </c>
      <c r="V212" s="461" t="str">
        <f>_xll.BLUEMATRIX2("/servlet/excelData",H212,$B$1,$B212&amp;":"&amp;H$115&amp;":"&amp;$R$114)</f>
        <v>#</v>
      </c>
      <c r="W212" s="461" t="str">
        <f>_xll.BLUEMATRIX2("/servlet/excelData",I212,$B$1,$B212&amp;":"&amp;I$115&amp;":"&amp;$R$114)</f>
        <v>#</v>
      </c>
      <c r="X212" s="461" t="str">
        <f>_xll.BLUEMATRIX2("/servlet/excelData",J212,$B$1,$B212&amp;":"&amp;J$115&amp;":"&amp;$R$114)</f>
        <v>#</v>
      </c>
      <c r="Y212" s="461" t="str">
        <f>_xll.BLUEMATRIX2("/servlet/excelData",K212,$B$1,$B212&amp;":"&amp;K$115&amp;":"&amp;$R$114)</f>
        <v>#</v>
      </c>
      <c r="Z212" s="461" t="str">
        <f>_xll.BLUEMATRIX2("/servlet/excelData",L212,$B$1,$B212&amp;":"&amp;L$115&amp;":"&amp;$R$114)</f>
        <v>#</v>
      </c>
      <c r="AA212" s="461" t="str">
        <f>_xll.BLUEMATRIX2("/servlet/excelData",M212,$B$1,$B212&amp;":"&amp;M$115&amp;":"&amp;$R$114)</f>
        <v>#</v>
      </c>
      <c r="AB212" s="461" t="str">
        <f>_xll.BLUEMATRIX2("/servlet/excelData",N212,$B$1,$B212&amp;":"&amp;N$115&amp;":"&amp;$R$114)</f>
        <v>#</v>
      </c>
      <c r="AC212" s="461" t="str">
        <f>_xll.BLUEMATRIX2("/servlet/excelData",O212,$B$1,$B212&amp;":"&amp;O$115&amp;":"&amp;$R$114)</f>
        <v>#</v>
      </c>
      <c r="AD212" s="461" t="str">
        <f>_xll.BLUEMATRIX2("/servlet/excelData",P212,$B$1,$B212&amp;":"&amp;P$115&amp;":"&amp;$R$114)</f>
        <v>#</v>
      </c>
      <c r="AE212" s="461" t="str">
        <f>_xll.BLUEMATRIX2("/servlet/excelData",Q212,$B$1,$B212&amp;":"&amp;Q$115&amp;":"&amp;$R$114)</f>
        <v>#</v>
      </c>
    </row>
    <row r="213" spans="1:31" ht="12.95" customHeight="1">
      <c r="A213" s="342" t="s">
        <v>477</v>
      </c>
      <c r="B213" s="344" t="s">
        <v>478</v>
      </c>
      <c r="C213" s="390" t="s">
        <v>479</v>
      </c>
      <c r="D213" s="375"/>
      <c r="E213" s="375">
        <f>FY!C155</f>
        <v>179.5</v>
      </c>
      <c r="F213" s="375">
        <f>FY!D155</f>
        <v>180.1</v>
      </c>
      <c r="G213" s="375">
        <f>FY!E155</f>
        <v>0</v>
      </c>
      <c r="H213" s="375">
        <f>FY!F155</f>
        <v>3</v>
      </c>
      <c r="I213" s="375">
        <f>FY!G155</f>
        <v>39.9</v>
      </c>
      <c r="J213" s="375">
        <f>FY!H155</f>
        <v>39.9</v>
      </c>
      <c r="K213" s="375">
        <f>FY!I155</f>
        <v>39.9</v>
      </c>
      <c r="L213" s="375">
        <f>FY!J155</f>
        <v>39.9</v>
      </c>
      <c r="M213" s="375">
        <f>FY!K155</f>
        <v>39.9</v>
      </c>
      <c r="N213" s="375">
        <f>FY!L155</f>
        <v>39.9</v>
      </c>
      <c r="O213" s="375">
        <f>FY!M155</f>
        <v>39.9</v>
      </c>
      <c r="P213" s="375">
        <f>FY!N155</f>
        <v>39.9</v>
      </c>
      <c r="Q213" s="375">
        <f>FY!O155</f>
        <v>39.9</v>
      </c>
      <c r="R213" s="320"/>
      <c r="S213" s="461" t="str">
        <f>_xll.BLUEMATRIX2("/servlet/excelData",E213,$B$1,$B213&amp;":"&amp;E$115&amp;":"&amp;$R$114)</f>
        <v>#</v>
      </c>
      <c r="T213" s="461" t="str">
        <f>_xll.BLUEMATRIX2("/servlet/excelData",F213,$B$1,$B213&amp;":"&amp;F$115&amp;":"&amp;$R$114)</f>
        <v>#</v>
      </c>
      <c r="U213" s="461" t="str">
        <f>_xll.BLUEMATRIX2("/servlet/excelData",G213,$B$1,$B213&amp;":"&amp;G$115&amp;":"&amp;$R$114)</f>
        <v>#</v>
      </c>
      <c r="V213" s="461" t="str">
        <f>_xll.BLUEMATRIX2("/servlet/excelData",H213,$B$1,$B213&amp;":"&amp;H$115&amp;":"&amp;$R$114)</f>
        <v>#</v>
      </c>
      <c r="W213" s="461" t="str">
        <f>_xll.BLUEMATRIX2("/servlet/excelData",I213,$B$1,$B213&amp;":"&amp;I$115&amp;":"&amp;$R$114)</f>
        <v>#</v>
      </c>
      <c r="X213" s="461" t="str">
        <f>_xll.BLUEMATRIX2("/servlet/excelData",J213,$B$1,$B213&amp;":"&amp;J$115&amp;":"&amp;$R$114)</f>
        <v>#</v>
      </c>
      <c r="Y213" s="461" t="str">
        <f>_xll.BLUEMATRIX2("/servlet/excelData",K213,$B$1,$B213&amp;":"&amp;K$115&amp;":"&amp;$R$114)</f>
        <v>#</v>
      </c>
      <c r="Z213" s="461" t="str">
        <f>_xll.BLUEMATRIX2("/servlet/excelData",L213,$B$1,$B213&amp;":"&amp;L$115&amp;":"&amp;$R$114)</f>
        <v>#</v>
      </c>
      <c r="AA213" s="461" t="str">
        <f>_xll.BLUEMATRIX2("/servlet/excelData",M213,$B$1,$B213&amp;":"&amp;M$115&amp;":"&amp;$R$114)</f>
        <v>#</v>
      </c>
      <c r="AB213" s="461" t="str">
        <f>_xll.BLUEMATRIX2("/servlet/excelData",N213,$B$1,$B213&amp;":"&amp;N$115&amp;":"&amp;$R$114)</f>
        <v>#</v>
      </c>
      <c r="AC213" s="461" t="str">
        <f>_xll.BLUEMATRIX2("/servlet/excelData",O213,$B$1,$B213&amp;":"&amp;O$115&amp;":"&amp;$R$114)</f>
        <v>#</v>
      </c>
      <c r="AD213" s="461" t="str">
        <f>_xll.BLUEMATRIX2("/servlet/excelData",P213,$B$1,$B213&amp;":"&amp;P$115&amp;":"&amp;$R$114)</f>
        <v>#</v>
      </c>
      <c r="AE213" s="461" t="str">
        <f>_xll.BLUEMATRIX2("/servlet/excelData",Q213,$B$1,$B213&amp;":"&amp;Q$115&amp;":"&amp;$R$114)</f>
        <v>#</v>
      </c>
    </row>
    <row r="214" spans="1:31" ht="12.95" customHeight="1">
      <c r="A214" s="342" t="s">
        <v>480</v>
      </c>
      <c r="B214" s="344" t="s">
        <v>481</v>
      </c>
      <c r="C214" s="390" t="s">
        <v>482</v>
      </c>
      <c r="D214" s="375"/>
      <c r="E214" s="375"/>
      <c r="F214" s="375"/>
      <c r="G214" s="375"/>
      <c r="H214" s="375"/>
      <c r="I214" s="375"/>
      <c r="J214" s="375"/>
      <c r="K214" s="375"/>
      <c r="L214" s="375"/>
      <c r="M214" s="375"/>
      <c r="N214" s="375"/>
      <c r="O214" s="375"/>
      <c r="P214" s="375"/>
      <c r="Q214" s="375"/>
      <c r="R214" s="320"/>
      <c r="S214" s="461" t="str">
        <f>_xll.BLUEMATRIX2("/servlet/excelData",E214,$B$1,$B214&amp;":"&amp;E$115&amp;":"&amp;$R$114)</f>
        <v>#</v>
      </c>
      <c r="T214" s="461" t="str">
        <f>_xll.BLUEMATRIX2("/servlet/excelData",F214,$B$1,$B214&amp;":"&amp;F$115&amp;":"&amp;$R$114)</f>
        <v>#</v>
      </c>
      <c r="U214" s="461" t="str">
        <f>_xll.BLUEMATRIX2("/servlet/excelData",G214,$B$1,$B214&amp;":"&amp;G$115&amp;":"&amp;$R$114)</f>
        <v>#</v>
      </c>
      <c r="V214" s="461" t="str">
        <f>_xll.BLUEMATRIX2("/servlet/excelData",H214,$B$1,$B214&amp;":"&amp;H$115&amp;":"&amp;$R$114)</f>
        <v>#</v>
      </c>
      <c r="W214" s="461" t="str">
        <f>_xll.BLUEMATRIX2("/servlet/excelData",I214,$B$1,$B214&amp;":"&amp;I$115&amp;":"&amp;$R$114)</f>
        <v>#</v>
      </c>
      <c r="X214" s="461" t="str">
        <f>_xll.BLUEMATRIX2("/servlet/excelData",J214,$B$1,$B214&amp;":"&amp;J$115&amp;":"&amp;$R$114)</f>
        <v>#</v>
      </c>
      <c r="Y214" s="461" t="str">
        <f>_xll.BLUEMATRIX2("/servlet/excelData",K214,$B$1,$B214&amp;":"&amp;K$115&amp;":"&amp;$R$114)</f>
        <v>#</v>
      </c>
      <c r="Z214" s="461" t="str">
        <f>_xll.BLUEMATRIX2("/servlet/excelData",L214,$B$1,$B214&amp;":"&amp;L$115&amp;":"&amp;$R$114)</f>
        <v>#</v>
      </c>
      <c r="AA214" s="461" t="str">
        <f>_xll.BLUEMATRIX2("/servlet/excelData",M214,$B$1,$B214&amp;":"&amp;M$115&amp;":"&amp;$R$114)</f>
        <v>#</v>
      </c>
      <c r="AB214" s="461" t="str">
        <f>_xll.BLUEMATRIX2("/servlet/excelData",N214,$B$1,$B214&amp;":"&amp;N$115&amp;":"&amp;$R$114)</f>
        <v>#</v>
      </c>
      <c r="AC214" s="461" t="str">
        <f>_xll.BLUEMATRIX2("/servlet/excelData",O214,$B$1,$B214&amp;":"&amp;O$115&amp;":"&amp;$R$114)</f>
        <v>#</v>
      </c>
      <c r="AD214" s="461" t="str">
        <f>_xll.BLUEMATRIX2("/servlet/excelData",P214,$B$1,$B214&amp;":"&amp;P$115&amp;":"&amp;$R$114)</f>
        <v>#</v>
      </c>
      <c r="AE214" s="461" t="str">
        <f>_xll.BLUEMATRIX2("/servlet/excelData",Q214,$B$1,$B214&amp;":"&amp;Q$115&amp;":"&amp;$R$114)</f>
        <v>#</v>
      </c>
    </row>
    <row r="215" spans="1:31" ht="12.95" customHeight="1">
      <c r="A215" s="342" t="s">
        <v>483</v>
      </c>
      <c r="B215" s="344" t="s">
        <v>484</v>
      </c>
      <c r="C215" s="390" t="s">
        <v>485</v>
      </c>
      <c r="D215" s="375"/>
      <c r="E215" s="375">
        <f>FY!C156</f>
        <v>19.400000000000002</v>
      </c>
      <c r="F215" s="375">
        <f>FY!D156</f>
        <v>10.7</v>
      </c>
      <c r="G215" s="375">
        <f>FY!E156</f>
        <v>358.8</v>
      </c>
      <c r="H215" s="375">
        <f>FY!F156</f>
        <v>327.5</v>
      </c>
      <c r="I215" s="375">
        <f>FY!G156</f>
        <v>319.40000000000003</v>
      </c>
      <c r="J215" s="375">
        <f>FY!H156</f>
        <v>289.40000000000003</v>
      </c>
      <c r="K215" s="375">
        <f>FY!I156</f>
        <v>259.40000000000003</v>
      </c>
      <c r="L215" s="375">
        <f>FY!J156</f>
        <v>229.4</v>
      </c>
      <c r="M215" s="375">
        <f>FY!K156</f>
        <v>199.4</v>
      </c>
      <c r="N215" s="375">
        <f>FY!L156</f>
        <v>169.4</v>
      </c>
      <c r="O215" s="375">
        <f>FY!M156</f>
        <v>139.4</v>
      </c>
      <c r="P215" s="375">
        <f>FY!N156</f>
        <v>109.4</v>
      </c>
      <c r="Q215" s="375">
        <f>FY!O156</f>
        <v>79.400000000000006</v>
      </c>
      <c r="R215" s="320"/>
      <c r="S215" s="461" t="str">
        <f>_xll.BLUEMATRIX2("/servlet/excelData",E215,$B$1,$B215&amp;":"&amp;E$115&amp;":"&amp;$R$114)</f>
        <v>#</v>
      </c>
      <c r="T215" s="461" t="str">
        <f>_xll.BLUEMATRIX2("/servlet/excelData",F215,$B$1,$B215&amp;":"&amp;F$115&amp;":"&amp;$R$114)</f>
        <v>#</v>
      </c>
      <c r="U215" s="461" t="str">
        <f>_xll.BLUEMATRIX2("/servlet/excelData",G215,$B$1,$B215&amp;":"&amp;G$115&amp;":"&amp;$R$114)</f>
        <v>#</v>
      </c>
      <c r="V215" s="461" t="str">
        <f>_xll.BLUEMATRIX2("/servlet/excelData",H215,$B$1,$B215&amp;":"&amp;H$115&amp;":"&amp;$R$114)</f>
        <v>#</v>
      </c>
      <c r="W215" s="461" t="str">
        <f>_xll.BLUEMATRIX2("/servlet/excelData",I215,$B$1,$B215&amp;":"&amp;I$115&amp;":"&amp;$R$114)</f>
        <v>#</v>
      </c>
      <c r="X215" s="461" t="str">
        <f>_xll.BLUEMATRIX2("/servlet/excelData",J215,$B$1,$B215&amp;":"&amp;J$115&amp;":"&amp;$R$114)</f>
        <v>#</v>
      </c>
      <c r="Y215" s="461" t="str">
        <f>_xll.BLUEMATRIX2("/servlet/excelData",K215,$B$1,$B215&amp;":"&amp;K$115&amp;":"&amp;$R$114)</f>
        <v>#</v>
      </c>
      <c r="Z215" s="461" t="str">
        <f>_xll.BLUEMATRIX2("/servlet/excelData",L215,$B$1,$B215&amp;":"&amp;L$115&amp;":"&amp;$R$114)</f>
        <v>#</v>
      </c>
      <c r="AA215" s="461" t="str">
        <f>_xll.BLUEMATRIX2("/servlet/excelData",M215,$B$1,$B215&amp;":"&amp;M$115&amp;":"&amp;$R$114)</f>
        <v>#</v>
      </c>
      <c r="AB215" s="461" t="str">
        <f>_xll.BLUEMATRIX2("/servlet/excelData",N215,$B$1,$B215&amp;":"&amp;N$115&amp;":"&amp;$R$114)</f>
        <v>#</v>
      </c>
      <c r="AC215" s="461" t="str">
        <f>_xll.BLUEMATRIX2("/servlet/excelData",O215,$B$1,$B215&amp;":"&amp;O$115&amp;":"&amp;$R$114)</f>
        <v>#</v>
      </c>
      <c r="AD215" s="461" t="str">
        <f>_xll.BLUEMATRIX2("/servlet/excelData",P215,$B$1,$B215&amp;":"&amp;P$115&amp;":"&amp;$R$114)</f>
        <v>#</v>
      </c>
      <c r="AE215" s="461" t="str">
        <f>_xll.BLUEMATRIX2("/servlet/excelData",Q215,$B$1,$B215&amp;":"&amp;Q$115&amp;":"&amp;$R$114)</f>
        <v>#</v>
      </c>
    </row>
    <row r="216" spans="1:31" ht="12.95" customHeight="1">
      <c r="A216" s="342" t="s">
        <v>486</v>
      </c>
      <c r="B216" s="344" t="s">
        <v>487</v>
      </c>
      <c r="C216" s="396" t="s">
        <v>488</v>
      </c>
      <c r="D216" s="378"/>
      <c r="E216" s="378">
        <f>E209+E210+E211+E212+E213+E214+E215</f>
        <v>515.9</v>
      </c>
      <c r="F216" s="378">
        <f>F209+F210+F211+F212+F213+F214+F215</f>
        <v>763.2</v>
      </c>
      <c r="G216" s="378">
        <f>G209+G210+G211+G212+G213+G214+G215</f>
        <v>1503.1999999999998</v>
      </c>
      <c r="H216" s="378">
        <f>H209+H210+H211+H212+H213+H214+H215</f>
        <v>1193.0999999999999</v>
      </c>
      <c r="I216" s="378">
        <f>I209+I210+I211+I212+I213+I214+I215</f>
        <v>1191.3</v>
      </c>
      <c r="J216" s="378">
        <f t="shared" ref="J216:Q216" si="23">J209+J210+J211+J212+J213+J214+J215</f>
        <v>1336.3000000000002</v>
      </c>
      <c r="K216" s="378">
        <f t="shared" si="23"/>
        <v>1306.3000000000002</v>
      </c>
      <c r="L216" s="378">
        <f t="shared" si="23"/>
        <v>1276.3000000000002</v>
      </c>
      <c r="M216" s="378">
        <f t="shared" si="23"/>
        <v>1246.3000000000002</v>
      </c>
      <c r="N216" s="378">
        <f t="shared" si="23"/>
        <v>1216.3000000000002</v>
      </c>
      <c r="O216" s="378">
        <f t="shared" si="23"/>
        <v>1186.3000000000002</v>
      </c>
      <c r="P216" s="378">
        <f t="shared" si="23"/>
        <v>1156.3000000000002</v>
      </c>
      <c r="Q216" s="378">
        <f t="shared" si="23"/>
        <v>1126.3000000000002</v>
      </c>
      <c r="R216" s="320"/>
      <c r="S216" s="461" t="str">
        <f>_xll.BLUEMATRIX2("/servlet/excelData",E216,$B$1,$B216&amp;":"&amp;E$115&amp;":"&amp;$R$114)</f>
        <v>#</v>
      </c>
      <c r="T216" s="461" t="str">
        <f>_xll.BLUEMATRIX2("/servlet/excelData",F216,$B$1,$B216&amp;":"&amp;F$115&amp;":"&amp;$R$114)</f>
        <v>#</v>
      </c>
      <c r="U216" s="461" t="str">
        <f>_xll.BLUEMATRIX2("/servlet/excelData",G216,$B$1,$B216&amp;":"&amp;G$115&amp;":"&amp;$R$114)</f>
        <v>#</v>
      </c>
      <c r="V216" s="461" t="str">
        <f>_xll.BLUEMATRIX2("/servlet/excelData",H216,$B$1,$B216&amp;":"&amp;H$115&amp;":"&amp;$R$114)</f>
        <v>#</v>
      </c>
      <c r="W216" s="461" t="str">
        <f>_xll.BLUEMATRIX2("/servlet/excelData",I216,$B$1,$B216&amp;":"&amp;I$115&amp;":"&amp;$R$114)</f>
        <v>#</v>
      </c>
      <c r="X216" s="461" t="str">
        <f>_xll.BLUEMATRIX2("/servlet/excelData",J216,$B$1,$B216&amp;":"&amp;J$115&amp;":"&amp;$R$114)</f>
        <v>#</v>
      </c>
      <c r="Y216" s="461" t="str">
        <f>_xll.BLUEMATRIX2("/servlet/excelData",K216,$B$1,$B216&amp;":"&amp;K$115&amp;":"&amp;$R$114)</f>
        <v>#</v>
      </c>
      <c r="Z216" s="461" t="str">
        <f>_xll.BLUEMATRIX2("/servlet/excelData",L216,$B$1,$B216&amp;":"&amp;L$115&amp;":"&amp;$R$114)</f>
        <v>#</v>
      </c>
      <c r="AA216" s="461" t="str">
        <f>_xll.BLUEMATRIX2("/servlet/excelData",M216,$B$1,$B216&amp;":"&amp;M$115&amp;":"&amp;$R$114)</f>
        <v>#</v>
      </c>
      <c r="AB216" s="461" t="str">
        <f>_xll.BLUEMATRIX2("/servlet/excelData",N216,$B$1,$B216&amp;":"&amp;N$115&amp;":"&amp;$R$114)</f>
        <v>#</v>
      </c>
      <c r="AC216" s="461" t="str">
        <f>_xll.BLUEMATRIX2("/servlet/excelData",O216,$B$1,$B216&amp;":"&amp;O$115&amp;":"&amp;$R$114)</f>
        <v>#</v>
      </c>
      <c r="AD216" s="461" t="str">
        <f>_xll.BLUEMATRIX2("/servlet/excelData",P216,$B$1,$B216&amp;":"&amp;P$115&amp;":"&amp;$R$114)</f>
        <v>#</v>
      </c>
      <c r="AE216" s="461" t="str">
        <f>_xll.BLUEMATRIX2("/servlet/excelData",Q216,$B$1,$B216&amp;":"&amp;Q$115&amp;":"&amp;$R$114)</f>
        <v>#</v>
      </c>
    </row>
    <row r="217" spans="1:31" ht="12.95" customHeight="1">
      <c r="A217" s="342" t="s">
        <v>489</v>
      </c>
      <c r="B217" s="344" t="s">
        <v>490</v>
      </c>
      <c r="C217" s="397" t="s">
        <v>491</v>
      </c>
      <c r="D217" s="378"/>
      <c r="E217" s="378">
        <f>E203</f>
        <v>598.5</v>
      </c>
      <c r="F217" s="378">
        <f>F203</f>
        <v>571</v>
      </c>
      <c r="G217" s="378">
        <f>G203</f>
        <v>554.9</v>
      </c>
      <c r="H217" s="378">
        <f>H203</f>
        <v>564.29999999999995</v>
      </c>
      <c r="I217" s="378">
        <f>I203</f>
        <v>590.70000000000005</v>
      </c>
      <c r="J217" s="378">
        <f t="shared" ref="J217:P217" si="24">J203</f>
        <v>611.81079168602139</v>
      </c>
      <c r="K217" s="378">
        <f t="shared" si="24"/>
        <v>618.15822238506735</v>
      </c>
      <c r="L217" s="378">
        <f t="shared" si="24"/>
        <v>624.97326554285701</v>
      </c>
      <c r="M217" s="378">
        <f t="shared" si="24"/>
        <v>639.01590775753152</v>
      </c>
      <c r="N217" s="378">
        <f t="shared" si="24"/>
        <v>648.75740451254774</v>
      </c>
      <c r="O217" s="378">
        <f t="shared" si="24"/>
        <v>655.26442326669121</v>
      </c>
      <c r="P217" s="378">
        <f t="shared" si="24"/>
        <v>669.40833811485732</v>
      </c>
      <c r="Q217" s="378">
        <f>Q203</f>
        <v>680.33937904364768</v>
      </c>
      <c r="R217" s="320"/>
      <c r="S217" s="461" t="str">
        <f>_xll.BLUEMATRIX2("/servlet/excelData",E217,$B$1,$B217&amp;":"&amp;E$115&amp;":"&amp;$R$114)</f>
        <v>#</v>
      </c>
      <c r="T217" s="461" t="str">
        <f>_xll.BLUEMATRIX2("/servlet/excelData",F217,$B$1,$B217&amp;":"&amp;F$115&amp;":"&amp;$R$114)</f>
        <v>#</v>
      </c>
      <c r="U217" s="461" t="str">
        <f>_xll.BLUEMATRIX2("/servlet/excelData",G217,$B$1,$B217&amp;":"&amp;G$115&amp;":"&amp;$R$114)</f>
        <v>#</v>
      </c>
      <c r="V217" s="461" t="str">
        <f>_xll.BLUEMATRIX2("/servlet/excelData",H217,$B$1,$B217&amp;":"&amp;H$115&amp;":"&amp;$R$114)</f>
        <v>#</v>
      </c>
      <c r="W217" s="461" t="str">
        <f>_xll.BLUEMATRIX2("/servlet/excelData",I217,$B$1,$B217&amp;":"&amp;I$115&amp;":"&amp;$R$114)</f>
        <v>#</v>
      </c>
      <c r="X217" s="461" t="str">
        <f>_xll.BLUEMATRIX2("/servlet/excelData",J217,$B$1,$B217&amp;":"&amp;J$115&amp;":"&amp;$R$114)</f>
        <v>#</v>
      </c>
      <c r="Y217" s="461" t="str">
        <f>_xll.BLUEMATRIX2("/servlet/excelData",K217,$B$1,$B217&amp;":"&amp;K$115&amp;":"&amp;$R$114)</f>
        <v>#</v>
      </c>
      <c r="Z217" s="461" t="str">
        <f>_xll.BLUEMATRIX2("/servlet/excelData",L217,$B$1,$B217&amp;":"&amp;L$115&amp;":"&amp;$R$114)</f>
        <v>#</v>
      </c>
      <c r="AA217" s="461" t="str">
        <f>_xll.BLUEMATRIX2("/servlet/excelData",M217,$B$1,$B217&amp;":"&amp;M$115&amp;":"&amp;$R$114)</f>
        <v>#</v>
      </c>
      <c r="AB217" s="461" t="str">
        <f>_xll.BLUEMATRIX2("/servlet/excelData",N217,$B$1,$B217&amp;":"&amp;N$115&amp;":"&amp;$R$114)</f>
        <v>#</v>
      </c>
      <c r="AC217" s="461" t="str">
        <f>_xll.BLUEMATRIX2("/servlet/excelData",O217,$B$1,$B217&amp;":"&amp;O$115&amp;":"&amp;$R$114)</f>
        <v>#</v>
      </c>
      <c r="AD217" s="461" t="str">
        <f>_xll.BLUEMATRIX2("/servlet/excelData",P217,$B$1,$B217&amp;":"&amp;P$115&amp;":"&amp;$R$114)</f>
        <v>#</v>
      </c>
      <c r="AE217" s="461" t="str">
        <f>_xll.BLUEMATRIX2("/servlet/excelData",Q217,$B$1,$B217&amp;":"&amp;Q$115&amp;":"&amp;$R$114)</f>
        <v>#</v>
      </c>
    </row>
    <row r="218" spans="1:31" ht="12.95" customHeight="1">
      <c r="A218" s="342" t="s">
        <v>492</v>
      </c>
      <c r="B218" s="344" t="s">
        <v>493</v>
      </c>
      <c r="C218" s="398" t="s">
        <v>494</v>
      </c>
      <c r="D218" s="378"/>
      <c r="E218" s="378">
        <f>E208+E216</f>
        <v>1337.6</v>
      </c>
      <c r="F218" s="378">
        <f>F208+F216</f>
        <v>1393.3000000000002</v>
      </c>
      <c r="G218" s="378">
        <f>G208+G216</f>
        <v>2138.3999999999996</v>
      </c>
      <c r="H218" s="378">
        <f>H208+H216</f>
        <v>1886.1999999999998</v>
      </c>
      <c r="I218" s="378">
        <f>I208+I216</f>
        <v>1936.5</v>
      </c>
      <c r="J218" s="378">
        <f t="shared" ref="J218:P218" si="25">J208+J216</f>
        <v>2102.6107916860215</v>
      </c>
      <c r="K218" s="378">
        <f t="shared" si="25"/>
        <v>2078.9582223850675</v>
      </c>
      <c r="L218" s="378">
        <f t="shared" si="25"/>
        <v>2055.7732655428572</v>
      </c>
      <c r="M218" s="378">
        <f t="shared" si="25"/>
        <v>2039.8159077575317</v>
      </c>
      <c r="N218" s="378">
        <f t="shared" si="25"/>
        <v>2019.5574045125479</v>
      </c>
      <c r="O218" s="378">
        <f t="shared" si="25"/>
        <v>1996.0644232666914</v>
      </c>
      <c r="P218" s="378">
        <f t="shared" si="25"/>
        <v>1980.2083381148575</v>
      </c>
      <c r="Q218" s="378">
        <f>Q208+Q216</f>
        <v>1961.1393790436478</v>
      </c>
      <c r="R218" s="320"/>
      <c r="S218" s="461" t="str">
        <f>_xll.BLUEMATRIX2("/servlet/excelData",E218,$B$1,$B218&amp;":"&amp;E$115&amp;":"&amp;$R$114)</f>
        <v>#</v>
      </c>
      <c r="T218" s="461" t="str">
        <f>_xll.BLUEMATRIX2("/servlet/excelData",F218,$B$1,$B218&amp;":"&amp;F$115&amp;":"&amp;$R$114)</f>
        <v>#</v>
      </c>
      <c r="U218" s="461" t="str">
        <f>_xll.BLUEMATRIX2("/servlet/excelData",G218,$B$1,$B218&amp;":"&amp;G$115&amp;":"&amp;$R$114)</f>
        <v>#</v>
      </c>
      <c r="V218" s="461" t="str">
        <f>_xll.BLUEMATRIX2("/servlet/excelData",H218,$B$1,$B218&amp;":"&amp;H$115&amp;":"&amp;$R$114)</f>
        <v>#</v>
      </c>
      <c r="W218" s="461" t="str">
        <f>_xll.BLUEMATRIX2("/servlet/excelData",I218,$B$1,$B218&amp;":"&amp;I$115&amp;":"&amp;$R$114)</f>
        <v>#</v>
      </c>
      <c r="X218" s="461" t="str">
        <f>_xll.BLUEMATRIX2("/servlet/excelData",J218,$B$1,$B218&amp;":"&amp;J$115&amp;":"&amp;$R$114)</f>
        <v>#</v>
      </c>
      <c r="Y218" s="461" t="str">
        <f>_xll.BLUEMATRIX2("/servlet/excelData",K218,$B$1,$B218&amp;":"&amp;K$115&amp;":"&amp;$R$114)</f>
        <v>#</v>
      </c>
      <c r="Z218" s="461" t="str">
        <f>_xll.BLUEMATRIX2("/servlet/excelData",L218,$B$1,$B218&amp;":"&amp;L$115&amp;":"&amp;$R$114)</f>
        <v>#</v>
      </c>
      <c r="AA218" s="461" t="str">
        <f>_xll.BLUEMATRIX2("/servlet/excelData",M218,$B$1,$B218&amp;":"&amp;M$115&amp;":"&amp;$R$114)</f>
        <v>#</v>
      </c>
      <c r="AB218" s="461" t="str">
        <f>_xll.BLUEMATRIX2("/servlet/excelData",N218,$B$1,$B218&amp;":"&amp;N$115&amp;":"&amp;$R$114)</f>
        <v>#</v>
      </c>
      <c r="AC218" s="461" t="str">
        <f>_xll.BLUEMATRIX2("/servlet/excelData",O218,$B$1,$B218&amp;":"&amp;O$115&amp;":"&amp;$R$114)</f>
        <v>#</v>
      </c>
      <c r="AD218" s="461" t="str">
        <f>_xll.BLUEMATRIX2("/servlet/excelData",P218,$B$1,$B218&amp;":"&amp;P$115&amp;":"&amp;$R$114)</f>
        <v>#</v>
      </c>
      <c r="AE218" s="461" t="str">
        <f>_xll.BLUEMATRIX2("/servlet/excelData",Q218,$B$1,$B218&amp;":"&amp;Q$115&amp;":"&amp;$R$114)</f>
        <v>#</v>
      </c>
    </row>
    <row r="219" spans="1:31" ht="12.95" customHeight="1">
      <c r="A219" s="342"/>
      <c r="B219" s="344"/>
      <c r="C219" s="463" t="s">
        <v>1146</v>
      </c>
      <c r="D219" s="464"/>
      <c r="E219" s="465">
        <f>ROUND(FY!C159-E218,2)</f>
        <v>0</v>
      </c>
      <c r="F219" s="465">
        <f>ROUND(FY!D159-F218,2)</f>
        <v>0</v>
      </c>
      <c r="G219" s="465">
        <f>ROUND(FY!E159-G218,2)</f>
        <v>0</v>
      </c>
      <c r="H219" s="465">
        <f>ROUND(FY!F159-H218,2)</f>
        <v>0</v>
      </c>
      <c r="I219" s="465">
        <f>ROUND(FY!G159-I218,2)</f>
        <v>0</v>
      </c>
      <c r="J219" s="465">
        <f>ROUND(FY!H159-J218,2)</f>
        <v>0</v>
      </c>
      <c r="K219" s="465">
        <f>ROUND(FY!I159-K218,2)</f>
        <v>0</v>
      </c>
      <c r="L219" s="465">
        <f>ROUND(FY!J159-L218,2)</f>
        <v>0</v>
      </c>
      <c r="M219" s="465">
        <f>ROUND(FY!K159-M218,2)</f>
        <v>0</v>
      </c>
      <c r="N219" s="465">
        <f>ROUND(FY!L159-N218,2)</f>
        <v>0</v>
      </c>
      <c r="O219" s="465">
        <f>ROUND(FY!M159-O218,2)</f>
        <v>0</v>
      </c>
      <c r="P219" s="465">
        <f>ROUND(FY!N159-P218,2)</f>
        <v>0</v>
      </c>
      <c r="Q219" s="465">
        <f>ROUND(FY!O159-Q218,2)</f>
        <v>0</v>
      </c>
      <c r="R219" s="376"/>
      <c r="S219" s="461"/>
      <c r="T219" s="461"/>
      <c r="U219" s="461"/>
      <c r="V219" s="461"/>
      <c r="W219" s="461"/>
      <c r="X219" s="461"/>
      <c r="Y219" s="461"/>
      <c r="Z219" s="461"/>
      <c r="AA219" s="461"/>
      <c r="AB219" s="461"/>
      <c r="AC219" s="461"/>
      <c r="AD219" s="461"/>
      <c r="AE219" s="461"/>
    </row>
    <row r="220" spans="1:31" ht="12.95" customHeight="1">
      <c r="A220" s="342"/>
      <c r="B220" s="344"/>
      <c r="C220" s="463"/>
      <c r="D220" s="466"/>
      <c r="E220" s="467"/>
      <c r="F220" s="467"/>
      <c r="G220" s="467"/>
      <c r="H220" s="467"/>
      <c r="I220" s="467"/>
      <c r="J220" s="467"/>
      <c r="K220" s="467"/>
      <c r="L220" s="467"/>
      <c r="M220" s="467"/>
      <c r="N220" s="467"/>
      <c r="O220" s="467"/>
      <c r="P220" s="467"/>
      <c r="Q220" s="467"/>
      <c r="R220" s="376"/>
      <c r="S220" s="461"/>
      <c r="T220" s="461"/>
      <c r="U220" s="461"/>
      <c r="V220" s="461"/>
      <c r="W220" s="461"/>
      <c r="X220" s="461"/>
      <c r="Y220" s="461"/>
      <c r="Z220" s="461"/>
      <c r="AA220" s="461"/>
      <c r="AB220" s="461"/>
      <c r="AC220" s="461"/>
      <c r="AD220" s="461"/>
      <c r="AE220" s="461"/>
    </row>
    <row r="221" spans="1:31" ht="12.95" customHeight="1">
      <c r="A221" s="342"/>
      <c r="B221" s="344"/>
      <c r="C221" s="400" t="s">
        <v>495</v>
      </c>
      <c r="D221" s="399"/>
      <c r="E221" s="399"/>
      <c r="F221" s="399"/>
      <c r="G221" s="399"/>
      <c r="H221" s="399"/>
      <c r="I221" s="399"/>
      <c r="J221" s="399"/>
      <c r="K221" s="399"/>
      <c r="L221" s="399"/>
      <c r="M221" s="399"/>
      <c r="N221" s="399"/>
      <c r="O221" s="399"/>
      <c r="P221" s="399"/>
      <c r="Q221" s="399"/>
      <c r="R221" s="320"/>
      <c r="S221" s="461" t="str">
        <f>_xll.BLUEMATRIX2("/servlet/excelData",E221,$B$1,$B221&amp;":"&amp;E$115&amp;":"&amp;$R$114)</f>
        <v>#</v>
      </c>
      <c r="T221" s="461" t="str">
        <f>_xll.BLUEMATRIX2("/servlet/excelData",F221,$B$1,$B221&amp;":"&amp;F$115&amp;":"&amp;$R$114)</f>
        <v>#</v>
      </c>
      <c r="U221" s="461" t="str">
        <f>_xll.BLUEMATRIX2("/servlet/excelData",G221,$B$1,$B221&amp;":"&amp;G$115&amp;":"&amp;$R$114)</f>
        <v>#</v>
      </c>
      <c r="V221" s="461" t="str">
        <f>_xll.BLUEMATRIX2("/servlet/excelData",H221,$B$1,$B221&amp;":"&amp;H$115&amp;":"&amp;$R$114)</f>
        <v>#</v>
      </c>
      <c r="W221" s="461" t="str">
        <f>_xll.BLUEMATRIX2("/servlet/excelData",I221,$B$1,$B221&amp;":"&amp;I$115&amp;":"&amp;$R$114)</f>
        <v>#</v>
      </c>
      <c r="X221" s="461" t="str">
        <f>_xll.BLUEMATRIX2("/servlet/excelData",J221,$B$1,$B221&amp;":"&amp;J$115&amp;":"&amp;$R$114)</f>
        <v>#</v>
      </c>
      <c r="Y221" s="461" t="str">
        <f>_xll.BLUEMATRIX2("/servlet/excelData",K221,$B$1,$B221&amp;":"&amp;K$115&amp;":"&amp;$R$114)</f>
        <v>#</v>
      </c>
      <c r="Z221" s="461" t="str">
        <f>_xll.BLUEMATRIX2("/servlet/excelData",L221,$B$1,$B221&amp;":"&amp;L$115&amp;":"&amp;$R$114)</f>
        <v>#</v>
      </c>
      <c r="AA221" s="461" t="str">
        <f>_xll.BLUEMATRIX2("/servlet/excelData",M221,$B$1,$B221&amp;":"&amp;M$115&amp;":"&amp;$R$114)</f>
        <v>#</v>
      </c>
      <c r="AB221" s="461" t="str">
        <f>_xll.BLUEMATRIX2("/servlet/excelData",N221,$B$1,$B221&amp;":"&amp;N$115&amp;":"&amp;$R$114)</f>
        <v>#</v>
      </c>
      <c r="AC221" s="461" t="str">
        <f>_xll.BLUEMATRIX2("/servlet/excelData",O221,$B$1,$B221&amp;":"&amp;O$115&amp;":"&amp;$R$114)</f>
        <v>#</v>
      </c>
      <c r="AD221" s="461" t="str">
        <f>_xll.BLUEMATRIX2("/servlet/excelData",P221,$B$1,$B221&amp;":"&amp;P$115&amp;":"&amp;$R$114)</f>
        <v>#</v>
      </c>
      <c r="AE221" s="461" t="str">
        <f>_xll.BLUEMATRIX2("/servlet/excelData",Q221,$B$1,$B221&amp;":"&amp;Q$115&amp;":"&amp;$R$114)</f>
        <v>#</v>
      </c>
    </row>
    <row r="222" spans="1:31" ht="12.95" customHeight="1">
      <c r="A222" s="342" t="s">
        <v>496</v>
      </c>
      <c r="B222" s="344" t="s">
        <v>497</v>
      </c>
      <c r="C222" s="390" t="s">
        <v>498</v>
      </c>
      <c r="D222" s="375"/>
      <c r="E222" s="375">
        <f>FY!C161</f>
        <v>1635.9</v>
      </c>
      <c r="F222" s="375">
        <f>FY!D161</f>
        <v>1687.1</v>
      </c>
      <c r="G222" s="375">
        <f>FY!E161</f>
        <v>1688.5</v>
      </c>
      <c r="H222" s="375">
        <f>FY!F161</f>
        <v>1689</v>
      </c>
      <c r="I222" s="375">
        <f>FY!G161</f>
        <v>1697.5</v>
      </c>
      <c r="J222" s="375">
        <f>FY!H161</f>
        <v>1697.5</v>
      </c>
      <c r="K222" s="375">
        <f>FY!I161</f>
        <v>1697.5</v>
      </c>
      <c r="L222" s="375">
        <f>FY!J161</f>
        <v>1697.5</v>
      </c>
      <c r="M222" s="375">
        <f>FY!K161</f>
        <v>1697.5</v>
      </c>
      <c r="N222" s="375">
        <f>FY!L161</f>
        <v>1697.5</v>
      </c>
      <c r="O222" s="375">
        <f>FY!M161</f>
        <v>1697.5</v>
      </c>
      <c r="P222" s="375">
        <f>FY!N161</f>
        <v>1697.5</v>
      </c>
      <c r="Q222" s="375">
        <f>FY!O161</f>
        <v>1697.5</v>
      </c>
      <c r="R222" s="320"/>
      <c r="S222" s="461" t="str">
        <f>_xll.BLUEMATRIX2("/servlet/excelData",E222,$B$1,$B222&amp;":"&amp;E$115&amp;":"&amp;$R$114)</f>
        <v>#</v>
      </c>
      <c r="T222" s="461" t="str">
        <f>_xll.BLUEMATRIX2("/servlet/excelData",F222,$B$1,$B222&amp;":"&amp;F$115&amp;":"&amp;$R$114)</f>
        <v>#</v>
      </c>
      <c r="U222" s="461" t="str">
        <f>_xll.BLUEMATRIX2("/servlet/excelData",G222,$B$1,$B222&amp;":"&amp;G$115&amp;":"&amp;$R$114)</f>
        <v>#</v>
      </c>
      <c r="V222" s="461" t="str">
        <f>_xll.BLUEMATRIX2("/servlet/excelData",H222,$B$1,$B222&amp;":"&amp;H$115&amp;":"&amp;$R$114)</f>
        <v>#</v>
      </c>
      <c r="W222" s="461" t="str">
        <f>_xll.BLUEMATRIX2("/servlet/excelData",I222,$B$1,$B222&amp;":"&amp;I$115&amp;":"&amp;$R$114)</f>
        <v>#</v>
      </c>
      <c r="X222" s="461" t="str">
        <f>_xll.BLUEMATRIX2("/servlet/excelData",J222,$B$1,$B222&amp;":"&amp;J$115&amp;":"&amp;$R$114)</f>
        <v>#</v>
      </c>
      <c r="Y222" s="461" t="str">
        <f>_xll.BLUEMATRIX2("/servlet/excelData",K222,$B$1,$B222&amp;":"&amp;K$115&amp;":"&amp;$R$114)</f>
        <v>#</v>
      </c>
      <c r="Z222" s="461" t="str">
        <f>_xll.BLUEMATRIX2("/servlet/excelData",L222,$B$1,$B222&amp;":"&amp;L$115&amp;":"&amp;$R$114)</f>
        <v>#</v>
      </c>
      <c r="AA222" s="461" t="str">
        <f>_xll.BLUEMATRIX2("/servlet/excelData",M222,$B$1,$B222&amp;":"&amp;M$115&amp;":"&amp;$R$114)</f>
        <v>#</v>
      </c>
      <c r="AB222" s="461" t="str">
        <f>_xll.BLUEMATRIX2("/servlet/excelData",N222,$B$1,$B222&amp;":"&amp;N$115&amp;":"&amp;$R$114)</f>
        <v>#</v>
      </c>
      <c r="AC222" s="461" t="str">
        <f>_xll.BLUEMATRIX2("/servlet/excelData",O222,$B$1,$B222&amp;":"&amp;O$115&amp;":"&amp;$R$114)</f>
        <v>#</v>
      </c>
      <c r="AD222" s="461" t="str">
        <f>_xll.BLUEMATRIX2("/servlet/excelData",P222,$B$1,$B222&amp;":"&amp;P$115&amp;":"&amp;$R$114)</f>
        <v>#</v>
      </c>
      <c r="AE222" s="461" t="str">
        <f>_xll.BLUEMATRIX2("/servlet/excelData",Q222,$B$1,$B222&amp;":"&amp;Q$115&amp;":"&amp;$R$114)</f>
        <v>#</v>
      </c>
    </row>
    <row r="223" spans="1:31" ht="12.95" customHeight="1">
      <c r="A223" s="342" t="s">
        <v>499</v>
      </c>
      <c r="B223" s="344" t="s">
        <v>500</v>
      </c>
      <c r="C223" s="390" t="s">
        <v>45</v>
      </c>
      <c r="D223" s="375"/>
      <c r="E223" s="375">
        <f>FY!C162</f>
        <v>1</v>
      </c>
      <c r="F223" s="375">
        <f>FY!D162</f>
        <v>5.6</v>
      </c>
      <c r="G223" s="375">
        <f>FY!E162</f>
        <v>-2.8</v>
      </c>
      <c r="H223" s="375">
        <f>FY!F162</f>
        <v>4.5999999999999996</v>
      </c>
      <c r="I223" s="375">
        <f>FY!G162</f>
        <v>13.7</v>
      </c>
      <c r="J223" s="375">
        <f>FY!H162</f>
        <v>13.7</v>
      </c>
      <c r="K223" s="375">
        <f>FY!I162</f>
        <v>13.7</v>
      </c>
      <c r="L223" s="375">
        <f>FY!J162</f>
        <v>13.7</v>
      </c>
      <c r="M223" s="375">
        <f>FY!K162</f>
        <v>13.7</v>
      </c>
      <c r="N223" s="375">
        <f>FY!L162</f>
        <v>13.7</v>
      </c>
      <c r="O223" s="375">
        <f>FY!M162</f>
        <v>13.7</v>
      </c>
      <c r="P223" s="375">
        <f>FY!N162</f>
        <v>13.7</v>
      </c>
      <c r="Q223" s="375">
        <f>FY!O162</f>
        <v>13.7</v>
      </c>
      <c r="R223" s="320"/>
      <c r="S223" s="461" t="str">
        <f>_xll.BLUEMATRIX2("/servlet/excelData",E223,$B$1,$B223&amp;":"&amp;E$115&amp;":"&amp;$R$114)</f>
        <v>#</v>
      </c>
      <c r="T223" s="461" t="str">
        <f>_xll.BLUEMATRIX2("/servlet/excelData",F223,$B$1,$B223&amp;":"&amp;F$115&amp;":"&amp;$R$114)</f>
        <v>#</v>
      </c>
      <c r="U223" s="461" t="str">
        <f>_xll.BLUEMATRIX2("/servlet/excelData",G223,$B$1,$B223&amp;":"&amp;G$115&amp;":"&amp;$R$114)</f>
        <v>#</v>
      </c>
      <c r="V223" s="461" t="str">
        <f>_xll.BLUEMATRIX2("/servlet/excelData",H223,$B$1,$B223&amp;":"&amp;H$115&amp;":"&amp;$R$114)</f>
        <v>#</v>
      </c>
      <c r="W223" s="461" t="str">
        <f>_xll.BLUEMATRIX2("/servlet/excelData",I223,$B$1,$B223&amp;":"&amp;I$115&amp;":"&amp;$R$114)</f>
        <v>#</v>
      </c>
      <c r="X223" s="461" t="str">
        <f>_xll.BLUEMATRIX2("/servlet/excelData",J223,$B$1,$B223&amp;":"&amp;J$115&amp;":"&amp;$R$114)</f>
        <v>#</v>
      </c>
      <c r="Y223" s="461" t="str">
        <f>_xll.BLUEMATRIX2("/servlet/excelData",K223,$B$1,$B223&amp;":"&amp;K$115&amp;":"&amp;$R$114)</f>
        <v>#</v>
      </c>
      <c r="Z223" s="461" t="str">
        <f>_xll.BLUEMATRIX2("/servlet/excelData",L223,$B$1,$B223&amp;":"&amp;L$115&amp;":"&amp;$R$114)</f>
        <v>#</v>
      </c>
      <c r="AA223" s="461" t="str">
        <f>_xll.BLUEMATRIX2("/servlet/excelData",M223,$B$1,$B223&amp;":"&amp;M$115&amp;":"&amp;$R$114)</f>
        <v>#</v>
      </c>
      <c r="AB223" s="461" t="str">
        <f>_xll.BLUEMATRIX2("/servlet/excelData",N223,$B$1,$B223&amp;":"&amp;N$115&amp;":"&amp;$R$114)</f>
        <v>#</v>
      </c>
      <c r="AC223" s="461" t="str">
        <f>_xll.BLUEMATRIX2("/servlet/excelData",O223,$B$1,$B223&amp;":"&amp;O$115&amp;":"&amp;$R$114)</f>
        <v>#</v>
      </c>
      <c r="AD223" s="461" t="str">
        <f>_xll.BLUEMATRIX2("/servlet/excelData",P223,$B$1,$B223&amp;":"&amp;P$115&amp;":"&amp;$R$114)</f>
        <v>#</v>
      </c>
      <c r="AE223" s="461" t="str">
        <f>_xll.BLUEMATRIX2("/servlet/excelData",Q223,$B$1,$B223&amp;":"&amp;Q$115&amp;":"&amp;$R$114)</f>
        <v>#</v>
      </c>
    </row>
    <row r="224" spans="1:31" ht="12.95" customHeight="1">
      <c r="A224" s="342" t="s">
        <v>501</v>
      </c>
      <c r="B224" s="344" t="s">
        <v>502</v>
      </c>
      <c r="C224" s="390" t="s">
        <v>503</v>
      </c>
      <c r="D224" s="375"/>
      <c r="E224" s="375">
        <f>FY!C163</f>
        <v>1074.2</v>
      </c>
      <c r="F224" s="375">
        <f>FY!D163</f>
        <v>966.4</v>
      </c>
      <c r="G224" s="375">
        <f>FY!E163</f>
        <v>-438.8</v>
      </c>
      <c r="H224" s="375">
        <f>FY!F163</f>
        <v>-439.6</v>
      </c>
      <c r="I224" s="375">
        <f>FY!G163</f>
        <v>-450</v>
      </c>
      <c r="J224" s="375">
        <f>FY!H163</f>
        <v>-433.65293597756261</v>
      </c>
      <c r="K224" s="375">
        <f>FY!I163</f>
        <v>-396.92850224284433</v>
      </c>
      <c r="L224" s="375">
        <f>FY!J163</f>
        <v>-361.7454507255398</v>
      </c>
      <c r="M224" s="375">
        <f>FY!K163</f>
        <v>-299.89982227711278</v>
      </c>
      <c r="N224" s="375">
        <f>FY!L163</f>
        <v>-231.82898400775559</v>
      </c>
      <c r="O224" s="375">
        <f>FY!M163</f>
        <v>-73.467909927924637</v>
      </c>
      <c r="P224" s="375">
        <f>FY!N163</f>
        <v>94.488539732128089</v>
      </c>
      <c r="Q224" s="375">
        <f>FY!O163</f>
        <v>297.55612405113209</v>
      </c>
      <c r="R224" s="320"/>
      <c r="S224" s="461" t="str">
        <f>_xll.BLUEMATRIX2("/servlet/excelData",E224,$B$1,$B224&amp;":"&amp;E$115&amp;":"&amp;$R$114)</f>
        <v>#</v>
      </c>
      <c r="T224" s="461" t="str">
        <f>_xll.BLUEMATRIX2("/servlet/excelData",F224,$B$1,$B224&amp;":"&amp;F$115&amp;":"&amp;$R$114)</f>
        <v>#</v>
      </c>
      <c r="U224" s="461" t="str">
        <f>_xll.BLUEMATRIX2("/servlet/excelData",G224,$B$1,$B224&amp;":"&amp;G$115&amp;":"&amp;$R$114)</f>
        <v>#</v>
      </c>
      <c r="V224" s="461" t="str">
        <f>_xll.BLUEMATRIX2("/servlet/excelData",H224,$B$1,$B224&amp;":"&amp;H$115&amp;":"&amp;$R$114)</f>
        <v>#</v>
      </c>
      <c r="W224" s="461" t="str">
        <f>_xll.BLUEMATRIX2("/servlet/excelData",I224,$B$1,$B224&amp;":"&amp;I$115&amp;":"&amp;$R$114)</f>
        <v>#</v>
      </c>
      <c r="X224" s="461" t="str">
        <f>_xll.BLUEMATRIX2("/servlet/excelData",J224,$B$1,$B224&amp;":"&amp;J$115&amp;":"&amp;$R$114)</f>
        <v>#</v>
      </c>
      <c r="Y224" s="461" t="str">
        <f>_xll.BLUEMATRIX2("/servlet/excelData",K224,$B$1,$B224&amp;":"&amp;K$115&amp;":"&amp;$R$114)</f>
        <v>#</v>
      </c>
      <c r="Z224" s="461" t="str">
        <f>_xll.BLUEMATRIX2("/servlet/excelData",L224,$B$1,$B224&amp;":"&amp;L$115&amp;":"&amp;$R$114)</f>
        <v>#</v>
      </c>
      <c r="AA224" s="461" t="str">
        <f>_xll.BLUEMATRIX2("/servlet/excelData",M224,$B$1,$B224&amp;":"&amp;M$115&amp;":"&amp;$R$114)</f>
        <v>#</v>
      </c>
      <c r="AB224" s="461" t="str">
        <f>_xll.BLUEMATRIX2("/servlet/excelData",N224,$B$1,$B224&amp;":"&amp;N$115&amp;":"&amp;$R$114)</f>
        <v>#</v>
      </c>
      <c r="AC224" s="461" t="str">
        <f>_xll.BLUEMATRIX2("/servlet/excelData",O224,$B$1,$B224&amp;":"&amp;O$115&amp;":"&amp;$R$114)</f>
        <v>#</v>
      </c>
      <c r="AD224" s="461" t="str">
        <f>_xll.BLUEMATRIX2("/servlet/excelData",P224,$B$1,$B224&amp;":"&amp;P$115&amp;":"&amp;$R$114)</f>
        <v>#</v>
      </c>
      <c r="AE224" s="461" t="str">
        <f>_xll.BLUEMATRIX2("/servlet/excelData",Q224,$B$1,$B224&amp;":"&amp;Q$115&amp;":"&amp;$R$114)</f>
        <v>#</v>
      </c>
    </row>
    <row r="225" spans="1:31" ht="12.95" customHeight="1">
      <c r="A225" s="342" t="s">
        <v>504</v>
      </c>
      <c r="B225" s="344" t="s">
        <v>505</v>
      </c>
      <c r="C225" s="390" t="s">
        <v>506</v>
      </c>
      <c r="D225" s="375"/>
      <c r="E225" s="375"/>
      <c r="F225" s="375"/>
      <c r="G225" s="375"/>
      <c r="H225" s="375"/>
      <c r="I225" s="375"/>
      <c r="J225" s="375"/>
      <c r="K225" s="375"/>
      <c r="L225" s="375"/>
      <c r="M225" s="375"/>
      <c r="N225" s="375"/>
      <c r="O225" s="375"/>
      <c r="P225" s="375"/>
      <c r="Q225" s="375"/>
      <c r="R225" s="320"/>
      <c r="S225" s="461" t="str">
        <f>_xll.BLUEMATRIX2("/servlet/excelData",E225,$B$1,$B225&amp;":"&amp;E$115&amp;":"&amp;$R$114)</f>
        <v>#</v>
      </c>
      <c r="T225" s="461" t="str">
        <f>_xll.BLUEMATRIX2("/servlet/excelData",F225,$B$1,$B225&amp;":"&amp;F$115&amp;":"&amp;$R$114)</f>
        <v>#</v>
      </c>
      <c r="U225" s="461" t="str">
        <f>_xll.BLUEMATRIX2("/servlet/excelData",G225,$B$1,$B225&amp;":"&amp;G$115&amp;":"&amp;$R$114)</f>
        <v>#</v>
      </c>
      <c r="V225" s="461" t="str">
        <f>_xll.BLUEMATRIX2("/servlet/excelData",H225,$B$1,$B225&amp;":"&amp;H$115&amp;":"&amp;$R$114)</f>
        <v>#</v>
      </c>
      <c r="W225" s="461" t="str">
        <f>_xll.BLUEMATRIX2("/servlet/excelData",I225,$B$1,$B225&amp;":"&amp;I$115&amp;":"&amp;$R$114)</f>
        <v>#</v>
      </c>
      <c r="X225" s="461" t="str">
        <f>_xll.BLUEMATRIX2("/servlet/excelData",J225,$B$1,$B225&amp;":"&amp;J$115&amp;":"&amp;$R$114)</f>
        <v>#</v>
      </c>
      <c r="Y225" s="461" t="str">
        <f>_xll.BLUEMATRIX2("/servlet/excelData",K225,$B$1,$B225&amp;":"&amp;K$115&amp;":"&amp;$R$114)</f>
        <v>#</v>
      </c>
      <c r="Z225" s="461" t="str">
        <f>_xll.BLUEMATRIX2("/servlet/excelData",L225,$B$1,$B225&amp;":"&amp;L$115&amp;":"&amp;$R$114)</f>
        <v>#</v>
      </c>
      <c r="AA225" s="461" t="str">
        <f>_xll.BLUEMATRIX2("/servlet/excelData",M225,$B$1,$B225&amp;":"&amp;M$115&amp;":"&amp;$R$114)</f>
        <v>#</v>
      </c>
      <c r="AB225" s="461" t="str">
        <f>_xll.BLUEMATRIX2("/servlet/excelData",N225,$B$1,$B225&amp;":"&amp;N$115&amp;":"&amp;$R$114)</f>
        <v>#</v>
      </c>
      <c r="AC225" s="461" t="str">
        <f>_xll.BLUEMATRIX2("/servlet/excelData",O225,$B$1,$B225&amp;":"&amp;O$115&amp;":"&amp;$R$114)</f>
        <v>#</v>
      </c>
      <c r="AD225" s="461" t="str">
        <f>_xll.BLUEMATRIX2("/servlet/excelData",P225,$B$1,$B225&amp;":"&amp;P$115&amp;":"&amp;$R$114)</f>
        <v>#</v>
      </c>
      <c r="AE225" s="461" t="str">
        <f>_xll.BLUEMATRIX2("/servlet/excelData",Q225,$B$1,$B225&amp;":"&amp;Q$115&amp;":"&amp;$R$114)</f>
        <v>#</v>
      </c>
    </row>
    <row r="226" spans="1:31" ht="12.95" customHeight="1">
      <c r="A226" s="342" t="s">
        <v>507</v>
      </c>
      <c r="B226" s="344" t="s">
        <v>508</v>
      </c>
      <c r="C226" s="398" t="s">
        <v>509</v>
      </c>
      <c r="D226" s="378"/>
      <c r="E226" s="378">
        <f>E222+E223+E224+E225</f>
        <v>2711.1000000000004</v>
      </c>
      <c r="F226" s="378">
        <f>F222+F223+F224+F225</f>
        <v>2659.1</v>
      </c>
      <c r="G226" s="378">
        <f>G222+G223+G224+G225</f>
        <v>1246.9000000000001</v>
      </c>
      <c r="H226" s="378">
        <f>H222+H223+H224+H225</f>
        <v>1254</v>
      </c>
      <c r="I226" s="378">
        <f>I222+I223+I224+I225</f>
        <v>1261.2</v>
      </c>
      <c r="J226" s="378">
        <f t="shared" ref="J226:Q226" si="26">J222+J223+J224+J225</f>
        <v>1277.5470640224376</v>
      </c>
      <c r="K226" s="378">
        <f t="shared" si="26"/>
        <v>1314.2714977571557</v>
      </c>
      <c r="L226" s="378">
        <f t="shared" si="26"/>
        <v>1349.4545492744603</v>
      </c>
      <c r="M226" s="378">
        <f t="shared" si="26"/>
        <v>1411.3001777228874</v>
      </c>
      <c r="N226" s="378">
        <f t="shared" si="26"/>
        <v>1479.3710159922443</v>
      </c>
      <c r="O226" s="378">
        <f t="shared" si="26"/>
        <v>1637.7320900720754</v>
      </c>
      <c r="P226" s="378">
        <f t="shared" si="26"/>
        <v>1805.6885397321282</v>
      </c>
      <c r="Q226" s="378">
        <f t="shared" si="26"/>
        <v>2008.7561240511322</v>
      </c>
      <c r="R226" s="320"/>
      <c r="S226" s="461" t="str">
        <f>_xll.BLUEMATRIX2("/servlet/excelData",E226,$B$1,$B226&amp;":"&amp;E$115&amp;":"&amp;$R$114)</f>
        <v>#</v>
      </c>
      <c r="T226" s="461" t="str">
        <f>_xll.BLUEMATRIX2("/servlet/excelData",F226,$B$1,$B226&amp;":"&amp;F$115&amp;":"&amp;$R$114)</f>
        <v>#</v>
      </c>
      <c r="U226" s="461" t="str">
        <f>_xll.BLUEMATRIX2("/servlet/excelData",G226,$B$1,$B226&amp;":"&amp;G$115&amp;":"&amp;$R$114)</f>
        <v>#</v>
      </c>
      <c r="V226" s="461" t="str">
        <f>_xll.BLUEMATRIX2("/servlet/excelData",H226,$B$1,$B226&amp;":"&amp;H$115&amp;":"&amp;$R$114)</f>
        <v>#</v>
      </c>
      <c r="W226" s="461" t="str">
        <f>_xll.BLUEMATRIX2("/servlet/excelData",I226,$B$1,$B226&amp;":"&amp;I$115&amp;":"&amp;$R$114)</f>
        <v>#</v>
      </c>
      <c r="X226" s="461" t="str">
        <f>_xll.BLUEMATRIX2("/servlet/excelData",J226,$B$1,$B226&amp;":"&amp;J$115&amp;":"&amp;$R$114)</f>
        <v>#</v>
      </c>
      <c r="Y226" s="461" t="str">
        <f>_xll.BLUEMATRIX2("/servlet/excelData",K226,$B$1,$B226&amp;":"&amp;K$115&amp;":"&amp;$R$114)</f>
        <v>#</v>
      </c>
      <c r="Z226" s="461" t="str">
        <f>_xll.BLUEMATRIX2("/servlet/excelData",L226,$B$1,$B226&amp;":"&amp;L$115&amp;":"&amp;$R$114)</f>
        <v>#</v>
      </c>
      <c r="AA226" s="461" t="str">
        <f>_xll.BLUEMATRIX2("/servlet/excelData",M226,$B$1,$B226&amp;":"&amp;M$115&amp;":"&amp;$R$114)</f>
        <v>#</v>
      </c>
      <c r="AB226" s="461" t="str">
        <f>_xll.BLUEMATRIX2("/servlet/excelData",N226,$B$1,$B226&amp;":"&amp;N$115&amp;":"&amp;$R$114)</f>
        <v>#</v>
      </c>
      <c r="AC226" s="461" t="str">
        <f>_xll.BLUEMATRIX2("/servlet/excelData",O226,$B$1,$B226&amp;":"&amp;O$115&amp;":"&amp;$R$114)</f>
        <v>#</v>
      </c>
      <c r="AD226" s="461" t="str">
        <f>_xll.BLUEMATRIX2("/servlet/excelData",P226,$B$1,$B226&amp;":"&amp;P$115&amp;":"&amp;$R$114)</f>
        <v>#</v>
      </c>
      <c r="AE226" s="461" t="str">
        <f>_xll.BLUEMATRIX2("/servlet/excelData",Q226,$B$1,$B226&amp;":"&amp;Q$115&amp;":"&amp;$R$114)</f>
        <v>#</v>
      </c>
    </row>
    <row r="227" spans="1:31" ht="12.95" customHeight="1">
      <c r="A227" s="342" t="s">
        <v>510</v>
      </c>
      <c r="B227" s="344" t="s">
        <v>511</v>
      </c>
      <c r="C227" s="390" t="s">
        <v>512</v>
      </c>
      <c r="D227" s="375"/>
      <c r="E227" s="375"/>
      <c r="F227" s="375"/>
      <c r="G227" s="375"/>
      <c r="H227" s="375"/>
      <c r="I227" s="375"/>
      <c r="J227" s="375"/>
      <c r="K227" s="375"/>
      <c r="L227" s="375"/>
      <c r="M227" s="375"/>
      <c r="N227" s="375"/>
      <c r="O227" s="375"/>
      <c r="P227" s="375"/>
      <c r="Q227" s="375"/>
      <c r="R227" s="320"/>
      <c r="S227" s="461" t="str">
        <f>_xll.BLUEMATRIX2("/servlet/excelData",E227,$B$1,$B227&amp;":"&amp;E$115&amp;":"&amp;$R$114)</f>
        <v>#</v>
      </c>
      <c r="T227" s="461" t="str">
        <f>_xll.BLUEMATRIX2("/servlet/excelData",F227,$B$1,$B227&amp;":"&amp;F$115&amp;":"&amp;$R$114)</f>
        <v>#</v>
      </c>
      <c r="U227" s="461" t="str">
        <f>_xll.BLUEMATRIX2("/servlet/excelData",G227,$B$1,$B227&amp;":"&amp;G$115&amp;":"&amp;$R$114)</f>
        <v>#</v>
      </c>
      <c r="V227" s="461" t="str">
        <f>_xll.BLUEMATRIX2("/servlet/excelData",H227,$B$1,$B227&amp;":"&amp;H$115&amp;":"&amp;$R$114)</f>
        <v>#</v>
      </c>
      <c r="W227" s="461" t="str">
        <f>_xll.BLUEMATRIX2("/servlet/excelData",I227,$B$1,$B227&amp;":"&amp;I$115&amp;":"&amp;$R$114)</f>
        <v>#</v>
      </c>
      <c r="X227" s="461" t="str">
        <f>_xll.BLUEMATRIX2("/servlet/excelData",J227,$B$1,$B227&amp;":"&amp;J$115&amp;":"&amp;$R$114)</f>
        <v>#</v>
      </c>
      <c r="Y227" s="461" t="str">
        <f>_xll.BLUEMATRIX2("/servlet/excelData",K227,$B$1,$B227&amp;":"&amp;K$115&amp;":"&amp;$R$114)</f>
        <v>#</v>
      </c>
      <c r="Z227" s="461" t="str">
        <f>_xll.BLUEMATRIX2("/servlet/excelData",L227,$B$1,$B227&amp;":"&amp;L$115&amp;":"&amp;$R$114)</f>
        <v>#</v>
      </c>
      <c r="AA227" s="461" t="str">
        <f>_xll.BLUEMATRIX2("/servlet/excelData",M227,$B$1,$B227&amp;":"&amp;M$115&amp;":"&amp;$R$114)</f>
        <v>#</v>
      </c>
      <c r="AB227" s="461" t="str">
        <f>_xll.BLUEMATRIX2("/servlet/excelData",N227,$B$1,$B227&amp;":"&amp;N$115&amp;":"&amp;$R$114)</f>
        <v>#</v>
      </c>
      <c r="AC227" s="461" t="str">
        <f>_xll.BLUEMATRIX2("/servlet/excelData",O227,$B$1,$B227&amp;":"&amp;O$115&amp;":"&amp;$R$114)</f>
        <v>#</v>
      </c>
      <c r="AD227" s="461" t="str">
        <f>_xll.BLUEMATRIX2("/servlet/excelData",P227,$B$1,$B227&amp;":"&amp;P$115&amp;":"&amp;$R$114)</f>
        <v>#</v>
      </c>
      <c r="AE227" s="461" t="str">
        <f>_xll.BLUEMATRIX2("/servlet/excelData",Q227,$B$1,$B227&amp;":"&amp;Q$115&amp;":"&amp;$R$114)</f>
        <v>#</v>
      </c>
    </row>
    <row r="228" spans="1:31" ht="12.95" customHeight="1">
      <c r="A228" s="342" t="s">
        <v>513</v>
      </c>
      <c r="B228" s="344" t="s">
        <v>514</v>
      </c>
      <c r="C228" s="398" t="s">
        <v>515</v>
      </c>
      <c r="D228" s="378"/>
      <c r="E228" s="378">
        <f>E226+E227</f>
        <v>2711.1000000000004</v>
      </c>
      <c r="F228" s="378">
        <f>F226+F227</f>
        <v>2659.1</v>
      </c>
      <c r="G228" s="378">
        <f>G226+G227</f>
        <v>1246.9000000000001</v>
      </c>
      <c r="H228" s="378">
        <f>H226+H227</f>
        <v>1254</v>
      </c>
      <c r="I228" s="378">
        <f>I226+I227</f>
        <v>1261.2</v>
      </c>
      <c r="J228" s="378">
        <f t="shared" ref="J228:Q228" si="27">J226+J227</f>
        <v>1277.5470640224376</v>
      </c>
      <c r="K228" s="378">
        <f t="shared" si="27"/>
        <v>1314.2714977571557</v>
      </c>
      <c r="L228" s="378">
        <f t="shared" si="27"/>
        <v>1349.4545492744603</v>
      </c>
      <c r="M228" s="378">
        <f t="shared" si="27"/>
        <v>1411.3001777228874</v>
      </c>
      <c r="N228" s="378">
        <f t="shared" si="27"/>
        <v>1479.3710159922443</v>
      </c>
      <c r="O228" s="378">
        <f t="shared" si="27"/>
        <v>1637.7320900720754</v>
      </c>
      <c r="P228" s="378">
        <f t="shared" si="27"/>
        <v>1805.6885397321282</v>
      </c>
      <c r="Q228" s="378">
        <f t="shared" si="27"/>
        <v>2008.7561240511322</v>
      </c>
      <c r="R228" s="320"/>
      <c r="S228" s="461" t="str">
        <f>_xll.BLUEMATRIX2("/servlet/excelData",E228,$B$1,$B228&amp;":"&amp;E$115&amp;":"&amp;$R$114)</f>
        <v>#</v>
      </c>
      <c r="T228" s="461" t="str">
        <f>_xll.BLUEMATRIX2("/servlet/excelData",F228,$B$1,$B228&amp;":"&amp;F$115&amp;":"&amp;$R$114)</f>
        <v>#</v>
      </c>
      <c r="U228" s="461" t="str">
        <f>_xll.BLUEMATRIX2("/servlet/excelData",G228,$B$1,$B228&amp;":"&amp;G$115&amp;":"&amp;$R$114)</f>
        <v>#</v>
      </c>
      <c r="V228" s="461" t="str">
        <f>_xll.BLUEMATRIX2("/servlet/excelData",H228,$B$1,$B228&amp;":"&amp;H$115&amp;":"&amp;$R$114)</f>
        <v>#</v>
      </c>
      <c r="W228" s="461" t="str">
        <f>_xll.BLUEMATRIX2("/servlet/excelData",I228,$B$1,$B228&amp;":"&amp;I$115&amp;":"&amp;$R$114)</f>
        <v>#</v>
      </c>
      <c r="X228" s="461" t="str">
        <f>_xll.BLUEMATRIX2("/servlet/excelData",J228,$B$1,$B228&amp;":"&amp;J$115&amp;":"&amp;$R$114)</f>
        <v>#</v>
      </c>
      <c r="Y228" s="461" t="str">
        <f>_xll.BLUEMATRIX2("/servlet/excelData",K228,$B$1,$B228&amp;":"&amp;K$115&amp;":"&amp;$R$114)</f>
        <v>#</v>
      </c>
      <c r="Z228" s="461" t="str">
        <f>_xll.BLUEMATRIX2("/servlet/excelData",L228,$B$1,$B228&amp;":"&amp;L$115&amp;":"&amp;$R$114)</f>
        <v>#</v>
      </c>
      <c r="AA228" s="461" t="str">
        <f>_xll.BLUEMATRIX2("/servlet/excelData",M228,$B$1,$B228&amp;":"&amp;M$115&amp;":"&amp;$R$114)</f>
        <v>#</v>
      </c>
      <c r="AB228" s="461" t="str">
        <f>_xll.BLUEMATRIX2("/servlet/excelData",N228,$B$1,$B228&amp;":"&amp;N$115&amp;":"&amp;$R$114)</f>
        <v>#</v>
      </c>
      <c r="AC228" s="461" t="str">
        <f>_xll.BLUEMATRIX2("/servlet/excelData",O228,$B$1,$B228&amp;":"&amp;O$115&amp;":"&amp;$R$114)</f>
        <v>#</v>
      </c>
      <c r="AD228" s="461" t="str">
        <f>_xll.BLUEMATRIX2("/servlet/excelData",P228,$B$1,$B228&amp;":"&amp;P$115&amp;":"&amp;$R$114)</f>
        <v>#</v>
      </c>
      <c r="AE228" s="461" t="str">
        <f>_xll.BLUEMATRIX2("/servlet/excelData",Q228,$B$1,$B228&amp;":"&amp;Q$115&amp;":"&amp;$R$114)</f>
        <v>#</v>
      </c>
    </row>
    <row r="229" spans="1:31" s="403" customFormat="1" ht="12.95" customHeight="1">
      <c r="A229" s="401"/>
      <c r="B229" s="344"/>
      <c r="C229" s="463" t="s">
        <v>516</v>
      </c>
      <c r="D229" s="464"/>
      <c r="E229" s="465">
        <f t="shared" ref="E229:Q229" si="28">E197-(E218+E228)</f>
        <v>0</v>
      </c>
      <c r="F229" s="465">
        <f t="shared" si="28"/>
        <v>0</v>
      </c>
      <c r="G229" s="465">
        <f t="shared" si="28"/>
        <v>0</v>
      </c>
      <c r="H229" s="465">
        <f t="shared" si="28"/>
        <v>0</v>
      </c>
      <c r="I229" s="465">
        <f t="shared" si="28"/>
        <v>0</v>
      </c>
      <c r="J229" s="465">
        <f t="shared" si="28"/>
        <v>0</v>
      </c>
      <c r="K229" s="465">
        <f t="shared" si="28"/>
        <v>0</v>
      </c>
      <c r="L229" s="465">
        <f t="shared" si="28"/>
        <v>0</v>
      </c>
      <c r="M229" s="465">
        <f t="shared" si="28"/>
        <v>0</v>
      </c>
      <c r="N229" s="465">
        <f t="shared" si="28"/>
        <v>0</v>
      </c>
      <c r="O229" s="465">
        <f t="shared" si="28"/>
        <v>0</v>
      </c>
      <c r="P229" s="465">
        <f t="shared" si="28"/>
        <v>0</v>
      </c>
      <c r="Q229" s="465">
        <f t="shared" si="28"/>
        <v>0</v>
      </c>
      <c r="R229" s="402"/>
      <c r="S229" s="461"/>
      <c r="T229" s="461"/>
      <c r="U229" s="461"/>
      <c r="V229" s="461"/>
      <c r="W229" s="461"/>
      <c r="X229" s="461"/>
      <c r="Y229" s="461"/>
      <c r="Z229" s="461"/>
      <c r="AA229" s="461"/>
      <c r="AB229" s="461"/>
      <c r="AC229" s="461"/>
      <c r="AD229" s="461"/>
      <c r="AE229" s="461"/>
    </row>
    <row r="230" spans="1:31" ht="12.95" customHeight="1">
      <c r="A230" s="342"/>
      <c r="B230" s="344"/>
      <c r="C230" s="404"/>
      <c r="D230" s="405"/>
      <c r="E230" s="405"/>
      <c r="F230" s="405"/>
      <c r="G230" s="405"/>
      <c r="H230" s="405"/>
      <c r="I230" s="405"/>
      <c r="J230" s="405"/>
      <c r="K230" s="405"/>
      <c r="L230" s="405"/>
      <c r="M230" s="405"/>
      <c r="N230" s="405"/>
      <c r="O230" s="405"/>
      <c r="P230" s="405"/>
      <c r="Q230" s="405"/>
      <c r="R230" s="320"/>
      <c r="S230" s="461"/>
      <c r="T230" s="461"/>
      <c r="U230" s="461"/>
      <c r="V230" s="461"/>
      <c r="W230" s="461"/>
      <c r="X230" s="461"/>
      <c r="Y230" s="461"/>
      <c r="Z230" s="461"/>
      <c r="AA230" s="461"/>
      <c r="AB230" s="461"/>
      <c r="AC230" s="461"/>
      <c r="AD230" s="461"/>
      <c r="AE230" s="461"/>
    </row>
    <row r="231" spans="1:31" ht="12.95" customHeight="1">
      <c r="A231" s="342" t="s">
        <v>517</v>
      </c>
      <c r="B231" s="344" t="s">
        <v>518</v>
      </c>
      <c r="C231" s="393" t="s">
        <v>519</v>
      </c>
      <c r="D231" s="406"/>
      <c r="E231" s="406">
        <f t="shared" ref="E231:Q231" si="29">E197-E218</f>
        <v>2711.1</v>
      </c>
      <c r="F231" s="406">
        <f t="shared" si="29"/>
        <v>2659.0999999999995</v>
      </c>
      <c r="G231" s="406">
        <f t="shared" si="29"/>
        <v>1246.9000000000001</v>
      </c>
      <c r="H231" s="406">
        <f t="shared" si="29"/>
        <v>1253.9999999999995</v>
      </c>
      <c r="I231" s="406">
        <f t="shared" si="29"/>
        <v>1261.1999999999998</v>
      </c>
      <c r="J231" s="406">
        <f t="shared" si="29"/>
        <v>1277.5470640224371</v>
      </c>
      <c r="K231" s="406">
        <f t="shared" si="29"/>
        <v>1314.2714977571554</v>
      </c>
      <c r="L231" s="406">
        <f t="shared" si="29"/>
        <v>1349.4545492744601</v>
      </c>
      <c r="M231" s="406">
        <f t="shared" si="29"/>
        <v>1411.3001777228867</v>
      </c>
      <c r="N231" s="406">
        <f t="shared" si="29"/>
        <v>1479.3710159922441</v>
      </c>
      <c r="O231" s="406">
        <f t="shared" si="29"/>
        <v>1637.7320900720752</v>
      </c>
      <c r="P231" s="406">
        <f t="shared" si="29"/>
        <v>1805.6885397321282</v>
      </c>
      <c r="Q231" s="406">
        <f t="shared" si="29"/>
        <v>2008.7561240511322</v>
      </c>
      <c r="R231" s="320"/>
      <c r="S231" s="461" t="str">
        <f>_xll.BLUEMATRIX2("/servlet/excelData",E231,$B$1,$B231&amp;":"&amp;E$115&amp;":"&amp;$R$114)</f>
        <v>#</v>
      </c>
      <c r="T231" s="461" t="str">
        <f>_xll.BLUEMATRIX2("/servlet/excelData",F231,$B$1,$B231&amp;":"&amp;F$115&amp;":"&amp;$R$114)</f>
        <v>#</v>
      </c>
      <c r="U231" s="461" t="str">
        <f>_xll.BLUEMATRIX2("/servlet/excelData",G231,$B$1,$B231&amp;":"&amp;G$115&amp;":"&amp;$R$114)</f>
        <v>#</v>
      </c>
      <c r="V231" s="461" t="str">
        <f>_xll.BLUEMATRIX2("/servlet/excelData",H231,$B$1,$B231&amp;":"&amp;H$115&amp;":"&amp;$R$114)</f>
        <v>#</v>
      </c>
      <c r="W231" s="461" t="str">
        <f>_xll.BLUEMATRIX2("/servlet/excelData",I231,$B$1,$B231&amp;":"&amp;I$115&amp;":"&amp;$R$114)</f>
        <v>#</v>
      </c>
      <c r="X231" s="461" t="str">
        <f>_xll.BLUEMATRIX2("/servlet/excelData",J231,$B$1,$B231&amp;":"&amp;J$115&amp;":"&amp;$R$114)</f>
        <v>#</v>
      </c>
      <c r="Y231" s="461" t="str">
        <f>_xll.BLUEMATRIX2("/servlet/excelData",K231,$B$1,$B231&amp;":"&amp;K$115&amp;":"&amp;$R$114)</f>
        <v>#</v>
      </c>
      <c r="Z231" s="461" t="str">
        <f>_xll.BLUEMATRIX2("/servlet/excelData",L231,$B$1,$B231&amp;":"&amp;L$115&amp;":"&amp;$R$114)</f>
        <v>#</v>
      </c>
      <c r="AA231" s="461" t="str">
        <f>_xll.BLUEMATRIX2("/servlet/excelData",M231,$B$1,$B231&amp;":"&amp;M$115&amp;":"&amp;$R$114)</f>
        <v>#</v>
      </c>
      <c r="AB231" s="461" t="str">
        <f>_xll.BLUEMATRIX2("/servlet/excelData",N231,$B$1,$B231&amp;":"&amp;N$115&amp;":"&amp;$R$114)</f>
        <v>#</v>
      </c>
      <c r="AC231" s="461" t="str">
        <f>_xll.BLUEMATRIX2("/servlet/excelData",O231,$B$1,$B231&amp;":"&amp;O$115&amp;":"&amp;$R$114)</f>
        <v>#</v>
      </c>
      <c r="AD231" s="461" t="str">
        <f>_xll.BLUEMATRIX2("/servlet/excelData",P231,$B$1,$B231&amp;":"&amp;P$115&amp;":"&amp;$R$114)</f>
        <v>#</v>
      </c>
      <c r="AE231" s="461" t="str">
        <f>_xll.BLUEMATRIX2("/servlet/excelData",Q231,$B$1,$B231&amp;":"&amp;Q$115&amp;":"&amp;$R$114)</f>
        <v>#</v>
      </c>
    </row>
    <row r="232" spans="1:31" ht="12.95" customHeight="1">
      <c r="A232" s="342" t="s">
        <v>520</v>
      </c>
      <c r="B232" s="344" t="s">
        <v>521</v>
      </c>
      <c r="C232" s="393" t="s">
        <v>522</v>
      </c>
      <c r="D232" s="406"/>
      <c r="E232" s="406">
        <f t="shared" ref="E232:Q232" si="30">E209+E204-E182</f>
        <v>-64.099999999999994</v>
      </c>
      <c r="F232" s="406">
        <f t="shared" si="30"/>
        <v>141.19999999999999</v>
      </c>
      <c r="G232" s="406">
        <f t="shared" si="30"/>
        <v>718.89999999999986</v>
      </c>
      <c r="H232" s="406">
        <f t="shared" si="30"/>
        <v>501.6</v>
      </c>
      <c r="I232" s="406">
        <f t="shared" si="30"/>
        <v>410.49999999999994</v>
      </c>
      <c r="J232" s="406">
        <f t="shared" si="30"/>
        <v>622.16056523514158</v>
      </c>
      <c r="K232" s="406">
        <f t="shared" si="30"/>
        <v>538.57644946084463</v>
      </c>
      <c r="L232" s="406">
        <f t="shared" si="30"/>
        <v>432.7277018116277</v>
      </c>
      <c r="M232" s="406">
        <f t="shared" si="30"/>
        <v>303.72433392532184</v>
      </c>
      <c r="N232" s="406">
        <f t="shared" si="30"/>
        <v>181.23140862237517</v>
      </c>
      <c r="O232" s="406">
        <f t="shared" si="30"/>
        <v>-22.162978459830015</v>
      </c>
      <c r="P232" s="406">
        <f t="shared" si="30"/>
        <v>-236.35281884555388</v>
      </c>
      <c r="Q232" s="406">
        <f t="shared" si="30"/>
        <v>-479.29817324564601</v>
      </c>
      <c r="R232" s="320"/>
      <c r="S232" s="461" t="str">
        <f>_xll.BLUEMATRIX2("/servlet/excelData",E232,$B$1,$B232&amp;":"&amp;E$115&amp;":"&amp;$R$114)</f>
        <v>#</v>
      </c>
      <c r="T232" s="461" t="str">
        <f>_xll.BLUEMATRIX2("/servlet/excelData",F232,$B$1,$B232&amp;":"&amp;F$115&amp;":"&amp;$R$114)</f>
        <v>#</v>
      </c>
      <c r="U232" s="461" t="str">
        <f>_xll.BLUEMATRIX2("/servlet/excelData",G232,$B$1,$B232&amp;":"&amp;G$115&amp;":"&amp;$R$114)</f>
        <v>#</v>
      </c>
      <c r="V232" s="461" t="str">
        <f>_xll.BLUEMATRIX2("/servlet/excelData",H232,$B$1,$B232&amp;":"&amp;H$115&amp;":"&amp;$R$114)</f>
        <v>#</v>
      </c>
      <c r="W232" s="461" t="str">
        <f>_xll.BLUEMATRIX2("/servlet/excelData",I232,$B$1,$B232&amp;":"&amp;I$115&amp;":"&amp;$R$114)</f>
        <v>#</v>
      </c>
      <c r="X232" s="461" t="str">
        <f>_xll.BLUEMATRIX2("/servlet/excelData",J232,$B$1,$B232&amp;":"&amp;J$115&amp;":"&amp;$R$114)</f>
        <v>#</v>
      </c>
      <c r="Y232" s="461" t="str">
        <f>_xll.BLUEMATRIX2("/servlet/excelData",K232,$B$1,$B232&amp;":"&amp;K$115&amp;":"&amp;$R$114)</f>
        <v>#</v>
      </c>
      <c r="Z232" s="461" t="str">
        <f>_xll.BLUEMATRIX2("/servlet/excelData",L232,$B$1,$B232&amp;":"&amp;L$115&amp;":"&amp;$R$114)</f>
        <v>#</v>
      </c>
      <c r="AA232" s="461" t="str">
        <f>_xll.BLUEMATRIX2("/servlet/excelData",M232,$B$1,$B232&amp;":"&amp;M$115&amp;":"&amp;$R$114)</f>
        <v>#</v>
      </c>
      <c r="AB232" s="461" t="str">
        <f>_xll.BLUEMATRIX2("/servlet/excelData",N232,$B$1,$B232&amp;":"&amp;N$115&amp;":"&amp;$R$114)</f>
        <v>#</v>
      </c>
      <c r="AC232" s="461" t="str">
        <f>_xll.BLUEMATRIX2("/servlet/excelData",O232,$B$1,$B232&amp;":"&amp;O$115&amp;":"&amp;$R$114)</f>
        <v>#</v>
      </c>
      <c r="AD232" s="461" t="str">
        <f>_xll.BLUEMATRIX2("/servlet/excelData",P232,$B$1,$B232&amp;":"&amp;P$115&amp;":"&amp;$R$114)</f>
        <v>#</v>
      </c>
      <c r="AE232" s="461" t="str">
        <f>_xll.BLUEMATRIX2("/servlet/excelData",Q232,$B$1,$B232&amp;":"&amp;Q$115&amp;":"&amp;$R$114)</f>
        <v>#</v>
      </c>
    </row>
    <row r="233" spans="1:31" ht="12.95" customHeight="1">
      <c r="A233" s="342" t="s">
        <v>523</v>
      </c>
      <c r="B233" s="344" t="s">
        <v>524</v>
      </c>
      <c r="C233" s="393" t="s">
        <v>525</v>
      </c>
      <c r="D233" s="406"/>
      <c r="E233" s="406">
        <f t="shared" ref="E233:Q233" si="31">E228-E192-E193</f>
        <v>-497.29999999999973</v>
      </c>
      <c r="F233" s="406">
        <f t="shared" si="31"/>
        <v>-485.09999999999991</v>
      </c>
      <c r="G233" s="406">
        <f t="shared" si="31"/>
        <v>-1295.5</v>
      </c>
      <c r="H233" s="406">
        <f t="shared" si="31"/>
        <v>-1229.3999999999999</v>
      </c>
      <c r="I233" s="406">
        <f t="shared" si="31"/>
        <v>-1160.8</v>
      </c>
      <c r="J233" s="406">
        <f t="shared" si="31"/>
        <v>-1360.0529359775628</v>
      </c>
      <c r="K233" s="406">
        <f t="shared" si="31"/>
        <v>-1239.9285022428451</v>
      </c>
      <c r="L233" s="406">
        <f t="shared" si="31"/>
        <v>-1111.4326261678323</v>
      </c>
      <c r="M233" s="406">
        <f t="shared" si="31"/>
        <v>-964.32508135403259</v>
      </c>
      <c r="N233" s="406">
        <f t="shared" si="31"/>
        <v>-819.10790540942253</v>
      </c>
      <c r="O233" s="406">
        <f t="shared" si="31"/>
        <v>-589.54554781835941</v>
      </c>
      <c r="P233" s="406">
        <f t="shared" si="31"/>
        <v>-354.75493198051458</v>
      </c>
      <c r="Q233" s="406">
        <f t="shared" si="31"/>
        <v>-88.073509702163278</v>
      </c>
      <c r="R233" s="320"/>
      <c r="S233" s="461" t="str">
        <f>_xll.BLUEMATRIX2("/servlet/excelData",E233,$B$1,$B233&amp;":"&amp;E$115&amp;":"&amp;$R$114)</f>
        <v>#</v>
      </c>
      <c r="T233" s="461" t="str">
        <f>_xll.BLUEMATRIX2("/servlet/excelData",F233,$B$1,$B233&amp;":"&amp;F$115&amp;":"&amp;$R$114)</f>
        <v>#</v>
      </c>
      <c r="U233" s="461" t="str">
        <f>_xll.BLUEMATRIX2("/servlet/excelData",G233,$B$1,$B233&amp;":"&amp;G$115&amp;":"&amp;$R$114)</f>
        <v>#</v>
      </c>
      <c r="V233" s="461" t="str">
        <f>_xll.BLUEMATRIX2("/servlet/excelData",H233,$B$1,$B233&amp;":"&amp;H$115&amp;":"&amp;$R$114)</f>
        <v>#</v>
      </c>
      <c r="W233" s="461" t="str">
        <f>_xll.BLUEMATRIX2("/servlet/excelData",I233,$B$1,$B233&amp;":"&amp;I$115&amp;":"&amp;$R$114)</f>
        <v>#</v>
      </c>
      <c r="X233" s="461" t="str">
        <f>_xll.BLUEMATRIX2("/servlet/excelData",J233,$B$1,$B233&amp;":"&amp;J$115&amp;":"&amp;$R$114)</f>
        <v>#</v>
      </c>
      <c r="Y233" s="461" t="str">
        <f>_xll.BLUEMATRIX2("/servlet/excelData",K233,$B$1,$B233&amp;":"&amp;K$115&amp;":"&amp;$R$114)</f>
        <v>#</v>
      </c>
      <c r="Z233" s="461" t="str">
        <f>_xll.BLUEMATRIX2("/servlet/excelData",L233,$B$1,$B233&amp;":"&amp;L$115&amp;":"&amp;$R$114)</f>
        <v>#</v>
      </c>
      <c r="AA233" s="461" t="str">
        <f>_xll.BLUEMATRIX2("/servlet/excelData",M233,$B$1,$B233&amp;":"&amp;M$115&amp;":"&amp;$R$114)</f>
        <v>#</v>
      </c>
      <c r="AB233" s="461" t="str">
        <f>_xll.BLUEMATRIX2("/servlet/excelData",N233,$B$1,$B233&amp;":"&amp;N$115&amp;":"&amp;$R$114)</f>
        <v>#</v>
      </c>
      <c r="AC233" s="461" t="str">
        <f>_xll.BLUEMATRIX2("/servlet/excelData",O233,$B$1,$B233&amp;":"&amp;O$115&amp;":"&amp;$R$114)</f>
        <v>#</v>
      </c>
      <c r="AD233" s="461" t="str">
        <f>_xll.BLUEMATRIX2("/servlet/excelData",P233,$B$1,$B233&amp;":"&amp;P$115&amp;":"&amp;$R$114)</f>
        <v>#</v>
      </c>
      <c r="AE233" s="461" t="str">
        <f>_xll.BLUEMATRIX2("/servlet/excelData",Q233,$B$1,$B233&amp;":"&amp;Q$115&amp;":"&amp;$R$114)</f>
        <v>#</v>
      </c>
    </row>
    <row r="234" spans="1:31" ht="12.95" customHeight="1">
      <c r="A234" s="342" t="s">
        <v>526</v>
      </c>
      <c r="B234" s="344" t="s">
        <v>527</v>
      </c>
      <c r="C234" s="393" t="s">
        <v>528</v>
      </c>
      <c r="D234" s="406"/>
      <c r="E234" s="406">
        <f>E228</f>
        <v>2711.1000000000004</v>
      </c>
      <c r="F234" s="406">
        <f>F228</f>
        <v>2659.1</v>
      </c>
      <c r="G234" s="406">
        <f>G228</f>
        <v>1246.9000000000001</v>
      </c>
      <c r="H234" s="406">
        <f>H228</f>
        <v>1254</v>
      </c>
      <c r="I234" s="406">
        <f>I228</f>
        <v>1261.2</v>
      </c>
      <c r="J234" s="406">
        <f t="shared" ref="J234:P234" si="32">J228</f>
        <v>1277.5470640224376</v>
      </c>
      <c r="K234" s="406">
        <f t="shared" si="32"/>
        <v>1314.2714977571557</v>
      </c>
      <c r="L234" s="406">
        <f t="shared" si="32"/>
        <v>1349.4545492744603</v>
      </c>
      <c r="M234" s="406">
        <f t="shared" si="32"/>
        <v>1411.3001777228874</v>
      </c>
      <c r="N234" s="406">
        <f t="shared" si="32"/>
        <v>1479.3710159922443</v>
      </c>
      <c r="O234" s="406">
        <f t="shared" si="32"/>
        <v>1637.7320900720754</v>
      </c>
      <c r="P234" s="406">
        <f t="shared" si="32"/>
        <v>1805.6885397321282</v>
      </c>
      <c r="Q234" s="406">
        <f>Q228</f>
        <v>2008.7561240511322</v>
      </c>
      <c r="R234" s="320"/>
      <c r="S234" s="461" t="str">
        <f>_xll.BLUEMATRIX2("/servlet/excelData",E234,$B$1,$B234&amp;":"&amp;E$115&amp;":"&amp;$R$114)</f>
        <v>#</v>
      </c>
      <c r="T234" s="461" t="str">
        <f>_xll.BLUEMATRIX2("/servlet/excelData",F234,$B$1,$B234&amp;":"&amp;F$115&amp;":"&amp;$R$114)</f>
        <v>#</v>
      </c>
      <c r="U234" s="461" t="str">
        <f>_xll.BLUEMATRIX2("/servlet/excelData",G234,$B$1,$B234&amp;":"&amp;G$115&amp;":"&amp;$R$114)</f>
        <v>#</v>
      </c>
      <c r="V234" s="461" t="str">
        <f>_xll.BLUEMATRIX2("/servlet/excelData",H234,$B$1,$B234&amp;":"&amp;H$115&amp;":"&amp;$R$114)</f>
        <v>#</v>
      </c>
      <c r="W234" s="461" t="str">
        <f>_xll.BLUEMATRIX2("/servlet/excelData",I234,$B$1,$B234&amp;":"&amp;I$115&amp;":"&amp;$R$114)</f>
        <v>#</v>
      </c>
      <c r="X234" s="461" t="str">
        <f>_xll.BLUEMATRIX2("/servlet/excelData",J234,$B$1,$B234&amp;":"&amp;J$115&amp;":"&amp;$R$114)</f>
        <v>#</v>
      </c>
      <c r="Y234" s="461" t="str">
        <f>_xll.BLUEMATRIX2("/servlet/excelData",K234,$B$1,$B234&amp;":"&amp;K$115&amp;":"&amp;$R$114)</f>
        <v>#</v>
      </c>
      <c r="Z234" s="461" t="str">
        <f>_xll.BLUEMATRIX2("/servlet/excelData",L234,$B$1,$B234&amp;":"&amp;L$115&amp;":"&amp;$R$114)</f>
        <v>#</v>
      </c>
      <c r="AA234" s="461" t="str">
        <f>_xll.BLUEMATRIX2("/servlet/excelData",M234,$B$1,$B234&amp;":"&amp;M$115&amp;":"&amp;$R$114)</f>
        <v>#</v>
      </c>
      <c r="AB234" s="461" t="str">
        <f>_xll.BLUEMATRIX2("/servlet/excelData",N234,$B$1,$B234&amp;":"&amp;N$115&amp;":"&amp;$R$114)</f>
        <v>#</v>
      </c>
      <c r="AC234" s="461" t="str">
        <f>_xll.BLUEMATRIX2("/servlet/excelData",O234,$B$1,$B234&amp;":"&amp;O$115&amp;":"&amp;$R$114)</f>
        <v>#</v>
      </c>
      <c r="AD234" s="461" t="str">
        <f>_xll.BLUEMATRIX2("/servlet/excelData",P234,$B$1,$B234&amp;":"&amp;P$115&amp;":"&amp;$R$114)</f>
        <v>#</v>
      </c>
      <c r="AE234" s="461" t="str">
        <f>_xll.BLUEMATRIX2("/servlet/excelData",Q234,$B$1,$B234&amp;":"&amp;Q$115&amp;":"&amp;$R$114)</f>
        <v>#</v>
      </c>
    </row>
    <row r="235" spans="1:31" ht="12.95" customHeight="1">
      <c r="A235" s="342"/>
      <c r="B235" s="344"/>
      <c r="C235" s="393"/>
      <c r="D235" s="399"/>
      <c r="E235" s="399"/>
      <c r="F235" s="399"/>
      <c r="G235" s="399"/>
      <c r="H235" s="399"/>
      <c r="I235" s="399"/>
      <c r="J235" s="399"/>
      <c r="K235" s="399"/>
      <c r="L235" s="399"/>
      <c r="M235" s="399"/>
      <c r="N235" s="399"/>
      <c r="O235" s="399"/>
      <c r="P235" s="399"/>
      <c r="Q235" s="399"/>
      <c r="R235" s="320"/>
      <c r="S235" s="461"/>
      <c r="T235" s="461"/>
      <c r="U235" s="461"/>
      <c r="V235" s="461"/>
      <c r="W235" s="461"/>
      <c r="X235" s="461"/>
      <c r="Y235" s="461"/>
      <c r="Z235" s="461"/>
      <c r="AA235" s="461"/>
      <c r="AB235" s="461"/>
      <c r="AC235" s="461"/>
      <c r="AD235" s="461"/>
      <c r="AE235" s="461"/>
    </row>
    <row r="236" spans="1:31" ht="12.95" customHeight="1">
      <c r="A236" s="342" t="s">
        <v>529</v>
      </c>
      <c r="B236" s="344" t="s">
        <v>530</v>
      </c>
      <c r="C236" s="407" t="s">
        <v>531</v>
      </c>
      <c r="D236" s="408"/>
      <c r="E236" s="408">
        <f>AVERAGE(E197:E197)</f>
        <v>4048.7</v>
      </c>
      <c r="F236" s="408">
        <f t="shared" ref="F236:Q236" si="33">AVERAGE(E197:F197)</f>
        <v>4050.5499999999997</v>
      </c>
      <c r="G236" s="408">
        <f t="shared" si="33"/>
        <v>3718.8499999999995</v>
      </c>
      <c r="H236" s="408">
        <f t="shared" si="33"/>
        <v>3262.7499999999995</v>
      </c>
      <c r="I236" s="408">
        <f t="shared" si="33"/>
        <v>3168.95</v>
      </c>
      <c r="J236" s="408">
        <f t="shared" si="33"/>
        <v>3288.9289278542292</v>
      </c>
      <c r="K236" s="408">
        <f t="shared" si="33"/>
        <v>3386.693787925341</v>
      </c>
      <c r="L236" s="408">
        <f t="shared" si="33"/>
        <v>3399.2287674797699</v>
      </c>
      <c r="M236" s="408">
        <f t="shared" si="33"/>
        <v>3428.1719501488678</v>
      </c>
      <c r="N236" s="408">
        <f t="shared" si="33"/>
        <v>3475.022252992605</v>
      </c>
      <c r="O236" s="408">
        <f t="shared" si="33"/>
        <v>3566.3624669217793</v>
      </c>
      <c r="P236" s="408">
        <f t="shared" si="33"/>
        <v>3709.8466955928761</v>
      </c>
      <c r="Q236" s="408">
        <f t="shared" si="33"/>
        <v>3877.8961904708831</v>
      </c>
      <c r="R236" s="320"/>
      <c r="S236" s="461" t="str">
        <f>_xll.BLUEMATRIX2("/servlet/excelData",E236,$B$1,$B236&amp;":"&amp;E$115&amp;":"&amp;$R$114)</f>
        <v>#</v>
      </c>
      <c r="T236" s="461" t="str">
        <f>_xll.BLUEMATRIX2("/servlet/excelData",F236,$B$1,$B236&amp;":"&amp;F$115&amp;":"&amp;$R$114)</f>
        <v>#</v>
      </c>
      <c r="U236" s="461" t="str">
        <f>_xll.BLUEMATRIX2("/servlet/excelData",G236,$B$1,$B236&amp;":"&amp;G$115&amp;":"&amp;$R$114)</f>
        <v>#</v>
      </c>
      <c r="V236" s="461" t="str">
        <f>_xll.BLUEMATRIX2("/servlet/excelData",H236,$B$1,$B236&amp;":"&amp;H$115&amp;":"&amp;$R$114)</f>
        <v>#</v>
      </c>
      <c r="W236" s="461" t="str">
        <f>_xll.BLUEMATRIX2("/servlet/excelData",I236,$B$1,$B236&amp;":"&amp;I$115&amp;":"&amp;$R$114)</f>
        <v>#</v>
      </c>
      <c r="X236" s="461" t="str">
        <f>_xll.BLUEMATRIX2("/servlet/excelData",J236,$B$1,$B236&amp;":"&amp;J$115&amp;":"&amp;$R$114)</f>
        <v>#</v>
      </c>
      <c r="Y236" s="461" t="str">
        <f>_xll.BLUEMATRIX2("/servlet/excelData",K236,$B$1,$B236&amp;":"&amp;K$115&amp;":"&amp;$R$114)</f>
        <v>#</v>
      </c>
      <c r="Z236" s="461" t="str">
        <f>_xll.BLUEMATRIX2("/servlet/excelData",L236,$B$1,$B236&amp;":"&amp;L$115&amp;":"&amp;$R$114)</f>
        <v>#</v>
      </c>
      <c r="AA236" s="461" t="str">
        <f>_xll.BLUEMATRIX2("/servlet/excelData",M236,$B$1,$B236&amp;":"&amp;M$115&amp;":"&amp;$R$114)</f>
        <v>#</v>
      </c>
      <c r="AB236" s="461" t="str">
        <f>_xll.BLUEMATRIX2("/servlet/excelData",N236,$B$1,$B236&amp;":"&amp;N$115&amp;":"&amp;$R$114)</f>
        <v>#</v>
      </c>
      <c r="AC236" s="461" t="str">
        <f>_xll.BLUEMATRIX2("/servlet/excelData",O236,$B$1,$B236&amp;":"&amp;O$115&amp;":"&amp;$R$114)</f>
        <v>#</v>
      </c>
      <c r="AD236" s="461" t="str">
        <f>_xll.BLUEMATRIX2("/servlet/excelData",P236,$B$1,$B236&amp;":"&amp;P$115&amp;":"&amp;$R$114)</f>
        <v>#</v>
      </c>
      <c r="AE236" s="461" t="str">
        <f>_xll.BLUEMATRIX2("/servlet/excelData",Q236,$B$1,$B236&amp;":"&amp;Q$115&amp;":"&amp;$R$114)</f>
        <v>#</v>
      </c>
    </row>
    <row r="237" spans="1:31" ht="12.95" customHeight="1">
      <c r="A237" s="342" t="s">
        <v>532</v>
      </c>
      <c r="B237" s="344" t="s">
        <v>533</v>
      </c>
      <c r="C237" s="407" t="s">
        <v>534</v>
      </c>
      <c r="D237" s="408"/>
      <c r="E237" s="408">
        <f>AVERAGE(E228:E228)</f>
        <v>2711.1000000000004</v>
      </c>
      <c r="F237" s="408">
        <f>AVERAGE(E228:F228)</f>
        <v>2685.1000000000004</v>
      </c>
      <c r="G237" s="408">
        <f>AVERAGE(F228:G228)</f>
        <v>1953</v>
      </c>
      <c r="H237" s="408">
        <f>AVERAGE(G228:H228)</f>
        <v>1250.45</v>
      </c>
      <c r="I237" s="408">
        <f>AVERAGE(H228:I228)</f>
        <v>1257.5999999999999</v>
      </c>
      <c r="J237" s="408">
        <f t="shared" ref="J237:P237" si="34">AVERAGE(I228:J228)</f>
        <v>1269.3735320112187</v>
      </c>
      <c r="K237" s="408">
        <f t="shared" si="34"/>
        <v>1295.9092808897967</v>
      </c>
      <c r="L237" s="408">
        <f t="shared" si="34"/>
        <v>1331.863023515808</v>
      </c>
      <c r="M237" s="408">
        <f t="shared" si="34"/>
        <v>1380.3773634986737</v>
      </c>
      <c r="N237" s="408">
        <f t="shared" si="34"/>
        <v>1445.3355968575659</v>
      </c>
      <c r="O237" s="408">
        <f t="shared" si="34"/>
        <v>1558.55155303216</v>
      </c>
      <c r="P237" s="408">
        <f t="shared" si="34"/>
        <v>1721.7103149021018</v>
      </c>
      <c r="Q237" s="408">
        <f>AVERAGE(P228:Q228)</f>
        <v>1907.2223318916303</v>
      </c>
      <c r="R237" s="320"/>
      <c r="S237" s="461" t="str">
        <f>_xll.BLUEMATRIX2("/servlet/excelData",E237,$B$1,$B237&amp;":"&amp;E$115&amp;":"&amp;$R$114)</f>
        <v>#</v>
      </c>
      <c r="T237" s="461" t="str">
        <f>_xll.BLUEMATRIX2("/servlet/excelData",F237,$B$1,$B237&amp;":"&amp;F$115&amp;":"&amp;$R$114)</f>
        <v>#</v>
      </c>
      <c r="U237" s="461" t="str">
        <f>_xll.BLUEMATRIX2("/servlet/excelData",G237,$B$1,$B237&amp;":"&amp;G$115&amp;":"&amp;$R$114)</f>
        <v>#</v>
      </c>
      <c r="V237" s="461" t="str">
        <f>_xll.BLUEMATRIX2("/servlet/excelData",H237,$B$1,$B237&amp;":"&amp;H$115&amp;":"&amp;$R$114)</f>
        <v>#</v>
      </c>
      <c r="W237" s="461" t="str">
        <f>_xll.BLUEMATRIX2("/servlet/excelData",I237,$B$1,$B237&amp;":"&amp;I$115&amp;":"&amp;$R$114)</f>
        <v>#</v>
      </c>
      <c r="X237" s="461" t="str">
        <f>_xll.BLUEMATRIX2("/servlet/excelData",J237,$B$1,$B237&amp;":"&amp;J$115&amp;":"&amp;$R$114)</f>
        <v>#</v>
      </c>
      <c r="Y237" s="461" t="str">
        <f>_xll.BLUEMATRIX2("/servlet/excelData",K237,$B$1,$B237&amp;":"&amp;K$115&amp;":"&amp;$R$114)</f>
        <v>#</v>
      </c>
      <c r="Z237" s="461" t="str">
        <f>_xll.BLUEMATRIX2("/servlet/excelData",L237,$B$1,$B237&amp;":"&amp;L$115&amp;":"&amp;$R$114)</f>
        <v>#</v>
      </c>
      <c r="AA237" s="461" t="str">
        <f>_xll.BLUEMATRIX2("/servlet/excelData",M237,$B$1,$B237&amp;":"&amp;M$115&amp;":"&amp;$R$114)</f>
        <v>#</v>
      </c>
      <c r="AB237" s="461" t="str">
        <f>_xll.BLUEMATRIX2("/servlet/excelData",N237,$B$1,$B237&amp;":"&amp;N$115&amp;":"&amp;$R$114)</f>
        <v>#</v>
      </c>
      <c r="AC237" s="461" t="str">
        <f>_xll.BLUEMATRIX2("/servlet/excelData",O237,$B$1,$B237&amp;":"&amp;O$115&amp;":"&amp;$R$114)</f>
        <v>#</v>
      </c>
      <c r="AD237" s="461" t="str">
        <f>_xll.BLUEMATRIX2("/servlet/excelData",P237,$B$1,$B237&amp;":"&amp;P$115&amp;":"&amp;$R$114)</f>
        <v>#</v>
      </c>
      <c r="AE237" s="461" t="str">
        <f>_xll.BLUEMATRIX2("/servlet/excelData",Q237,$B$1,$B237&amp;":"&amp;Q$115&amp;":"&amp;$R$114)</f>
        <v>#</v>
      </c>
    </row>
    <row r="238" spans="1:31" ht="12.95" customHeight="1">
      <c r="A238" s="342"/>
      <c r="B238" s="344"/>
      <c r="C238" s="393"/>
      <c r="D238" s="399"/>
      <c r="E238" s="399"/>
      <c r="F238" s="399"/>
      <c r="G238" s="399"/>
      <c r="H238" s="399"/>
      <c r="I238" s="399"/>
      <c r="J238" s="399"/>
      <c r="K238" s="399"/>
      <c r="L238" s="399"/>
      <c r="M238" s="399"/>
      <c r="N238" s="399"/>
      <c r="O238" s="399"/>
      <c r="P238" s="399"/>
      <c r="Q238" s="399"/>
      <c r="R238" s="399"/>
      <c r="S238" s="458"/>
      <c r="T238" s="458"/>
      <c r="U238" s="458"/>
      <c r="V238" s="458"/>
      <c r="W238" s="458"/>
      <c r="X238" s="458"/>
      <c r="Y238" s="458"/>
      <c r="Z238" s="458"/>
      <c r="AA238" s="458"/>
      <c r="AB238" s="458"/>
      <c r="AC238" s="458"/>
      <c r="AD238" s="458"/>
      <c r="AE238" s="458"/>
    </row>
    <row r="239" spans="1:31" ht="12.95" customHeight="1">
      <c r="A239" s="409"/>
      <c r="B239" s="344"/>
      <c r="C239" s="410"/>
      <c r="D239" s="411"/>
      <c r="E239" s="411"/>
      <c r="F239" s="411"/>
      <c r="G239" s="411"/>
      <c r="H239" s="411"/>
      <c r="I239" s="411"/>
      <c r="J239" s="411"/>
      <c r="K239" s="411"/>
      <c r="L239" s="411"/>
      <c r="M239" s="411"/>
      <c r="N239" s="411"/>
      <c r="O239" s="411"/>
      <c r="P239" s="411"/>
      <c r="Q239" s="411"/>
      <c r="R239" s="320"/>
      <c r="S239" s="458"/>
      <c r="T239" s="458"/>
      <c r="U239" s="458"/>
      <c r="V239" s="458"/>
      <c r="W239" s="458"/>
      <c r="X239" s="458"/>
      <c r="Y239" s="458"/>
      <c r="Z239" s="458"/>
      <c r="AA239" s="458"/>
      <c r="AB239" s="458"/>
      <c r="AC239" s="458"/>
      <c r="AD239" s="458"/>
      <c r="AE239" s="458"/>
    </row>
    <row r="240" spans="1:31" ht="15" customHeight="1">
      <c r="A240" s="361"/>
      <c r="B240" s="344"/>
      <c r="C240" s="362" t="s">
        <v>535</v>
      </c>
      <c r="D240" s="363"/>
      <c r="E240" s="363"/>
      <c r="F240" s="363"/>
      <c r="G240" s="363"/>
      <c r="H240" s="363"/>
      <c r="I240" s="363"/>
      <c r="J240" s="363"/>
      <c r="K240" s="363"/>
      <c r="L240" s="363"/>
      <c r="M240" s="363"/>
      <c r="N240" s="363"/>
      <c r="O240" s="363"/>
      <c r="P240" s="363"/>
      <c r="Q240" s="363"/>
      <c r="R240" s="326"/>
      <c r="S240" s="458"/>
      <c r="T240" s="458"/>
      <c r="U240" s="458"/>
      <c r="V240" s="458"/>
      <c r="W240" s="458"/>
      <c r="X240" s="458"/>
      <c r="Y240" s="458"/>
      <c r="Z240" s="458"/>
      <c r="AA240" s="458"/>
      <c r="AB240" s="458"/>
      <c r="AC240" s="458"/>
      <c r="AD240" s="458"/>
      <c r="AE240" s="458"/>
    </row>
    <row r="241" spans="1:31" ht="12.95" customHeight="1">
      <c r="A241" s="361"/>
      <c r="B241" s="344"/>
      <c r="C241" s="412" t="s">
        <v>536</v>
      </c>
      <c r="D241" s="325"/>
      <c r="E241" s="325"/>
      <c r="F241" s="325"/>
      <c r="G241" s="325"/>
      <c r="H241" s="325"/>
      <c r="I241" s="325"/>
      <c r="J241" s="325"/>
      <c r="K241" s="325"/>
      <c r="L241" s="325"/>
      <c r="M241" s="325"/>
      <c r="N241" s="325"/>
      <c r="O241" s="325"/>
      <c r="P241" s="325"/>
      <c r="Q241" s="325"/>
      <c r="R241" s="326"/>
      <c r="S241" s="458"/>
      <c r="T241" s="458"/>
      <c r="U241" s="458"/>
      <c r="V241" s="458"/>
      <c r="W241" s="458"/>
      <c r="X241" s="458"/>
      <c r="Y241" s="458"/>
      <c r="Z241" s="458"/>
      <c r="AA241" s="458"/>
      <c r="AB241" s="458"/>
      <c r="AC241" s="458"/>
      <c r="AD241" s="458"/>
      <c r="AE241" s="458"/>
    </row>
    <row r="242" spans="1:31" ht="12.95" customHeight="1">
      <c r="A242" s="342" t="s">
        <v>537</v>
      </c>
      <c r="B242" s="344" t="s">
        <v>538</v>
      </c>
      <c r="C242" s="371" t="s">
        <v>2</v>
      </c>
      <c r="D242" s="375"/>
      <c r="E242" s="375"/>
      <c r="F242" s="375">
        <f>FY!D88</f>
        <v>391</v>
      </c>
      <c r="G242" s="375">
        <f>FY!E88</f>
        <v>317.7</v>
      </c>
      <c r="H242" s="375">
        <f>FY!F88</f>
        <v>391.5</v>
      </c>
      <c r="I242" s="375">
        <f>FY!G88</f>
        <v>431.7</v>
      </c>
      <c r="J242" s="375">
        <f>FY!H88</f>
        <v>466.42006447494691</v>
      </c>
      <c r="K242" s="375">
        <f>FY!I88</f>
        <v>485.64577074650185</v>
      </c>
      <c r="L242" s="375">
        <f>FY!J88</f>
        <v>494.3637097202735</v>
      </c>
      <c r="M242" s="375">
        <f>FY!K88</f>
        <v>501.26085646792001</v>
      </c>
      <c r="N242" s="375">
        <f>FY!L88</f>
        <v>507.07544936206921</v>
      </c>
      <c r="O242" s="375">
        <f>FY!M88</f>
        <v>513.35579797440937</v>
      </c>
      <c r="P242" s="375">
        <f>FY!N88</f>
        <v>520.11696815723963</v>
      </c>
      <c r="Q242" s="375">
        <f>FY!O88</f>
        <v>527.37454693382267</v>
      </c>
      <c r="R242" s="320"/>
      <c r="S242" s="461" t="str">
        <f>_xll.BLUEMATRIX2("/servlet/excelData",E242,$B$1,$B242&amp;":"&amp;E$115&amp;":"&amp;$R$114)</f>
        <v>#</v>
      </c>
      <c r="T242" s="461" t="str">
        <f>_xll.BLUEMATRIX2("/servlet/excelData",F242,$B$1,$B242&amp;":"&amp;F$115&amp;":"&amp;$R$114)</f>
        <v>#</v>
      </c>
      <c r="U242" s="461" t="str">
        <f>_xll.BLUEMATRIX2("/servlet/excelData",G242,$B$1,$B242&amp;":"&amp;G$115&amp;":"&amp;$R$114)</f>
        <v>#</v>
      </c>
      <c r="V242" s="461" t="str">
        <f>_xll.BLUEMATRIX2("/servlet/excelData",H242,$B$1,$B242&amp;":"&amp;H$115&amp;":"&amp;$R$114)</f>
        <v>#</v>
      </c>
      <c r="W242" s="461" t="str">
        <f>_xll.BLUEMATRIX2("/servlet/excelData",I242,$B$1,$B242&amp;":"&amp;I$115&amp;":"&amp;$R$114)</f>
        <v>#</v>
      </c>
      <c r="X242" s="461" t="str">
        <f>_xll.BLUEMATRIX2("/servlet/excelData",J242,$B$1,$B242&amp;":"&amp;J$115&amp;":"&amp;$R$114)</f>
        <v>#</v>
      </c>
      <c r="Y242" s="461" t="str">
        <f>_xll.BLUEMATRIX2("/servlet/excelData",K242,$B$1,$B242&amp;":"&amp;K$115&amp;":"&amp;$R$114)</f>
        <v>#</v>
      </c>
      <c r="Z242" s="461" t="str">
        <f>_xll.BLUEMATRIX2("/servlet/excelData",L242,$B$1,$B242&amp;":"&amp;L$115&amp;":"&amp;$R$114)</f>
        <v>#</v>
      </c>
      <c r="AA242" s="461" t="str">
        <f>_xll.BLUEMATRIX2("/servlet/excelData",M242,$B$1,$B242&amp;":"&amp;M$115&amp;":"&amp;$R$114)</f>
        <v>#</v>
      </c>
      <c r="AB242" s="461" t="str">
        <f>_xll.BLUEMATRIX2("/servlet/excelData",N242,$B$1,$B242&amp;":"&amp;N$115&amp;":"&amp;$R$114)</f>
        <v>#</v>
      </c>
      <c r="AC242" s="461" t="str">
        <f>_xll.BLUEMATRIX2("/servlet/excelData",O242,$B$1,$B242&amp;":"&amp;O$115&amp;":"&amp;$R$114)</f>
        <v>#</v>
      </c>
      <c r="AD242" s="461" t="str">
        <f>_xll.BLUEMATRIX2("/servlet/excelData",P242,$B$1,$B242&amp;":"&amp;P$115&amp;":"&amp;$R$114)</f>
        <v>#</v>
      </c>
      <c r="AE242" s="461" t="str">
        <f>_xll.BLUEMATRIX2("/servlet/excelData",Q242,$B$1,$B242&amp;":"&amp;Q$115&amp;":"&amp;$R$114)</f>
        <v>#</v>
      </c>
    </row>
    <row r="243" spans="1:31" ht="12.95" customHeight="1">
      <c r="A243" s="342" t="s">
        <v>539</v>
      </c>
      <c r="B243" s="344" t="s">
        <v>540</v>
      </c>
      <c r="C243" s="413" t="s">
        <v>541</v>
      </c>
      <c r="D243" s="414"/>
      <c r="E243" s="414"/>
      <c r="F243" s="414"/>
      <c r="G243" s="414"/>
      <c r="H243" s="414"/>
      <c r="I243" s="414"/>
      <c r="J243" s="414"/>
      <c r="K243" s="414"/>
      <c r="L243" s="414"/>
      <c r="M243" s="414"/>
      <c r="N243" s="414"/>
      <c r="O243" s="414"/>
      <c r="P243" s="414"/>
      <c r="Q243" s="414"/>
      <c r="R243" s="320"/>
      <c r="S243" s="461" t="str">
        <f>_xll.BLUEMATRIX2("/servlet/excelData",E243,$B$1,$B243&amp;":"&amp;E$115&amp;":"&amp;$R$114)</f>
        <v>#</v>
      </c>
      <c r="T243" s="461" t="str">
        <f>_xll.BLUEMATRIX2("/servlet/excelData",F243,$B$1,$B243&amp;":"&amp;F$115&amp;":"&amp;$R$114)</f>
        <v>#</v>
      </c>
      <c r="U243" s="461" t="str">
        <f>_xll.BLUEMATRIX2("/servlet/excelData",G243,$B$1,$B243&amp;":"&amp;G$115&amp;":"&amp;$R$114)</f>
        <v>#</v>
      </c>
      <c r="V243" s="461" t="str">
        <f>_xll.BLUEMATRIX2("/servlet/excelData",H243,$B$1,$B243&amp;":"&amp;H$115&amp;":"&amp;$R$114)</f>
        <v>#</v>
      </c>
      <c r="W243" s="461" t="str">
        <f>_xll.BLUEMATRIX2("/servlet/excelData",I243,$B$1,$B243&amp;":"&amp;I$115&amp;":"&amp;$R$114)</f>
        <v>#</v>
      </c>
      <c r="X243" s="461" t="str">
        <f>_xll.BLUEMATRIX2("/servlet/excelData",J243,$B$1,$B243&amp;":"&amp;J$115&amp;":"&amp;$R$114)</f>
        <v>#</v>
      </c>
      <c r="Y243" s="461" t="str">
        <f>_xll.BLUEMATRIX2("/servlet/excelData",K243,$B$1,$B243&amp;":"&amp;K$115&amp;":"&amp;$R$114)</f>
        <v>#</v>
      </c>
      <c r="Z243" s="461" t="str">
        <f>_xll.BLUEMATRIX2("/servlet/excelData",L243,$B$1,$B243&amp;":"&amp;L$115&amp;":"&amp;$R$114)</f>
        <v>#</v>
      </c>
      <c r="AA243" s="461" t="str">
        <f>_xll.BLUEMATRIX2("/servlet/excelData",M243,$B$1,$B243&amp;":"&amp;M$115&amp;":"&amp;$R$114)</f>
        <v>#</v>
      </c>
      <c r="AB243" s="461" t="str">
        <f>_xll.BLUEMATRIX2("/servlet/excelData",N243,$B$1,$B243&amp;":"&amp;N$115&amp;":"&amp;$R$114)</f>
        <v>#</v>
      </c>
      <c r="AC243" s="461" t="str">
        <f>_xll.BLUEMATRIX2("/servlet/excelData",O243,$B$1,$B243&amp;":"&amp;O$115&amp;":"&amp;$R$114)</f>
        <v>#</v>
      </c>
      <c r="AD243" s="461" t="str">
        <f>_xll.BLUEMATRIX2("/servlet/excelData",P243,$B$1,$B243&amp;":"&amp;P$115&amp;":"&amp;$R$114)</f>
        <v>#</v>
      </c>
      <c r="AE243" s="461" t="str">
        <f>_xll.BLUEMATRIX2("/servlet/excelData",Q243,$B$1,$B243&amp;":"&amp;Q$115&amp;":"&amp;$R$114)</f>
        <v>#</v>
      </c>
    </row>
    <row r="244" spans="1:31" ht="12.95" customHeight="1">
      <c r="A244" s="342" t="s">
        <v>542</v>
      </c>
      <c r="B244" s="344" t="s">
        <v>543</v>
      </c>
      <c r="C244" s="371" t="s">
        <v>544</v>
      </c>
      <c r="D244" s="415"/>
      <c r="E244" s="375"/>
      <c r="F244" s="375">
        <f>FY!D95</f>
        <v>-63.400000000000034</v>
      </c>
      <c r="G244" s="375">
        <f>FY!E95</f>
        <v>-11.199999999999989</v>
      </c>
      <c r="H244" s="375">
        <f>FY!F95</f>
        <v>82.499999999999943</v>
      </c>
      <c r="I244" s="375">
        <f>FY!G95</f>
        <v>7.3000000000001251</v>
      </c>
      <c r="J244" s="375">
        <f>FY!H95</f>
        <v>16.592370742421338</v>
      </c>
      <c r="K244" s="375">
        <f>FY!I95</f>
        <v>3.4596820395789791</v>
      </c>
      <c r="L244" s="375">
        <f>FY!J95</f>
        <v>4.9800225691484457</v>
      </c>
      <c r="M244" s="375">
        <f>FY!K95</f>
        <v>11.350530521302346</v>
      </c>
      <c r="N244" s="375">
        <f>FY!L95</f>
        <v>7.7634165076356112</v>
      </c>
      <c r="O244" s="375">
        <f>FY!M95</f>
        <v>5.1289359622319353</v>
      </c>
      <c r="P244" s="375">
        <f>FY!N95</f>
        <v>11.338494688296691</v>
      </c>
      <c r="Q244" s="375">
        <f>FY!O95</f>
        <v>8.7213636515875805</v>
      </c>
      <c r="R244" s="320"/>
      <c r="S244" s="461" t="str">
        <f>_xll.BLUEMATRIX2("/servlet/excelData",E244,$B$1,$B244&amp;":"&amp;E$115&amp;":"&amp;$R$114)</f>
        <v>#</v>
      </c>
      <c r="T244" s="461" t="str">
        <f>_xll.BLUEMATRIX2("/servlet/excelData",F244,$B$1,$B244&amp;":"&amp;F$115&amp;":"&amp;$R$114)</f>
        <v>#</v>
      </c>
      <c r="U244" s="461" t="str">
        <f>_xll.BLUEMATRIX2("/servlet/excelData",G244,$B$1,$B244&amp;":"&amp;G$115&amp;":"&amp;$R$114)</f>
        <v>#</v>
      </c>
      <c r="V244" s="461" t="str">
        <f>_xll.BLUEMATRIX2("/servlet/excelData",H244,$B$1,$B244&amp;":"&amp;H$115&amp;":"&amp;$R$114)</f>
        <v>#</v>
      </c>
      <c r="W244" s="461" t="str">
        <f>_xll.BLUEMATRIX2("/servlet/excelData",I244,$B$1,$B244&amp;":"&amp;I$115&amp;":"&amp;$R$114)</f>
        <v>#</v>
      </c>
      <c r="X244" s="461" t="str">
        <f>_xll.BLUEMATRIX2("/servlet/excelData",J244,$B$1,$B244&amp;":"&amp;J$115&amp;":"&amp;$R$114)</f>
        <v>#</v>
      </c>
      <c r="Y244" s="461" t="str">
        <f>_xll.BLUEMATRIX2("/servlet/excelData",K244,$B$1,$B244&amp;":"&amp;K$115&amp;":"&amp;$R$114)</f>
        <v>#</v>
      </c>
      <c r="Z244" s="461" t="str">
        <f>_xll.BLUEMATRIX2("/servlet/excelData",L244,$B$1,$B244&amp;":"&amp;L$115&amp;":"&amp;$R$114)</f>
        <v>#</v>
      </c>
      <c r="AA244" s="461" t="str">
        <f>_xll.BLUEMATRIX2("/servlet/excelData",M244,$B$1,$B244&amp;":"&amp;M$115&amp;":"&amp;$R$114)</f>
        <v>#</v>
      </c>
      <c r="AB244" s="461" t="str">
        <f>_xll.BLUEMATRIX2("/servlet/excelData",N244,$B$1,$B244&amp;":"&amp;N$115&amp;":"&amp;$R$114)</f>
        <v>#</v>
      </c>
      <c r="AC244" s="461" t="str">
        <f>_xll.BLUEMATRIX2("/servlet/excelData",O244,$B$1,$B244&amp;":"&amp;O$115&amp;":"&amp;$R$114)</f>
        <v>#</v>
      </c>
      <c r="AD244" s="461" t="str">
        <f>_xll.BLUEMATRIX2("/servlet/excelData",P244,$B$1,$B244&amp;":"&amp;P$115&amp;":"&amp;$R$114)</f>
        <v>#</v>
      </c>
      <c r="AE244" s="461" t="str">
        <f>_xll.BLUEMATRIX2("/servlet/excelData",Q244,$B$1,$B244&amp;":"&amp;Q$115&amp;":"&amp;$R$114)</f>
        <v>#</v>
      </c>
    </row>
    <row r="245" spans="1:31" ht="12.95" customHeight="1">
      <c r="A245" s="342" t="s">
        <v>545</v>
      </c>
      <c r="B245" s="344" t="s">
        <v>546</v>
      </c>
      <c r="C245" s="371" t="s">
        <v>547</v>
      </c>
      <c r="D245" s="375"/>
      <c r="E245" s="375"/>
      <c r="F245" s="375">
        <f>FY!D92</f>
        <v>-154.59999999999997</v>
      </c>
      <c r="G245" s="375">
        <f>FY!E92</f>
        <v>-148.30000000000004</v>
      </c>
      <c r="H245" s="375">
        <f>FY!F92</f>
        <v>-4.1999999999999318</v>
      </c>
      <c r="I245" s="375">
        <f>FY!G92</f>
        <v>-45.600000000000122</v>
      </c>
      <c r="J245" s="375">
        <f>FY!H92</f>
        <v>0</v>
      </c>
      <c r="K245" s="375">
        <f>FY!I92</f>
        <v>0</v>
      </c>
      <c r="L245" s="375">
        <f>FY!J92</f>
        <v>0</v>
      </c>
      <c r="M245" s="375">
        <f>FY!K92</f>
        <v>0</v>
      </c>
      <c r="N245" s="375">
        <f>FY!L92</f>
        <v>0</v>
      </c>
      <c r="O245" s="375">
        <f>FY!M92</f>
        <v>0</v>
      </c>
      <c r="P245" s="375">
        <f>FY!N92</f>
        <v>0</v>
      </c>
      <c r="Q245" s="375">
        <f>FY!O92</f>
        <v>0</v>
      </c>
      <c r="R245" s="320"/>
      <c r="S245" s="461" t="str">
        <f>_xll.BLUEMATRIX2("/servlet/excelData",E245,$B$1,$B245&amp;":"&amp;E$115&amp;":"&amp;$R$114)</f>
        <v>#</v>
      </c>
      <c r="T245" s="461" t="str">
        <f>_xll.BLUEMATRIX2("/servlet/excelData",F245,$B$1,$B245&amp;":"&amp;F$115&amp;":"&amp;$R$114)</f>
        <v>#</v>
      </c>
      <c r="U245" s="461" t="str">
        <f>_xll.BLUEMATRIX2("/servlet/excelData",G245,$B$1,$B245&amp;":"&amp;G$115&amp;":"&amp;$R$114)</f>
        <v>#</v>
      </c>
      <c r="V245" s="461" t="str">
        <f>_xll.BLUEMATRIX2("/servlet/excelData",H245,$B$1,$B245&amp;":"&amp;H$115&amp;":"&amp;$R$114)</f>
        <v>#</v>
      </c>
      <c r="W245" s="461" t="str">
        <f>_xll.BLUEMATRIX2("/servlet/excelData",I245,$B$1,$B245&amp;":"&amp;I$115&amp;":"&amp;$R$114)</f>
        <v>#</v>
      </c>
      <c r="X245" s="461" t="str">
        <f>_xll.BLUEMATRIX2("/servlet/excelData",J245,$B$1,$B245&amp;":"&amp;J$115&amp;":"&amp;$R$114)</f>
        <v>#</v>
      </c>
      <c r="Y245" s="461" t="str">
        <f>_xll.BLUEMATRIX2("/servlet/excelData",K245,$B$1,$B245&amp;":"&amp;K$115&amp;":"&amp;$R$114)</f>
        <v>#</v>
      </c>
      <c r="Z245" s="461" t="str">
        <f>_xll.BLUEMATRIX2("/servlet/excelData",L245,$B$1,$B245&amp;":"&amp;L$115&amp;":"&amp;$R$114)</f>
        <v>#</v>
      </c>
      <c r="AA245" s="461" t="str">
        <f>_xll.BLUEMATRIX2("/servlet/excelData",M245,$B$1,$B245&amp;":"&amp;M$115&amp;":"&amp;$R$114)</f>
        <v>#</v>
      </c>
      <c r="AB245" s="461" t="str">
        <f>_xll.BLUEMATRIX2("/servlet/excelData",N245,$B$1,$B245&amp;":"&amp;N$115&amp;":"&amp;$R$114)</f>
        <v>#</v>
      </c>
      <c r="AC245" s="461" t="str">
        <f>_xll.BLUEMATRIX2("/servlet/excelData",O245,$B$1,$B245&amp;":"&amp;O$115&amp;":"&amp;$R$114)</f>
        <v>#</v>
      </c>
      <c r="AD245" s="461" t="str">
        <f>_xll.BLUEMATRIX2("/servlet/excelData",P245,$B$1,$B245&amp;":"&amp;P$115&amp;":"&amp;$R$114)</f>
        <v>#</v>
      </c>
      <c r="AE245" s="461" t="str">
        <f>_xll.BLUEMATRIX2("/servlet/excelData",Q245,$B$1,$B245&amp;":"&amp;Q$115&amp;":"&amp;$R$114)</f>
        <v>#</v>
      </c>
    </row>
    <row r="246" spans="1:31" ht="12.95" customHeight="1">
      <c r="A246" s="342" t="s">
        <v>548</v>
      </c>
      <c r="B246" s="344" t="s">
        <v>549</v>
      </c>
      <c r="C246" s="398" t="s">
        <v>550</v>
      </c>
      <c r="D246" s="378"/>
      <c r="E246" s="378"/>
      <c r="F246" s="378">
        <f>F242+F243+F244+F245</f>
        <v>173</v>
      </c>
      <c r="G246" s="378">
        <f>G242+G243+G244+G245</f>
        <v>158.19999999999996</v>
      </c>
      <c r="H246" s="378">
        <f>H242+H243+H244+H245</f>
        <v>469.8</v>
      </c>
      <c r="I246" s="378">
        <f t="shared" ref="I246:P246" si="35">I242+I243+I244+I245</f>
        <v>393.4</v>
      </c>
      <c r="J246" s="378">
        <f t="shared" si="35"/>
        <v>483.01243521736825</v>
      </c>
      <c r="K246" s="378">
        <f t="shared" si="35"/>
        <v>489.10545278608083</v>
      </c>
      <c r="L246" s="378">
        <f t="shared" si="35"/>
        <v>499.34373228942195</v>
      </c>
      <c r="M246" s="378">
        <f t="shared" si="35"/>
        <v>512.61138698922241</v>
      </c>
      <c r="N246" s="378">
        <f t="shared" si="35"/>
        <v>514.83886586970482</v>
      </c>
      <c r="O246" s="378">
        <f t="shared" si="35"/>
        <v>518.48473393664131</v>
      </c>
      <c r="P246" s="378">
        <f t="shared" si="35"/>
        <v>531.45546284553632</v>
      </c>
      <c r="Q246" s="378">
        <f>Q242+Q243+Q244+Q245</f>
        <v>536.09591058541025</v>
      </c>
      <c r="R246" s="320"/>
      <c r="S246" s="461" t="str">
        <f>_xll.BLUEMATRIX2("/servlet/excelData",E246,$B$1,$B246&amp;":"&amp;E$115&amp;":"&amp;$R$114)</f>
        <v>#</v>
      </c>
      <c r="T246" s="461" t="str">
        <f>_xll.BLUEMATRIX2("/servlet/excelData",F246,$B$1,$B246&amp;":"&amp;F$115&amp;":"&amp;$R$114)</f>
        <v>#</v>
      </c>
      <c r="U246" s="461" t="str">
        <f>_xll.BLUEMATRIX2("/servlet/excelData",G246,$B$1,$B246&amp;":"&amp;G$115&amp;":"&amp;$R$114)</f>
        <v>#</v>
      </c>
      <c r="V246" s="461" t="str">
        <f>_xll.BLUEMATRIX2("/servlet/excelData",H246,$B$1,$B246&amp;":"&amp;H$115&amp;":"&amp;$R$114)</f>
        <v>#</v>
      </c>
      <c r="W246" s="461" t="str">
        <f>_xll.BLUEMATRIX2("/servlet/excelData",I246,$B$1,$B246&amp;":"&amp;I$115&amp;":"&amp;$R$114)</f>
        <v>#</v>
      </c>
      <c r="X246" s="461" t="str">
        <f>_xll.BLUEMATRIX2("/servlet/excelData",J246,$B$1,$B246&amp;":"&amp;J$115&amp;":"&amp;$R$114)</f>
        <v>#</v>
      </c>
      <c r="Y246" s="461" t="str">
        <f>_xll.BLUEMATRIX2("/servlet/excelData",K246,$B$1,$B246&amp;":"&amp;K$115&amp;":"&amp;$R$114)</f>
        <v>#</v>
      </c>
      <c r="Z246" s="461" t="str">
        <f>_xll.BLUEMATRIX2("/servlet/excelData",L246,$B$1,$B246&amp;":"&amp;L$115&amp;":"&amp;$R$114)</f>
        <v>#</v>
      </c>
      <c r="AA246" s="461" t="str">
        <f>_xll.BLUEMATRIX2("/servlet/excelData",M246,$B$1,$B246&amp;":"&amp;M$115&amp;":"&amp;$R$114)</f>
        <v>#</v>
      </c>
      <c r="AB246" s="461" t="str">
        <f>_xll.BLUEMATRIX2("/servlet/excelData",N246,$B$1,$B246&amp;":"&amp;N$115&amp;":"&amp;$R$114)</f>
        <v>#</v>
      </c>
      <c r="AC246" s="461" t="str">
        <f>_xll.BLUEMATRIX2("/servlet/excelData",O246,$B$1,$B246&amp;":"&amp;O$115&amp;":"&amp;$R$114)</f>
        <v>#</v>
      </c>
      <c r="AD246" s="461" t="str">
        <f>_xll.BLUEMATRIX2("/servlet/excelData",P246,$B$1,$B246&amp;":"&amp;P$115&amp;":"&amp;$R$114)</f>
        <v>#</v>
      </c>
      <c r="AE246" s="461" t="str">
        <f>_xll.BLUEMATRIX2("/servlet/excelData",Q246,$B$1,$B246&amp;":"&amp;Q$115&amp;":"&amp;$R$114)</f>
        <v>#</v>
      </c>
    </row>
    <row r="247" spans="1:31" ht="12.95" customHeight="1">
      <c r="A247" s="342" t="s">
        <v>551</v>
      </c>
      <c r="B247" s="344" t="s">
        <v>552</v>
      </c>
      <c r="C247" s="413" t="s">
        <v>553</v>
      </c>
      <c r="D247" s="375"/>
      <c r="E247" s="375"/>
      <c r="F247" s="375">
        <f>FY!D90+FY!D89</f>
        <v>-23.5</v>
      </c>
      <c r="G247" s="375">
        <f>FY!E90+FY!E89</f>
        <v>-26.3</v>
      </c>
      <c r="H247" s="375">
        <f>FY!F90+FY!F89</f>
        <v>-64.599999999999994</v>
      </c>
      <c r="I247" s="375">
        <f>FY!G90+FY!G89</f>
        <v>-87</v>
      </c>
      <c r="J247" s="375">
        <f>FY!H90+FY!H89</f>
        <v>-87.439530078164012</v>
      </c>
      <c r="K247" s="375">
        <f>FY!I90+FY!I89</f>
        <v>-94.00824065173947</v>
      </c>
      <c r="L247" s="375">
        <f>FY!J90+FY!J89</f>
        <v>-93.699704180586778</v>
      </c>
      <c r="M247" s="375">
        <f>FY!K90+FY!K89</f>
        <v>-90.858558835964288</v>
      </c>
      <c r="N247" s="375">
        <f>FY!L90+FY!L89</f>
        <v>-85.684866651067949</v>
      </c>
      <c r="O247" s="375">
        <f>FY!M90+FY!M89</f>
        <v>-82.174395722590972</v>
      </c>
      <c r="P247" s="375">
        <f>FY!N90+FY!N89</f>
        <v>-76.894334497383142</v>
      </c>
      <c r="Q247" s="375">
        <f>FY!O90+FY!O89</f>
        <v>-71.383154253968314</v>
      </c>
      <c r="R247" s="320"/>
      <c r="S247" s="461" t="str">
        <f>_xll.BLUEMATRIX2("/servlet/excelData",E247,$B$1,$B247&amp;":"&amp;E$115&amp;":"&amp;$R$114)</f>
        <v>#</v>
      </c>
      <c r="T247" s="461" t="str">
        <f>_xll.BLUEMATRIX2("/servlet/excelData",F247,$B$1,$B247&amp;":"&amp;F$115&amp;":"&amp;$R$114)</f>
        <v>#</v>
      </c>
      <c r="U247" s="461" t="str">
        <f>_xll.BLUEMATRIX2("/servlet/excelData",G247,$B$1,$B247&amp;":"&amp;G$115&amp;":"&amp;$R$114)</f>
        <v>#</v>
      </c>
      <c r="V247" s="461" t="str">
        <f>_xll.BLUEMATRIX2("/servlet/excelData",H247,$B$1,$B247&amp;":"&amp;H$115&amp;":"&amp;$R$114)</f>
        <v>#</v>
      </c>
      <c r="W247" s="461" t="str">
        <f>_xll.BLUEMATRIX2("/servlet/excelData",I247,$B$1,$B247&amp;":"&amp;I$115&amp;":"&amp;$R$114)</f>
        <v>#</v>
      </c>
      <c r="X247" s="461" t="str">
        <f>_xll.BLUEMATRIX2("/servlet/excelData",J247,$B$1,$B247&amp;":"&amp;J$115&amp;":"&amp;$R$114)</f>
        <v>#</v>
      </c>
      <c r="Y247" s="461" t="str">
        <f>_xll.BLUEMATRIX2("/servlet/excelData",K247,$B$1,$B247&amp;":"&amp;K$115&amp;":"&amp;$R$114)</f>
        <v>#</v>
      </c>
      <c r="Z247" s="461" t="str">
        <f>_xll.BLUEMATRIX2("/servlet/excelData",L247,$B$1,$B247&amp;":"&amp;L$115&amp;":"&amp;$R$114)</f>
        <v>#</v>
      </c>
      <c r="AA247" s="461" t="str">
        <f>_xll.BLUEMATRIX2("/servlet/excelData",M247,$B$1,$B247&amp;":"&amp;M$115&amp;":"&amp;$R$114)</f>
        <v>#</v>
      </c>
      <c r="AB247" s="461" t="str">
        <f>_xll.BLUEMATRIX2("/servlet/excelData",N247,$B$1,$B247&amp;":"&amp;N$115&amp;":"&amp;$R$114)</f>
        <v>#</v>
      </c>
      <c r="AC247" s="461" t="str">
        <f>_xll.BLUEMATRIX2("/servlet/excelData",O247,$B$1,$B247&amp;":"&amp;O$115&amp;":"&amp;$R$114)</f>
        <v>#</v>
      </c>
      <c r="AD247" s="461" t="str">
        <f>_xll.BLUEMATRIX2("/servlet/excelData",P247,$B$1,$B247&amp;":"&amp;P$115&amp;":"&amp;$R$114)</f>
        <v>#</v>
      </c>
      <c r="AE247" s="461" t="str">
        <f>_xll.BLUEMATRIX2("/servlet/excelData",Q247,$B$1,$B247&amp;":"&amp;Q$115&amp;":"&amp;$R$114)</f>
        <v>#</v>
      </c>
    </row>
    <row r="248" spans="1:31" ht="12.95" customHeight="1">
      <c r="A248" s="342" t="s">
        <v>554</v>
      </c>
      <c r="B248" s="344" t="s">
        <v>555</v>
      </c>
      <c r="C248" s="413" t="s">
        <v>556</v>
      </c>
      <c r="D248" s="375"/>
      <c r="E248" s="375"/>
      <c r="F248" s="375">
        <f>FY!D91</f>
        <v>-30.2</v>
      </c>
      <c r="G248" s="375">
        <f>FY!E91</f>
        <v>113.3</v>
      </c>
      <c r="H248" s="375">
        <f>FY!F91</f>
        <v>1.3</v>
      </c>
      <c r="I248" s="375">
        <f>FY!G91</f>
        <v>2.9</v>
      </c>
      <c r="J248" s="375">
        <f>FY!H91</f>
        <v>-61.87027037434585</v>
      </c>
      <c r="K248" s="375">
        <f>FY!I91</f>
        <v>-70.14989636004448</v>
      </c>
      <c r="L248" s="375">
        <f>FY!J91</f>
        <v>-76.810402931161477</v>
      </c>
      <c r="M248" s="375">
        <f>FY!K91</f>
        <v>-87.556330544653889</v>
      </c>
      <c r="N248" s="375">
        <f>FY!L91</f>
        <v>-94.927504224036369</v>
      </c>
      <c r="O248" s="375">
        <f>FY!M91</f>
        <v>-100.8839579877725</v>
      </c>
      <c r="P248" s="375">
        <f>FY!N91</f>
        <v>-107.01455632271853</v>
      </c>
      <c r="Q248" s="375">
        <f>FY!O91</f>
        <v>-87.028964708144571</v>
      </c>
      <c r="R248" s="320"/>
      <c r="S248" s="461" t="str">
        <f>_xll.BLUEMATRIX2("/servlet/excelData",E248,$B$1,$B248&amp;":"&amp;E$115&amp;":"&amp;$R$114)</f>
        <v>#</v>
      </c>
      <c r="T248" s="461" t="str">
        <f>_xll.BLUEMATRIX2("/servlet/excelData",F248,$B$1,$B248&amp;":"&amp;F$115&amp;":"&amp;$R$114)</f>
        <v>#</v>
      </c>
      <c r="U248" s="461" t="str">
        <f>_xll.BLUEMATRIX2("/servlet/excelData",G248,$B$1,$B248&amp;":"&amp;G$115&amp;":"&amp;$R$114)</f>
        <v>#</v>
      </c>
      <c r="V248" s="461" t="str">
        <f>_xll.BLUEMATRIX2("/servlet/excelData",H248,$B$1,$B248&amp;":"&amp;H$115&amp;":"&amp;$R$114)</f>
        <v>#</v>
      </c>
      <c r="W248" s="461" t="str">
        <f>_xll.BLUEMATRIX2("/servlet/excelData",I248,$B$1,$B248&amp;":"&amp;I$115&amp;":"&amp;$R$114)</f>
        <v>#</v>
      </c>
      <c r="X248" s="461" t="str">
        <f>_xll.BLUEMATRIX2("/servlet/excelData",J248,$B$1,$B248&amp;":"&amp;J$115&amp;":"&amp;$R$114)</f>
        <v>#</v>
      </c>
      <c r="Y248" s="461" t="str">
        <f>_xll.BLUEMATRIX2("/servlet/excelData",K248,$B$1,$B248&amp;":"&amp;K$115&amp;":"&amp;$R$114)</f>
        <v>#</v>
      </c>
      <c r="Z248" s="461" t="str">
        <f>_xll.BLUEMATRIX2("/servlet/excelData",L248,$B$1,$B248&amp;":"&amp;L$115&amp;":"&amp;$R$114)</f>
        <v>#</v>
      </c>
      <c r="AA248" s="461" t="str">
        <f>_xll.BLUEMATRIX2("/servlet/excelData",M248,$B$1,$B248&amp;":"&amp;M$115&amp;":"&amp;$R$114)</f>
        <v>#</v>
      </c>
      <c r="AB248" s="461" t="str">
        <f>_xll.BLUEMATRIX2("/servlet/excelData",N248,$B$1,$B248&amp;":"&amp;N$115&amp;":"&amp;$R$114)</f>
        <v>#</v>
      </c>
      <c r="AC248" s="461" t="str">
        <f>_xll.BLUEMATRIX2("/servlet/excelData",O248,$B$1,$B248&amp;":"&amp;O$115&amp;":"&amp;$R$114)</f>
        <v>#</v>
      </c>
      <c r="AD248" s="461" t="str">
        <f>_xll.BLUEMATRIX2("/servlet/excelData",P248,$B$1,$B248&amp;":"&amp;P$115&amp;":"&amp;$R$114)</f>
        <v>#</v>
      </c>
      <c r="AE248" s="461" t="str">
        <f>_xll.BLUEMATRIX2("/servlet/excelData",Q248,$B$1,$B248&amp;":"&amp;Q$115&amp;":"&amp;$R$114)</f>
        <v>#</v>
      </c>
    </row>
    <row r="249" spans="1:31" ht="12.95" customHeight="1">
      <c r="A249" s="342" t="s">
        <v>557</v>
      </c>
      <c r="B249" s="344" t="s">
        <v>558</v>
      </c>
      <c r="C249" s="398" t="s">
        <v>559</v>
      </c>
      <c r="D249" s="378"/>
      <c r="E249" s="378"/>
      <c r="F249" s="378">
        <f>F246+F247+F248</f>
        <v>119.3</v>
      </c>
      <c r="G249" s="378">
        <f>G246+G247+G248</f>
        <v>245.19999999999993</v>
      </c>
      <c r="H249" s="378">
        <f>H246+H247+H248</f>
        <v>406.50000000000006</v>
      </c>
      <c r="I249" s="378">
        <f>I246+I247+I248</f>
        <v>309.29999999999995</v>
      </c>
      <c r="J249" s="378">
        <f t="shared" ref="J249:Q249" si="36">J246+J247+J248</f>
        <v>333.70263476485837</v>
      </c>
      <c r="K249" s="378">
        <f t="shared" si="36"/>
        <v>324.9473157742969</v>
      </c>
      <c r="L249" s="378">
        <f t="shared" si="36"/>
        <v>328.8336251776737</v>
      </c>
      <c r="M249" s="378">
        <f t="shared" si="36"/>
        <v>334.1964976086042</v>
      </c>
      <c r="N249" s="378">
        <f t="shared" si="36"/>
        <v>334.22649499460044</v>
      </c>
      <c r="O249" s="378">
        <f t="shared" si="36"/>
        <v>335.42638022627784</v>
      </c>
      <c r="P249" s="378">
        <f t="shared" si="36"/>
        <v>347.54657202543461</v>
      </c>
      <c r="Q249" s="378">
        <f t="shared" si="36"/>
        <v>377.68379162329734</v>
      </c>
      <c r="R249" s="320"/>
      <c r="S249" s="461" t="str">
        <f>_xll.BLUEMATRIX2("/servlet/excelData",E249,$B$1,$B249&amp;":"&amp;E$115&amp;":"&amp;$R$114)</f>
        <v>#</v>
      </c>
      <c r="T249" s="461" t="str">
        <f>_xll.BLUEMATRIX2("/servlet/excelData",F249,$B$1,$B249&amp;":"&amp;F$115&amp;":"&amp;$R$114)</f>
        <v>#</v>
      </c>
      <c r="U249" s="461" t="str">
        <f>_xll.BLUEMATRIX2("/servlet/excelData",G249,$B$1,$B249&amp;":"&amp;G$115&amp;":"&amp;$R$114)</f>
        <v>#</v>
      </c>
      <c r="V249" s="461" t="str">
        <f>_xll.BLUEMATRIX2("/servlet/excelData",H249,$B$1,$B249&amp;":"&amp;H$115&amp;":"&amp;$R$114)</f>
        <v>#</v>
      </c>
      <c r="W249" s="461" t="str">
        <f>_xll.BLUEMATRIX2("/servlet/excelData",I249,$B$1,$B249&amp;":"&amp;I$115&amp;":"&amp;$R$114)</f>
        <v>#</v>
      </c>
      <c r="X249" s="461" t="str">
        <f>_xll.BLUEMATRIX2("/servlet/excelData",J249,$B$1,$B249&amp;":"&amp;J$115&amp;":"&amp;$R$114)</f>
        <v>#</v>
      </c>
      <c r="Y249" s="461" t="str">
        <f>_xll.BLUEMATRIX2("/servlet/excelData",K249,$B$1,$B249&amp;":"&amp;K$115&amp;":"&amp;$R$114)</f>
        <v>#</v>
      </c>
      <c r="Z249" s="461" t="str">
        <f>_xll.BLUEMATRIX2("/servlet/excelData",L249,$B$1,$B249&amp;":"&amp;L$115&amp;":"&amp;$R$114)</f>
        <v>#</v>
      </c>
      <c r="AA249" s="461" t="str">
        <f>_xll.BLUEMATRIX2("/servlet/excelData",M249,$B$1,$B249&amp;":"&amp;M$115&amp;":"&amp;$R$114)</f>
        <v>#</v>
      </c>
      <c r="AB249" s="461" t="str">
        <f>_xll.BLUEMATRIX2("/servlet/excelData",N249,$B$1,$B249&amp;":"&amp;N$115&amp;":"&amp;$R$114)</f>
        <v>#</v>
      </c>
      <c r="AC249" s="461" t="str">
        <f>_xll.BLUEMATRIX2("/servlet/excelData",O249,$B$1,$B249&amp;":"&amp;O$115&amp;":"&amp;$R$114)</f>
        <v>#</v>
      </c>
      <c r="AD249" s="461" t="str">
        <f>_xll.BLUEMATRIX2("/servlet/excelData",P249,$B$1,$B249&amp;":"&amp;P$115&amp;":"&amp;$R$114)</f>
        <v>#</v>
      </c>
      <c r="AE249" s="461" t="str">
        <f>_xll.BLUEMATRIX2("/servlet/excelData",Q249,$B$1,$B249&amp;":"&amp;Q$115&amp;":"&amp;$R$114)</f>
        <v>#</v>
      </c>
    </row>
    <row r="250" spans="1:31" ht="12.95" customHeight="1">
      <c r="A250" s="342"/>
      <c r="B250" s="344"/>
      <c r="C250" s="463" t="s">
        <v>1147</v>
      </c>
      <c r="D250" s="464"/>
      <c r="E250" s="465"/>
      <c r="F250" s="465">
        <f>ROUND(FY!D96-F249,2)</f>
        <v>0</v>
      </c>
      <c r="G250" s="465">
        <f>ROUND(FY!E96-G249,2)</f>
        <v>0</v>
      </c>
      <c r="H250" s="465">
        <f>ROUND(FY!F96-H249,2)</f>
        <v>0</v>
      </c>
      <c r="I250" s="465">
        <f>ROUND(FY!G96-I249,2)</f>
        <v>0</v>
      </c>
      <c r="J250" s="465">
        <f>ROUND(FY!H96-J249,2)</f>
        <v>0</v>
      </c>
      <c r="K250" s="465">
        <f>ROUND(FY!I96-K249,2)</f>
        <v>0</v>
      </c>
      <c r="L250" s="465">
        <f>ROUND(FY!J96-L249,2)</f>
        <v>0</v>
      </c>
      <c r="M250" s="465">
        <f>ROUND(FY!K96-M249,2)</f>
        <v>0</v>
      </c>
      <c r="N250" s="465">
        <f>ROUND(FY!L96-N249,2)</f>
        <v>0</v>
      </c>
      <c r="O250" s="465">
        <f>ROUND(FY!M96-O249,2)</f>
        <v>0</v>
      </c>
      <c r="P250" s="465">
        <f>ROUND(FY!N96-P249,2)</f>
        <v>0</v>
      </c>
      <c r="Q250" s="465">
        <f>ROUND(FY!O96-Q249,2)</f>
        <v>0</v>
      </c>
      <c r="R250" s="320"/>
      <c r="S250" s="461"/>
      <c r="T250" s="461"/>
      <c r="U250" s="461"/>
      <c r="V250" s="461"/>
      <c r="W250" s="461"/>
      <c r="X250" s="461"/>
      <c r="Y250" s="461"/>
      <c r="Z250" s="461"/>
      <c r="AA250" s="461"/>
      <c r="AB250" s="461"/>
      <c r="AC250" s="461"/>
      <c r="AD250" s="461"/>
      <c r="AE250" s="461"/>
    </row>
    <row r="251" spans="1:31" ht="12.95" customHeight="1">
      <c r="A251" s="342"/>
      <c r="B251" s="344"/>
      <c r="C251" s="393"/>
      <c r="D251" s="383"/>
      <c r="E251" s="383"/>
      <c r="F251" s="383"/>
      <c r="G251" s="383"/>
      <c r="H251" s="383"/>
      <c r="I251" s="383"/>
      <c r="J251" s="383"/>
      <c r="K251" s="383"/>
      <c r="L251" s="383"/>
      <c r="M251" s="383"/>
      <c r="N251" s="383"/>
      <c r="O251" s="383"/>
      <c r="P251" s="383"/>
      <c r="Q251" s="383"/>
      <c r="R251" s="320"/>
      <c r="S251" s="461"/>
      <c r="T251" s="461"/>
      <c r="U251" s="461"/>
      <c r="V251" s="461"/>
      <c r="W251" s="461"/>
      <c r="X251" s="461"/>
      <c r="Y251" s="461"/>
      <c r="Z251" s="461"/>
      <c r="AA251" s="461"/>
      <c r="AB251" s="461"/>
      <c r="AC251" s="461"/>
      <c r="AD251" s="461"/>
      <c r="AE251" s="461"/>
    </row>
    <row r="252" spans="1:31" ht="12.95" customHeight="1">
      <c r="A252" s="361"/>
      <c r="B252" s="344"/>
      <c r="C252" s="416"/>
      <c r="D252" s="408"/>
      <c r="E252" s="408"/>
      <c r="F252" s="408"/>
      <c r="G252" s="408"/>
      <c r="H252" s="408"/>
      <c r="I252" s="408"/>
      <c r="J252" s="408"/>
      <c r="K252" s="408"/>
      <c r="L252" s="408"/>
      <c r="M252" s="408"/>
      <c r="N252" s="408"/>
      <c r="O252" s="408"/>
      <c r="P252" s="408"/>
      <c r="Q252" s="408"/>
      <c r="R252" s="326"/>
      <c r="S252" s="461"/>
      <c r="T252" s="461"/>
      <c r="U252" s="461"/>
      <c r="V252" s="461"/>
      <c r="W252" s="461"/>
      <c r="X252" s="461"/>
      <c r="Y252" s="461"/>
      <c r="Z252" s="461"/>
      <c r="AA252" s="461"/>
      <c r="AB252" s="461"/>
      <c r="AC252" s="461"/>
      <c r="AD252" s="461"/>
      <c r="AE252" s="461"/>
    </row>
    <row r="253" spans="1:31" ht="12.95" customHeight="1">
      <c r="A253" s="342"/>
      <c r="B253" s="344"/>
      <c r="C253" s="417" t="s">
        <v>560</v>
      </c>
      <c r="D253" s="408"/>
      <c r="E253" s="408"/>
      <c r="F253" s="408"/>
      <c r="G253" s="408"/>
      <c r="H253" s="408"/>
      <c r="I253" s="408"/>
      <c r="J253" s="408"/>
      <c r="K253" s="408"/>
      <c r="L253" s="408"/>
      <c r="M253" s="408"/>
      <c r="N253" s="408"/>
      <c r="O253" s="408"/>
      <c r="P253" s="408"/>
      <c r="Q253" s="408"/>
      <c r="R253" s="320"/>
      <c r="S253" s="461"/>
      <c r="T253" s="461"/>
      <c r="U253" s="461"/>
      <c r="V253" s="461"/>
      <c r="W253" s="461"/>
      <c r="X253" s="461"/>
      <c r="Y253" s="461"/>
      <c r="Z253" s="461"/>
      <c r="AA253" s="461"/>
      <c r="AB253" s="461"/>
      <c r="AC253" s="461"/>
      <c r="AD253" s="461"/>
      <c r="AE253" s="461"/>
    </row>
    <row r="254" spans="1:31" ht="12.95" customHeight="1">
      <c r="A254" s="342" t="s">
        <v>561</v>
      </c>
      <c r="B254" s="344" t="s">
        <v>562</v>
      </c>
      <c r="C254" s="418" t="s">
        <v>563</v>
      </c>
      <c r="D254" s="375"/>
      <c r="E254" s="375"/>
      <c r="F254" s="375"/>
      <c r="G254" s="375"/>
      <c r="H254" s="375"/>
      <c r="I254" s="375"/>
      <c r="J254" s="375"/>
      <c r="K254" s="375"/>
      <c r="L254" s="375"/>
      <c r="M254" s="375"/>
      <c r="N254" s="375"/>
      <c r="O254" s="375"/>
      <c r="P254" s="375"/>
      <c r="Q254" s="375"/>
      <c r="R254" s="320"/>
      <c r="S254" s="461" t="str">
        <f>_xll.BLUEMATRIX2("/servlet/excelData",E254,$B$1,$B254&amp;":"&amp;E$115&amp;":"&amp;$R$114)</f>
        <v>#</v>
      </c>
      <c r="T254" s="461" t="str">
        <f>_xll.BLUEMATRIX2("/servlet/excelData",F254,$B$1,$B254&amp;":"&amp;F$115&amp;":"&amp;$R$114)</f>
        <v>#</v>
      </c>
      <c r="U254" s="461" t="str">
        <f>_xll.BLUEMATRIX2("/servlet/excelData",G254,$B$1,$B254&amp;":"&amp;G$115&amp;":"&amp;$R$114)</f>
        <v>#</v>
      </c>
      <c r="V254" s="461" t="str">
        <f>_xll.BLUEMATRIX2("/servlet/excelData",H254,$B$1,$B254&amp;":"&amp;H$115&amp;":"&amp;$R$114)</f>
        <v>#</v>
      </c>
      <c r="W254" s="461" t="str">
        <f>_xll.BLUEMATRIX2("/servlet/excelData",I254,$B$1,$B254&amp;":"&amp;I$115&amp;":"&amp;$R$114)</f>
        <v>#</v>
      </c>
      <c r="X254" s="461" t="str">
        <f>_xll.BLUEMATRIX2("/servlet/excelData",J254,$B$1,$B254&amp;":"&amp;J$115&amp;":"&amp;$R$114)</f>
        <v>#</v>
      </c>
      <c r="Y254" s="461" t="str">
        <f>_xll.BLUEMATRIX2("/servlet/excelData",K254,$B$1,$B254&amp;":"&amp;K$115&amp;":"&amp;$R$114)</f>
        <v>#</v>
      </c>
      <c r="Z254" s="461" t="str">
        <f>_xll.BLUEMATRIX2("/servlet/excelData",L254,$B$1,$B254&amp;":"&amp;L$115&amp;":"&amp;$R$114)</f>
        <v>#</v>
      </c>
      <c r="AA254" s="461" t="str">
        <f>_xll.BLUEMATRIX2("/servlet/excelData",M254,$B$1,$B254&amp;":"&amp;M$115&amp;":"&amp;$R$114)</f>
        <v>#</v>
      </c>
      <c r="AB254" s="461" t="str">
        <f>_xll.BLUEMATRIX2("/servlet/excelData",N254,$B$1,$B254&amp;":"&amp;N$115&amp;":"&amp;$R$114)</f>
        <v>#</v>
      </c>
      <c r="AC254" s="461" t="str">
        <f>_xll.BLUEMATRIX2("/servlet/excelData",O254,$B$1,$B254&amp;":"&amp;O$115&amp;":"&amp;$R$114)</f>
        <v>#</v>
      </c>
      <c r="AD254" s="461" t="str">
        <f>_xll.BLUEMATRIX2("/servlet/excelData",P254,$B$1,$B254&amp;":"&amp;P$115&amp;":"&amp;$R$114)</f>
        <v>#</v>
      </c>
      <c r="AE254" s="461" t="str">
        <f>_xll.BLUEMATRIX2("/servlet/excelData",Q254,$B$1,$B254&amp;":"&amp;Q$115&amp;":"&amp;$R$114)</f>
        <v>#</v>
      </c>
    </row>
    <row r="255" spans="1:31" ht="12.95" customHeight="1">
      <c r="A255" s="342" t="s">
        <v>564</v>
      </c>
      <c r="B255" s="344" t="s">
        <v>565</v>
      </c>
      <c r="C255" s="374" t="s">
        <v>566</v>
      </c>
      <c r="D255" s="375"/>
      <c r="E255" s="375"/>
      <c r="F255" s="375"/>
      <c r="G255" s="375"/>
      <c r="H255" s="375"/>
      <c r="I255" s="375"/>
      <c r="J255" s="375"/>
      <c r="K255" s="375"/>
      <c r="L255" s="375"/>
      <c r="M255" s="375"/>
      <c r="N255" s="375"/>
      <c r="O255" s="375"/>
      <c r="P255" s="375"/>
      <c r="Q255" s="375"/>
      <c r="R255" s="320"/>
      <c r="S255" s="461" t="str">
        <f>_xll.BLUEMATRIX2("/servlet/excelData",E255,$B$1,$B255&amp;":"&amp;E$115&amp;":"&amp;$R$114)</f>
        <v>#</v>
      </c>
      <c r="T255" s="461" t="str">
        <f>_xll.BLUEMATRIX2("/servlet/excelData",F255,$B$1,$B255&amp;":"&amp;F$115&amp;":"&amp;$R$114)</f>
        <v>#</v>
      </c>
      <c r="U255" s="461" t="str">
        <f>_xll.BLUEMATRIX2("/servlet/excelData",G255,$B$1,$B255&amp;":"&amp;G$115&amp;":"&amp;$R$114)</f>
        <v>#</v>
      </c>
      <c r="V255" s="461" t="str">
        <f>_xll.BLUEMATRIX2("/servlet/excelData",H255,$B$1,$B255&amp;":"&amp;H$115&amp;":"&amp;$R$114)</f>
        <v>#</v>
      </c>
      <c r="W255" s="461" t="str">
        <f>_xll.BLUEMATRIX2("/servlet/excelData",I255,$B$1,$B255&amp;":"&amp;I$115&amp;":"&amp;$R$114)</f>
        <v>#</v>
      </c>
      <c r="X255" s="461" t="str">
        <f>_xll.BLUEMATRIX2("/servlet/excelData",J255,$B$1,$B255&amp;":"&amp;J$115&amp;":"&amp;$R$114)</f>
        <v>#</v>
      </c>
      <c r="Y255" s="461" t="str">
        <f>_xll.BLUEMATRIX2("/servlet/excelData",K255,$B$1,$B255&amp;":"&amp;K$115&amp;":"&amp;$R$114)</f>
        <v>#</v>
      </c>
      <c r="Z255" s="461" t="str">
        <f>_xll.BLUEMATRIX2("/servlet/excelData",L255,$B$1,$B255&amp;":"&amp;L$115&amp;":"&amp;$R$114)</f>
        <v>#</v>
      </c>
      <c r="AA255" s="461" t="str">
        <f>_xll.BLUEMATRIX2("/servlet/excelData",M255,$B$1,$B255&amp;":"&amp;M$115&amp;":"&amp;$R$114)</f>
        <v>#</v>
      </c>
      <c r="AB255" s="461" t="str">
        <f>_xll.BLUEMATRIX2("/servlet/excelData",N255,$B$1,$B255&amp;":"&amp;N$115&amp;":"&amp;$R$114)</f>
        <v>#</v>
      </c>
      <c r="AC255" s="461" t="str">
        <f>_xll.BLUEMATRIX2("/servlet/excelData",O255,$B$1,$B255&amp;":"&amp;O$115&amp;":"&amp;$R$114)</f>
        <v>#</v>
      </c>
      <c r="AD255" s="461" t="str">
        <f>_xll.BLUEMATRIX2("/servlet/excelData",P255,$B$1,$B255&amp;":"&amp;P$115&amp;":"&amp;$R$114)</f>
        <v>#</v>
      </c>
      <c r="AE255" s="461" t="str">
        <f>_xll.BLUEMATRIX2("/servlet/excelData",Q255,$B$1,$B255&amp;":"&amp;Q$115&amp;":"&amp;$R$114)</f>
        <v>#</v>
      </c>
    </row>
    <row r="256" spans="1:31" ht="12.95" customHeight="1">
      <c r="A256" s="342" t="s">
        <v>567</v>
      </c>
      <c r="B256" s="344" t="s">
        <v>568</v>
      </c>
      <c r="C256" s="419" t="s">
        <v>569</v>
      </c>
      <c r="D256" s="420"/>
      <c r="E256" s="420"/>
      <c r="F256" s="420">
        <f>FY!D98</f>
        <v>-196.9</v>
      </c>
      <c r="G256" s="420">
        <f>FY!E98</f>
        <v>-760.4</v>
      </c>
      <c r="H256" s="420">
        <f>FY!F98</f>
        <v>-117.8</v>
      </c>
      <c r="I256" s="420">
        <f>FY!G98</f>
        <v>-150.69999999999999</v>
      </c>
      <c r="J256" s="420">
        <f>FY!H98</f>
        <v>-160</v>
      </c>
      <c r="K256" s="420">
        <f>FY!I98</f>
        <v>-150</v>
      </c>
      <c r="L256" s="420">
        <f>FY!J98</f>
        <v>-129.51030025250009</v>
      </c>
      <c r="M256" s="420">
        <f>FY!K98</f>
        <v>-129.54750127387121</v>
      </c>
      <c r="N256" s="420">
        <f>FY!L98</f>
        <v>-131.66273142229659</v>
      </c>
      <c r="O256" s="420">
        <f>FY!M98</f>
        <v>-133.85899314407266</v>
      </c>
      <c r="P256" s="420">
        <f>FY!N98</f>
        <v>-136.13854163971092</v>
      </c>
      <c r="Q256" s="420">
        <f>FY!O98</f>
        <v>-138.50370152320519</v>
      </c>
      <c r="R256" s="320"/>
      <c r="S256" s="461" t="str">
        <f>_xll.BLUEMATRIX2("/servlet/excelData",E256,$B$1,$B256&amp;":"&amp;E$115&amp;":"&amp;$R$114)</f>
        <v>#</v>
      </c>
      <c r="T256" s="461" t="str">
        <f>_xll.BLUEMATRIX2("/servlet/excelData",F256,$B$1,$B256&amp;":"&amp;F$115&amp;":"&amp;$R$114)</f>
        <v>#</v>
      </c>
      <c r="U256" s="461" t="str">
        <f>_xll.BLUEMATRIX2("/servlet/excelData",G256,$B$1,$B256&amp;":"&amp;G$115&amp;":"&amp;$R$114)</f>
        <v>#</v>
      </c>
      <c r="V256" s="461" t="str">
        <f>_xll.BLUEMATRIX2("/servlet/excelData",H256,$B$1,$B256&amp;":"&amp;H$115&amp;":"&amp;$R$114)</f>
        <v>#</v>
      </c>
      <c r="W256" s="461" t="str">
        <f>_xll.BLUEMATRIX2("/servlet/excelData",I256,$B$1,$B256&amp;":"&amp;I$115&amp;":"&amp;$R$114)</f>
        <v>#</v>
      </c>
      <c r="X256" s="461" t="str">
        <f>_xll.BLUEMATRIX2("/servlet/excelData",J256,$B$1,$B256&amp;":"&amp;J$115&amp;":"&amp;$R$114)</f>
        <v>#</v>
      </c>
      <c r="Y256" s="461" t="str">
        <f>_xll.BLUEMATRIX2("/servlet/excelData",K256,$B$1,$B256&amp;":"&amp;K$115&amp;":"&amp;$R$114)</f>
        <v>#</v>
      </c>
      <c r="Z256" s="461" t="str">
        <f>_xll.BLUEMATRIX2("/servlet/excelData",L256,$B$1,$B256&amp;":"&amp;L$115&amp;":"&amp;$R$114)</f>
        <v>#</v>
      </c>
      <c r="AA256" s="461" t="str">
        <f>_xll.BLUEMATRIX2("/servlet/excelData",M256,$B$1,$B256&amp;":"&amp;M$115&amp;":"&amp;$R$114)</f>
        <v>#</v>
      </c>
      <c r="AB256" s="461" t="str">
        <f>_xll.BLUEMATRIX2("/servlet/excelData",N256,$B$1,$B256&amp;":"&amp;N$115&amp;":"&amp;$R$114)</f>
        <v>#</v>
      </c>
      <c r="AC256" s="461" t="str">
        <f>_xll.BLUEMATRIX2("/servlet/excelData",O256,$B$1,$B256&amp;":"&amp;O$115&amp;":"&amp;$R$114)</f>
        <v>#</v>
      </c>
      <c r="AD256" s="461" t="str">
        <f>_xll.BLUEMATRIX2("/servlet/excelData",P256,$B$1,$B256&amp;":"&amp;P$115&amp;":"&amp;$R$114)</f>
        <v>#</v>
      </c>
      <c r="AE256" s="461" t="str">
        <f>_xll.BLUEMATRIX2("/servlet/excelData",Q256,$B$1,$B256&amp;":"&amp;Q$115&amp;":"&amp;$R$114)</f>
        <v>#</v>
      </c>
    </row>
    <row r="257" spans="1:31" ht="12.95" customHeight="1">
      <c r="A257" s="342" t="s">
        <v>570</v>
      </c>
      <c r="B257" s="344" t="s">
        <v>571</v>
      </c>
      <c r="C257" s="374" t="s">
        <v>572</v>
      </c>
      <c r="D257" s="375"/>
      <c r="E257" s="375"/>
      <c r="F257" s="375"/>
      <c r="G257" s="375"/>
      <c r="H257" s="375"/>
      <c r="I257" s="375"/>
      <c r="J257" s="375"/>
      <c r="K257" s="375"/>
      <c r="L257" s="375"/>
      <c r="M257" s="375"/>
      <c r="N257" s="375"/>
      <c r="O257" s="375"/>
      <c r="P257" s="375"/>
      <c r="Q257" s="375"/>
      <c r="R257" s="320"/>
      <c r="S257" s="461" t="str">
        <f>_xll.BLUEMATRIX2("/servlet/excelData",E257,$B$1,$B257&amp;":"&amp;E$115&amp;":"&amp;$R$114)</f>
        <v>#</v>
      </c>
      <c r="T257" s="461" t="str">
        <f>_xll.BLUEMATRIX2("/servlet/excelData",F257,$B$1,$B257&amp;":"&amp;F$115&amp;":"&amp;$R$114)</f>
        <v>#</v>
      </c>
      <c r="U257" s="461" t="str">
        <f>_xll.BLUEMATRIX2("/servlet/excelData",G257,$B$1,$B257&amp;":"&amp;G$115&amp;":"&amp;$R$114)</f>
        <v>#</v>
      </c>
      <c r="V257" s="461" t="str">
        <f>_xll.BLUEMATRIX2("/servlet/excelData",H257,$B$1,$B257&amp;":"&amp;H$115&amp;":"&amp;$R$114)</f>
        <v>#</v>
      </c>
      <c r="W257" s="461" t="str">
        <f>_xll.BLUEMATRIX2("/servlet/excelData",I257,$B$1,$B257&amp;":"&amp;I$115&amp;":"&amp;$R$114)</f>
        <v>#</v>
      </c>
      <c r="X257" s="461" t="str">
        <f>_xll.BLUEMATRIX2("/servlet/excelData",J257,$B$1,$B257&amp;":"&amp;J$115&amp;":"&amp;$R$114)</f>
        <v>#</v>
      </c>
      <c r="Y257" s="461" t="str">
        <f>_xll.BLUEMATRIX2("/servlet/excelData",K257,$B$1,$B257&amp;":"&amp;K$115&amp;":"&amp;$R$114)</f>
        <v>#</v>
      </c>
      <c r="Z257" s="461" t="str">
        <f>_xll.BLUEMATRIX2("/servlet/excelData",L257,$B$1,$B257&amp;":"&amp;L$115&amp;":"&amp;$R$114)</f>
        <v>#</v>
      </c>
      <c r="AA257" s="461" t="str">
        <f>_xll.BLUEMATRIX2("/servlet/excelData",M257,$B$1,$B257&amp;":"&amp;M$115&amp;":"&amp;$R$114)</f>
        <v>#</v>
      </c>
      <c r="AB257" s="461" t="str">
        <f>_xll.BLUEMATRIX2("/servlet/excelData",N257,$B$1,$B257&amp;":"&amp;N$115&amp;":"&amp;$R$114)</f>
        <v>#</v>
      </c>
      <c r="AC257" s="461" t="str">
        <f>_xll.BLUEMATRIX2("/servlet/excelData",O257,$B$1,$B257&amp;":"&amp;O$115&amp;":"&amp;$R$114)</f>
        <v>#</v>
      </c>
      <c r="AD257" s="461" t="str">
        <f>_xll.BLUEMATRIX2("/servlet/excelData",P257,$B$1,$B257&amp;":"&amp;P$115&amp;":"&amp;$R$114)</f>
        <v>#</v>
      </c>
      <c r="AE257" s="461" t="str">
        <f>_xll.BLUEMATRIX2("/servlet/excelData",Q257,$B$1,$B257&amp;":"&amp;Q$115&amp;":"&amp;$R$114)</f>
        <v>#</v>
      </c>
    </row>
    <row r="258" spans="1:31" ht="12.95" customHeight="1">
      <c r="A258" s="342" t="s">
        <v>573</v>
      </c>
      <c r="B258" s="344" t="s">
        <v>574</v>
      </c>
      <c r="C258" s="374" t="s">
        <v>575</v>
      </c>
      <c r="D258" s="375"/>
      <c r="E258" s="414"/>
      <c r="F258" s="375">
        <f>FY!D101</f>
        <v>-33.299999999999997</v>
      </c>
      <c r="G258" s="375">
        <f>FY!E101</f>
        <v>-2.8</v>
      </c>
      <c r="H258" s="375">
        <f>FY!F101</f>
        <v>0</v>
      </c>
      <c r="I258" s="375">
        <f>FY!G101</f>
        <v>0</v>
      </c>
      <c r="J258" s="375">
        <f>FY!H101</f>
        <v>0</v>
      </c>
      <c r="K258" s="375">
        <f>FY!I101</f>
        <v>0</v>
      </c>
      <c r="L258" s="375">
        <f>FY!J101</f>
        <v>0</v>
      </c>
      <c r="M258" s="375">
        <f>FY!K101</f>
        <v>0</v>
      </c>
      <c r="N258" s="375">
        <f>FY!L101</f>
        <v>0</v>
      </c>
      <c r="O258" s="375">
        <f>FY!M101</f>
        <v>0</v>
      </c>
      <c r="P258" s="375">
        <f>FY!N101</f>
        <v>0</v>
      </c>
      <c r="Q258" s="375">
        <f>FY!O101</f>
        <v>0</v>
      </c>
      <c r="R258" s="320"/>
      <c r="S258" s="461" t="str">
        <f>_xll.BLUEMATRIX2("/servlet/excelData",E258,$B$1,$B258&amp;":"&amp;E$115&amp;":"&amp;$R$114)</f>
        <v>#</v>
      </c>
      <c r="T258" s="461" t="str">
        <f>_xll.BLUEMATRIX2("/servlet/excelData",F258,$B$1,$B258&amp;":"&amp;F$115&amp;":"&amp;$R$114)</f>
        <v>#</v>
      </c>
      <c r="U258" s="461" t="str">
        <f>_xll.BLUEMATRIX2("/servlet/excelData",G258,$B$1,$B258&amp;":"&amp;G$115&amp;":"&amp;$R$114)</f>
        <v>#</v>
      </c>
      <c r="V258" s="461" t="str">
        <f>_xll.BLUEMATRIX2("/servlet/excelData",H258,$B$1,$B258&amp;":"&amp;H$115&amp;":"&amp;$R$114)</f>
        <v>#</v>
      </c>
      <c r="W258" s="461" t="str">
        <f>_xll.BLUEMATRIX2("/servlet/excelData",I258,$B$1,$B258&amp;":"&amp;I$115&amp;":"&amp;$R$114)</f>
        <v>#</v>
      </c>
      <c r="X258" s="461" t="str">
        <f>_xll.BLUEMATRIX2("/servlet/excelData",J258,$B$1,$B258&amp;":"&amp;J$115&amp;":"&amp;$R$114)</f>
        <v>#</v>
      </c>
      <c r="Y258" s="461" t="str">
        <f>_xll.BLUEMATRIX2("/servlet/excelData",K258,$B$1,$B258&amp;":"&amp;K$115&amp;":"&amp;$R$114)</f>
        <v>#</v>
      </c>
      <c r="Z258" s="461" t="str">
        <f>_xll.BLUEMATRIX2("/servlet/excelData",L258,$B$1,$B258&amp;":"&amp;L$115&amp;":"&amp;$R$114)</f>
        <v>#</v>
      </c>
      <c r="AA258" s="461" t="str">
        <f>_xll.BLUEMATRIX2("/servlet/excelData",M258,$B$1,$B258&amp;":"&amp;M$115&amp;":"&amp;$R$114)</f>
        <v>#</v>
      </c>
      <c r="AB258" s="461" t="str">
        <f>_xll.BLUEMATRIX2("/servlet/excelData",N258,$B$1,$B258&amp;":"&amp;N$115&amp;":"&amp;$R$114)</f>
        <v>#</v>
      </c>
      <c r="AC258" s="461" t="str">
        <f>_xll.BLUEMATRIX2("/servlet/excelData",O258,$B$1,$B258&amp;":"&amp;O$115&amp;":"&amp;$R$114)</f>
        <v>#</v>
      </c>
      <c r="AD258" s="461" t="str">
        <f>_xll.BLUEMATRIX2("/servlet/excelData",P258,$B$1,$B258&amp;":"&amp;P$115&amp;":"&amp;$R$114)</f>
        <v>#</v>
      </c>
      <c r="AE258" s="461" t="str">
        <f>_xll.BLUEMATRIX2("/servlet/excelData",Q258,$B$1,$B258&amp;":"&amp;Q$115&amp;":"&amp;$R$114)</f>
        <v>#</v>
      </c>
    </row>
    <row r="259" spans="1:31" ht="12.95" customHeight="1">
      <c r="A259" s="342" t="s">
        <v>576</v>
      </c>
      <c r="B259" s="344" t="s">
        <v>577</v>
      </c>
      <c r="C259" s="374" t="s">
        <v>578</v>
      </c>
      <c r="D259" s="375"/>
      <c r="E259" s="375"/>
      <c r="F259" s="375">
        <f>FY!D99</f>
        <v>41.2</v>
      </c>
      <c r="G259" s="375">
        <f>FY!E99</f>
        <v>1.4</v>
      </c>
      <c r="H259" s="375">
        <f>FY!F99</f>
        <v>0.8</v>
      </c>
      <c r="I259" s="375">
        <f>FY!G99</f>
        <v>0</v>
      </c>
      <c r="J259" s="375">
        <f>FY!H99</f>
        <v>0</v>
      </c>
      <c r="K259" s="375">
        <f>FY!I99</f>
        <v>0</v>
      </c>
      <c r="L259" s="375">
        <f>FY!J99</f>
        <v>0</v>
      </c>
      <c r="M259" s="375">
        <f>FY!K99</f>
        <v>0</v>
      </c>
      <c r="N259" s="375">
        <f>FY!L99</f>
        <v>0</v>
      </c>
      <c r="O259" s="375">
        <f>FY!M99</f>
        <v>0</v>
      </c>
      <c r="P259" s="375">
        <f>FY!N99</f>
        <v>0</v>
      </c>
      <c r="Q259" s="375">
        <f>FY!O99</f>
        <v>0</v>
      </c>
      <c r="R259" s="320"/>
      <c r="S259" s="461" t="str">
        <f>_xll.BLUEMATRIX2("/servlet/excelData",E259,$B$1,$B259&amp;":"&amp;E$115&amp;":"&amp;$R$114)</f>
        <v>#</v>
      </c>
      <c r="T259" s="461" t="str">
        <f>_xll.BLUEMATRIX2("/servlet/excelData",F259,$B$1,$B259&amp;":"&amp;F$115&amp;":"&amp;$R$114)</f>
        <v>#</v>
      </c>
      <c r="U259" s="461" t="str">
        <f>_xll.BLUEMATRIX2("/servlet/excelData",G259,$B$1,$B259&amp;":"&amp;G$115&amp;":"&amp;$R$114)</f>
        <v>#</v>
      </c>
      <c r="V259" s="461" t="str">
        <f>_xll.BLUEMATRIX2("/servlet/excelData",H259,$B$1,$B259&amp;":"&amp;H$115&amp;":"&amp;$R$114)</f>
        <v>#</v>
      </c>
      <c r="W259" s="461" t="str">
        <f>_xll.BLUEMATRIX2("/servlet/excelData",I259,$B$1,$B259&amp;":"&amp;I$115&amp;":"&amp;$R$114)</f>
        <v>#</v>
      </c>
      <c r="X259" s="461" t="str">
        <f>_xll.BLUEMATRIX2("/servlet/excelData",J259,$B$1,$B259&amp;":"&amp;J$115&amp;":"&amp;$R$114)</f>
        <v>#</v>
      </c>
      <c r="Y259" s="461" t="str">
        <f>_xll.BLUEMATRIX2("/servlet/excelData",K259,$B$1,$B259&amp;":"&amp;K$115&amp;":"&amp;$R$114)</f>
        <v>#</v>
      </c>
      <c r="Z259" s="461" t="str">
        <f>_xll.BLUEMATRIX2("/servlet/excelData",L259,$B$1,$B259&amp;":"&amp;L$115&amp;":"&amp;$R$114)</f>
        <v>#</v>
      </c>
      <c r="AA259" s="461" t="str">
        <f>_xll.BLUEMATRIX2("/servlet/excelData",M259,$B$1,$B259&amp;":"&amp;M$115&amp;":"&amp;$R$114)</f>
        <v>#</v>
      </c>
      <c r="AB259" s="461" t="str">
        <f>_xll.BLUEMATRIX2("/servlet/excelData",N259,$B$1,$B259&amp;":"&amp;N$115&amp;":"&amp;$R$114)</f>
        <v>#</v>
      </c>
      <c r="AC259" s="461" t="str">
        <f>_xll.BLUEMATRIX2("/servlet/excelData",O259,$B$1,$B259&amp;":"&amp;O$115&amp;":"&amp;$R$114)</f>
        <v>#</v>
      </c>
      <c r="AD259" s="461" t="str">
        <f>_xll.BLUEMATRIX2("/servlet/excelData",P259,$B$1,$B259&amp;":"&amp;P$115&amp;":"&amp;$R$114)</f>
        <v>#</v>
      </c>
      <c r="AE259" s="461" t="str">
        <f>_xll.BLUEMATRIX2("/servlet/excelData",Q259,$B$1,$B259&amp;":"&amp;Q$115&amp;":"&amp;$R$114)</f>
        <v>#</v>
      </c>
    </row>
    <row r="260" spans="1:31" ht="12.95" customHeight="1">
      <c r="A260" s="342" t="s">
        <v>579</v>
      </c>
      <c r="B260" s="344" t="s">
        <v>580</v>
      </c>
      <c r="C260" s="374" t="s">
        <v>581</v>
      </c>
      <c r="D260" s="375"/>
      <c r="E260" s="414"/>
      <c r="F260" s="414"/>
      <c r="G260" s="414"/>
      <c r="H260" s="414"/>
      <c r="I260" s="414"/>
      <c r="J260" s="414"/>
      <c r="K260" s="414"/>
      <c r="L260" s="414"/>
      <c r="M260" s="414"/>
      <c r="N260" s="414"/>
      <c r="O260" s="414"/>
      <c r="P260" s="414"/>
      <c r="Q260" s="414"/>
      <c r="R260" s="320"/>
      <c r="S260" s="461" t="str">
        <f>_xll.BLUEMATRIX2("/servlet/excelData",E260,$B$1,$B260&amp;":"&amp;E$115&amp;":"&amp;$R$114)</f>
        <v>#</v>
      </c>
      <c r="T260" s="461" t="str">
        <f>_xll.BLUEMATRIX2("/servlet/excelData",F260,$B$1,$B260&amp;":"&amp;F$115&amp;":"&amp;$R$114)</f>
        <v>#</v>
      </c>
      <c r="U260" s="461" t="str">
        <f>_xll.BLUEMATRIX2("/servlet/excelData",G260,$B$1,$B260&amp;":"&amp;G$115&amp;":"&amp;$R$114)</f>
        <v>#</v>
      </c>
      <c r="V260" s="461" t="str">
        <f>_xll.BLUEMATRIX2("/servlet/excelData",H260,$B$1,$B260&amp;":"&amp;H$115&amp;":"&amp;$R$114)</f>
        <v>#</v>
      </c>
      <c r="W260" s="461" t="str">
        <f>_xll.BLUEMATRIX2("/servlet/excelData",I260,$B$1,$B260&amp;":"&amp;I$115&amp;":"&amp;$R$114)</f>
        <v>#</v>
      </c>
      <c r="X260" s="461" t="str">
        <f>_xll.BLUEMATRIX2("/servlet/excelData",J260,$B$1,$B260&amp;":"&amp;J$115&amp;":"&amp;$R$114)</f>
        <v>#</v>
      </c>
      <c r="Y260" s="461" t="str">
        <f>_xll.BLUEMATRIX2("/servlet/excelData",K260,$B$1,$B260&amp;":"&amp;K$115&amp;":"&amp;$R$114)</f>
        <v>#</v>
      </c>
      <c r="Z260" s="461" t="str">
        <f>_xll.BLUEMATRIX2("/servlet/excelData",L260,$B$1,$B260&amp;":"&amp;L$115&amp;":"&amp;$R$114)</f>
        <v>#</v>
      </c>
      <c r="AA260" s="461" t="str">
        <f>_xll.BLUEMATRIX2("/servlet/excelData",M260,$B$1,$B260&amp;":"&amp;M$115&amp;":"&amp;$R$114)</f>
        <v>#</v>
      </c>
      <c r="AB260" s="461" t="str">
        <f>_xll.BLUEMATRIX2("/servlet/excelData",N260,$B$1,$B260&amp;":"&amp;N$115&amp;":"&amp;$R$114)</f>
        <v>#</v>
      </c>
      <c r="AC260" s="461" t="str">
        <f>_xll.BLUEMATRIX2("/servlet/excelData",O260,$B$1,$B260&amp;":"&amp;O$115&amp;":"&amp;$R$114)</f>
        <v>#</v>
      </c>
      <c r="AD260" s="461" t="str">
        <f>_xll.BLUEMATRIX2("/servlet/excelData",P260,$B$1,$B260&amp;":"&amp;P$115&amp;":"&amp;$R$114)</f>
        <v>#</v>
      </c>
      <c r="AE260" s="461" t="str">
        <f>_xll.BLUEMATRIX2("/servlet/excelData",Q260,$B$1,$B260&amp;":"&amp;Q$115&amp;":"&amp;$R$114)</f>
        <v>#</v>
      </c>
    </row>
    <row r="261" spans="1:31" ht="12.95" customHeight="1">
      <c r="A261" s="342" t="s">
        <v>582</v>
      </c>
      <c r="B261" s="344" t="s">
        <v>583</v>
      </c>
      <c r="C261" s="374" t="s">
        <v>584</v>
      </c>
      <c r="D261" s="375"/>
      <c r="E261" s="375"/>
      <c r="F261" s="375">
        <f>FY!D100+FY!D102</f>
        <v>59</v>
      </c>
      <c r="G261" s="375">
        <f>FY!E100+FY!E102</f>
        <v>22.1</v>
      </c>
      <c r="H261" s="375">
        <f>FY!F100+FY!F102</f>
        <v>0</v>
      </c>
      <c r="I261" s="375">
        <f>FY!G100+FY!G102</f>
        <v>0</v>
      </c>
      <c r="J261" s="375">
        <f>FY!H100+FY!H102</f>
        <v>-312</v>
      </c>
      <c r="K261" s="375">
        <f>FY!I100+FY!I102</f>
        <v>-18</v>
      </c>
      <c r="L261" s="375">
        <f>FY!J100+FY!J102</f>
        <v>-8</v>
      </c>
      <c r="M261" s="375">
        <f>FY!K100+FY!K102</f>
        <v>0</v>
      </c>
      <c r="N261" s="375">
        <f>FY!L100+FY!L102</f>
        <v>0.90000000000000036</v>
      </c>
      <c r="O261" s="375">
        <f>FY!M100+FY!M102</f>
        <v>1.827</v>
      </c>
      <c r="P261" s="375">
        <f>FY!N100+FY!N102</f>
        <v>2.7818100000000019</v>
      </c>
      <c r="Q261" s="375">
        <f>FY!O100+FY!O102</f>
        <v>3.7652643000000037</v>
      </c>
      <c r="R261" s="320"/>
      <c r="S261" s="461" t="str">
        <f>_xll.BLUEMATRIX2("/servlet/excelData",E261,$B$1,$B261&amp;":"&amp;E$115&amp;":"&amp;$R$114)</f>
        <v>#</v>
      </c>
      <c r="T261" s="461" t="str">
        <f>_xll.BLUEMATRIX2("/servlet/excelData",F261,$B$1,$B261&amp;":"&amp;F$115&amp;":"&amp;$R$114)</f>
        <v>#</v>
      </c>
      <c r="U261" s="461" t="str">
        <f>_xll.BLUEMATRIX2("/servlet/excelData",G261,$B$1,$B261&amp;":"&amp;G$115&amp;":"&amp;$R$114)</f>
        <v>#</v>
      </c>
      <c r="V261" s="461" t="str">
        <f>_xll.BLUEMATRIX2("/servlet/excelData",H261,$B$1,$B261&amp;":"&amp;H$115&amp;":"&amp;$R$114)</f>
        <v>#</v>
      </c>
      <c r="W261" s="461" t="str">
        <f>_xll.BLUEMATRIX2("/servlet/excelData",I261,$B$1,$B261&amp;":"&amp;I$115&amp;":"&amp;$R$114)</f>
        <v>#</v>
      </c>
      <c r="X261" s="461" t="str">
        <f>_xll.BLUEMATRIX2("/servlet/excelData",J261,$B$1,$B261&amp;":"&amp;J$115&amp;":"&amp;$R$114)</f>
        <v>#</v>
      </c>
      <c r="Y261" s="461" t="str">
        <f>_xll.BLUEMATRIX2("/servlet/excelData",K261,$B$1,$B261&amp;":"&amp;K$115&amp;":"&amp;$R$114)</f>
        <v>#</v>
      </c>
      <c r="Z261" s="461" t="str">
        <f>_xll.BLUEMATRIX2("/servlet/excelData",L261,$B$1,$B261&amp;":"&amp;L$115&amp;":"&amp;$R$114)</f>
        <v>#</v>
      </c>
      <c r="AA261" s="461" t="str">
        <f>_xll.BLUEMATRIX2("/servlet/excelData",M261,$B$1,$B261&amp;":"&amp;M$115&amp;":"&amp;$R$114)</f>
        <v>#</v>
      </c>
      <c r="AB261" s="461" t="str">
        <f>_xll.BLUEMATRIX2("/servlet/excelData",N261,$B$1,$B261&amp;":"&amp;N$115&amp;":"&amp;$R$114)</f>
        <v>#</v>
      </c>
      <c r="AC261" s="461" t="str">
        <f>_xll.BLUEMATRIX2("/servlet/excelData",O261,$B$1,$B261&amp;":"&amp;O$115&amp;":"&amp;$R$114)</f>
        <v>#</v>
      </c>
      <c r="AD261" s="461" t="str">
        <f>_xll.BLUEMATRIX2("/servlet/excelData",P261,$B$1,$B261&amp;":"&amp;P$115&amp;":"&amp;$R$114)</f>
        <v>#</v>
      </c>
      <c r="AE261" s="461" t="str">
        <f>_xll.BLUEMATRIX2("/servlet/excelData",Q261,$B$1,$B261&amp;":"&amp;Q$115&amp;":"&amp;$R$114)</f>
        <v>#</v>
      </c>
    </row>
    <row r="262" spans="1:31" ht="12.95" customHeight="1">
      <c r="A262" s="342" t="s">
        <v>585</v>
      </c>
      <c r="B262" s="344" t="s">
        <v>586</v>
      </c>
      <c r="C262" s="398" t="s">
        <v>587</v>
      </c>
      <c r="D262" s="378"/>
      <c r="E262" s="378"/>
      <c r="F262" s="378">
        <f>F256+F257+F258+F259+F260+F261</f>
        <v>-130</v>
      </c>
      <c r="G262" s="378">
        <f>G256+G257+G258+G259+G260+G261</f>
        <v>-739.69999999999993</v>
      </c>
      <c r="H262" s="378">
        <f>H256+H257+H258+H259+H260+H261</f>
        <v>-117</v>
      </c>
      <c r="I262" s="378">
        <f>I256+I257+I258+I259+I260+I261</f>
        <v>-150.69999999999999</v>
      </c>
      <c r="J262" s="378">
        <f t="shared" ref="J262:Q262" si="37">J256+J257+J258+J259+J260+J261</f>
        <v>-472</v>
      </c>
      <c r="K262" s="378">
        <f t="shared" si="37"/>
        <v>-168</v>
      </c>
      <c r="L262" s="378">
        <f t="shared" si="37"/>
        <v>-137.51030025250009</v>
      </c>
      <c r="M262" s="378">
        <f t="shared" si="37"/>
        <v>-129.54750127387121</v>
      </c>
      <c r="N262" s="378">
        <f t="shared" si="37"/>
        <v>-130.76273142229658</v>
      </c>
      <c r="O262" s="378">
        <f t="shared" si="37"/>
        <v>-132.03199314407266</v>
      </c>
      <c r="P262" s="378">
        <f t="shared" si="37"/>
        <v>-133.35673163971092</v>
      </c>
      <c r="Q262" s="378">
        <f t="shared" si="37"/>
        <v>-134.73843722320518</v>
      </c>
      <c r="R262" s="376"/>
      <c r="S262" s="461" t="str">
        <f>_xll.BLUEMATRIX2("/servlet/excelData",E262,$B$1,$B262&amp;":"&amp;E$115&amp;":"&amp;$R$114)</f>
        <v>#</v>
      </c>
      <c r="T262" s="461" t="str">
        <f>_xll.BLUEMATRIX2("/servlet/excelData",F262,$B$1,$B262&amp;":"&amp;F$115&amp;":"&amp;$R$114)</f>
        <v>#</v>
      </c>
      <c r="U262" s="461" t="str">
        <f>_xll.BLUEMATRIX2("/servlet/excelData",G262,$B$1,$B262&amp;":"&amp;G$115&amp;":"&amp;$R$114)</f>
        <v>#</v>
      </c>
      <c r="V262" s="461" t="str">
        <f>_xll.BLUEMATRIX2("/servlet/excelData",H262,$B$1,$B262&amp;":"&amp;H$115&amp;":"&amp;$R$114)</f>
        <v>#</v>
      </c>
      <c r="W262" s="461" t="str">
        <f>_xll.BLUEMATRIX2("/servlet/excelData",I262,$B$1,$B262&amp;":"&amp;I$115&amp;":"&amp;$R$114)</f>
        <v>#</v>
      </c>
      <c r="X262" s="461" t="str">
        <f>_xll.BLUEMATRIX2("/servlet/excelData",J262,$B$1,$B262&amp;":"&amp;J$115&amp;":"&amp;$R$114)</f>
        <v>#</v>
      </c>
      <c r="Y262" s="461" t="str">
        <f>_xll.BLUEMATRIX2("/servlet/excelData",K262,$B$1,$B262&amp;":"&amp;K$115&amp;":"&amp;$R$114)</f>
        <v>#</v>
      </c>
      <c r="Z262" s="461" t="str">
        <f>_xll.BLUEMATRIX2("/servlet/excelData",L262,$B$1,$B262&amp;":"&amp;L$115&amp;":"&amp;$R$114)</f>
        <v>#</v>
      </c>
      <c r="AA262" s="461" t="str">
        <f>_xll.BLUEMATRIX2("/servlet/excelData",M262,$B$1,$B262&amp;":"&amp;M$115&amp;":"&amp;$R$114)</f>
        <v>#</v>
      </c>
      <c r="AB262" s="461" t="str">
        <f>_xll.BLUEMATRIX2("/servlet/excelData",N262,$B$1,$B262&amp;":"&amp;N$115&amp;":"&amp;$R$114)</f>
        <v>#</v>
      </c>
      <c r="AC262" s="461" t="str">
        <f>_xll.BLUEMATRIX2("/servlet/excelData",O262,$B$1,$B262&amp;":"&amp;O$115&amp;":"&amp;$R$114)</f>
        <v>#</v>
      </c>
      <c r="AD262" s="461" t="str">
        <f>_xll.BLUEMATRIX2("/servlet/excelData",P262,$B$1,$B262&amp;":"&amp;P$115&amp;":"&amp;$R$114)</f>
        <v>#</v>
      </c>
      <c r="AE262" s="461" t="str">
        <f>_xll.BLUEMATRIX2("/servlet/excelData",Q262,$B$1,$B262&amp;":"&amp;Q$115&amp;":"&amp;$R$114)</f>
        <v>#</v>
      </c>
    </row>
    <row r="263" spans="1:31" ht="12.95" customHeight="1">
      <c r="A263" s="342"/>
      <c r="B263" s="344"/>
      <c r="C263" s="463" t="s">
        <v>1148</v>
      </c>
      <c r="D263" s="464"/>
      <c r="E263" s="465"/>
      <c r="F263" s="465">
        <f>ROUND(FY!D104-F262,2)</f>
        <v>0</v>
      </c>
      <c r="G263" s="465">
        <f>ROUND(FY!E104-G262,2)</f>
        <v>0</v>
      </c>
      <c r="H263" s="465">
        <f>ROUND(FY!F104-H262,2)</f>
        <v>0</v>
      </c>
      <c r="I263" s="465">
        <f>ROUND(FY!G104-I262,2)</f>
        <v>0</v>
      </c>
      <c r="J263" s="465">
        <f>ROUND(FY!H104-J262,2)</f>
        <v>0</v>
      </c>
      <c r="K263" s="465">
        <f>ROUND(FY!I104-K262,2)</f>
        <v>0</v>
      </c>
      <c r="L263" s="465">
        <f>ROUND(FY!J104-L262,2)</f>
        <v>0</v>
      </c>
      <c r="M263" s="465">
        <f>ROUND(FY!K104-M262,2)</f>
        <v>0</v>
      </c>
      <c r="N263" s="465">
        <f>ROUND(FY!L104-N262,2)</f>
        <v>0</v>
      </c>
      <c r="O263" s="465">
        <f>ROUND(FY!M104-O262,2)</f>
        <v>0</v>
      </c>
      <c r="P263" s="465">
        <f>ROUND(FY!N104-P262,2)</f>
        <v>0</v>
      </c>
      <c r="Q263" s="465">
        <f>ROUND(FY!O104-Q262,2)</f>
        <v>0</v>
      </c>
      <c r="R263" s="320"/>
      <c r="S263" s="461"/>
      <c r="T263" s="461"/>
      <c r="U263" s="461"/>
      <c r="V263" s="461"/>
      <c r="W263" s="461"/>
      <c r="X263" s="461"/>
      <c r="Y263" s="461"/>
      <c r="Z263" s="461"/>
      <c r="AA263" s="461"/>
      <c r="AB263" s="461"/>
      <c r="AC263" s="461"/>
      <c r="AD263" s="461"/>
      <c r="AE263" s="461"/>
    </row>
    <row r="264" spans="1:31" ht="12.95" customHeight="1">
      <c r="A264" s="342"/>
      <c r="B264" s="344"/>
      <c r="C264" s="421"/>
      <c r="D264" s="405"/>
      <c r="E264" s="405"/>
      <c r="F264" s="405"/>
      <c r="G264" s="405"/>
      <c r="H264" s="405"/>
      <c r="I264" s="405"/>
      <c r="J264" s="405"/>
      <c r="K264" s="405"/>
      <c r="L264" s="405"/>
      <c r="M264" s="405"/>
      <c r="N264" s="405"/>
      <c r="O264" s="405"/>
      <c r="P264" s="405"/>
      <c r="Q264" s="405"/>
      <c r="R264" s="320"/>
      <c r="S264" s="461"/>
      <c r="T264" s="461"/>
      <c r="U264" s="461"/>
      <c r="V264" s="461"/>
      <c r="W264" s="461"/>
      <c r="X264" s="461"/>
      <c r="Y264" s="461"/>
      <c r="Z264" s="461"/>
      <c r="AA264" s="461"/>
      <c r="AB264" s="461"/>
      <c r="AC264" s="461"/>
      <c r="AD264" s="461"/>
      <c r="AE264" s="461"/>
    </row>
    <row r="265" spans="1:31" ht="12.95" customHeight="1">
      <c r="A265" s="342"/>
      <c r="B265" s="344"/>
      <c r="C265" s="417" t="s">
        <v>588</v>
      </c>
      <c r="D265" s="408"/>
      <c r="E265" s="408"/>
      <c r="F265" s="408"/>
      <c r="G265" s="408"/>
      <c r="H265" s="408"/>
      <c r="I265" s="408"/>
      <c r="J265" s="408"/>
      <c r="K265" s="408"/>
      <c r="L265" s="408"/>
      <c r="M265" s="408"/>
      <c r="N265" s="408"/>
      <c r="O265" s="408"/>
      <c r="P265" s="408"/>
      <c r="Q265" s="408"/>
      <c r="R265" s="320"/>
      <c r="S265" s="461"/>
      <c r="T265" s="461"/>
      <c r="U265" s="461"/>
      <c r="V265" s="461"/>
      <c r="W265" s="461"/>
      <c r="X265" s="461"/>
      <c r="Y265" s="461"/>
      <c r="Z265" s="461"/>
      <c r="AA265" s="461"/>
      <c r="AB265" s="461"/>
      <c r="AC265" s="461"/>
      <c r="AD265" s="461"/>
      <c r="AE265" s="461"/>
    </row>
    <row r="266" spans="1:31" ht="12.95" customHeight="1">
      <c r="A266" s="342" t="s">
        <v>589</v>
      </c>
      <c r="B266" s="344" t="s">
        <v>590</v>
      </c>
      <c r="C266" s="374" t="s">
        <v>591</v>
      </c>
      <c r="D266" s="375"/>
      <c r="E266" s="375"/>
      <c r="F266" s="375">
        <f>FY!D106+FY!D107</f>
        <v>-2.5</v>
      </c>
      <c r="G266" s="375">
        <f>FY!E106+FY!E107</f>
        <v>-2.2000000000000002</v>
      </c>
      <c r="H266" s="375">
        <f>FY!F106+FY!F107</f>
        <v>-5</v>
      </c>
      <c r="I266" s="375">
        <f>FY!G106+FY!G107</f>
        <v>0</v>
      </c>
      <c r="J266" s="375">
        <f>FY!H106+FY!H107</f>
        <v>0</v>
      </c>
      <c r="K266" s="375">
        <f>FY!I106+FY!I107</f>
        <v>0</v>
      </c>
      <c r="L266" s="375">
        <f>FY!J106+FY!J107</f>
        <v>0</v>
      </c>
      <c r="M266" s="375">
        <f>FY!K106+FY!K107</f>
        <v>0</v>
      </c>
      <c r="N266" s="375">
        <f>FY!L106+FY!L107</f>
        <v>0</v>
      </c>
      <c r="O266" s="375">
        <f>FY!M106+FY!M107</f>
        <v>0</v>
      </c>
      <c r="P266" s="375">
        <f>FY!N106+FY!N107</f>
        <v>0</v>
      </c>
      <c r="Q266" s="375">
        <f>FY!O106+FY!O107</f>
        <v>0</v>
      </c>
      <c r="R266" s="320"/>
      <c r="S266" s="461" t="str">
        <f>_xll.BLUEMATRIX2("/servlet/excelData",E266,$B$1,$B266&amp;":"&amp;E$115&amp;":"&amp;$R$114)</f>
        <v>#</v>
      </c>
      <c r="T266" s="461" t="str">
        <f>_xll.BLUEMATRIX2("/servlet/excelData",F266,$B$1,$B266&amp;":"&amp;F$115&amp;":"&amp;$R$114)</f>
        <v>#</v>
      </c>
      <c r="U266" s="461" t="str">
        <f>_xll.BLUEMATRIX2("/servlet/excelData",G266,$B$1,$B266&amp;":"&amp;G$115&amp;":"&amp;$R$114)</f>
        <v>#</v>
      </c>
      <c r="V266" s="461" t="str">
        <f>_xll.BLUEMATRIX2("/servlet/excelData",H266,$B$1,$B266&amp;":"&amp;H$115&amp;":"&amp;$R$114)</f>
        <v>#</v>
      </c>
      <c r="W266" s="461" t="str">
        <f>_xll.BLUEMATRIX2("/servlet/excelData",I266,$B$1,$B266&amp;":"&amp;I$115&amp;":"&amp;$R$114)</f>
        <v>#</v>
      </c>
      <c r="X266" s="461" t="str">
        <f>_xll.BLUEMATRIX2("/servlet/excelData",J266,$B$1,$B266&amp;":"&amp;J$115&amp;":"&amp;$R$114)</f>
        <v>#</v>
      </c>
      <c r="Y266" s="461" t="str">
        <f>_xll.BLUEMATRIX2("/servlet/excelData",K266,$B$1,$B266&amp;":"&amp;K$115&amp;":"&amp;$R$114)</f>
        <v>#</v>
      </c>
      <c r="Z266" s="461" t="str">
        <f>_xll.BLUEMATRIX2("/servlet/excelData",L266,$B$1,$B266&amp;":"&amp;L$115&amp;":"&amp;$R$114)</f>
        <v>#</v>
      </c>
      <c r="AA266" s="461" t="str">
        <f>_xll.BLUEMATRIX2("/servlet/excelData",M266,$B$1,$B266&amp;":"&amp;M$115&amp;":"&amp;$R$114)</f>
        <v>#</v>
      </c>
      <c r="AB266" s="461" t="str">
        <f>_xll.BLUEMATRIX2("/servlet/excelData",N266,$B$1,$B266&amp;":"&amp;N$115&amp;":"&amp;$R$114)</f>
        <v>#</v>
      </c>
      <c r="AC266" s="461" t="str">
        <f>_xll.BLUEMATRIX2("/servlet/excelData",O266,$B$1,$B266&amp;":"&amp;O$115&amp;":"&amp;$R$114)</f>
        <v>#</v>
      </c>
      <c r="AD266" s="461" t="str">
        <f>_xll.BLUEMATRIX2("/servlet/excelData",P266,$B$1,$B266&amp;":"&amp;P$115&amp;":"&amp;$R$114)</f>
        <v>#</v>
      </c>
      <c r="AE266" s="461" t="str">
        <f>_xll.BLUEMATRIX2("/servlet/excelData",Q266,$B$1,$B266&amp;":"&amp;Q$115&amp;":"&amp;$R$114)</f>
        <v>#</v>
      </c>
    </row>
    <row r="267" spans="1:31" ht="12.95" customHeight="1">
      <c r="A267" s="342" t="s">
        <v>592</v>
      </c>
      <c r="B267" s="344" t="s">
        <v>593</v>
      </c>
      <c r="C267" s="374" t="s">
        <v>594</v>
      </c>
      <c r="D267" s="375"/>
      <c r="E267" s="375"/>
      <c r="F267" s="375">
        <f>FY!D110</f>
        <v>424.9</v>
      </c>
      <c r="G267" s="375">
        <f>FY!E110</f>
        <v>0</v>
      </c>
      <c r="H267" s="375">
        <f>FY!F110</f>
        <v>0</v>
      </c>
      <c r="I267" s="375">
        <f>FY!G110</f>
        <v>300</v>
      </c>
      <c r="J267" s="375">
        <f>FY!H110</f>
        <v>175</v>
      </c>
      <c r="K267" s="375">
        <f>FY!I110</f>
        <v>0</v>
      </c>
      <c r="L267" s="375">
        <f>FY!J110</f>
        <v>0</v>
      </c>
      <c r="M267" s="375">
        <f>FY!K110</f>
        <v>0</v>
      </c>
      <c r="N267" s="375">
        <f>FY!L110</f>
        <v>0</v>
      </c>
      <c r="O267" s="375">
        <f>FY!M110</f>
        <v>0</v>
      </c>
      <c r="P267" s="375">
        <f>FY!N110</f>
        <v>0</v>
      </c>
      <c r="Q267" s="375">
        <f>FY!O110</f>
        <v>0</v>
      </c>
      <c r="R267" s="320"/>
      <c r="S267" s="461" t="str">
        <f>_xll.BLUEMATRIX2("/servlet/excelData",E267,$B$1,$B267&amp;":"&amp;E$115&amp;":"&amp;$R$114)</f>
        <v>#</v>
      </c>
      <c r="T267" s="461" t="str">
        <f>_xll.BLUEMATRIX2("/servlet/excelData",F267,$B$1,$B267&amp;":"&amp;F$115&amp;":"&amp;$R$114)</f>
        <v>#</v>
      </c>
      <c r="U267" s="461" t="str">
        <f>_xll.BLUEMATRIX2("/servlet/excelData",G267,$B$1,$B267&amp;":"&amp;G$115&amp;":"&amp;$R$114)</f>
        <v>#</v>
      </c>
      <c r="V267" s="461" t="str">
        <f>_xll.BLUEMATRIX2("/servlet/excelData",H267,$B$1,$B267&amp;":"&amp;H$115&amp;":"&amp;$R$114)</f>
        <v>#</v>
      </c>
      <c r="W267" s="461" t="str">
        <f>_xll.BLUEMATRIX2("/servlet/excelData",I267,$B$1,$B267&amp;":"&amp;I$115&amp;":"&amp;$R$114)</f>
        <v>#</v>
      </c>
      <c r="X267" s="461" t="str">
        <f>_xll.BLUEMATRIX2("/servlet/excelData",J267,$B$1,$B267&amp;":"&amp;J$115&amp;":"&amp;$R$114)</f>
        <v>#</v>
      </c>
      <c r="Y267" s="461" t="str">
        <f>_xll.BLUEMATRIX2("/servlet/excelData",K267,$B$1,$B267&amp;":"&amp;K$115&amp;":"&amp;$R$114)</f>
        <v>#</v>
      </c>
      <c r="Z267" s="461" t="str">
        <f>_xll.BLUEMATRIX2("/servlet/excelData",L267,$B$1,$B267&amp;":"&amp;L$115&amp;":"&amp;$R$114)</f>
        <v>#</v>
      </c>
      <c r="AA267" s="461" t="str">
        <f>_xll.BLUEMATRIX2("/servlet/excelData",M267,$B$1,$B267&amp;":"&amp;M$115&amp;":"&amp;$R$114)</f>
        <v>#</v>
      </c>
      <c r="AB267" s="461" t="str">
        <f>_xll.BLUEMATRIX2("/servlet/excelData",N267,$B$1,$B267&amp;":"&amp;N$115&amp;":"&amp;$R$114)</f>
        <v>#</v>
      </c>
      <c r="AC267" s="461" t="str">
        <f>_xll.BLUEMATRIX2("/servlet/excelData",O267,$B$1,$B267&amp;":"&amp;O$115&amp;":"&amp;$R$114)</f>
        <v>#</v>
      </c>
      <c r="AD267" s="461" t="str">
        <f>_xll.BLUEMATRIX2("/servlet/excelData",P267,$B$1,$B267&amp;":"&amp;P$115&amp;":"&amp;$R$114)</f>
        <v>#</v>
      </c>
      <c r="AE267" s="461" t="str">
        <f>_xll.BLUEMATRIX2("/servlet/excelData",Q267,$B$1,$B267&amp;":"&amp;Q$115&amp;":"&amp;$R$114)</f>
        <v>#</v>
      </c>
    </row>
    <row r="268" spans="1:31" ht="12.95" customHeight="1">
      <c r="A268" s="342" t="s">
        <v>595</v>
      </c>
      <c r="B268" s="344" t="s">
        <v>596</v>
      </c>
      <c r="C268" s="418" t="s">
        <v>597</v>
      </c>
      <c r="D268" s="375"/>
      <c r="E268" s="375"/>
      <c r="F268" s="375"/>
      <c r="G268" s="375"/>
      <c r="H268" s="375"/>
      <c r="I268" s="375"/>
      <c r="J268" s="375"/>
      <c r="K268" s="375"/>
      <c r="L268" s="375"/>
      <c r="M268" s="375"/>
      <c r="N268" s="375"/>
      <c r="O268" s="375"/>
      <c r="P268" s="375"/>
      <c r="Q268" s="375"/>
      <c r="R268" s="375"/>
      <c r="S268" s="461" t="str">
        <f>_xll.BLUEMATRIX2("/servlet/excelData",E268,$B$1,$B268&amp;":"&amp;E$115&amp;":"&amp;$R$114)</f>
        <v>#</v>
      </c>
      <c r="T268" s="461" t="str">
        <f>_xll.BLUEMATRIX2("/servlet/excelData",F268,$B$1,$B268&amp;":"&amp;F$115&amp;":"&amp;$R$114)</f>
        <v>#</v>
      </c>
      <c r="U268" s="461" t="str">
        <f>_xll.BLUEMATRIX2("/servlet/excelData",G268,$B$1,$B268&amp;":"&amp;G$115&amp;":"&amp;$R$114)</f>
        <v>#</v>
      </c>
      <c r="V268" s="461" t="str">
        <f>_xll.BLUEMATRIX2("/servlet/excelData",H268,$B$1,$B268&amp;":"&amp;H$115&amp;":"&amp;$R$114)</f>
        <v>#</v>
      </c>
      <c r="W268" s="461" t="str">
        <f>_xll.BLUEMATRIX2("/servlet/excelData",I268,$B$1,$B268&amp;":"&amp;I$115&amp;":"&amp;$R$114)</f>
        <v>#</v>
      </c>
      <c r="X268" s="461" t="str">
        <f>_xll.BLUEMATRIX2("/servlet/excelData",J268,$B$1,$B268&amp;":"&amp;J$115&amp;":"&amp;$R$114)</f>
        <v>#</v>
      </c>
      <c r="Y268" s="461" t="str">
        <f>_xll.BLUEMATRIX2("/servlet/excelData",K268,$B$1,$B268&amp;":"&amp;K$115&amp;":"&amp;$R$114)</f>
        <v>#</v>
      </c>
      <c r="Z268" s="461" t="str">
        <f>_xll.BLUEMATRIX2("/servlet/excelData",L268,$B$1,$B268&amp;":"&amp;L$115&amp;":"&amp;$R$114)</f>
        <v>#</v>
      </c>
      <c r="AA268" s="461" t="str">
        <f>_xll.BLUEMATRIX2("/servlet/excelData",M268,$B$1,$B268&amp;":"&amp;M$115&amp;":"&amp;$R$114)</f>
        <v>#</v>
      </c>
      <c r="AB268" s="461" t="str">
        <f>_xll.BLUEMATRIX2("/servlet/excelData",N268,$B$1,$B268&amp;":"&amp;N$115&amp;":"&amp;$R$114)</f>
        <v>#</v>
      </c>
      <c r="AC268" s="461" t="str">
        <f>_xll.BLUEMATRIX2("/servlet/excelData",O268,$B$1,$B268&amp;":"&amp;O$115&amp;":"&amp;$R$114)</f>
        <v>#</v>
      </c>
      <c r="AD268" s="461" t="str">
        <f>_xll.BLUEMATRIX2("/servlet/excelData",P268,$B$1,$B268&amp;":"&amp;P$115&amp;":"&amp;$R$114)</f>
        <v>#</v>
      </c>
      <c r="AE268" s="461" t="str">
        <f>_xll.BLUEMATRIX2("/servlet/excelData",Q268,$B$1,$B268&amp;":"&amp;Q$115&amp;":"&amp;$R$114)</f>
        <v>#</v>
      </c>
    </row>
    <row r="269" spans="1:31" ht="12.95" customHeight="1">
      <c r="A269" s="342" t="s">
        <v>598</v>
      </c>
      <c r="B269" s="344" t="s">
        <v>599</v>
      </c>
      <c r="C269" s="374" t="s">
        <v>600</v>
      </c>
      <c r="D269" s="375"/>
      <c r="E269" s="375"/>
      <c r="F269" s="375">
        <f>FY!D108+FY!D109</f>
        <v>-122.9</v>
      </c>
      <c r="G269" s="375">
        <f>FY!E108+FY!E109</f>
        <v>-43.8</v>
      </c>
      <c r="H269" s="375">
        <f>FY!F108+FY!F109</f>
        <v>-28.299999999999997</v>
      </c>
      <c r="I269" s="375">
        <f>FY!G108+FY!G109</f>
        <v>-50.8</v>
      </c>
      <c r="J269" s="375">
        <f>FY!H108+FY!H109</f>
        <v>-73.363199999999992</v>
      </c>
      <c r="K269" s="375">
        <f>FY!I108+FY!I109</f>
        <v>-73.363199999999992</v>
      </c>
      <c r="L269" s="375">
        <f>FY!J108+FY!J109</f>
        <v>-85.474577275956733</v>
      </c>
      <c r="M269" s="375">
        <f>FY!K108+FY!K109</f>
        <v>-75.645628448427033</v>
      </c>
      <c r="N269" s="375">
        <f>FY!L108+FY!L109</f>
        <v>-80.970838269357188</v>
      </c>
      <c r="O269" s="375">
        <f>FY!M108+FY!M109</f>
        <v>0</v>
      </c>
      <c r="P269" s="375">
        <f>FY!N108+FY!N109</f>
        <v>0</v>
      </c>
      <c r="Q269" s="375">
        <f>FY!O108+FY!O109</f>
        <v>0</v>
      </c>
      <c r="R269" s="320"/>
      <c r="S269" s="461" t="str">
        <f>_xll.BLUEMATRIX2("/servlet/excelData",E269,$B$1,$B269&amp;":"&amp;E$115&amp;":"&amp;$R$114)</f>
        <v>#</v>
      </c>
      <c r="T269" s="461" t="str">
        <f>_xll.BLUEMATRIX2("/servlet/excelData",F269,$B$1,$B269&amp;":"&amp;F$115&amp;":"&amp;$R$114)</f>
        <v>#</v>
      </c>
      <c r="U269" s="461" t="str">
        <f>_xll.BLUEMATRIX2("/servlet/excelData",G269,$B$1,$B269&amp;":"&amp;G$115&amp;":"&amp;$R$114)</f>
        <v>#</v>
      </c>
      <c r="V269" s="461" t="str">
        <f>_xll.BLUEMATRIX2("/servlet/excelData",H269,$B$1,$B269&amp;":"&amp;H$115&amp;":"&amp;$R$114)</f>
        <v>#</v>
      </c>
      <c r="W269" s="461" t="str">
        <f>_xll.BLUEMATRIX2("/servlet/excelData",I269,$B$1,$B269&amp;":"&amp;I$115&amp;":"&amp;$R$114)</f>
        <v>#</v>
      </c>
      <c r="X269" s="461" t="str">
        <f>_xll.BLUEMATRIX2("/servlet/excelData",J269,$B$1,$B269&amp;":"&amp;J$115&amp;":"&amp;$R$114)</f>
        <v>#</v>
      </c>
      <c r="Y269" s="461" t="str">
        <f>_xll.BLUEMATRIX2("/servlet/excelData",K269,$B$1,$B269&amp;":"&amp;K$115&amp;":"&amp;$R$114)</f>
        <v>#</v>
      </c>
      <c r="Z269" s="461" t="str">
        <f>_xll.BLUEMATRIX2("/servlet/excelData",L269,$B$1,$B269&amp;":"&amp;L$115&amp;":"&amp;$R$114)</f>
        <v>#</v>
      </c>
      <c r="AA269" s="461" t="str">
        <f>_xll.BLUEMATRIX2("/servlet/excelData",M269,$B$1,$B269&amp;":"&amp;M$115&amp;":"&amp;$R$114)</f>
        <v>#</v>
      </c>
      <c r="AB269" s="461" t="str">
        <f>_xll.BLUEMATRIX2("/servlet/excelData",N269,$B$1,$B269&amp;":"&amp;N$115&amp;":"&amp;$R$114)</f>
        <v>#</v>
      </c>
      <c r="AC269" s="461" t="str">
        <f>_xll.BLUEMATRIX2("/servlet/excelData",O269,$B$1,$B269&amp;":"&amp;O$115&amp;":"&amp;$R$114)</f>
        <v>#</v>
      </c>
      <c r="AD269" s="461" t="str">
        <f>_xll.BLUEMATRIX2("/servlet/excelData",P269,$B$1,$B269&amp;":"&amp;P$115&amp;":"&amp;$R$114)</f>
        <v>#</v>
      </c>
      <c r="AE269" s="461" t="str">
        <f>_xll.BLUEMATRIX2("/servlet/excelData",Q269,$B$1,$B269&amp;":"&amp;Q$115&amp;":"&amp;$R$114)</f>
        <v>#</v>
      </c>
    </row>
    <row r="270" spans="1:31" ht="12.95" customHeight="1">
      <c r="A270" s="342" t="s">
        <v>601</v>
      </c>
      <c r="B270" s="344" t="s">
        <v>602</v>
      </c>
      <c r="C270" s="374" t="s">
        <v>603</v>
      </c>
      <c r="D270" s="375"/>
      <c r="E270" s="414"/>
      <c r="F270" s="414"/>
      <c r="G270" s="414"/>
      <c r="H270" s="414"/>
      <c r="I270" s="414"/>
      <c r="J270" s="414"/>
      <c r="K270" s="414"/>
      <c r="L270" s="414"/>
      <c r="M270" s="414"/>
      <c r="N270" s="414"/>
      <c r="O270" s="414"/>
      <c r="P270" s="414"/>
      <c r="Q270" s="414"/>
      <c r="R270" s="320"/>
      <c r="S270" s="461" t="str">
        <f>_xll.BLUEMATRIX2("/servlet/excelData",E270,$B$1,$B270&amp;":"&amp;E$115&amp;":"&amp;$R$114)</f>
        <v>#</v>
      </c>
      <c r="T270" s="461" t="str">
        <f>_xll.BLUEMATRIX2("/servlet/excelData",F270,$B$1,$B270&amp;":"&amp;F$115&amp;":"&amp;$R$114)</f>
        <v>#</v>
      </c>
      <c r="U270" s="461" t="str">
        <f>_xll.BLUEMATRIX2("/servlet/excelData",G270,$B$1,$B270&amp;":"&amp;G$115&amp;":"&amp;$R$114)</f>
        <v>#</v>
      </c>
      <c r="V270" s="461" t="str">
        <f>_xll.BLUEMATRIX2("/servlet/excelData",H270,$B$1,$B270&amp;":"&amp;H$115&amp;":"&amp;$R$114)</f>
        <v>#</v>
      </c>
      <c r="W270" s="461" t="str">
        <f>_xll.BLUEMATRIX2("/servlet/excelData",I270,$B$1,$B270&amp;":"&amp;I$115&amp;":"&amp;$R$114)</f>
        <v>#</v>
      </c>
      <c r="X270" s="461" t="str">
        <f>_xll.BLUEMATRIX2("/servlet/excelData",J270,$B$1,$B270&amp;":"&amp;J$115&amp;":"&amp;$R$114)</f>
        <v>#</v>
      </c>
      <c r="Y270" s="461" t="str">
        <f>_xll.BLUEMATRIX2("/servlet/excelData",K270,$B$1,$B270&amp;":"&amp;K$115&amp;":"&amp;$R$114)</f>
        <v>#</v>
      </c>
      <c r="Z270" s="461" t="str">
        <f>_xll.BLUEMATRIX2("/servlet/excelData",L270,$B$1,$B270&amp;":"&amp;L$115&amp;":"&amp;$R$114)</f>
        <v>#</v>
      </c>
      <c r="AA270" s="461" t="str">
        <f>_xll.BLUEMATRIX2("/servlet/excelData",M270,$B$1,$B270&amp;":"&amp;M$115&amp;":"&amp;$R$114)</f>
        <v>#</v>
      </c>
      <c r="AB270" s="461" t="str">
        <f>_xll.BLUEMATRIX2("/servlet/excelData",N270,$B$1,$B270&amp;":"&amp;N$115&amp;":"&amp;$R$114)</f>
        <v>#</v>
      </c>
      <c r="AC270" s="461" t="str">
        <f>_xll.BLUEMATRIX2("/servlet/excelData",O270,$B$1,$B270&amp;":"&amp;O$115&amp;":"&amp;$R$114)</f>
        <v>#</v>
      </c>
      <c r="AD270" s="461" t="str">
        <f>_xll.BLUEMATRIX2("/servlet/excelData",P270,$B$1,$B270&amp;":"&amp;P$115&amp;":"&amp;$R$114)</f>
        <v>#</v>
      </c>
      <c r="AE270" s="461" t="str">
        <f>_xll.BLUEMATRIX2("/servlet/excelData",Q270,$B$1,$B270&amp;":"&amp;Q$115&amp;":"&amp;$R$114)</f>
        <v>#</v>
      </c>
    </row>
    <row r="271" spans="1:31" ht="12.95" customHeight="1">
      <c r="A271" s="342" t="s">
        <v>604</v>
      </c>
      <c r="B271" s="344" t="s">
        <v>605</v>
      </c>
      <c r="C271" s="374" t="s">
        <v>606</v>
      </c>
      <c r="D271" s="375"/>
      <c r="E271" s="375"/>
      <c r="F271" s="375">
        <f>FY!D111+FY!D112+FY!D113</f>
        <v>-197.5</v>
      </c>
      <c r="G271" s="375">
        <f>FY!E111+FY!E112+FY!E113</f>
        <v>563.5</v>
      </c>
      <c r="H271" s="375">
        <f>FY!F111+FY!F112+FY!F113</f>
        <v>-333.4</v>
      </c>
      <c r="I271" s="375">
        <f>FY!G111+FY!G112+FY!G113</f>
        <v>-338.5</v>
      </c>
      <c r="J271" s="375">
        <f>FY!H111+FY!H112+FY!H113</f>
        <v>0</v>
      </c>
      <c r="K271" s="375">
        <f>FY!I111+FY!I112+FY!I113</f>
        <v>0</v>
      </c>
      <c r="L271" s="375">
        <f>FY!J111+FY!J112+FY!J113</f>
        <v>0</v>
      </c>
      <c r="M271" s="375">
        <f>FY!K111+FY!K112+FY!K113</f>
        <v>0</v>
      </c>
      <c r="N271" s="375">
        <f>FY!L111+FY!L112+FY!L113</f>
        <v>0</v>
      </c>
      <c r="O271" s="375">
        <f>FY!M111+FY!M112+FY!M113</f>
        <v>0</v>
      </c>
      <c r="P271" s="375">
        <f>FY!N111+FY!N112+FY!N113</f>
        <v>0</v>
      </c>
      <c r="Q271" s="375">
        <f>FY!O111+FY!O112+FY!O113</f>
        <v>0</v>
      </c>
      <c r="R271" s="320"/>
      <c r="S271" s="461" t="str">
        <f>_xll.BLUEMATRIX2("/servlet/excelData",E271,$B$1,$B271&amp;":"&amp;E$115&amp;":"&amp;$R$114)</f>
        <v>#</v>
      </c>
      <c r="T271" s="461" t="str">
        <f>_xll.BLUEMATRIX2("/servlet/excelData",F271,$B$1,$B271&amp;":"&amp;F$115&amp;":"&amp;$R$114)</f>
        <v>#</v>
      </c>
      <c r="U271" s="461" t="str">
        <f>_xll.BLUEMATRIX2("/servlet/excelData",G271,$B$1,$B271&amp;":"&amp;G$115&amp;":"&amp;$R$114)</f>
        <v>#</v>
      </c>
      <c r="V271" s="461" t="str">
        <f>_xll.BLUEMATRIX2("/servlet/excelData",H271,$B$1,$B271&amp;":"&amp;H$115&amp;":"&amp;$R$114)</f>
        <v>#</v>
      </c>
      <c r="W271" s="461" t="str">
        <f>_xll.BLUEMATRIX2("/servlet/excelData",I271,$B$1,$B271&amp;":"&amp;I$115&amp;":"&amp;$R$114)</f>
        <v>#</v>
      </c>
      <c r="X271" s="461" t="str">
        <f>_xll.BLUEMATRIX2("/servlet/excelData",J271,$B$1,$B271&amp;":"&amp;J$115&amp;":"&amp;$R$114)</f>
        <v>#</v>
      </c>
      <c r="Y271" s="461" t="str">
        <f>_xll.BLUEMATRIX2("/servlet/excelData",K271,$B$1,$B271&amp;":"&amp;K$115&amp;":"&amp;$R$114)</f>
        <v>#</v>
      </c>
      <c r="Z271" s="461" t="str">
        <f>_xll.BLUEMATRIX2("/servlet/excelData",L271,$B$1,$B271&amp;":"&amp;L$115&amp;":"&amp;$R$114)</f>
        <v>#</v>
      </c>
      <c r="AA271" s="461" t="str">
        <f>_xll.BLUEMATRIX2("/servlet/excelData",M271,$B$1,$B271&amp;":"&amp;M$115&amp;":"&amp;$R$114)</f>
        <v>#</v>
      </c>
      <c r="AB271" s="461" t="str">
        <f>_xll.BLUEMATRIX2("/servlet/excelData",N271,$B$1,$B271&amp;":"&amp;N$115&amp;":"&amp;$R$114)</f>
        <v>#</v>
      </c>
      <c r="AC271" s="461" t="str">
        <f>_xll.BLUEMATRIX2("/servlet/excelData",O271,$B$1,$B271&amp;":"&amp;O$115&amp;":"&amp;$R$114)</f>
        <v>#</v>
      </c>
      <c r="AD271" s="461" t="str">
        <f>_xll.BLUEMATRIX2("/servlet/excelData",P271,$B$1,$B271&amp;":"&amp;P$115&amp;":"&amp;$R$114)</f>
        <v>#</v>
      </c>
      <c r="AE271" s="461" t="str">
        <f>_xll.BLUEMATRIX2("/servlet/excelData",Q271,$B$1,$B271&amp;":"&amp;Q$115&amp;":"&amp;$R$114)</f>
        <v>#</v>
      </c>
    </row>
    <row r="272" spans="1:31" ht="12.95" customHeight="1">
      <c r="A272" s="342" t="s">
        <v>607</v>
      </c>
      <c r="B272" s="344" t="s">
        <v>608</v>
      </c>
      <c r="C272" s="398" t="s">
        <v>609</v>
      </c>
      <c r="D272" s="378"/>
      <c r="E272" s="378"/>
      <c r="F272" s="378">
        <f>F266+F267+F268+F269+F270+F271</f>
        <v>102</v>
      </c>
      <c r="G272" s="378">
        <f t="shared" ref="G272:Q272" si="38">G266+G267+G268+G269+G270+G271</f>
        <v>517.5</v>
      </c>
      <c r="H272" s="378">
        <f t="shared" si="38"/>
        <v>-366.7</v>
      </c>
      <c r="I272" s="378">
        <f t="shared" si="38"/>
        <v>-89.300000000000011</v>
      </c>
      <c r="J272" s="378">
        <f t="shared" si="38"/>
        <v>101.63680000000001</v>
      </c>
      <c r="K272" s="378">
        <f t="shared" si="38"/>
        <v>-73.363199999999992</v>
      </c>
      <c r="L272" s="378">
        <f t="shared" si="38"/>
        <v>-85.474577275956733</v>
      </c>
      <c r="M272" s="378">
        <f t="shared" si="38"/>
        <v>-75.645628448427033</v>
      </c>
      <c r="N272" s="378">
        <f t="shared" si="38"/>
        <v>-80.970838269357188</v>
      </c>
      <c r="O272" s="378">
        <f t="shared" si="38"/>
        <v>0</v>
      </c>
      <c r="P272" s="378">
        <f t="shared" si="38"/>
        <v>0</v>
      </c>
      <c r="Q272" s="378">
        <f t="shared" si="38"/>
        <v>0</v>
      </c>
      <c r="R272" s="320"/>
      <c r="S272" s="461" t="str">
        <f>_xll.BLUEMATRIX2("/servlet/excelData",E272,$B$1,$B272&amp;":"&amp;E$115&amp;":"&amp;$R$114)</f>
        <v>#</v>
      </c>
      <c r="T272" s="461" t="str">
        <f>_xll.BLUEMATRIX2("/servlet/excelData",F272,$B$1,$B272&amp;":"&amp;F$115&amp;":"&amp;$R$114)</f>
        <v>#</v>
      </c>
      <c r="U272" s="461" t="str">
        <f>_xll.BLUEMATRIX2("/servlet/excelData",G272,$B$1,$B272&amp;":"&amp;G$115&amp;":"&amp;$R$114)</f>
        <v>#</v>
      </c>
      <c r="V272" s="461" t="str">
        <f>_xll.BLUEMATRIX2("/servlet/excelData",H272,$B$1,$B272&amp;":"&amp;H$115&amp;":"&amp;$R$114)</f>
        <v>#</v>
      </c>
      <c r="W272" s="461" t="str">
        <f>_xll.BLUEMATRIX2("/servlet/excelData",I272,$B$1,$B272&amp;":"&amp;I$115&amp;":"&amp;$R$114)</f>
        <v>#</v>
      </c>
      <c r="X272" s="461" t="str">
        <f>_xll.BLUEMATRIX2("/servlet/excelData",J272,$B$1,$B272&amp;":"&amp;J$115&amp;":"&amp;$R$114)</f>
        <v>#</v>
      </c>
      <c r="Y272" s="461" t="str">
        <f>_xll.BLUEMATRIX2("/servlet/excelData",K272,$B$1,$B272&amp;":"&amp;K$115&amp;":"&amp;$R$114)</f>
        <v>#</v>
      </c>
      <c r="Z272" s="461" t="str">
        <f>_xll.BLUEMATRIX2("/servlet/excelData",L272,$B$1,$B272&amp;":"&amp;L$115&amp;":"&amp;$R$114)</f>
        <v>#</v>
      </c>
      <c r="AA272" s="461" t="str">
        <f>_xll.BLUEMATRIX2("/servlet/excelData",M272,$B$1,$B272&amp;":"&amp;M$115&amp;":"&amp;$R$114)</f>
        <v>#</v>
      </c>
      <c r="AB272" s="461" t="str">
        <f>_xll.BLUEMATRIX2("/servlet/excelData",N272,$B$1,$B272&amp;":"&amp;N$115&amp;":"&amp;$R$114)</f>
        <v>#</v>
      </c>
      <c r="AC272" s="461" t="str">
        <f>_xll.BLUEMATRIX2("/servlet/excelData",O272,$B$1,$B272&amp;":"&amp;O$115&amp;":"&amp;$R$114)</f>
        <v>#</v>
      </c>
      <c r="AD272" s="461" t="str">
        <f>_xll.BLUEMATRIX2("/servlet/excelData",P272,$B$1,$B272&amp;":"&amp;P$115&amp;":"&amp;$R$114)</f>
        <v>#</v>
      </c>
      <c r="AE272" s="461" t="str">
        <f>_xll.BLUEMATRIX2("/servlet/excelData",Q272,$B$1,$B272&amp;":"&amp;Q$115&amp;":"&amp;$R$114)</f>
        <v>#</v>
      </c>
    </row>
    <row r="273" spans="1:31">
      <c r="C273" s="463" t="s">
        <v>1274</v>
      </c>
      <c r="D273" s="464"/>
      <c r="E273" s="465"/>
      <c r="F273" s="465">
        <f>ROUND(FY!D115-F272,2)</f>
        <v>0</v>
      </c>
      <c r="G273" s="465">
        <f>ROUND(FY!E115-G272,2)</f>
        <v>0</v>
      </c>
      <c r="H273" s="465">
        <f>ROUND(FY!F115-H272,2)</f>
        <v>0</v>
      </c>
      <c r="I273" s="465">
        <f>ROUND(FY!G115-I272,2)</f>
        <v>0</v>
      </c>
      <c r="J273" s="465">
        <f>ROUND(FY!H115-J272,2)</f>
        <v>0</v>
      </c>
      <c r="K273" s="465">
        <f>ROUND(FY!I115-K272,2)</f>
        <v>0</v>
      </c>
      <c r="L273" s="465">
        <f>ROUND(FY!J115-L272,2)</f>
        <v>0</v>
      </c>
      <c r="M273" s="465">
        <f>ROUND(FY!K115-M272,2)</f>
        <v>0</v>
      </c>
      <c r="N273" s="465">
        <f>ROUND(FY!L115-N272,2)</f>
        <v>0</v>
      </c>
      <c r="O273" s="465">
        <f>ROUND(FY!M115-O272,2)</f>
        <v>0</v>
      </c>
      <c r="P273" s="465">
        <f>ROUND(FY!N115-P272,2)</f>
        <v>0</v>
      </c>
      <c r="Q273" s="465">
        <f>ROUND(FY!O115-Q272,2)</f>
        <v>0</v>
      </c>
    </row>
    <row r="274" spans="1:31" ht="12.95" customHeight="1">
      <c r="A274" s="342"/>
      <c r="B274" s="344"/>
      <c r="C274" s="393"/>
      <c r="D274" s="383"/>
      <c r="E274" s="383"/>
      <c r="F274" s="383"/>
      <c r="G274" s="383"/>
      <c r="H274" s="383"/>
      <c r="I274" s="383"/>
      <c r="J274" s="383"/>
      <c r="K274" s="383"/>
      <c r="L274" s="383"/>
      <c r="M274" s="383"/>
      <c r="N274" s="383"/>
      <c r="O274" s="383"/>
      <c r="P274" s="383"/>
      <c r="Q274" s="383"/>
      <c r="R274" s="320"/>
      <c r="S274" s="461"/>
      <c r="T274" s="461"/>
      <c r="U274" s="461"/>
      <c r="V274" s="461"/>
      <c r="W274" s="461"/>
      <c r="X274" s="461"/>
      <c r="Y274" s="461"/>
      <c r="Z274" s="461"/>
      <c r="AA274" s="461"/>
      <c r="AB274" s="461"/>
      <c r="AC274" s="461"/>
      <c r="AD274" s="461"/>
      <c r="AE274" s="461"/>
    </row>
    <row r="275" spans="1:31" ht="12.95" customHeight="1">
      <c r="A275" s="342" t="s">
        <v>610</v>
      </c>
      <c r="B275" s="344" t="s">
        <v>611</v>
      </c>
      <c r="C275" s="422" t="s">
        <v>612</v>
      </c>
      <c r="D275" s="375"/>
      <c r="E275" s="375"/>
      <c r="F275" s="375">
        <f>FY!D118</f>
        <v>0</v>
      </c>
      <c r="G275" s="375">
        <f>FY!E118</f>
        <v>0</v>
      </c>
      <c r="H275" s="375">
        <f>FY!F118</f>
        <v>0</v>
      </c>
      <c r="I275" s="375">
        <f>FY!G118</f>
        <v>0</v>
      </c>
      <c r="J275" s="375">
        <f>FY!H118</f>
        <v>0</v>
      </c>
      <c r="K275" s="375">
        <f>FY!I118</f>
        <v>0</v>
      </c>
      <c r="L275" s="375">
        <f>FY!J118</f>
        <v>0</v>
      </c>
      <c r="M275" s="375">
        <f>FY!K118</f>
        <v>0</v>
      </c>
      <c r="N275" s="375">
        <f>FY!L118</f>
        <v>0</v>
      </c>
      <c r="O275" s="375">
        <f>FY!M118</f>
        <v>0</v>
      </c>
      <c r="P275" s="375">
        <f>FY!N118</f>
        <v>0</v>
      </c>
      <c r="Q275" s="375">
        <f>FY!O118</f>
        <v>0</v>
      </c>
      <c r="R275" s="320"/>
      <c r="S275" s="461" t="str">
        <f>_xll.BLUEMATRIX2("/servlet/excelData",E275,$B$1,$B275&amp;":"&amp;E$115&amp;":"&amp;$R$114)</f>
        <v>#</v>
      </c>
      <c r="T275" s="461" t="str">
        <f>_xll.BLUEMATRIX2("/servlet/excelData",F275,$B$1,$B275&amp;":"&amp;F$115&amp;":"&amp;$R$114)</f>
        <v>#</v>
      </c>
      <c r="U275" s="461" t="str">
        <f>_xll.BLUEMATRIX2("/servlet/excelData",G275,$B$1,$B275&amp;":"&amp;G$115&amp;":"&amp;$R$114)</f>
        <v>#</v>
      </c>
      <c r="V275" s="461" t="str">
        <f>_xll.BLUEMATRIX2("/servlet/excelData",H275,$B$1,$B275&amp;":"&amp;H$115&amp;":"&amp;$R$114)</f>
        <v>#</v>
      </c>
      <c r="W275" s="461" t="str">
        <f>_xll.BLUEMATRIX2("/servlet/excelData",I275,$B$1,$B275&amp;":"&amp;I$115&amp;":"&amp;$R$114)</f>
        <v>#</v>
      </c>
      <c r="X275" s="461" t="str">
        <f>_xll.BLUEMATRIX2("/servlet/excelData",J275,$B$1,$B275&amp;":"&amp;J$115&amp;":"&amp;$R$114)</f>
        <v>#</v>
      </c>
      <c r="Y275" s="461" t="str">
        <f>_xll.BLUEMATRIX2("/servlet/excelData",K275,$B$1,$B275&amp;":"&amp;K$115&amp;":"&amp;$R$114)</f>
        <v>#</v>
      </c>
      <c r="Z275" s="461" t="str">
        <f>_xll.BLUEMATRIX2("/servlet/excelData",L275,$B$1,$B275&amp;":"&amp;L$115&amp;":"&amp;$R$114)</f>
        <v>#</v>
      </c>
      <c r="AA275" s="461" t="str">
        <f>_xll.BLUEMATRIX2("/servlet/excelData",M275,$B$1,$B275&amp;":"&amp;M$115&amp;":"&amp;$R$114)</f>
        <v>#</v>
      </c>
      <c r="AB275" s="461" t="str">
        <f>_xll.BLUEMATRIX2("/servlet/excelData",N275,$B$1,$B275&amp;":"&amp;N$115&amp;":"&amp;$R$114)</f>
        <v>#</v>
      </c>
      <c r="AC275" s="461" t="str">
        <f>_xll.BLUEMATRIX2("/servlet/excelData",O275,$B$1,$B275&amp;":"&amp;O$115&amp;":"&amp;$R$114)</f>
        <v>#</v>
      </c>
      <c r="AD275" s="461" t="str">
        <f>_xll.BLUEMATRIX2("/servlet/excelData",P275,$B$1,$B275&amp;":"&amp;P$115&amp;":"&amp;$R$114)</f>
        <v>#</v>
      </c>
      <c r="AE275" s="461" t="str">
        <f>_xll.BLUEMATRIX2("/servlet/excelData",Q275,$B$1,$B275&amp;":"&amp;Q$115&amp;":"&amp;$R$114)</f>
        <v>#</v>
      </c>
    </row>
    <row r="276" spans="1:31" ht="12.95" customHeight="1">
      <c r="A276" s="342" t="s">
        <v>613</v>
      </c>
      <c r="B276" s="344" t="s">
        <v>614</v>
      </c>
      <c r="C276" s="398" t="s">
        <v>615</v>
      </c>
      <c r="D276" s="378"/>
      <c r="E276" s="378"/>
      <c r="F276" s="378">
        <f>F249+F262+F272+F275</f>
        <v>91.3</v>
      </c>
      <c r="G276" s="378">
        <f>G249+G262+G272+G275</f>
        <v>23</v>
      </c>
      <c r="H276" s="378">
        <f>H249+H262+H272+H275</f>
        <v>-77.199999999999932</v>
      </c>
      <c r="I276" s="378">
        <f t="shared" ref="I276:P276" si="39">I249+I262+I272+I275</f>
        <v>69.299999999999955</v>
      </c>
      <c r="J276" s="378">
        <f t="shared" si="39"/>
        <v>-36.660565235141618</v>
      </c>
      <c r="K276" s="378">
        <f t="shared" si="39"/>
        <v>83.584115774296905</v>
      </c>
      <c r="L276" s="378">
        <f t="shared" si="39"/>
        <v>105.84874764921688</v>
      </c>
      <c r="M276" s="378">
        <f t="shared" si="39"/>
        <v>129.00336788630597</v>
      </c>
      <c r="N276" s="378">
        <f t="shared" si="39"/>
        <v>122.49292530294667</v>
      </c>
      <c r="O276" s="378">
        <f t="shared" si="39"/>
        <v>203.39438708220518</v>
      </c>
      <c r="P276" s="378">
        <f t="shared" si="39"/>
        <v>214.1898403857237</v>
      </c>
      <c r="Q276" s="378">
        <f>Q249+Q262+Q272+Q275</f>
        <v>242.94535440009216</v>
      </c>
      <c r="R276" s="320"/>
      <c r="S276" s="461" t="str">
        <f>_xll.BLUEMATRIX2("/servlet/excelData",E276,$B$1,$B276&amp;":"&amp;E$115&amp;":"&amp;$R$114)</f>
        <v>#</v>
      </c>
      <c r="T276" s="461" t="str">
        <f>_xll.BLUEMATRIX2("/servlet/excelData",F276,$B$1,$B276&amp;":"&amp;F$115&amp;":"&amp;$R$114)</f>
        <v>#</v>
      </c>
      <c r="U276" s="461" t="str">
        <f>_xll.BLUEMATRIX2("/servlet/excelData",G276,$B$1,$B276&amp;":"&amp;G$115&amp;":"&amp;$R$114)</f>
        <v>#</v>
      </c>
      <c r="V276" s="461" t="str">
        <f>_xll.BLUEMATRIX2("/servlet/excelData",H276,$B$1,$B276&amp;":"&amp;H$115&amp;":"&amp;$R$114)</f>
        <v>#</v>
      </c>
      <c r="W276" s="461" t="str">
        <f>_xll.BLUEMATRIX2("/servlet/excelData",I276,$B$1,$B276&amp;":"&amp;I$115&amp;":"&amp;$R$114)</f>
        <v>#</v>
      </c>
      <c r="X276" s="461" t="str">
        <f>_xll.BLUEMATRIX2("/servlet/excelData",J276,$B$1,$B276&amp;":"&amp;J$115&amp;":"&amp;$R$114)</f>
        <v>#</v>
      </c>
      <c r="Y276" s="461" t="str">
        <f>_xll.BLUEMATRIX2("/servlet/excelData",K276,$B$1,$B276&amp;":"&amp;K$115&amp;":"&amp;$R$114)</f>
        <v>#</v>
      </c>
      <c r="Z276" s="461" t="str">
        <f>_xll.BLUEMATRIX2("/servlet/excelData",L276,$B$1,$B276&amp;":"&amp;L$115&amp;":"&amp;$R$114)</f>
        <v>#</v>
      </c>
      <c r="AA276" s="461" t="str">
        <f>_xll.BLUEMATRIX2("/servlet/excelData",M276,$B$1,$B276&amp;":"&amp;M$115&amp;":"&amp;$R$114)</f>
        <v>#</v>
      </c>
      <c r="AB276" s="461" t="str">
        <f>_xll.BLUEMATRIX2("/servlet/excelData",N276,$B$1,$B276&amp;":"&amp;N$115&amp;":"&amp;$R$114)</f>
        <v>#</v>
      </c>
      <c r="AC276" s="461" t="str">
        <f>_xll.BLUEMATRIX2("/servlet/excelData",O276,$B$1,$B276&amp;":"&amp;O$115&amp;":"&amp;$R$114)</f>
        <v>#</v>
      </c>
      <c r="AD276" s="461" t="str">
        <f>_xll.BLUEMATRIX2("/servlet/excelData",P276,$B$1,$B276&amp;":"&amp;P$115&amp;":"&amp;$R$114)</f>
        <v>#</v>
      </c>
      <c r="AE276" s="461" t="str">
        <f>_xll.BLUEMATRIX2("/servlet/excelData",Q276,$B$1,$B276&amp;":"&amp;Q$115&amp;":"&amp;$R$114)</f>
        <v>#</v>
      </c>
    </row>
    <row r="277" spans="1:31" ht="12.95" customHeight="1">
      <c r="A277" s="342"/>
      <c r="B277" s="344"/>
      <c r="C277" s="421"/>
      <c r="D277" s="408"/>
      <c r="E277" s="408"/>
      <c r="F277" s="408"/>
      <c r="G277" s="408"/>
      <c r="H277" s="408"/>
      <c r="I277" s="408"/>
      <c r="J277" s="408"/>
      <c r="K277" s="408"/>
      <c r="L277" s="408"/>
      <c r="M277" s="408"/>
      <c r="N277" s="408"/>
      <c r="O277" s="408"/>
      <c r="P277" s="408"/>
      <c r="Q277" s="408"/>
      <c r="R277" s="408"/>
      <c r="S277" s="461"/>
      <c r="T277" s="461"/>
      <c r="U277" s="461"/>
      <c r="V277" s="461"/>
      <c r="W277" s="461"/>
      <c r="X277" s="461"/>
      <c r="Y277" s="461"/>
      <c r="Z277" s="461"/>
      <c r="AA277" s="461"/>
      <c r="AB277" s="461"/>
      <c r="AC277" s="461"/>
      <c r="AD277" s="461"/>
      <c r="AE277" s="461"/>
    </row>
    <row r="278" spans="1:31" ht="12.95" customHeight="1">
      <c r="A278" s="342" t="s">
        <v>616</v>
      </c>
      <c r="B278" s="344" t="s">
        <v>617</v>
      </c>
      <c r="C278" s="423" t="s">
        <v>618</v>
      </c>
      <c r="D278" s="406"/>
      <c r="E278" s="406"/>
      <c r="F278" s="406">
        <f>F249+F256</f>
        <v>-77.600000000000009</v>
      </c>
      <c r="G278" s="406">
        <f>G249+G256</f>
        <v>-515.20000000000005</v>
      </c>
      <c r="H278" s="406">
        <f>H249+H256</f>
        <v>288.70000000000005</v>
      </c>
      <c r="I278" s="406">
        <f t="shared" ref="I278:P278" si="40">I249+I256</f>
        <v>158.59999999999997</v>
      </c>
      <c r="J278" s="406">
        <f t="shared" si="40"/>
        <v>173.70263476485837</v>
      </c>
      <c r="K278" s="406">
        <f t="shared" si="40"/>
        <v>174.9473157742969</v>
      </c>
      <c r="L278" s="406">
        <f t="shared" si="40"/>
        <v>199.32332492517361</v>
      </c>
      <c r="M278" s="406">
        <f t="shared" si="40"/>
        <v>204.648996334733</v>
      </c>
      <c r="N278" s="406">
        <f t="shared" si="40"/>
        <v>202.56376357230386</v>
      </c>
      <c r="O278" s="406">
        <f t="shared" si="40"/>
        <v>201.56738708220519</v>
      </c>
      <c r="P278" s="406">
        <f t="shared" si="40"/>
        <v>211.40803038572369</v>
      </c>
      <c r="Q278" s="406">
        <f>Q249+Q256</f>
        <v>239.18009010009214</v>
      </c>
      <c r="R278" s="320"/>
      <c r="S278" s="461" t="str">
        <f>_xll.BLUEMATRIX2("/servlet/excelData",E278,$B$1,$B278&amp;":"&amp;E$115&amp;":"&amp;$R$114)</f>
        <v>#</v>
      </c>
      <c r="T278" s="461" t="str">
        <f>_xll.BLUEMATRIX2("/servlet/excelData",F278,$B$1,$B278&amp;":"&amp;F$115&amp;":"&amp;$R$114)</f>
        <v>#</v>
      </c>
      <c r="U278" s="461" t="str">
        <f>_xll.BLUEMATRIX2("/servlet/excelData",G278,$B$1,$B278&amp;":"&amp;G$115&amp;":"&amp;$R$114)</f>
        <v>#</v>
      </c>
      <c r="V278" s="461" t="str">
        <f>_xll.BLUEMATRIX2("/servlet/excelData",H278,$B$1,$B278&amp;":"&amp;H$115&amp;":"&amp;$R$114)</f>
        <v>#</v>
      </c>
      <c r="W278" s="461" t="str">
        <f>_xll.BLUEMATRIX2("/servlet/excelData",I278,$B$1,$B278&amp;":"&amp;I$115&amp;":"&amp;$R$114)</f>
        <v>#</v>
      </c>
      <c r="X278" s="461" t="str">
        <f>_xll.BLUEMATRIX2("/servlet/excelData",J278,$B$1,$B278&amp;":"&amp;J$115&amp;":"&amp;$R$114)</f>
        <v>#</v>
      </c>
      <c r="Y278" s="461" t="str">
        <f>_xll.BLUEMATRIX2("/servlet/excelData",K278,$B$1,$B278&amp;":"&amp;K$115&amp;":"&amp;$R$114)</f>
        <v>#</v>
      </c>
      <c r="Z278" s="461" t="str">
        <f>_xll.BLUEMATRIX2("/servlet/excelData",L278,$B$1,$B278&amp;":"&amp;L$115&amp;":"&amp;$R$114)</f>
        <v>#</v>
      </c>
      <c r="AA278" s="461" t="str">
        <f>_xll.BLUEMATRIX2("/servlet/excelData",M278,$B$1,$B278&amp;":"&amp;M$115&amp;":"&amp;$R$114)</f>
        <v>#</v>
      </c>
      <c r="AB278" s="461" t="str">
        <f>_xll.BLUEMATRIX2("/servlet/excelData",N278,$B$1,$B278&amp;":"&amp;N$115&amp;":"&amp;$R$114)</f>
        <v>#</v>
      </c>
      <c r="AC278" s="461" t="str">
        <f>_xll.BLUEMATRIX2("/servlet/excelData",O278,$B$1,$B278&amp;":"&amp;O$115&amp;":"&amp;$R$114)</f>
        <v>#</v>
      </c>
      <c r="AD278" s="461" t="str">
        <f>_xll.BLUEMATRIX2("/servlet/excelData",P278,$B$1,$B278&amp;":"&amp;P$115&amp;":"&amp;$R$114)</f>
        <v>#</v>
      </c>
      <c r="AE278" s="461" t="str">
        <f>_xll.BLUEMATRIX2("/servlet/excelData",Q278,$B$1,$B278&amp;":"&amp;Q$115&amp;":"&amp;$R$114)</f>
        <v>#</v>
      </c>
    </row>
    <row r="279" spans="1:31" ht="12.95" customHeight="1">
      <c r="A279" s="342"/>
      <c r="B279" s="344"/>
      <c r="C279" s="421"/>
      <c r="D279" s="408"/>
      <c r="E279" s="408"/>
      <c r="F279" s="408"/>
      <c r="G279" s="408"/>
      <c r="H279" s="408"/>
      <c r="I279" s="408"/>
      <c r="J279" s="408"/>
      <c r="K279" s="408"/>
      <c r="L279" s="408"/>
      <c r="M279" s="408"/>
      <c r="N279" s="408"/>
      <c r="O279" s="408"/>
      <c r="P279" s="408"/>
      <c r="Q279" s="408"/>
      <c r="R279" s="320"/>
      <c r="S279" s="461"/>
      <c r="T279" s="461"/>
      <c r="U279" s="461"/>
      <c r="V279" s="461"/>
      <c r="W279" s="461"/>
      <c r="X279" s="461"/>
      <c r="Y279" s="461"/>
      <c r="Z279" s="461"/>
      <c r="AA279" s="461"/>
      <c r="AB279" s="461"/>
      <c r="AC279" s="461"/>
      <c r="AD279" s="461"/>
      <c r="AE279" s="461"/>
    </row>
    <row r="280" spans="1:31" ht="12.95" customHeight="1">
      <c r="A280" s="342" t="s">
        <v>619</v>
      </c>
      <c r="B280" s="344" t="s">
        <v>620</v>
      </c>
      <c r="C280" s="422" t="s">
        <v>621</v>
      </c>
      <c r="D280" s="375"/>
      <c r="E280" s="375"/>
      <c r="F280" s="375">
        <f t="shared" ref="F280:Q280" si="41">E281</f>
        <v>199.4</v>
      </c>
      <c r="G280" s="375">
        <f t="shared" si="41"/>
        <v>290.7</v>
      </c>
      <c r="H280" s="375">
        <f t="shared" si="41"/>
        <v>313.7</v>
      </c>
      <c r="I280" s="375">
        <f t="shared" si="41"/>
        <v>236.5</v>
      </c>
      <c r="J280" s="375">
        <f t="shared" si="41"/>
        <v>305.8</v>
      </c>
      <c r="K280" s="375">
        <f t="shared" si="41"/>
        <v>269.13943476485838</v>
      </c>
      <c r="L280" s="375">
        <f t="shared" si="41"/>
        <v>352.72355053915533</v>
      </c>
      <c r="M280" s="375">
        <f t="shared" si="41"/>
        <v>458.57229818837226</v>
      </c>
      <c r="N280" s="375">
        <f t="shared" si="41"/>
        <v>587.57566607467811</v>
      </c>
      <c r="O280" s="375">
        <f t="shared" si="41"/>
        <v>710.06859137762478</v>
      </c>
      <c r="P280" s="375">
        <f t="shared" si="41"/>
        <v>913.46297845982997</v>
      </c>
      <c r="Q280" s="375">
        <f t="shared" si="41"/>
        <v>1127.6528188455538</v>
      </c>
      <c r="R280" s="320"/>
      <c r="S280" s="461" t="str">
        <f>_xll.BLUEMATRIX2("/servlet/excelData",E280,$B$1,$B280&amp;":"&amp;E$115&amp;":"&amp;$R$114)</f>
        <v>#</v>
      </c>
      <c r="T280" s="461" t="str">
        <f>_xll.BLUEMATRIX2("/servlet/excelData",F280,$B$1,$B280&amp;":"&amp;F$115&amp;":"&amp;$R$114)</f>
        <v>#</v>
      </c>
      <c r="U280" s="461" t="str">
        <f>_xll.BLUEMATRIX2("/servlet/excelData",G280,$B$1,$B280&amp;":"&amp;G$115&amp;":"&amp;$R$114)</f>
        <v>#</v>
      </c>
      <c r="V280" s="461" t="str">
        <f>_xll.BLUEMATRIX2("/servlet/excelData",H280,$B$1,$B280&amp;":"&amp;H$115&amp;":"&amp;$R$114)</f>
        <v>#</v>
      </c>
      <c r="W280" s="461" t="str">
        <f>_xll.BLUEMATRIX2("/servlet/excelData",I280,$B$1,$B280&amp;":"&amp;I$115&amp;":"&amp;$R$114)</f>
        <v>#</v>
      </c>
      <c r="X280" s="461" t="str">
        <f>_xll.BLUEMATRIX2("/servlet/excelData",J280,$B$1,$B280&amp;":"&amp;J$115&amp;":"&amp;$R$114)</f>
        <v>#</v>
      </c>
      <c r="Y280" s="461" t="str">
        <f>_xll.BLUEMATRIX2("/servlet/excelData",K280,$B$1,$B280&amp;":"&amp;K$115&amp;":"&amp;$R$114)</f>
        <v>#</v>
      </c>
      <c r="Z280" s="461" t="str">
        <f>_xll.BLUEMATRIX2("/servlet/excelData",L280,$B$1,$B280&amp;":"&amp;L$115&amp;":"&amp;$R$114)</f>
        <v>#</v>
      </c>
      <c r="AA280" s="461" t="str">
        <f>_xll.BLUEMATRIX2("/servlet/excelData",M280,$B$1,$B280&amp;":"&amp;M$115&amp;":"&amp;$R$114)</f>
        <v>#</v>
      </c>
      <c r="AB280" s="461" t="str">
        <f>_xll.BLUEMATRIX2("/servlet/excelData",N280,$B$1,$B280&amp;":"&amp;N$115&amp;":"&amp;$R$114)</f>
        <v>#</v>
      </c>
      <c r="AC280" s="461" t="str">
        <f>_xll.BLUEMATRIX2("/servlet/excelData",O280,$B$1,$B280&amp;":"&amp;O$115&amp;":"&amp;$R$114)</f>
        <v>#</v>
      </c>
      <c r="AD280" s="461" t="str">
        <f>_xll.BLUEMATRIX2("/servlet/excelData",P280,$B$1,$B280&amp;":"&amp;P$115&amp;":"&amp;$R$114)</f>
        <v>#</v>
      </c>
      <c r="AE280" s="461" t="str">
        <f>_xll.BLUEMATRIX2("/servlet/excelData",Q280,$B$1,$B280&amp;":"&amp;Q$115&amp;":"&amp;$R$114)</f>
        <v>#</v>
      </c>
    </row>
    <row r="281" spans="1:31" ht="12.95" customHeight="1">
      <c r="A281" s="342" t="s">
        <v>622</v>
      </c>
      <c r="B281" s="344" t="s">
        <v>623</v>
      </c>
      <c r="C281" s="422" t="s">
        <v>624</v>
      </c>
      <c r="D281" s="375"/>
      <c r="E281" s="375">
        <f t="shared" ref="E281:Q281" si="42">E182</f>
        <v>199.4</v>
      </c>
      <c r="F281" s="375">
        <f t="shared" si="42"/>
        <v>290.7</v>
      </c>
      <c r="G281" s="375">
        <f t="shared" si="42"/>
        <v>313.7</v>
      </c>
      <c r="H281" s="375">
        <f t="shared" si="42"/>
        <v>236.5</v>
      </c>
      <c r="I281" s="375">
        <f t="shared" si="42"/>
        <v>305.8</v>
      </c>
      <c r="J281" s="375">
        <f t="shared" si="42"/>
        <v>269.13943476485838</v>
      </c>
      <c r="K281" s="375">
        <f t="shared" si="42"/>
        <v>352.72355053915533</v>
      </c>
      <c r="L281" s="375">
        <f t="shared" si="42"/>
        <v>458.57229818837226</v>
      </c>
      <c r="M281" s="375">
        <f t="shared" si="42"/>
        <v>587.57566607467811</v>
      </c>
      <c r="N281" s="375">
        <f t="shared" si="42"/>
        <v>710.06859137762478</v>
      </c>
      <c r="O281" s="375">
        <f t="shared" si="42"/>
        <v>913.46297845982997</v>
      </c>
      <c r="P281" s="375">
        <f t="shared" si="42"/>
        <v>1127.6528188455538</v>
      </c>
      <c r="Q281" s="375">
        <f t="shared" si="42"/>
        <v>1370.598173245646</v>
      </c>
      <c r="R281" s="320"/>
      <c r="S281" s="461" t="str">
        <f>_xll.BLUEMATRIX2("/servlet/excelData",E281,$B$1,$B281&amp;":"&amp;E$115&amp;":"&amp;$R$114)</f>
        <v>#</v>
      </c>
      <c r="T281" s="461" t="str">
        <f>_xll.BLUEMATRIX2("/servlet/excelData",F281,$B$1,$B281&amp;":"&amp;F$115&amp;":"&amp;$R$114)</f>
        <v>#</v>
      </c>
      <c r="U281" s="461" t="str">
        <f>_xll.BLUEMATRIX2("/servlet/excelData",G281,$B$1,$B281&amp;":"&amp;G$115&amp;":"&amp;$R$114)</f>
        <v>#</v>
      </c>
      <c r="V281" s="461" t="str">
        <f>_xll.BLUEMATRIX2("/servlet/excelData",H281,$B$1,$B281&amp;":"&amp;H$115&amp;":"&amp;$R$114)</f>
        <v>#</v>
      </c>
      <c r="W281" s="461" t="str">
        <f>_xll.BLUEMATRIX2("/servlet/excelData",I281,$B$1,$B281&amp;":"&amp;I$115&amp;":"&amp;$R$114)</f>
        <v>#</v>
      </c>
      <c r="X281" s="461" t="str">
        <f>_xll.BLUEMATRIX2("/servlet/excelData",J281,$B$1,$B281&amp;":"&amp;J$115&amp;":"&amp;$R$114)</f>
        <v>#</v>
      </c>
      <c r="Y281" s="461" t="str">
        <f>_xll.BLUEMATRIX2("/servlet/excelData",K281,$B$1,$B281&amp;":"&amp;K$115&amp;":"&amp;$R$114)</f>
        <v>#</v>
      </c>
      <c r="Z281" s="461" t="str">
        <f>_xll.BLUEMATRIX2("/servlet/excelData",L281,$B$1,$B281&amp;":"&amp;L$115&amp;":"&amp;$R$114)</f>
        <v>#</v>
      </c>
      <c r="AA281" s="461" t="str">
        <f>_xll.BLUEMATRIX2("/servlet/excelData",M281,$B$1,$B281&amp;":"&amp;M$115&amp;":"&amp;$R$114)</f>
        <v>#</v>
      </c>
      <c r="AB281" s="461" t="str">
        <f>_xll.BLUEMATRIX2("/servlet/excelData",N281,$B$1,$B281&amp;":"&amp;N$115&amp;":"&amp;$R$114)</f>
        <v>#</v>
      </c>
      <c r="AC281" s="461" t="str">
        <f>_xll.BLUEMATRIX2("/servlet/excelData",O281,$B$1,$B281&amp;":"&amp;O$115&amp;":"&amp;$R$114)</f>
        <v>#</v>
      </c>
      <c r="AD281" s="461" t="str">
        <f>_xll.BLUEMATRIX2("/servlet/excelData",P281,$B$1,$B281&amp;":"&amp;P$115&amp;":"&amp;$R$114)</f>
        <v>#</v>
      </c>
      <c r="AE281" s="461" t="str">
        <f>_xll.BLUEMATRIX2("/servlet/excelData",Q281,$B$1,$B281&amp;":"&amp;Q$115&amp;":"&amp;$R$114)</f>
        <v>#</v>
      </c>
    </row>
    <row r="282" spans="1:31" ht="12.95" customHeight="1">
      <c r="A282" s="342"/>
      <c r="B282" s="344"/>
      <c r="C282" s="463" t="s">
        <v>1149</v>
      </c>
      <c r="D282" s="464"/>
      <c r="E282" s="465"/>
      <c r="F282" s="465">
        <f>ROUND(FY!D115-F272,2)</f>
        <v>0</v>
      </c>
      <c r="G282" s="465">
        <f>ROUND(FY!E115-G272,2)</f>
        <v>0</v>
      </c>
      <c r="H282" s="465">
        <f>ROUND(FY!F115-H272,2)</f>
        <v>0</v>
      </c>
      <c r="I282" s="465">
        <f>ROUND(FY!G115-I272,2)</f>
        <v>0</v>
      </c>
      <c r="J282" s="465">
        <f>ROUND(FY!H115-J272,2)</f>
        <v>0</v>
      </c>
      <c r="K282" s="465">
        <f>ROUND(FY!I115-K272,2)</f>
        <v>0</v>
      </c>
      <c r="L282" s="465">
        <f>ROUND(FY!J115-L272,2)</f>
        <v>0</v>
      </c>
      <c r="M282" s="465">
        <f>ROUND(FY!K115-M272,2)</f>
        <v>0</v>
      </c>
      <c r="N282" s="465">
        <f>ROUND(FY!L115-N272,2)</f>
        <v>0</v>
      </c>
      <c r="O282" s="465">
        <f>ROUND(FY!M115-O272,2)</f>
        <v>0</v>
      </c>
      <c r="P282" s="465">
        <f>ROUND(FY!N115-P272,2)</f>
        <v>0</v>
      </c>
      <c r="Q282" s="465">
        <f>ROUND(FY!O115-Q272,2)</f>
        <v>0</v>
      </c>
      <c r="R282" s="320"/>
      <c r="S282" s="461"/>
      <c r="T282" s="461"/>
      <c r="U282" s="461"/>
      <c r="V282" s="461"/>
      <c r="W282" s="461"/>
      <c r="X282" s="461"/>
      <c r="Y282" s="461"/>
      <c r="Z282" s="461"/>
      <c r="AA282" s="461"/>
      <c r="AB282" s="461"/>
      <c r="AC282" s="461"/>
      <c r="AD282" s="461"/>
      <c r="AE282" s="461"/>
    </row>
    <row r="283" spans="1:31" ht="12.95" customHeight="1">
      <c r="A283" s="342"/>
      <c r="B283" s="344"/>
      <c r="C283" s="421"/>
      <c r="D283" s="405"/>
      <c r="E283" s="405"/>
      <c r="F283" s="405"/>
      <c r="G283" s="405"/>
      <c r="H283" s="405"/>
      <c r="I283" s="405"/>
      <c r="J283" s="405"/>
      <c r="K283" s="405"/>
      <c r="L283" s="405"/>
      <c r="M283" s="405"/>
      <c r="N283" s="405"/>
      <c r="O283" s="405"/>
      <c r="P283" s="405"/>
      <c r="Q283" s="405"/>
      <c r="R283" s="320"/>
      <c r="S283" s="458"/>
      <c r="T283" s="458"/>
      <c r="U283" s="458"/>
      <c r="V283" s="458"/>
      <c r="W283" s="458"/>
      <c r="X283" s="458"/>
      <c r="Y283" s="458"/>
      <c r="Z283" s="458"/>
      <c r="AA283" s="458"/>
      <c r="AB283" s="458"/>
      <c r="AC283" s="458"/>
      <c r="AD283" s="458"/>
      <c r="AE283" s="458"/>
    </row>
    <row r="284" spans="1:31" ht="15">
      <c r="A284" s="361"/>
      <c r="B284" s="344"/>
      <c r="C284" s="362" t="s">
        <v>625</v>
      </c>
      <c r="D284" s="363"/>
      <c r="E284" s="363"/>
      <c r="F284" s="363"/>
      <c r="G284" s="363"/>
      <c r="H284" s="363"/>
      <c r="I284" s="363"/>
      <c r="J284" s="363"/>
      <c r="K284" s="363"/>
      <c r="L284" s="363"/>
      <c r="M284" s="363"/>
      <c r="N284" s="363"/>
      <c r="O284" s="363"/>
      <c r="P284" s="363"/>
      <c r="Q284" s="363"/>
      <c r="R284" s="326"/>
      <c r="S284" s="458"/>
      <c r="T284" s="458"/>
      <c r="U284" s="458"/>
      <c r="V284" s="458"/>
      <c r="W284" s="458"/>
      <c r="X284" s="458"/>
      <c r="Y284" s="458"/>
      <c r="Z284" s="458"/>
      <c r="AA284" s="458"/>
      <c r="AB284" s="458"/>
      <c r="AC284" s="458"/>
      <c r="AD284" s="458"/>
      <c r="AE284" s="458"/>
    </row>
    <row r="285" spans="1:31" ht="12.95" customHeight="1">
      <c r="A285" s="342" t="s">
        <v>626</v>
      </c>
      <c r="B285" s="344" t="s">
        <v>627</v>
      </c>
      <c r="C285" s="424" t="s">
        <v>628</v>
      </c>
      <c r="D285" s="375"/>
      <c r="E285" s="375">
        <f>FY!C180</f>
        <v>2225.6999999999998</v>
      </c>
      <c r="F285" s="375">
        <f>FY!D180</f>
        <v>2281.5</v>
      </c>
      <c r="G285" s="375">
        <f>FY!E180</f>
        <v>2283.6</v>
      </c>
      <c r="H285" s="375">
        <f>FY!F180</f>
        <v>2286.1999999999998</v>
      </c>
      <c r="I285" s="375">
        <f>FY!G180</f>
        <v>2292.6</v>
      </c>
      <c r="J285" s="375">
        <f>FY!H180</f>
        <v>2292.6</v>
      </c>
      <c r="K285" s="375">
        <f>FY!I180</f>
        <v>2292.6</v>
      </c>
      <c r="L285" s="375">
        <f>FY!J180</f>
        <v>2292.6</v>
      </c>
      <c r="M285" s="375">
        <f>FY!K180</f>
        <v>2292.6</v>
      </c>
      <c r="N285" s="375">
        <f>FY!L180</f>
        <v>2292.6</v>
      </c>
      <c r="O285" s="375">
        <f>FY!M180</f>
        <v>2292.6</v>
      </c>
      <c r="P285" s="375">
        <f>FY!N180</f>
        <v>2292.6</v>
      </c>
      <c r="Q285" s="375">
        <f>FY!O180</f>
        <v>2292.6</v>
      </c>
      <c r="R285" s="425"/>
      <c r="S285" s="461" t="str">
        <f>_xll.BLUEMATRIX2("/servlet/excelData",E285,$B$1,$B285&amp;":"&amp;E$115&amp;":"&amp;$R$114)</f>
        <v>#</v>
      </c>
      <c r="T285" s="461" t="str">
        <f>_xll.BLUEMATRIX2("/servlet/excelData",F285,$B$1,$B285&amp;":"&amp;F$115&amp;":"&amp;$R$114)</f>
        <v>#</v>
      </c>
      <c r="U285" s="461" t="str">
        <f>_xll.BLUEMATRIX2("/servlet/excelData",G285,$B$1,$B285&amp;":"&amp;G$115&amp;":"&amp;$R$114)</f>
        <v>#</v>
      </c>
      <c r="V285" s="461" t="str">
        <f>_xll.BLUEMATRIX2("/servlet/excelData",H285,$B$1,$B285&amp;":"&amp;H$115&amp;":"&amp;$R$114)</f>
        <v>#</v>
      </c>
      <c r="W285" s="461" t="str">
        <f>_xll.BLUEMATRIX2("/servlet/excelData",I285,$B$1,$B285&amp;":"&amp;I$115&amp;":"&amp;$R$114)</f>
        <v>#</v>
      </c>
      <c r="X285" s="461" t="str">
        <f>_xll.BLUEMATRIX2("/servlet/excelData",J285,$B$1,$B285&amp;":"&amp;J$115&amp;":"&amp;$R$114)</f>
        <v>#</v>
      </c>
      <c r="Y285" s="461" t="str">
        <f>_xll.BLUEMATRIX2("/servlet/excelData",K285,$B$1,$B285&amp;":"&amp;K$115&amp;":"&amp;$R$114)</f>
        <v>#</v>
      </c>
      <c r="Z285" s="461" t="str">
        <f>_xll.BLUEMATRIX2("/servlet/excelData",L285,$B$1,$B285&amp;":"&amp;L$115&amp;":"&amp;$R$114)</f>
        <v>#</v>
      </c>
      <c r="AA285" s="461" t="str">
        <f>_xll.BLUEMATRIX2("/servlet/excelData",M285,$B$1,$B285&amp;":"&amp;M$115&amp;":"&amp;$R$114)</f>
        <v>#</v>
      </c>
      <c r="AB285" s="461" t="str">
        <f>_xll.BLUEMATRIX2("/servlet/excelData",N285,$B$1,$B285&amp;":"&amp;N$115&amp;":"&amp;$R$114)</f>
        <v>#</v>
      </c>
      <c r="AC285" s="461" t="str">
        <f>_xll.BLUEMATRIX2("/servlet/excelData",O285,$B$1,$B285&amp;":"&amp;O$115&amp;":"&amp;$R$114)</f>
        <v>#</v>
      </c>
      <c r="AD285" s="461" t="str">
        <f>_xll.BLUEMATRIX2("/servlet/excelData",P285,$B$1,$B285&amp;":"&amp;P$115&amp;":"&amp;$R$114)</f>
        <v>#</v>
      </c>
      <c r="AE285" s="461" t="str">
        <f>_xll.BLUEMATRIX2("/servlet/excelData",Q285,$B$1,$B285&amp;":"&amp;Q$115&amp;":"&amp;$R$114)</f>
        <v>#</v>
      </c>
    </row>
    <row r="286" spans="1:31" ht="12.95" customHeight="1">
      <c r="A286" s="342" t="s">
        <v>629</v>
      </c>
      <c r="B286" s="344" t="s">
        <v>630</v>
      </c>
      <c r="C286" s="424" t="s">
        <v>631</v>
      </c>
      <c r="D286" s="375"/>
      <c r="E286" s="375"/>
      <c r="F286" s="375"/>
      <c r="G286" s="375"/>
      <c r="H286" s="375"/>
      <c r="I286" s="375"/>
      <c r="J286" s="375"/>
      <c r="K286" s="375"/>
      <c r="L286" s="375"/>
      <c r="M286" s="375"/>
      <c r="N286" s="375"/>
      <c r="O286" s="375"/>
      <c r="P286" s="375"/>
      <c r="Q286" s="375"/>
      <c r="R286" s="425"/>
      <c r="S286" s="461" t="str">
        <f>_xll.BLUEMATRIX2("/servlet/excelData",E286,$B$1,$B286&amp;":"&amp;E$115&amp;":"&amp;$R$114)</f>
        <v>#</v>
      </c>
      <c r="T286" s="461" t="str">
        <f>_xll.BLUEMATRIX2("/servlet/excelData",F286,$B$1,$B286&amp;":"&amp;F$115&amp;":"&amp;$R$114)</f>
        <v>#</v>
      </c>
      <c r="U286" s="461" t="str">
        <f>_xll.BLUEMATRIX2("/servlet/excelData",G286,$B$1,$B286&amp;":"&amp;G$115&amp;":"&amp;$R$114)</f>
        <v>#</v>
      </c>
      <c r="V286" s="461" t="str">
        <f>_xll.BLUEMATRIX2("/servlet/excelData",H286,$B$1,$B286&amp;":"&amp;H$115&amp;":"&amp;$R$114)</f>
        <v>#</v>
      </c>
      <c r="W286" s="461" t="str">
        <f>_xll.BLUEMATRIX2("/servlet/excelData",I286,$B$1,$B286&amp;":"&amp;I$115&amp;":"&amp;$R$114)</f>
        <v>#</v>
      </c>
      <c r="X286" s="461" t="str">
        <f>_xll.BLUEMATRIX2("/servlet/excelData",J286,$B$1,$B286&amp;":"&amp;J$115&amp;":"&amp;$R$114)</f>
        <v>#</v>
      </c>
      <c r="Y286" s="461" t="str">
        <f>_xll.BLUEMATRIX2("/servlet/excelData",K286,$B$1,$B286&amp;":"&amp;K$115&amp;":"&amp;$R$114)</f>
        <v>#</v>
      </c>
      <c r="Z286" s="461" t="str">
        <f>_xll.BLUEMATRIX2("/servlet/excelData",L286,$B$1,$B286&amp;":"&amp;L$115&amp;":"&amp;$R$114)</f>
        <v>#</v>
      </c>
      <c r="AA286" s="461" t="str">
        <f>_xll.BLUEMATRIX2("/servlet/excelData",M286,$B$1,$B286&amp;":"&amp;M$115&amp;":"&amp;$R$114)</f>
        <v>#</v>
      </c>
      <c r="AB286" s="461" t="str">
        <f>_xll.BLUEMATRIX2("/servlet/excelData",N286,$B$1,$B286&amp;":"&amp;N$115&amp;":"&amp;$R$114)</f>
        <v>#</v>
      </c>
      <c r="AC286" s="461" t="str">
        <f>_xll.BLUEMATRIX2("/servlet/excelData",O286,$B$1,$B286&amp;":"&amp;O$115&amp;":"&amp;$R$114)</f>
        <v>#</v>
      </c>
      <c r="AD286" s="461" t="str">
        <f>_xll.BLUEMATRIX2("/servlet/excelData",P286,$B$1,$B286&amp;":"&amp;P$115&amp;":"&amp;$R$114)</f>
        <v>#</v>
      </c>
      <c r="AE286" s="461" t="str">
        <f>_xll.BLUEMATRIX2("/servlet/excelData",Q286,$B$1,$B286&amp;":"&amp;Q$115&amp;":"&amp;$R$114)</f>
        <v>#</v>
      </c>
    </row>
    <row r="287" spans="1:31" ht="12.95" customHeight="1">
      <c r="A287" s="342" t="s">
        <v>632</v>
      </c>
      <c r="B287" s="344" t="s">
        <v>633</v>
      </c>
      <c r="C287" s="426" t="s">
        <v>634</v>
      </c>
      <c r="D287" s="375"/>
      <c r="E287" s="375">
        <f>FY!C181</f>
        <v>2225.6999999999998</v>
      </c>
      <c r="F287" s="375">
        <f>FY!D181</f>
        <v>2280.4499999999998</v>
      </c>
      <c r="G287" s="375">
        <f>FY!E181</f>
        <v>2283.0054945000002</v>
      </c>
      <c r="H287" s="375">
        <f>FY!F181</f>
        <v>2285.5349125000002</v>
      </c>
      <c r="I287" s="375">
        <f>FY!G181</f>
        <v>2290.8999999999996</v>
      </c>
      <c r="J287" s="375">
        <f>FY!H181</f>
        <v>2292.6</v>
      </c>
      <c r="K287" s="375">
        <f>FY!I181</f>
        <v>2292.6</v>
      </c>
      <c r="L287" s="375">
        <f>FY!J181</f>
        <v>2292.6</v>
      </c>
      <c r="M287" s="375">
        <f>FY!K181</f>
        <v>2292.6</v>
      </c>
      <c r="N287" s="375">
        <f>FY!L181</f>
        <v>2292.6</v>
      </c>
      <c r="O287" s="375">
        <f>FY!M181</f>
        <v>2292.6</v>
      </c>
      <c r="P287" s="375">
        <f>FY!N181</f>
        <v>2292.6</v>
      </c>
      <c r="Q287" s="375">
        <f>FY!O181</f>
        <v>2292.6</v>
      </c>
      <c r="R287" s="425"/>
      <c r="S287" s="461" t="str">
        <f>_xll.BLUEMATRIX2("/servlet/excelData",E287,$B$1,$B287&amp;":"&amp;E$115&amp;":"&amp;$R$114)</f>
        <v>#</v>
      </c>
      <c r="T287" s="461" t="str">
        <f>_xll.BLUEMATRIX2("/servlet/excelData",F287,$B$1,$B287&amp;":"&amp;F$115&amp;":"&amp;$R$114)</f>
        <v>#</v>
      </c>
      <c r="U287" s="461" t="str">
        <f>_xll.BLUEMATRIX2("/servlet/excelData",G287,$B$1,$B287&amp;":"&amp;G$115&amp;":"&amp;$R$114)</f>
        <v>#</v>
      </c>
      <c r="V287" s="461" t="str">
        <f>_xll.BLUEMATRIX2("/servlet/excelData",H287,$B$1,$B287&amp;":"&amp;H$115&amp;":"&amp;$R$114)</f>
        <v>#</v>
      </c>
      <c r="W287" s="461" t="str">
        <f>_xll.BLUEMATRIX2("/servlet/excelData",I287,$B$1,$B287&amp;":"&amp;I$115&amp;":"&amp;$R$114)</f>
        <v>#</v>
      </c>
      <c r="X287" s="461" t="str">
        <f>_xll.BLUEMATRIX2("/servlet/excelData",J287,$B$1,$B287&amp;":"&amp;J$115&amp;":"&amp;$R$114)</f>
        <v>#</v>
      </c>
      <c r="Y287" s="461" t="str">
        <f>_xll.BLUEMATRIX2("/servlet/excelData",K287,$B$1,$B287&amp;":"&amp;K$115&amp;":"&amp;$R$114)</f>
        <v>#</v>
      </c>
      <c r="Z287" s="461" t="str">
        <f>_xll.BLUEMATRIX2("/servlet/excelData",L287,$B$1,$B287&amp;":"&amp;L$115&amp;":"&amp;$R$114)</f>
        <v>#</v>
      </c>
      <c r="AA287" s="461" t="str">
        <f>_xll.BLUEMATRIX2("/servlet/excelData",M287,$B$1,$B287&amp;":"&amp;M$115&amp;":"&amp;$R$114)</f>
        <v>#</v>
      </c>
      <c r="AB287" s="461" t="str">
        <f>_xll.BLUEMATRIX2("/servlet/excelData",N287,$B$1,$B287&amp;":"&amp;N$115&amp;":"&amp;$R$114)</f>
        <v>#</v>
      </c>
      <c r="AC287" s="461" t="str">
        <f>_xll.BLUEMATRIX2("/servlet/excelData",O287,$B$1,$B287&amp;":"&amp;O$115&amp;":"&amp;$R$114)</f>
        <v>#</v>
      </c>
      <c r="AD287" s="461" t="str">
        <f>_xll.BLUEMATRIX2("/servlet/excelData",P287,$B$1,$B287&amp;":"&amp;P$115&amp;":"&amp;$R$114)</f>
        <v>#</v>
      </c>
      <c r="AE287" s="461" t="str">
        <f>_xll.BLUEMATRIX2("/servlet/excelData",Q287,$B$1,$B287&amp;":"&amp;Q$115&amp;":"&amp;$R$114)</f>
        <v>#</v>
      </c>
    </row>
    <row r="288" spans="1:31" ht="12.95" customHeight="1">
      <c r="A288" s="342" t="s">
        <v>635</v>
      </c>
      <c r="B288" s="344" t="s">
        <v>636</v>
      </c>
      <c r="C288" s="426" t="s">
        <v>637</v>
      </c>
      <c r="D288" s="375"/>
      <c r="E288" s="414"/>
      <c r="F288" s="414"/>
      <c r="G288" s="414"/>
      <c r="H288" s="414"/>
      <c r="I288" s="414"/>
      <c r="J288" s="414"/>
      <c r="K288" s="414"/>
      <c r="L288" s="414"/>
      <c r="M288" s="414"/>
      <c r="N288" s="414"/>
      <c r="O288" s="414"/>
      <c r="P288" s="414"/>
      <c r="Q288" s="414"/>
      <c r="R288" s="425"/>
      <c r="S288" s="461" t="str">
        <f>_xll.BLUEMATRIX2("/servlet/excelData",E288,$B$1,$B288&amp;":"&amp;E$115&amp;":"&amp;$R$114)</f>
        <v>#</v>
      </c>
      <c r="T288" s="461" t="str">
        <f>_xll.BLUEMATRIX2("/servlet/excelData",F288,$B$1,$B288&amp;":"&amp;F$115&amp;":"&amp;$R$114)</f>
        <v>#</v>
      </c>
      <c r="U288" s="461" t="str">
        <f>_xll.BLUEMATRIX2("/servlet/excelData",G288,$B$1,$B288&amp;":"&amp;G$115&amp;":"&amp;$R$114)</f>
        <v>#</v>
      </c>
      <c r="V288" s="461" t="str">
        <f>_xll.BLUEMATRIX2("/servlet/excelData",H288,$B$1,$B288&amp;":"&amp;H$115&amp;":"&amp;$R$114)</f>
        <v>#</v>
      </c>
      <c r="W288" s="461" t="str">
        <f>_xll.BLUEMATRIX2("/servlet/excelData",I288,$B$1,$B288&amp;":"&amp;I$115&amp;":"&amp;$R$114)</f>
        <v>#</v>
      </c>
      <c r="X288" s="461" t="str">
        <f>_xll.BLUEMATRIX2("/servlet/excelData",J288,$B$1,$B288&amp;":"&amp;J$115&amp;":"&amp;$R$114)</f>
        <v>#</v>
      </c>
      <c r="Y288" s="461" t="str">
        <f>_xll.BLUEMATRIX2("/servlet/excelData",K288,$B$1,$B288&amp;":"&amp;K$115&amp;":"&amp;$R$114)</f>
        <v>#</v>
      </c>
      <c r="Z288" s="461" t="str">
        <f>_xll.BLUEMATRIX2("/servlet/excelData",L288,$B$1,$B288&amp;":"&amp;L$115&amp;":"&amp;$R$114)</f>
        <v>#</v>
      </c>
      <c r="AA288" s="461" t="str">
        <f>_xll.BLUEMATRIX2("/servlet/excelData",M288,$B$1,$B288&amp;":"&amp;M$115&amp;":"&amp;$R$114)</f>
        <v>#</v>
      </c>
      <c r="AB288" s="461" t="str">
        <f>_xll.BLUEMATRIX2("/servlet/excelData",N288,$B$1,$B288&amp;":"&amp;N$115&amp;":"&amp;$R$114)</f>
        <v>#</v>
      </c>
      <c r="AC288" s="461" t="str">
        <f>_xll.BLUEMATRIX2("/servlet/excelData",O288,$B$1,$B288&amp;":"&amp;O$115&amp;":"&amp;$R$114)</f>
        <v>#</v>
      </c>
      <c r="AD288" s="461" t="str">
        <f>_xll.BLUEMATRIX2("/servlet/excelData",P288,$B$1,$B288&amp;":"&amp;P$115&amp;":"&amp;$R$114)</f>
        <v>#</v>
      </c>
      <c r="AE288" s="461" t="str">
        <f>_xll.BLUEMATRIX2("/servlet/excelData",Q288,$B$1,$B288&amp;":"&amp;Q$115&amp;":"&amp;$R$114)</f>
        <v>#</v>
      </c>
    </row>
    <row r="289" spans="1:31" ht="12.95" customHeight="1">
      <c r="A289" s="342" t="s">
        <v>638</v>
      </c>
      <c r="B289" s="344" t="s">
        <v>639</v>
      </c>
      <c r="C289" s="424" t="s">
        <v>640</v>
      </c>
      <c r="D289" s="375"/>
      <c r="E289" s="414"/>
      <c r="F289" s="414"/>
      <c r="G289" s="414"/>
      <c r="H289" s="414"/>
      <c r="I289" s="414"/>
      <c r="J289" s="414"/>
      <c r="K289" s="414"/>
      <c r="L289" s="414"/>
      <c r="M289" s="414"/>
      <c r="N289" s="414"/>
      <c r="O289" s="414"/>
      <c r="P289" s="414"/>
      <c r="Q289" s="414"/>
      <c r="R289" s="427"/>
      <c r="S289" s="461" t="str">
        <f>_xll.BLUEMATRIX2("/servlet/excelData",E289,$B$1,$B289&amp;":"&amp;E$115&amp;":"&amp;$R$114)</f>
        <v>#</v>
      </c>
      <c r="T289" s="461" t="str">
        <f>_xll.BLUEMATRIX2("/servlet/excelData",F289,$B$1,$B289&amp;":"&amp;F$115&amp;":"&amp;$R$114)</f>
        <v>#</v>
      </c>
      <c r="U289" s="461" t="str">
        <f>_xll.BLUEMATRIX2("/servlet/excelData",G289,$B$1,$B289&amp;":"&amp;G$115&amp;":"&amp;$R$114)</f>
        <v>#</v>
      </c>
      <c r="V289" s="461" t="str">
        <f>_xll.BLUEMATRIX2("/servlet/excelData",H289,$B$1,$B289&amp;":"&amp;H$115&amp;":"&amp;$R$114)</f>
        <v>#</v>
      </c>
      <c r="W289" s="461" t="str">
        <f>_xll.BLUEMATRIX2("/servlet/excelData",I289,$B$1,$B289&amp;":"&amp;I$115&amp;":"&amp;$R$114)</f>
        <v>#</v>
      </c>
      <c r="X289" s="461" t="str">
        <f>_xll.BLUEMATRIX2("/servlet/excelData",J289,$B$1,$B289&amp;":"&amp;J$115&amp;":"&amp;$R$114)</f>
        <v>#</v>
      </c>
      <c r="Y289" s="461" t="str">
        <f>_xll.BLUEMATRIX2("/servlet/excelData",K289,$B$1,$B289&amp;":"&amp;K$115&amp;":"&amp;$R$114)</f>
        <v>#</v>
      </c>
      <c r="Z289" s="461" t="str">
        <f>_xll.BLUEMATRIX2("/servlet/excelData",L289,$B$1,$B289&amp;":"&amp;L$115&amp;":"&amp;$R$114)</f>
        <v>#</v>
      </c>
      <c r="AA289" s="461" t="str">
        <f>_xll.BLUEMATRIX2("/servlet/excelData",M289,$B$1,$B289&amp;":"&amp;M$115&amp;":"&amp;$R$114)</f>
        <v>#</v>
      </c>
      <c r="AB289" s="461" t="str">
        <f>_xll.BLUEMATRIX2("/servlet/excelData",N289,$B$1,$B289&amp;":"&amp;N$115&amp;":"&amp;$R$114)</f>
        <v>#</v>
      </c>
      <c r="AC289" s="461" t="str">
        <f>_xll.BLUEMATRIX2("/servlet/excelData",O289,$B$1,$B289&amp;":"&amp;O$115&amp;":"&amp;$R$114)</f>
        <v>#</v>
      </c>
      <c r="AD289" s="461" t="str">
        <f>_xll.BLUEMATRIX2("/servlet/excelData",P289,$B$1,$B289&amp;":"&amp;P$115&amp;":"&amp;$R$114)</f>
        <v>#</v>
      </c>
      <c r="AE289" s="461" t="str">
        <f>_xll.BLUEMATRIX2("/servlet/excelData",Q289,$B$1,$B289&amp;":"&amp;Q$115&amp;":"&amp;$R$114)</f>
        <v>#</v>
      </c>
    </row>
    <row r="290" spans="1:31" ht="12.95" customHeight="1">
      <c r="A290" s="342" t="s">
        <v>641</v>
      </c>
      <c r="B290" s="344" t="s">
        <v>642</v>
      </c>
      <c r="C290" s="424" t="s">
        <v>643</v>
      </c>
      <c r="D290" s="375"/>
      <c r="E290" s="414"/>
      <c r="F290" s="414"/>
      <c r="G290" s="414"/>
      <c r="H290" s="414"/>
      <c r="I290" s="414"/>
      <c r="J290" s="414"/>
      <c r="K290" s="414"/>
      <c r="L290" s="414"/>
      <c r="M290" s="414"/>
      <c r="N290" s="414"/>
      <c r="O290" s="414"/>
      <c r="P290" s="414"/>
      <c r="Q290" s="414"/>
      <c r="R290" s="427"/>
      <c r="S290" s="461" t="str">
        <f>_xll.BLUEMATRIX2("/servlet/excelData",E290,$B$1,$B290&amp;":"&amp;E$115&amp;":"&amp;$R$114)</f>
        <v>#</v>
      </c>
      <c r="T290" s="461" t="str">
        <f>_xll.BLUEMATRIX2("/servlet/excelData",F290,$B$1,$B290&amp;":"&amp;F$115&amp;":"&amp;$R$114)</f>
        <v>#</v>
      </c>
      <c r="U290" s="461" t="str">
        <f>_xll.BLUEMATRIX2("/servlet/excelData",G290,$B$1,$B290&amp;":"&amp;G$115&amp;":"&amp;$R$114)</f>
        <v>#</v>
      </c>
      <c r="V290" s="461" t="str">
        <f>_xll.BLUEMATRIX2("/servlet/excelData",H290,$B$1,$B290&amp;":"&amp;H$115&amp;":"&amp;$R$114)</f>
        <v>#</v>
      </c>
      <c r="W290" s="461" t="str">
        <f>_xll.BLUEMATRIX2("/servlet/excelData",I290,$B$1,$B290&amp;":"&amp;I$115&amp;":"&amp;$R$114)</f>
        <v>#</v>
      </c>
      <c r="X290" s="461" t="str">
        <f>_xll.BLUEMATRIX2("/servlet/excelData",J290,$B$1,$B290&amp;":"&amp;J$115&amp;":"&amp;$R$114)</f>
        <v>#</v>
      </c>
      <c r="Y290" s="461" t="str">
        <f>_xll.BLUEMATRIX2("/servlet/excelData",K290,$B$1,$B290&amp;":"&amp;K$115&amp;":"&amp;$R$114)</f>
        <v>#</v>
      </c>
      <c r="Z290" s="461" t="str">
        <f>_xll.BLUEMATRIX2("/servlet/excelData",L290,$B$1,$B290&amp;":"&amp;L$115&amp;":"&amp;$R$114)</f>
        <v>#</v>
      </c>
      <c r="AA290" s="461" t="str">
        <f>_xll.BLUEMATRIX2("/servlet/excelData",M290,$B$1,$B290&amp;":"&amp;M$115&amp;":"&amp;$R$114)</f>
        <v>#</v>
      </c>
      <c r="AB290" s="461" t="str">
        <f>_xll.BLUEMATRIX2("/servlet/excelData",N290,$B$1,$B290&amp;":"&amp;N$115&amp;":"&amp;$R$114)</f>
        <v>#</v>
      </c>
      <c r="AC290" s="461" t="str">
        <f>_xll.BLUEMATRIX2("/servlet/excelData",O290,$B$1,$B290&amp;":"&amp;O$115&amp;":"&amp;$R$114)</f>
        <v>#</v>
      </c>
      <c r="AD290" s="461" t="str">
        <f>_xll.BLUEMATRIX2("/servlet/excelData",P290,$B$1,$B290&amp;":"&amp;P$115&amp;":"&amp;$R$114)</f>
        <v>#</v>
      </c>
      <c r="AE290" s="461" t="str">
        <f>_xll.BLUEMATRIX2("/servlet/excelData",Q290,$B$1,$B290&amp;":"&amp;Q$115&amp;":"&amp;$R$114)</f>
        <v>#</v>
      </c>
    </row>
    <row r="291" spans="1:31" ht="12.95" customHeight="1">
      <c r="A291" s="342" t="s">
        <v>644</v>
      </c>
      <c r="B291" s="344" t="s">
        <v>645</v>
      </c>
      <c r="C291" s="424" t="s">
        <v>646</v>
      </c>
      <c r="D291" s="375"/>
      <c r="E291" s="414"/>
      <c r="F291" s="414"/>
      <c r="G291" s="414"/>
      <c r="H291" s="414"/>
      <c r="I291" s="414"/>
      <c r="J291" s="414"/>
      <c r="K291" s="414"/>
      <c r="L291" s="414"/>
      <c r="M291" s="414"/>
      <c r="N291" s="414"/>
      <c r="O291" s="414"/>
      <c r="P291" s="414"/>
      <c r="Q291" s="414"/>
      <c r="R291" s="427"/>
      <c r="S291" s="461" t="str">
        <f>_xll.BLUEMATRIX2("/servlet/excelData",E291,$B$1,$B291&amp;":"&amp;E$115&amp;":"&amp;$R$114)</f>
        <v>#</v>
      </c>
      <c r="T291" s="461" t="str">
        <f>_xll.BLUEMATRIX2("/servlet/excelData",F291,$B$1,$B291&amp;":"&amp;F$115&amp;":"&amp;$R$114)</f>
        <v>#</v>
      </c>
      <c r="U291" s="461" t="str">
        <f>_xll.BLUEMATRIX2("/servlet/excelData",G291,$B$1,$B291&amp;":"&amp;G$115&amp;":"&amp;$R$114)</f>
        <v>#</v>
      </c>
      <c r="V291" s="461" t="str">
        <f>_xll.BLUEMATRIX2("/servlet/excelData",H291,$B$1,$B291&amp;":"&amp;H$115&amp;":"&amp;$R$114)</f>
        <v>#</v>
      </c>
      <c r="W291" s="461" t="str">
        <f>_xll.BLUEMATRIX2("/servlet/excelData",I291,$B$1,$B291&amp;":"&amp;I$115&amp;":"&amp;$R$114)</f>
        <v>#</v>
      </c>
      <c r="X291" s="461" t="str">
        <f>_xll.BLUEMATRIX2("/servlet/excelData",J291,$B$1,$B291&amp;":"&amp;J$115&amp;":"&amp;$R$114)</f>
        <v>#</v>
      </c>
      <c r="Y291" s="461" t="str">
        <f>_xll.BLUEMATRIX2("/servlet/excelData",K291,$B$1,$B291&amp;":"&amp;K$115&amp;":"&amp;$R$114)</f>
        <v>#</v>
      </c>
      <c r="Z291" s="461" t="str">
        <f>_xll.BLUEMATRIX2("/servlet/excelData",L291,$B$1,$B291&amp;":"&amp;L$115&amp;":"&amp;$R$114)</f>
        <v>#</v>
      </c>
      <c r="AA291" s="461" t="str">
        <f>_xll.BLUEMATRIX2("/servlet/excelData",M291,$B$1,$B291&amp;":"&amp;M$115&amp;":"&amp;$R$114)</f>
        <v>#</v>
      </c>
      <c r="AB291" s="461" t="str">
        <f>_xll.BLUEMATRIX2("/servlet/excelData",N291,$B$1,$B291&amp;":"&amp;N$115&amp;":"&amp;$R$114)</f>
        <v>#</v>
      </c>
      <c r="AC291" s="461" t="str">
        <f>_xll.BLUEMATRIX2("/servlet/excelData",O291,$B$1,$B291&amp;":"&amp;O$115&amp;":"&amp;$R$114)</f>
        <v>#</v>
      </c>
      <c r="AD291" s="461" t="str">
        <f>_xll.BLUEMATRIX2("/servlet/excelData",P291,$B$1,$B291&amp;":"&amp;P$115&amp;":"&amp;$R$114)</f>
        <v>#</v>
      </c>
      <c r="AE291" s="461" t="str">
        <f>_xll.BLUEMATRIX2("/servlet/excelData",Q291,$B$1,$B291&amp;":"&amp;Q$115&amp;":"&amp;$R$114)</f>
        <v>#</v>
      </c>
    </row>
    <row r="292" spans="1:31" ht="12.95" customHeight="1">
      <c r="A292" s="342" t="s">
        <v>647</v>
      </c>
      <c r="B292" s="344" t="s">
        <v>648</v>
      </c>
      <c r="C292" s="424" t="s">
        <v>649</v>
      </c>
      <c r="D292" s="375"/>
      <c r="E292" s="414"/>
      <c r="F292" s="414"/>
      <c r="G292" s="414"/>
      <c r="H292" s="414"/>
      <c r="I292" s="414"/>
      <c r="J292" s="414"/>
      <c r="K292" s="414"/>
      <c r="L292" s="414"/>
      <c r="M292" s="414"/>
      <c r="N292" s="414"/>
      <c r="O292" s="414"/>
      <c r="P292" s="414"/>
      <c r="Q292" s="414"/>
      <c r="R292" s="427"/>
      <c r="S292" s="461" t="str">
        <f>_xll.BLUEMATRIX2("/servlet/excelData",E292,$B$1,$B292&amp;":"&amp;E$115&amp;":"&amp;$R$114)</f>
        <v>#</v>
      </c>
      <c r="T292" s="461" t="str">
        <f>_xll.BLUEMATRIX2("/servlet/excelData",F292,$B$1,$B292&amp;":"&amp;F$115&amp;":"&amp;$R$114)</f>
        <v>#</v>
      </c>
      <c r="U292" s="461" t="str">
        <f>_xll.BLUEMATRIX2("/servlet/excelData",G292,$B$1,$B292&amp;":"&amp;G$115&amp;":"&amp;$R$114)</f>
        <v>#</v>
      </c>
      <c r="V292" s="461" t="str">
        <f>_xll.BLUEMATRIX2("/servlet/excelData",H292,$B$1,$B292&amp;":"&amp;H$115&amp;":"&amp;$R$114)</f>
        <v>#</v>
      </c>
      <c r="W292" s="461" t="str">
        <f>_xll.BLUEMATRIX2("/servlet/excelData",I292,$B$1,$B292&amp;":"&amp;I$115&amp;":"&amp;$R$114)</f>
        <v>#</v>
      </c>
      <c r="X292" s="461" t="str">
        <f>_xll.BLUEMATRIX2("/servlet/excelData",J292,$B$1,$B292&amp;":"&amp;J$115&amp;":"&amp;$R$114)</f>
        <v>#</v>
      </c>
      <c r="Y292" s="461" t="str">
        <f>_xll.BLUEMATRIX2("/servlet/excelData",K292,$B$1,$B292&amp;":"&amp;K$115&amp;":"&amp;$R$114)</f>
        <v>#</v>
      </c>
      <c r="Z292" s="461" t="str">
        <f>_xll.BLUEMATRIX2("/servlet/excelData",L292,$B$1,$B292&amp;":"&amp;L$115&amp;":"&amp;$R$114)</f>
        <v>#</v>
      </c>
      <c r="AA292" s="461" t="str">
        <f>_xll.BLUEMATRIX2("/servlet/excelData",M292,$B$1,$B292&amp;":"&amp;M$115&amp;":"&amp;$R$114)</f>
        <v>#</v>
      </c>
      <c r="AB292" s="461" t="str">
        <f>_xll.BLUEMATRIX2("/servlet/excelData",N292,$B$1,$B292&amp;":"&amp;N$115&amp;":"&amp;$R$114)</f>
        <v>#</v>
      </c>
      <c r="AC292" s="461" t="str">
        <f>_xll.BLUEMATRIX2("/servlet/excelData",O292,$B$1,$B292&amp;":"&amp;O$115&amp;":"&amp;$R$114)</f>
        <v>#</v>
      </c>
      <c r="AD292" s="461" t="str">
        <f>_xll.BLUEMATRIX2("/servlet/excelData",P292,$B$1,$B292&amp;":"&amp;P$115&amp;":"&amp;$R$114)</f>
        <v>#</v>
      </c>
      <c r="AE292" s="461" t="str">
        <f>_xll.BLUEMATRIX2("/servlet/excelData",Q292,$B$1,$B292&amp;":"&amp;Q$115&amp;":"&amp;$R$114)</f>
        <v>#</v>
      </c>
    </row>
    <row r="293" spans="1:31" ht="12.95" customHeight="1">
      <c r="A293" s="342"/>
      <c r="B293" s="344"/>
      <c r="C293" s="428"/>
      <c r="D293" s="427"/>
      <c r="E293" s="427"/>
      <c r="F293" s="427"/>
      <c r="G293" s="427"/>
      <c r="H293" s="427"/>
      <c r="I293" s="427"/>
      <c r="J293" s="427"/>
      <c r="K293" s="427"/>
      <c r="L293" s="427"/>
      <c r="M293" s="427"/>
      <c r="N293" s="427"/>
      <c r="O293" s="427"/>
      <c r="P293" s="427"/>
      <c r="Q293" s="427"/>
      <c r="R293" s="427"/>
      <c r="S293" s="461"/>
      <c r="T293" s="461"/>
      <c r="U293" s="461"/>
      <c r="V293" s="461"/>
      <c r="W293" s="461"/>
      <c r="X293" s="461"/>
      <c r="Y293" s="461"/>
      <c r="Z293" s="461"/>
      <c r="AA293" s="461"/>
      <c r="AB293" s="461"/>
      <c r="AC293" s="461"/>
      <c r="AD293" s="461"/>
      <c r="AE293" s="461"/>
    </row>
    <row r="294" spans="1:31" ht="12.95" customHeight="1">
      <c r="A294" s="342"/>
      <c r="B294" s="344"/>
      <c r="C294" s="428"/>
      <c r="D294" s="429"/>
      <c r="E294" s="429"/>
      <c r="F294" s="429"/>
      <c r="G294" s="429"/>
      <c r="H294" s="429"/>
      <c r="I294" s="429"/>
      <c r="J294" s="429"/>
      <c r="K294" s="429"/>
      <c r="L294" s="429"/>
      <c r="M294" s="429"/>
      <c r="N294" s="429"/>
      <c r="O294" s="429"/>
      <c r="P294" s="429"/>
      <c r="Q294" s="429"/>
      <c r="R294" s="320"/>
      <c r="S294" s="461"/>
      <c r="T294" s="461"/>
      <c r="U294" s="461"/>
      <c r="V294" s="461"/>
      <c r="W294" s="461"/>
      <c r="X294" s="461"/>
      <c r="Y294" s="461"/>
      <c r="Z294" s="461"/>
      <c r="AA294" s="461"/>
      <c r="AB294" s="461"/>
      <c r="AC294" s="461"/>
      <c r="AD294" s="461"/>
      <c r="AE294" s="461"/>
    </row>
    <row r="295" spans="1:31" ht="15" customHeight="1">
      <c r="A295" s="409"/>
      <c r="B295" s="344"/>
      <c r="C295" s="362" t="s">
        <v>650</v>
      </c>
      <c r="D295" s="368"/>
      <c r="E295" s="363"/>
      <c r="F295" s="368"/>
      <c r="G295" s="363"/>
      <c r="H295" s="368"/>
      <c r="I295" s="368"/>
      <c r="J295" s="368"/>
      <c r="K295" s="368"/>
      <c r="L295" s="368"/>
      <c r="M295" s="368"/>
      <c r="N295" s="368"/>
      <c r="O295" s="368"/>
      <c r="P295" s="368"/>
      <c r="Q295" s="368"/>
      <c r="R295" s="320"/>
      <c r="S295" s="461"/>
      <c r="T295" s="461"/>
      <c r="U295" s="461"/>
      <c r="V295" s="461"/>
      <c r="W295" s="461"/>
      <c r="X295" s="461"/>
      <c r="Y295" s="461"/>
      <c r="Z295" s="461"/>
      <c r="AA295" s="461"/>
      <c r="AB295" s="461"/>
      <c r="AC295" s="461"/>
      <c r="AD295" s="461"/>
      <c r="AE295" s="461"/>
    </row>
    <row r="296" spans="1:31" ht="12.95" customHeight="1">
      <c r="A296" s="342" t="s">
        <v>651</v>
      </c>
      <c r="B296" s="344" t="s">
        <v>652</v>
      </c>
      <c r="C296" s="469" t="s">
        <v>653</v>
      </c>
      <c r="D296" s="470"/>
      <c r="E296" s="468">
        <f t="shared" ref="E296:Q296" si="43">IF(ISERROR(E169/E287),"nm",E169/E287)*100</f>
        <v>3.3337826301837645</v>
      </c>
      <c r="F296" s="468">
        <f t="shared" si="43"/>
        <v>3.6966388212852732</v>
      </c>
      <c r="G296" s="468">
        <f t="shared" si="43"/>
        <v>1.2264534652875307</v>
      </c>
      <c r="H296" s="468">
        <f t="shared" si="43"/>
        <v>2.165794962451705</v>
      </c>
      <c r="I296" s="468">
        <f t="shared" si="43"/>
        <v>3.1035837443799381</v>
      </c>
      <c r="J296" s="468">
        <f t="shared" si="43"/>
        <v>3.9130360299414386</v>
      </c>
      <c r="K296" s="468">
        <f t="shared" si="43"/>
        <v>4.8018683474970887</v>
      </c>
      <c r="L296" s="468">
        <f t="shared" si="43"/>
        <v>5.2629167230769109</v>
      </c>
      <c r="M296" s="468">
        <f t="shared" si="43"/>
        <v>5.9971759965477665</v>
      </c>
      <c r="N296" s="468">
        <f t="shared" si="43"/>
        <v>6.5009891188482261</v>
      </c>
      <c r="O296" s="468">
        <f t="shared" si="43"/>
        <v>6.9074881828417967</v>
      </c>
      <c r="P296" s="468">
        <f t="shared" si="43"/>
        <v>7.3260250222477836</v>
      </c>
      <c r="Q296" s="468">
        <f t="shared" si="43"/>
        <v>8.8575235243393564</v>
      </c>
      <c r="R296" s="430"/>
      <c r="S296" s="461" t="str">
        <f>_xll.BLUEMATRIX2("/servlet/excelData",E296,$B$1,$B296&amp;":"&amp;E$115&amp;":"&amp;$R$114)</f>
        <v>#</v>
      </c>
      <c r="T296" s="461" t="str">
        <f>_xll.BLUEMATRIX2("/servlet/excelData",F296,$B$1,$B296&amp;":"&amp;F$115&amp;":"&amp;$R$114)</f>
        <v>#</v>
      </c>
      <c r="U296" s="461" t="str">
        <f>_xll.BLUEMATRIX2("/servlet/excelData",G296,$B$1,$B296&amp;":"&amp;G$115&amp;":"&amp;$R$114)</f>
        <v>#</v>
      </c>
      <c r="V296" s="461" t="str">
        <f>_xll.BLUEMATRIX2("/servlet/excelData",H296,$B$1,$B296&amp;":"&amp;H$115&amp;":"&amp;$R$114)</f>
        <v>#</v>
      </c>
      <c r="W296" s="461" t="str">
        <f>_xll.BLUEMATRIX2("/servlet/excelData",I296,$B$1,$B296&amp;":"&amp;I$115&amp;":"&amp;$R$114)</f>
        <v>#</v>
      </c>
      <c r="X296" s="461" t="str">
        <f>_xll.BLUEMATRIX2("/servlet/excelData",J296,$B$1,$B296&amp;":"&amp;J$115&amp;":"&amp;$R$114)</f>
        <v>#</v>
      </c>
      <c r="Y296" s="461" t="str">
        <f>_xll.BLUEMATRIX2("/servlet/excelData",K296,$B$1,$B296&amp;":"&amp;K$115&amp;":"&amp;$R$114)</f>
        <v>#</v>
      </c>
      <c r="Z296" s="461" t="str">
        <f>_xll.BLUEMATRIX2("/servlet/excelData",L296,$B$1,$B296&amp;":"&amp;L$115&amp;":"&amp;$R$114)</f>
        <v>#</v>
      </c>
      <c r="AA296" s="461" t="str">
        <f>_xll.BLUEMATRIX2("/servlet/excelData",M296,$B$1,$B296&amp;":"&amp;M$115&amp;":"&amp;$R$114)</f>
        <v>#</v>
      </c>
      <c r="AB296" s="461" t="str">
        <f>_xll.BLUEMATRIX2("/servlet/excelData",N296,$B$1,$B296&amp;":"&amp;N$115&amp;":"&amp;$R$114)</f>
        <v>#</v>
      </c>
      <c r="AC296" s="461" t="str">
        <f>_xll.BLUEMATRIX2("/servlet/excelData",O296,$B$1,$B296&amp;":"&amp;O$115&amp;":"&amp;$R$114)</f>
        <v>#</v>
      </c>
      <c r="AD296" s="461" t="str">
        <f>_xll.BLUEMATRIX2("/servlet/excelData",P296,$B$1,$B296&amp;":"&amp;P$115&amp;":"&amp;$R$114)</f>
        <v>#</v>
      </c>
      <c r="AE296" s="461" t="str">
        <f>_xll.BLUEMATRIX2("/servlet/excelData",Q296,$B$1,$B296&amp;":"&amp;Q$115&amp;":"&amp;$R$114)</f>
        <v>#</v>
      </c>
    </row>
    <row r="297" spans="1:31" ht="12.95" customHeight="1">
      <c r="A297" s="342" t="s">
        <v>654</v>
      </c>
      <c r="B297" s="344" t="s">
        <v>655</v>
      </c>
      <c r="C297" s="469" t="s">
        <v>656</v>
      </c>
      <c r="D297" s="470"/>
      <c r="E297" s="468">
        <f>FY!C184</f>
        <v>0</v>
      </c>
      <c r="F297" s="468">
        <f>FY!D184</f>
        <v>2.9</v>
      </c>
      <c r="G297" s="468">
        <f>FY!E184</f>
        <v>-59.6</v>
      </c>
      <c r="H297" s="468">
        <f>FY!F184</f>
        <v>1.6</v>
      </c>
      <c r="I297" s="468">
        <f>FY!G184</f>
        <v>2</v>
      </c>
      <c r="J297" s="468">
        <f>FY!H184</f>
        <v>2.2991478680291988</v>
      </c>
      <c r="K297" s="468">
        <f>FY!I184</f>
        <v>4.5837753526440848</v>
      </c>
      <c r="L297" s="468">
        <f>FY!J184</f>
        <v>5.2629167230769109</v>
      </c>
      <c r="M297" s="468">
        <f>FY!K184</f>
        <v>5.9971759965477638</v>
      </c>
      <c r="N297" s="468">
        <f>FY!L184</f>
        <v>6.5009891188482243</v>
      </c>
      <c r="O297" s="468">
        <f>FY!M184</f>
        <v>6.9074881828417931</v>
      </c>
      <c r="P297" s="468">
        <f>FY!N184</f>
        <v>7.3260250222477854</v>
      </c>
      <c r="Q297" s="468">
        <f>FY!O184</f>
        <v>8.8575235243393529</v>
      </c>
      <c r="R297" s="430"/>
      <c r="S297" s="461" t="str">
        <f>_xll.BLUEMATRIX2("/servlet/excelData",E297,$B$1,$B297&amp;":"&amp;E$115&amp;":"&amp;$R$114)</f>
        <v>#</v>
      </c>
      <c r="T297" s="461" t="str">
        <f>_xll.BLUEMATRIX2("/servlet/excelData",F297,$B$1,$B297&amp;":"&amp;F$115&amp;":"&amp;$R$114)</f>
        <v>#</v>
      </c>
      <c r="U297" s="461" t="str">
        <f>_xll.BLUEMATRIX2("/servlet/excelData",G297,$B$1,$B297&amp;":"&amp;G$115&amp;":"&amp;$R$114)</f>
        <v>#</v>
      </c>
      <c r="V297" s="461" t="str">
        <f>_xll.BLUEMATRIX2("/servlet/excelData",H297,$B$1,$B297&amp;":"&amp;H$115&amp;":"&amp;$R$114)</f>
        <v>#</v>
      </c>
      <c r="W297" s="461" t="str">
        <f>_xll.BLUEMATRIX2("/servlet/excelData",I297,$B$1,$B297&amp;":"&amp;I$115&amp;":"&amp;$R$114)</f>
        <v>#</v>
      </c>
      <c r="X297" s="461" t="str">
        <f>_xll.BLUEMATRIX2("/servlet/excelData",J297,$B$1,$B297&amp;":"&amp;J$115&amp;":"&amp;$R$114)</f>
        <v>#</v>
      </c>
      <c r="Y297" s="461" t="str">
        <f>_xll.BLUEMATRIX2("/servlet/excelData",K297,$B$1,$B297&amp;":"&amp;K$115&amp;":"&amp;$R$114)</f>
        <v>#</v>
      </c>
      <c r="Z297" s="461" t="str">
        <f>_xll.BLUEMATRIX2("/servlet/excelData",L297,$B$1,$B297&amp;":"&amp;L$115&amp;":"&amp;$R$114)</f>
        <v>#</v>
      </c>
      <c r="AA297" s="461" t="str">
        <f>_xll.BLUEMATRIX2("/servlet/excelData",M297,$B$1,$B297&amp;":"&amp;M$115&amp;":"&amp;$R$114)</f>
        <v>#</v>
      </c>
      <c r="AB297" s="461" t="str">
        <f>_xll.BLUEMATRIX2("/servlet/excelData",N297,$B$1,$B297&amp;":"&amp;N$115&amp;":"&amp;$R$114)</f>
        <v>#</v>
      </c>
      <c r="AC297" s="461" t="str">
        <f>_xll.BLUEMATRIX2("/servlet/excelData",O297,$B$1,$B297&amp;":"&amp;O$115&amp;":"&amp;$R$114)</f>
        <v>#</v>
      </c>
      <c r="AD297" s="461" t="str">
        <f>_xll.BLUEMATRIX2("/servlet/excelData",P297,$B$1,$B297&amp;":"&amp;P$115&amp;":"&amp;$R$114)</f>
        <v>#</v>
      </c>
      <c r="AE297" s="461" t="str">
        <f>_xll.BLUEMATRIX2("/servlet/excelData",Q297,$B$1,$B297&amp;":"&amp;Q$115&amp;":"&amp;$R$114)</f>
        <v>#</v>
      </c>
    </row>
    <row r="298" spans="1:31" ht="12.95" customHeight="1">
      <c r="A298" s="342" t="s">
        <v>657</v>
      </c>
      <c r="B298" s="344" t="s">
        <v>658</v>
      </c>
      <c r="C298" s="469" t="s">
        <v>659</v>
      </c>
      <c r="D298" s="471"/>
      <c r="E298" s="468">
        <f t="shared" ref="E298:Q298" si="44">IF(ISERROR(E176/E287),"nm",E176/E287)*100</f>
        <v>3.3337826301837543</v>
      </c>
      <c r="F298" s="468">
        <f t="shared" si="44"/>
        <v>3.6966388212852732</v>
      </c>
      <c r="G298" s="468">
        <f t="shared" si="44"/>
        <v>1.2264534652875316</v>
      </c>
      <c r="H298" s="468">
        <f t="shared" si="44"/>
        <v>2.165794962451705</v>
      </c>
      <c r="I298" s="468">
        <f t="shared" si="44"/>
        <v>3.1035837443799381</v>
      </c>
      <c r="J298" s="468">
        <f t="shared" si="44"/>
        <v>3.9130360299414386</v>
      </c>
      <c r="K298" s="468">
        <f t="shared" si="44"/>
        <v>4.8018683474970887</v>
      </c>
      <c r="L298" s="468">
        <f t="shared" si="44"/>
        <v>5.2629167230769109</v>
      </c>
      <c r="M298" s="468">
        <f t="shared" si="44"/>
        <v>5.9971759965477665</v>
      </c>
      <c r="N298" s="468">
        <f t="shared" si="44"/>
        <v>6.5009891188482261</v>
      </c>
      <c r="O298" s="468">
        <f t="shared" si="44"/>
        <v>6.9074881828417967</v>
      </c>
      <c r="P298" s="468">
        <f t="shared" si="44"/>
        <v>7.3260250222477836</v>
      </c>
      <c r="Q298" s="468">
        <f t="shared" si="44"/>
        <v>8.8575235243393564</v>
      </c>
      <c r="R298" s="430"/>
      <c r="S298" s="461" t="str">
        <f>_xll.BLUEMATRIX2("/servlet/excelData",E298,$B$1,$B298&amp;":"&amp;E$115&amp;":"&amp;$R$114)</f>
        <v>#</v>
      </c>
      <c r="T298" s="461" t="str">
        <f>_xll.BLUEMATRIX2("/servlet/excelData",F298,$B$1,$B298&amp;":"&amp;F$115&amp;":"&amp;$R$114)</f>
        <v>#</v>
      </c>
      <c r="U298" s="461" t="str">
        <f>_xll.BLUEMATRIX2("/servlet/excelData",G298,$B$1,$B298&amp;":"&amp;G$115&amp;":"&amp;$R$114)</f>
        <v>#</v>
      </c>
      <c r="V298" s="461" t="str">
        <f>_xll.BLUEMATRIX2("/servlet/excelData",H298,$B$1,$B298&amp;":"&amp;H$115&amp;":"&amp;$R$114)</f>
        <v>#</v>
      </c>
      <c r="W298" s="461" t="str">
        <f>_xll.BLUEMATRIX2("/servlet/excelData",I298,$B$1,$B298&amp;":"&amp;I$115&amp;":"&amp;$R$114)</f>
        <v>#</v>
      </c>
      <c r="X298" s="461" t="str">
        <f>_xll.BLUEMATRIX2("/servlet/excelData",J298,$B$1,$B298&amp;":"&amp;J$115&amp;":"&amp;$R$114)</f>
        <v>#</v>
      </c>
      <c r="Y298" s="461" t="str">
        <f>_xll.BLUEMATRIX2("/servlet/excelData",K298,$B$1,$B298&amp;":"&amp;K$115&amp;":"&amp;$R$114)</f>
        <v>#</v>
      </c>
      <c r="Z298" s="461" t="str">
        <f>_xll.BLUEMATRIX2("/servlet/excelData",L298,$B$1,$B298&amp;":"&amp;L$115&amp;":"&amp;$R$114)</f>
        <v>#</v>
      </c>
      <c r="AA298" s="461" t="str">
        <f>_xll.BLUEMATRIX2("/servlet/excelData",M298,$B$1,$B298&amp;":"&amp;M$115&amp;":"&amp;$R$114)</f>
        <v>#</v>
      </c>
      <c r="AB298" s="461" t="str">
        <f>_xll.BLUEMATRIX2("/servlet/excelData",N298,$B$1,$B298&amp;":"&amp;N$115&amp;":"&amp;$R$114)</f>
        <v>#</v>
      </c>
      <c r="AC298" s="461" t="str">
        <f>_xll.BLUEMATRIX2("/servlet/excelData",O298,$B$1,$B298&amp;":"&amp;O$115&amp;":"&amp;$R$114)</f>
        <v>#</v>
      </c>
      <c r="AD298" s="461" t="str">
        <f>_xll.BLUEMATRIX2("/servlet/excelData",P298,$B$1,$B298&amp;":"&amp;P$115&amp;":"&amp;$R$114)</f>
        <v>#</v>
      </c>
      <c r="AE298" s="461" t="str">
        <f>_xll.BLUEMATRIX2("/servlet/excelData",Q298,$B$1,$B298&amp;":"&amp;Q$115&amp;":"&amp;$R$114)</f>
        <v>#</v>
      </c>
    </row>
    <row r="299" spans="1:31" ht="12.95" customHeight="1">
      <c r="A299" s="342"/>
      <c r="B299" s="344" t="s">
        <v>660</v>
      </c>
      <c r="C299" s="469" t="s">
        <v>661</v>
      </c>
      <c r="D299" s="470"/>
      <c r="E299" s="370"/>
      <c r="F299" s="370">
        <f t="shared" ref="F299:Q299" si="45">+F298/E298-1</f>
        <v>0.10884218659496669</v>
      </c>
      <c r="G299" s="370">
        <f t="shared" si="45"/>
        <v>-0.66822469692586584</v>
      </c>
      <c r="H299" s="370">
        <f t="shared" si="45"/>
        <v>0.76590064258488</v>
      </c>
      <c r="I299" s="370">
        <f t="shared" si="45"/>
        <v>0.43299979831269231</v>
      </c>
      <c r="J299" s="370">
        <f t="shared" si="45"/>
        <v>0.26081212953485822</v>
      </c>
      <c r="K299" s="370">
        <f t="shared" si="45"/>
        <v>0.22714646907275027</v>
      </c>
      <c r="L299" s="370">
        <f t="shared" si="45"/>
        <v>9.6014372368234069E-2</v>
      </c>
      <c r="M299" s="370">
        <f t="shared" si="45"/>
        <v>0.13951565493165896</v>
      </c>
      <c r="N299" s="370">
        <f t="shared" si="45"/>
        <v>8.4008393715721663E-2</v>
      </c>
      <c r="O299" s="370">
        <f t="shared" si="45"/>
        <v>6.2528802396394356E-2</v>
      </c>
      <c r="P299" s="370">
        <f t="shared" si="45"/>
        <v>6.0591756124264151E-2</v>
      </c>
      <c r="Q299" s="370">
        <f t="shared" si="45"/>
        <v>0.20904904056984441</v>
      </c>
      <c r="R299" s="430"/>
      <c r="S299" s="461" t="str">
        <f>_xll.BLUEMATRIX2("/servlet/excelData",E299,$B$1,$B299&amp;":"&amp;E$115&amp;":"&amp;$R$114)</f>
        <v>#</v>
      </c>
      <c r="T299" s="461" t="str">
        <f>_xll.BLUEMATRIX2("/servlet/excelData",F299,$B$1,$B299&amp;":"&amp;F$115&amp;":"&amp;$R$114)</f>
        <v>#</v>
      </c>
      <c r="U299" s="461" t="str">
        <f>_xll.BLUEMATRIX2("/servlet/excelData",G299,$B$1,$B299&amp;":"&amp;G$115&amp;":"&amp;$R$114)</f>
        <v>#</v>
      </c>
      <c r="V299" s="461" t="str">
        <f>_xll.BLUEMATRIX2("/servlet/excelData",H299,$B$1,$B299&amp;":"&amp;H$115&amp;":"&amp;$R$114)</f>
        <v>#</v>
      </c>
      <c r="W299" s="461" t="str">
        <f>_xll.BLUEMATRIX2("/servlet/excelData",I299,$B$1,$B299&amp;":"&amp;I$115&amp;":"&amp;$R$114)</f>
        <v>#</v>
      </c>
      <c r="X299" s="461" t="str">
        <f>_xll.BLUEMATRIX2("/servlet/excelData",J299,$B$1,$B299&amp;":"&amp;J$115&amp;":"&amp;$R$114)</f>
        <v>#</v>
      </c>
      <c r="Y299" s="461" t="str">
        <f>_xll.BLUEMATRIX2("/servlet/excelData",K299,$B$1,$B299&amp;":"&amp;K$115&amp;":"&amp;$R$114)</f>
        <v>#</v>
      </c>
      <c r="Z299" s="461" t="str">
        <f>_xll.BLUEMATRIX2("/servlet/excelData",L299,$B$1,$B299&amp;":"&amp;L$115&amp;":"&amp;$R$114)</f>
        <v>#</v>
      </c>
      <c r="AA299" s="461" t="str">
        <f>_xll.BLUEMATRIX2("/servlet/excelData",M299,$B$1,$B299&amp;":"&amp;M$115&amp;":"&amp;$R$114)</f>
        <v>#</v>
      </c>
      <c r="AB299" s="461" t="str">
        <f>_xll.BLUEMATRIX2("/servlet/excelData",N299,$B$1,$B299&amp;":"&amp;N$115&amp;":"&amp;$R$114)</f>
        <v>#</v>
      </c>
      <c r="AC299" s="461" t="str">
        <f>_xll.BLUEMATRIX2("/servlet/excelData",O299,$B$1,$B299&amp;":"&amp;O$115&amp;":"&amp;$R$114)</f>
        <v>#</v>
      </c>
      <c r="AD299" s="461" t="str">
        <f>_xll.BLUEMATRIX2("/servlet/excelData",P299,$B$1,$B299&amp;":"&amp;P$115&amp;":"&amp;$R$114)</f>
        <v>#</v>
      </c>
      <c r="AE299" s="461" t="str">
        <f>_xll.BLUEMATRIX2("/servlet/excelData",Q299,$B$1,$B299&amp;":"&amp;Q$115&amp;":"&amp;$R$114)</f>
        <v>#</v>
      </c>
    </row>
    <row r="300" spans="1:31" ht="12.95" customHeight="1">
      <c r="A300" s="342"/>
      <c r="B300" s="344" t="s">
        <v>662</v>
      </c>
      <c r="C300" s="469" t="s">
        <v>663</v>
      </c>
      <c r="D300" s="472"/>
      <c r="E300" s="472">
        <f t="shared" ref="E300:Q300" si="46">E18/E298*100</f>
        <v>31.945694070080936</v>
      </c>
      <c r="F300" s="472">
        <f t="shared" si="46"/>
        <v>30.027277580071171</v>
      </c>
      <c r="G300" s="472">
        <f t="shared" si="46"/>
        <v>57.075137362500008</v>
      </c>
      <c r="H300" s="472">
        <f t="shared" si="46"/>
        <v>33.013282069444458</v>
      </c>
      <c r="I300" s="472">
        <f t="shared" si="46"/>
        <v>29.320942334739801</v>
      </c>
      <c r="J300" s="472">
        <f t="shared" si="46"/>
        <v>23.255599821645877</v>
      </c>
      <c r="K300" s="472">
        <f t="shared" si="46"/>
        <v>18.950956880655124</v>
      </c>
      <c r="L300" s="472">
        <f t="shared" si="46"/>
        <v>17.290792309325724</v>
      </c>
      <c r="M300" s="472">
        <f t="shared" si="46"/>
        <v>15.173808481255765</v>
      </c>
      <c r="N300" s="472">
        <f t="shared" si="46"/>
        <v>13.99786991431273</v>
      </c>
      <c r="O300" s="472">
        <f t="shared" si="46"/>
        <v>13.174108676152937</v>
      </c>
      <c r="P300" s="472">
        <f t="shared" si="46"/>
        <v>12.421469995481838</v>
      </c>
      <c r="Q300" s="472">
        <f t="shared" si="46"/>
        <v>10.27375199737754</v>
      </c>
      <c r="R300" s="430"/>
      <c r="S300" s="461" t="str">
        <f>_xll.BLUEMATRIX2("/servlet/excelData",E300,$B$1,$B300&amp;":"&amp;E$115&amp;":"&amp;$R$114)</f>
        <v>#</v>
      </c>
      <c r="T300" s="461" t="str">
        <f>_xll.BLUEMATRIX2("/servlet/excelData",F300,$B$1,$B300&amp;":"&amp;F$115&amp;":"&amp;$R$114)</f>
        <v>#</v>
      </c>
      <c r="U300" s="461" t="str">
        <f>_xll.BLUEMATRIX2("/servlet/excelData",G300,$B$1,$B300&amp;":"&amp;G$115&amp;":"&amp;$R$114)</f>
        <v>#</v>
      </c>
      <c r="V300" s="461" t="str">
        <f>_xll.BLUEMATRIX2("/servlet/excelData",H300,$B$1,$B300&amp;":"&amp;H$115&amp;":"&amp;$R$114)</f>
        <v>#</v>
      </c>
      <c r="W300" s="461" t="str">
        <f>_xll.BLUEMATRIX2("/servlet/excelData",I300,$B$1,$B300&amp;":"&amp;I$115&amp;":"&amp;$R$114)</f>
        <v>#</v>
      </c>
      <c r="X300" s="461" t="str">
        <f>_xll.BLUEMATRIX2("/servlet/excelData",J300,$B$1,$B300&amp;":"&amp;J$115&amp;":"&amp;$R$114)</f>
        <v>#</v>
      </c>
      <c r="Y300" s="461" t="str">
        <f>_xll.BLUEMATRIX2("/servlet/excelData",K300,$B$1,$B300&amp;":"&amp;K$115&amp;":"&amp;$R$114)</f>
        <v>#</v>
      </c>
      <c r="Z300" s="461" t="str">
        <f>_xll.BLUEMATRIX2("/servlet/excelData",L300,$B$1,$B300&amp;":"&amp;L$115&amp;":"&amp;$R$114)</f>
        <v>#</v>
      </c>
      <c r="AA300" s="461" t="str">
        <f>_xll.BLUEMATRIX2("/servlet/excelData",M300,$B$1,$B300&amp;":"&amp;M$115&amp;":"&amp;$R$114)</f>
        <v>#</v>
      </c>
      <c r="AB300" s="461" t="str">
        <f>_xll.BLUEMATRIX2("/servlet/excelData",N300,$B$1,$B300&amp;":"&amp;N$115&amp;":"&amp;$R$114)</f>
        <v>#</v>
      </c>
      <c r="AC300" s="461" t="str">
        <f>_xll.BLUEMATRIX2("/servlet/excelData",O300,$B$1,$B300&amp;":"&amp;O$115&amp;":"&amp;$R$114)</f>
        <v>#</v>
      </c>
      <c r="AD300" s="461" t="str">
        <f>_xll.BLUEMATRIX2("/servlet/excelData",P300,$B$1,$B300&amp;":"&amp;P$115&amp;":"&amp;$R$114)</f>
        <v>#</v>
      </c>
      <c r="AE300" s="461" t="str">
        <f>_xll.BLUEMATRIX2("/servlet/excelData",Q300,$B$1,$B300&amp;":"&amp;Q$115&amp;":"&amp;$R$114)</f>
        <v>#</v>
      </c>
    </row>
    <row r="301" spans="1:31" ht="12.95" customHeight="1">
      <c r="A301" s="342"/>
      <c r="B301" s="344" t="s">
        <v>664</v>
      </c>
      <c r="C301" s="469" t="s">
        <v>665</v>
      </c>
      <c r="D301" s="470"/>
      <c r="E301" s="470"/>
      <c r="F301" s="470">
        <f>+IF(F300="0",0,F300/F299)</f>
        <v>275.87903660748168</v>
      </c>
      <c r="G301" s="470">
        <f>+IF(G300="0",0,G300/G299)</f>
        <v>-85.413091771482428</v>
      </c>
      <c r="H301" s="470">
        <f>+IF(H300="0",0,H300/H299)</f>
        <v>43.103870442027734</v>
      </c>
      <c r="I301" s="470">
        <f t="shared" ref="I301:P301" si="47">+IF(I300="0",0,I300/I299)</f>
        <v>67.715833700147783</v>
      </c>
      <c r="J301" s="470">
        <f t="shared" si="47"/>
        <v>89.166097693081809</v>
      </c>
      <c r="K301" s="470">
        <f t="shared" si="47"/>
        <v>83.430558960551252</v>
      </c>
      <c r="L301" s="470">
        <f t="shared" si="47"/>
        <v>180.08545890413285</v>
      </c>
      <c r="M301" s="470">
        <f t="shared" si="47"/>
        <v>108.76061534950023</v>
      </c>
      <c r="N301" s="470">
        <f t="shared" si="47"/>
        <v>166.6246585035361</v>
      </c>
      <c r="O301" s="470">
        <f t="shared" si="47"/>
        <v>210.68864541235169</v>
      </c>
      <c r="P301" s="470">
        <f t="shared" si="47"/>
        <v>205.00264045833822</v>
      </c>
      <c r="Q301" s="470">
        <f>+IF(Q300="0",0,Q300/Q299)</f>
        <v>49.145176506777716</v>
      </c>
      <c r="R301" s="430"/>
      <c r="S301" s="461" t="str">
        <f>_xll.BLUEMATRIX2("/servlet/excelData",E301,$B$1,$B301&amp;":"&amp;E$115&amp;":"&amp;$R$114)</f>
        <v>#</v>
      </c>
      <c r="T301" s="461" t="str">
        <f>_xll.BLUEMATRIX2("/servlet/excelData",F301,$B$1,$B301&amp;":"&amp;F$115&amp;":"&amp;$R$114)</f>
        <v>#</v>
      </c>
      <c r="U301" s="461" t="str">
        <f>_xll.BLUEMATRIX2("/servlet/excelData",G301,$B$1,$B301&amp;":"&amp;G$115&amp;":"&amp;$R$114)</f>
        <v>#</v>
      </c>
      <c r="V301" s="461" t="str">
        <f>_xll.BLUEMATRIX2("/servlet/excelData",H301,$B$1,$B301&amp;":"&amp;H$115&amp;":"&amp;$R$114)</f>
        <v>#</v>
      </c>
      <c r="W301" s="461" t="str">
        <f>_xll.BLUEMATRIX2("/servlet/excelData",I301,$B$1,$B301&amp;":"&amp;I$115&amp;":"&amp;$R$114)</f>
        <v>#</v>
      </c>
      <c r="X301" s="461" t="str">
        <f>_xll.BLUEMATRIX2("/servlet/excelData",J301,$B$1,$B301&amp;":"&amp;J$115&amp;":"&amp;$R$114)</f>
        <v>#</v>
      </c>
      <c r="Y301" s="461" t="str">
        <f>_xll.BLUEMATRIX2("/servlet/excelData",K301,$B$1,$B301&amp;":"&amp;K$115&amp;":"&amp;$R$114)</f>
        <v>#</v>
      </c>
      <c r="Z301" s="461" t="str">
        <f>_xll.BLUEMATRIX2("/servlet/excelData",L301,$B$1,$B301&amp;":"&amp;L$115&amp;":"&amp;$R$114)</f>
        <v>#</v>
      </c>
      <c r="AA301" s="461" t="str">
        <f>_xll.BLUEMATRIX2("/servlet/excelData",M301,$B$1,$B301&amp;":"&amp;M$115&amp;":"&amp;$R$114)</f>
        <v>#</v>
      </c>
      <c r="AB301" s="461" t="str">
        <f>_xll.BLUEMATRIX2("/servlet/excelData",N301,$B$1,$B301&amp;":"&amp;N$115&amp;":"&amp;$R$114)</f>
        <v>#</v>
      </c>
      <c r="AC301" s="461" t="str">
        <f>_xll.BLUEMATRIX2("/servlet/excelData",O301,$B$1,$B301&amp;":"&amp;O$115&amp;":"&amp;$R$114)</f>
        <v>#</v>
      </c>
      <c r="AD301" s="461" t="str">
        <f>_xll.BLUEMATRIX2("/servlet/excelData",P301,$B$1,$B301&amp;":"&amp;P$115&amp;":"&amp;$R$114)</f>
        <v>#</v>
      </c>
      <c r="AE301" s="461" t="str">
        <f>_xll.BLUEMATRIX2("/servlet/excelData",Q301,$B$1,$B301&amp;":"&amp;Q$115&amp;":"&amp;$R$114)</f>
        <v>#</v>
      </c>
    </row>
    <row r="302" spans="1:31" ht="12.95" customHeight="1">
      <c r="A302" s="342" t="s">
        <v>666</v>
      </c>
      <c r="B302" s="344" t="s">
        <v>291</v>
      </c>
      <c r="C302" s="426" t="s">
        <v>667</v>
      </c>
      <c r="D302" s="431"/>
      <c r="E302" s="431"/>
      <c r="F302" s="431">
        <f>FY!D186</f>
        <v>2.2999999999999998</v>
      </c>
      <c r="G302" s="431">
        <f>FY!E186</f>
        <v>1.3</v>
      </c>
      <c r="H302" s="431">
        <f>FY!F186</f>
        <v>2</v>
      </c>
      <c r="I302" s="431">
        <f>FY!G186</f>
        <v>3</v>
      </c>
      <c r="J302" s="431">
        <f>FY!H186</f>
        <v>3.2</v>
      </c>
      <c r="K302" s="431">
        <f>FY!I186</f>
        <v>3.2</v>
      </c>
      <c r="L302" s="431">
        <f>FY!J186</f>
        <v>3.7282813083816082</v>
      </c>
      <c r="M302" s="431">
        <f>FY!K186</f>
        <v>3.2995563311710292</v>
      </c>
      <c r="N302" s="431">
        <f>FY!L186</f>
        <v>3.5318345227844894</v>
      </c>
      <c r="O302" s="431">
        <f>FY!M186</f>
        <v>0</v>
      </c>
      <c r="P302" s="431">
        <f>FY!N186</f>
        <v>0</v>
      </c>
      <c r="Q302" s="431">
        <f>FY!O186</f>
        <v>0</v>
      </c>
      <c r="R302" s="430"/>
      <c r="S302" s="461" t="str">
        <f>_xll.BLUEMATRIX2("/servlet/excelData",E302,$B$1,$B302&amp;":"&amp;E$115&amp;":"&amp;$R$114)</f>
        <v>#</v>
      </c>
      <c r="T302" s="461" t="str">
        <f>_xll.BLUEMATRIX2("/servlet/excelData",F302,$B$1,$B302&amp;":"&amp;F$115&amp;":"&amp;$R$114)</f>
        <v>#</v>
      </c>
      <c r="U302" s="461" t="str">
        <f>_xll.BLUEMATRIX2("/servlet/excelData",G302,$B$1,$B302&amp;":"&amp;G$115&amp;":"&amp;$R$114)</f>
        <v>#</v>
      </c>
      <c r="V302" s="461" t="str">
        <f>_xll.BLUEMATRIX2("/servlet/excelData",H302,$B$1,$B302&amp;":"&amp;H$115&amp;":"&amp;$R$114)</f>
        <v>#</v>
      </c>
      <c r="W302" s="461" t="str">
        <f>_xll.BLUEMATRIX2("/servlet/excelData",I302,$B$1,$B302&amp;":"&amp;I$115&amp;":"&amp;$R$114)</f>
        <v>#</v>
      </c>
      <c r="X302" s="461" t="str">
        <f>_xll.BLUEMATRIX2("/servlet/excelData",J302,$B$1,$B302&amp;":"&amp;J$115&amp;":"&amp;$R$114)</f>
        <v>#</v>
      </c>
      <c r="Y302" s="461" t="str">
        <f>_xll.BLUEMATRIX2("/servlet/excelData",K302,$B$1,$B302&amp;":"&amp;K$115&amp;":"&amp;$R$114)</f>
        <v>#</v>
      </c>
      <c r="Z302" s="461" t="str">
        <f>_xll.BLUEMATRIX2("/servlet/excelData",L302,$B$1,$B302&amp;":"&amp;L$115&amp;":"&amp;$R$114)</f>
        <v>#</v>
      </c>
      <c r="AA302" s="461" t="str">
        <f>_xll.BLUEMATRIX2("/servlet/excelData",M302,$B$1,$B302&amp;":"&amp;M$115&amp;":"&amp;$R$114)</f>
        <v>#</v>
      </c>
      <c r="AB302" s="461" t="str">
        <f>_xll.BLUEMATRIX2("/servlet/excelData",N302,$B$1,$B302&amp;":"&amp;N$115&amp;":"&amp;$R$114)</f>
        <v>#</v>
      </c>
      <c r="AC302" s="461" t="str">
        <f>_xll.BLUEMATRIX2("/servlet/excelData",O302,$B$1,$B302&amp;":"&amp;O$115&amp;":"&amp;$R$114)</f>
        <v>#</v>
      </c>
      <c r="AD302" s="461" t="str">
        <f>_xll.BLUEMATRIX2("/servlet/excelData",P302,$B$1,$B302&amp;":"&amp;P$115&amp;":"&amp;$R$114)</f>
        <v>#</v>
      </c>
      <c r="AE302" s="461" t="str">
        <f>_xll.BLUEMATRIX2("/servlet/excelData",Q302,$B$1,$B302&amp;":"&amp;Q$115&amp;":"&amp;$R$114)</f>
        <v>#</v>
      </c>
    </row>
    <row r="303" spans="1:31" ht="12.95" customHeight="1">
      <c r="A303" s="342"/>
      <c r="B303" s="344" t="s">
        <v>668</v>
      </c>
      <c r="C303" s="469" t="s">
        <v>669</v>
      </c>
      <c r="D303" s="432"/>
      <c r="E303" s="432">
        <f t="shared" ref="E303:Q303" si="48">E302/E18/100</f>
        <v>0</v>
      </c>
      <c r="F303" s="432">
        <f t="shared" si="48"/>
        <v>2.0720720720720717E-2</v>
      </c>
      <c r="G303" s="432">
        <f t="shared" si="48"/>
        <v>1.8571428571428576E-2</v>
      </c>
      <c r="H303" s="432">
        <f t="shared" si="48"/>
        <v>2.7972027972027975E-2</v>
      </c>
      <c r="I303" s="432">
        <f t="shared" si="48"/>
        <v>3.2967032967032968E-2</v>
      </c>
      <c r="J303" s="432">
        <f t="shared" si="48"/>
        <v>3.5164835164835165E-2</v>
      </c>
      <c r="K303" s="432">
        <f t="shared" si="48"/>
        <v>3.5164835164835165E-2</v>
      </c>
      <c r="L303" s="432">
        <f t="shared" si="48"/>
        <v>4.0970124267929758E-2</v>
      </c>
      <c r="M303" s="432">
        <f t="shared" si="48"/>
        <v>3.6258860782099223E-2</v>
      </c>
      <c r="N303" s="432">
        <f t="shared" si="48"/>
        <v>3.8811368382247136E-2</v>
      </c>
      <c r="O303" s="432">
        <f t="shared" si="48"/>
        <v>0</v>
      </c>
      <c r="P303" s="432">
        <f t="shared" si="48"/>
        <v>0</v>
      </c>
      <c r="Q303" s="432">
        <f t="shared" si="48"/>
        <v>0</v>
      </c>
      <c r="R303" s="430"/>
      <c r="S303" s="461" t="str">
        <f>_xll.BLUEMATRIX2("/servlet/excelData",E303,$B$1,$B303&amp;":"&amp;E$115&amp;":"&amp;$R$114)</f>
        <v>#</v>
      </c>
      <c r="T303" s="461" t="str">
        <f>_xll.BLUEMATRIX2("/servlet/excelData",F303,$B$1,$B303&amp;":"&amp;F$115&amp;":"&amp;$R$114)</f>
        <v>#</v>
      </c>
      <c r="U303" s="461" t="str">
        <f>_xll.BLUEMATRIX2("/servlet/excelData",G303,$B$1,$B303&amp;":"&amp;G$115&amp;":"&amp;$R$114)</f>
        <v>#</v>
      </c>
      <c r="V303" s="461" t="str">
        <f>_xll.BLUEMATRIX2("/servlet/excelData",H303,$B$1,$B303&amp;":"&amp;H$115&amp;":"&amp;$R$114)</f>
        <v>#</v>
      </c>
      <c r="W303" s="461" t="str">
        <f>_xll.BLUEMATRIX2("/servlet/excelData",I303,$B$1,$B303&amp;":"&amp;I$115&amp;":"&amp;$R$114)</f>
        <v>#</v>
      </c>
      <c r="X303" s="461" t="str">
        <f>_xll.BLUEMATRIX2("/servlet/excelData",J303,$B$1,$B303&amp;":"&amp;J$115&amp;":"&amp;$R$114)</f>
        <v>#</v>
      </c>
      <c r="Y303" s="461" t="str">
        <f>_xll.BLUEMATRIX2("/servlet/excelData",K303,$B$1,$B303&amp;":"&amp;K$115&amp;":"&amp;$R$114)</f>
        <v>#</v>
      </c>
      <c r="Z303" s="461" t="str">
        <f>_xll.BLUEMATRIX2("/servlet/excelData",L303,$B$1,$B303&amp;":"&amp;L$115&amp;":"&amp;$R$114)</f>
        <v>#</v>
      </c>
      <c r="AA303" s="461" t="str">
        <f>_xll.BLUEMATRIX2("/servlet/excelData",M303,$B$1,$B303&amp;":"&amp;M$115&amp;":"&amp;$R$114)</f>
        <v>#</v>
      </c>
      <c r="AB303" s="461" t="str">
        <f>_xll.BLUEMATRIX2("/servlet/excelData",N303,$B$1,$B303&amp;":"&amp;N$115&amp;":"&amp;$R$114)</f>
        <v>#</v>
      </c>
      <c r="AC303" s="461" t="str">
        <f>_xll.BLUEMATRIX2("/servlet/excelData",O303,$B$1,$B303&amp;":"&amp;O$115&amp;":"&amp;$R$114)</f>
        <v>#</v>
      </c>
      <c r="AD303" s="461" t="str">
        <f>_xll.BLUEMATRIX2("/servlet/excelData",P303,$B$1,$B303&amp;":"&amp;P$115&amp;":"&amp;$R$114)</f>
        <v>#</v>
      </c>
      <c r="AE303" s="461" t="str">
        <f>_xll.BLUEMATRIX2("/servlet/excelData",Q303,$B$1,$B303&amp;":"&amp;Q$115&amp;":"&amp;$R$114)</f>
        <v>#</v>
      </c>
    </row>
    <row r="304" spans="1:31" ht="12.95" customHeight="1">
      <c r="A304" s="342" t="s">
        <v>670</v>
      </c>
      <c r="B304" s="344" t="s">
        <v>671</v>
      </c>
      <c r="C304" s="426" t="s">
        <v>672</v>
      </c>
      <c r="D304" s="433"/>
      <c r="E304" s="433"/>
      <c r="F304" s="433"/>
      <c r="G304" s="433"/>
      <c r="H304" s="433"/>
      <c r="I304" s="433"/>
      <c r="J304" s="433"/>
      <c r="K304" s="433"/>
      <c r="L304" s="433"/>
      <c r="M304" s="433"/>
      <c r="N304" s="433"/>
      <c r="O304" s="433"/>
      <c r="P304" s="433"/>
      <c r="Q304" s="433"/>
      <c r="R304" s="430"/>
      <c r="S304" s="461" t="str">
        <f>_xll.BLUEMATRIX2("/servlet/excelData",E304,$B$1,$B304&amp;":"&amp;E$115&amp;":"&amp;$R$114)</f>
        <v>#</v>
      </c>
      <c r="T304" s="461" t="str">
        <f>_xll.BLUEMATRIX2("/servlet/excelData",F304,$B$1,$B304&amp;":"&amp;F$115&amp;":"&amp;$R$114)</f>
        <v>#</v>
      </c>
      <c r="U304" s="461" t="str">
        <f>_xll.BLUEMATRIX2("/servlet/excelData",G304,$B$1,$B304&amp;":"&amp;G$115&amp;":"&amp;$R$114)</f>
        <v>#</v>
      </c>
      <c r="V304" s="461" t="str">
        <f>_xll.BLUEMATRIX2("/servlet/excelData",H304,$B$1,$B304&amp;":"&amp;H$115&amp;":"&amp;$R$114)</f>
        <v>#</v>
      </c>
      <c r="W304" s="461" t="str">
        <f>_xll.BLUEMATRIX2("/servlet/excelData",I304,$B$1,$B304&amp;":"&amp;I$115&amp;":"&amp;$R$114)</f>
        <v>#</v>
      </c>
      <c r="X304" s="461" t="str">
        <f>_xll.BLUEMATRIX2("/servlet/excelData",J304,$B$1,$B304&amp;":"&amp;J$115&amp;":"&amp;$R$114)</f>
        <v>#</v>
      </c>
      <c r="Y304" s="461" t="str">
        <f>_xll.BLUEMATRIX2("/servlet/excelData",K304,$B$1,$B304&amp;":"&amp;K$115&amp;":"&amp;$R$114)</f>
        <v>#</v>
      </c>
      <c r="Z304" s="461" t="str">
        <f>_xll.BLUEMATRIX2("/servlet/excelData",L304,$B$1,$B304&amp;":"&amp;L$115&amp;":"&amp;$R$114)</f>
        <v>#</v>
      </c>
      <c r="AA304" s="461" t="str">
        <f>_xll.BLUEMATRIX2("/servlet/excelData",M304,$B$1,$B304&amp;":"&amp;M$115&amp;":"&amp;$R$114)</f>
        <v>#</v>
      </c>
      <c r="AB304" s="461" t="str">
        <f>_xll.BLUEMATRIX2("/servlet/excelData",N304,$B$1,$B304&amp;":"&amp;N$115&amp;":"&amp;$R$114)</f>
        <v>#</v>
      </c>
      <c r="AC304" s="461" t="str">
        <f>_xll.BLUEMATRIX2("/servlet/excelData",O304,$B$1,$B304&amp;":"&amp;O$115&amp;":"&amp;$R$114)</f>
        <v>#</v>
      </c>
      <c r="AD304" s="461" t="str">
        <f>_xll.BLUEMATRIX2("/servlet/excelData",P304,$B$1,$B304&amp;":"&amp;P$115&amp;":"&amp;$R$114)</f>
        <v>#</v>
      </c>
      <c r="AE304" s="461" t="str">
        <f>_xll.BLUEMATRIX2("/servlet/excelData",Q304,$B$1,$B304&amp;":"&amp;Q$115&amp;":"&amp;$R$114)</f>
        <v>#</v>
      </c>
    </row>
    <row r="305" spans="1:31" ht="12.95" customHeight="1">
      <c r="A305" s="342" t="s">
        <v>673</v>
      </c>
      <c r="B305" s="344" t="s">
        <v>674</v>
      </c>
      <c r="C305" s="426" t="s">
        <v>675</v>
      </c>
      <c r="D305" s="375"/>
      <c r="E305" s="375"/>
      <c r="F305" s="375"/>
      <c r="G305" s="375"/>
      <c r="H305" s="375"/>
      <c r="I305" s="375"/>
      <c r="J305" s="375"/>
      <c r="K305" s="375"/>
      <c r="L305" s="375"/>
      <c r="M305" s="375"/>
      <c r="N305" s="375"/>
      <c r="O305" s="375"/>
      <c r="P305" s="375"/>
      <c r="Q305" s="375"/>
      <c r="R305" s="430"/>
      <c r="S305" s="461" t="str">
        <f>_xll.BLUEMATRIX2("/servlet/excelData",E305,$B$1,$B305&amp;":"&amp;E$115&amp;":"&amp;$R$114)</f>
        <v>#</v>
      </c>
      <c r="T305" s="461" t="str">
        <f>_xll.BLUEMATRIX2("/servlet/excelData",F305,$B$1,$B305&amp;":"&amp;F$115&amp;":"&amp;$R$114)</f>
        <v>#</v>
      </c>
      <c r="U305" s="461" t="str">
        <f>_xll.BLUEMATRIX2("/servlet/excelData",G305,$B$1,$B305&amp;":"&amp;G$115&amp;":"&amp;$R$114)</f>
        <v>#</v>
      </c>
      <c r="V305" s="461" t="str">
        <f>_xll.BLUEMATRIX2("/servlet/excelData",H305,$B$1,$B305&amp;":"&amp;H$115&amp;":"&amp;$R$114)</f>
        <v>#</v>
      </c>
      <c r="W305" s="461" t="str">
        <f>_xll.BLUEMATRIX2("/servlet/excelData",I305,$B$1,$B305&amp;":"&amp;I$115&amp;":"&amp;$R$114)</f>
        <v>#</v>
      </c>
      <c r="X305" s="461" t="str">
        <f>_xll.BLUEMATRIX2("/servlet/excelData",J305,$B$1,$B305&amp;":"&amp;J$115&amp;":"&amp;$R$114)</f>
        <v>#</v>
      </c>
      <c r="Y305" s="461" t="str">
        <f>_xll.BLUEMATRIX2("/servlet/excelData",K305,$B$1,$B305&amp;":"&amp;K$115&amp;":"&amp;$R$114)</f>
        <v>#</v>
      </c>
      <c r="Z305" s="461" t="str">
        <f>_xll.BLUEMATRIX2("/servlet/excelData",L305,$B$1,$B305&amp;":"&amp;L$115&amp;":"&amp;$R$114)</f>
        <v>#</v>
      </c>
      <c r="AA305" s="461" t="str">
        <f>_xll.BLUEMATRIX2("/servlet/excelData",M305,$B$1,$B305&amp;":"&amp;M$115&amp;":"&amp;$R$114)</f>
        <v>#</v>
      </c>
      <c r="AB305" s="461" t="str">
        <f>_xll.BLUEMATRIX2("/servlet/excelData",N305,$B$1,$B305&amp;":"&amp;N$115&amp;":"&amp;$R$114)</f>
        <v>#</v>
      </c>
      <c r="AC305" s="461" t="str">
        <f>_xll.BLUEMATRIX2("/servlet/excelData",O305,$B$1,$B305&amp;":"&amp;O$115&amp;":"&amp;$R$114)</f>
        <v>#</v>
      </c>
      <c r="AD305" s="461" t="str">
        <f>_xll.BLUEMATRIX2("/servlet/excelData",P305,$B$1,$B305&amp;":"&amp;P$115&amp;":"&amp;$R$114)</f>
        <v>#</v>
      </c>
      <c r="AE305" s="461" t="str">
        <f>_xll.BLUEMATRIX2("/servlet/excelData",Q305,$B$1,$B305&amp;":"&amp;Q$115&amp;":"&amp;$R$114)</f>
        <v>#</v>
      </c>
    </row>
    <row r="306" spans="1:31" ht="12.95" customHeight="1">
      <c r="A306" s="342" t="s">
        <v>676</v>
      </c>
      <c r="B306" s="344" t="s">
        <v>677</v>
      </c>
      <c r="C306" s="426" t="s">
        <v>678</v>
      </c>
      <c r="D306" s="433"/>
      <c r="E306" s="433">
        <f t="shared" ref="E306:Q306" si="49">IF(ISERROR(-E163/E162),"nm",-E163/E162)</f>
        <v>0</v>
      </c>
      <c r="F306" s="433">
        <f t="shared" si="49"/>
        <v>0.26271186440677968</v>
      </c>
      <c r="G306" s="433">
        <f t="shared" si="49"/>
        <v>0.43478260869565238</v>
      </c>
      <c r="H306" s="433">
        <f t="shared" si="49"/>
        <v>0.52983539094650212</v>
      </c>
      <c r="I306" s="433">
        <f t="shared" si="49"/>
        <v>0.44075471698113206</v>
      </c>
      <c r="J306" s="433">
        <f t="shared" si="49"/>
        <v>0.41087827601485477</v>
      </c>
      <c r="K306" s="433">
        <f t="shared" si="49"/>
        <v>0.4169693665886044</v>
      </c>
      <c r="L306" s="433">
        <f t="shared" si="49"/>
        <v>0.4377458513456986</v>
      </c>
      <c r="M306" s="433">
        <f t="shared" si="49"/>
        <v>0.44889727524012979</v>
      </c>
      <c r="N306" s="433">
        <f t="shared" si="49"/>
        <v>0.44552433103751715</v>
      </c>
      <c r="O306" s="433">
        <f t="shared" si="49"/>
        <v>0.44360579972736369</v>
      </c>
      <c r="P306" s="433">
        <f t="shared" si="49"/>
        <v>0.44186346087185202</v>
      </c>
      <c r="Q306" s="433">
        <f t="shared" si="49"/>
        <v>0.33951753021790687</v>
      </c>
      <c r="R306" s="430"/>
      <c r="S306" s="461" t="str">
        <f>_xll.BLUEMATRIX2("/servlet/excelData",E306,$B$1,$B306&amp;":"&amp;E$115&amp;":"&amp;$R$114)</f>
        <v>#</v>
      </c>
      <c r="T306" s="461" t="str">
        <f>_xll.BLUEMATRIX2("/servlet/excelData",F306,$B$1,$B306&amp;":"&amp;F$115&amp;":"&amp;$R$114)</f>
        <v>#</v>
      </c>
      <c r="U306" s="461" t="str">
        <f>_xll.BLUEMATRIX2("/servlet/excelData",G306,$B$1,$B306&amp;":"&amp;G$115&amp;":"&amp;$R$114)</f>
        <v>#</v>
      </c>
      <c r="V306" s="461" t="str">
        <f>_xll.BLUEMATRIX2("/servlet/excelData",H306,$B$1,$B306&amp;":"&amp;H$115&amp;":"&amp;$R$114)</f>
        <v>#</v>
      </c>
      <c r="W306" s="461" t="str">
        <f>_xll.BLUEMATRIX2("/servlet/excelData",I306,$B$1,$B306&amp;":"&amp;I$115&amp;":"&amp;$R$114)</f>
        <v>#</v>
      </c>
      <c r="X306" s="461" t="str">
        <f>_xll.BLUEMATRIX2("/servlet/excelData",J306,$B$1,$B306&amp;":"&amp;J$115&amp;":"&amp;$R$114)</f>
        <v>#</v>
      </c>
      <c r="Y306" s="461" t="str">
        <f>_xll.BLUEMATRIX2("/servlet/excelData",K306,$B$1,$B306&amp;":"&amp;K$115&amp;":"&amp;$R$114)</f>
        <v>#</v>
      </c>
      <c r="Z306" s="461" t="str">
        <f>_xll.BLUEMATRIX2("/servlet/excelData",L306,$B$1,$B306&amp;":"&amp;L$115&amp;":"&amp;$R$114)</f>
        <v>#</v>
      </c>
      <c r="AA306" s="461" t="str">
        <f>_xll.BLUEMATRIX2("/servlet/excelData",M306,$B$1,$B306&amp;":"&amp;M$115&amp;":"&amp;$R$114)</f>
        <v>#</v>
      </c>
      <c r="AB306" s="461" t="str">
        <f>_xll.BLUEMATRIX2("/servlet/excelData",N306,$B$1,$B306&amp;":"&amp;N$115&amp;":"&amp;$R$114)</f>
        <v>#</v>
      </c>
      <c r="AC306" s="461" t="str">
        <f>_xll.BLUEMATRIX2("/servlet/excelData",O306,$B$1,$B306&amp;":"&amp;O$115&amp;":"&amp;$R$114)</f>
        <v>#</v>
      </c>
      <c r="AD306" s="461" t="str">
        <f>_xll.BLUEMATRIX2("/servlet/excelData",P306,$B$1,$B306&amp;":"&amp;P$115&amp;":"&amp;$R$114)</f>
        <v>#</v>
      </c>
      <c r="AE306" s="461" t="str">
        <f>_xll.BLUEMATRIX2("/servlet/excelData",Q306,$B$1,$B306&amp;":"&amp;Q$115&amp;":"&amp;$R$114)</f>
        <v>#</v>
      </c>
    </row>
    <row r="307" spans="1:31" ht="12.95" customHeight="1">
      <c r="A307" s="342" t="s">
        <v>679</v>
      </c>
      <c r="B307" s="344" t="s">
        <v>680</v>
      </c>
      <c r="C307" s="426" t="s">
        <v>681</v>
      </c>
      <c r="D307" s="431"/>
      <c r="E307" s="431">
        <f>+E278/E287*100</f>
        <v>0</v>
      </c>
      <c r="F307" s="431">
        <f>+F278/F287*100</f>
        <v>-3.4028371593325883</v>
      </c>
      <c r="G307" s="431">
        <f>+G278/G287*100</f>
        <v>-22.566743761290585</v>
      </c>
      <c r="H307" s="431">
        <f>+H278/H287*100</f>
        <v>12.631616275955707</v>
      </c>
      <c r="I307" s="431">
        <f t="shared" ref="I307:P307" si="50">+I278/I287*100</f>
        <v>6.9230433454101004</v>
      </c>
      <c r="J307" s="431">
        <f t="shared" si="50"/>
        <v>7.5766655659451443</v>
      </c>
      <c r="K307" s="431">
        <f t="shared" si="50"/>
        <v>7.6309568077421659</v>
      </c>
      <c r="L307" s="431">
        <f t="shared" si="50"/>
        <v>8.6942041753979602</v>
      </c>
      <c r="M307" s="431">
        <f t="shared" si="50"/>
        <v>8.9265025008607264</v>
      </c>
      <c r="N307" s="431">
        <f t="shared" si="50"/>
        <v>8.8355475692359704</v>
      </c>
      <c r="O307" s="431">
        <f t="shared" si="50"/>
        <v>8.7920870226906214</v>
      </c>
      <c r="P307" s="431">
        <f t="shared" si="50"/>
        <v>9.2213220965595273</v>
      </c>
      <c r="Q307" s="431">
        <f>+Q278/Q287*100</f>
        <v>10.432700431828151</v>
      </c>
      <c r="R307" s="430"/>
      <c r="S307" s="461" t="str">
        <f>_xll.BLUEMATRIX2("/servlet/excelData",E307,$B$1,$B307&amp;":"&amp;E$115&amp;":"&amp;$R$114)</f>
        <v>#</v>
      </c>
      <c r="T307" s="461" t="str">
        <f>_xll.BLUEMATRIX2("/servlet/excelData",F307,$B$1,$B307&amp;":"&amp;F$115&amp;":"&amp;$R$114)</f>
        <v>#</v>
      </c>
      <c r="U307" s="461" t="str">
        <f>_xll.BLUEMATRIX2("/servlet/excelData",G307,$B$1,$B307&amp;":"&amp;G$115&amp;":"&amp;$R$114)</f>
        <v>#</v>
      </c>
      <c r="V307" s="461" t="str">
        <f>_xll.BLUEMATRIX2("/servlet/excelData",H307,$B$1,$B307&amp;":"&amp;H$115&amp;":"&amp;$R$114)</f>
        <v>#</v>
      </c>
      <c r="W307" s="461" t="str">
        <f>_xll.BLUEMATRIX2("/servlet/excelData",I307,$B$1,$B307&amp;":"&amp;I$115&amp;":"&amp;$R$114)</f>
        <v>#</v>
      </c>
      <c r="X307" s="461" t="str">
        <f>_xll.BLUEMATRIX2("/servlet/excelData",J307,$B$1,$B307&amp;":"&amp;J$115&amp;":"&amp;$R$114)</f>
        <v>#</v>
      </c>
      <c r="Y307" s="461" t="str">
        <f>_xll.BLUEMATRIX2("/servlet/excelData",K307,$B$1,$B307&amp;":"&amp;K$115&amp;":"&amp;$R$114)</f>
        <v>#</v>
      </c>
      <c r="Z307" s="461" t="str">
        <f>_xll.BLUEMATRIX2("/servlet/excelData",L307,$B$1,$B307&amp;":"&amp;L$115&amp;":"&amp;$R$114)</f>
        <v>#</v>
      </c>
      <c r="AA307" s="461" t="str">
        <f>_xll.BLUEMATRIX2("/servlet/excelData",M307,$B$1,$B307&amp;":"&amp;M$115&amp;":"&amp;$R$114)</f>
        <v>#</v>
      </c>
      <c r="AB307" s="461" t="str">
        <f>_xll.BLUEMATRIX2("/servlet/excelData",N307,$B$1,$B307&amp;":"&amp;N$115&amp;":"&amp;$R$114)</f>
        <v>#</v>
      </c>
      <c r="AC307" s="461" t="str">
        <f>_xll.BLUEMATRIX2("/servlet/excelData",O307,$B$1,$B307&amp;":"&amp;O$115&amp;":"&amp;$R$114)</f>
        <v>#</v>
      </c>
      <c r="AD307" s="461" t="str">
        <f>_xll.BLUEMATRIX2("/servlet/excelData",P307,$B$1,$B307&amp;":"&amp;P$115&amp;":"&amp;$R$114)</f>
        <v>#</v>
      </c>
      <c r="AE307" s="461" t="str">
        <f>_xll.BLUEMATRIX2("/servlet/excelData",Q307,$B$1,$B307&amp;":"&amp;Q$115&amp;":"&amp;$R$114)</f>
        <v>#</v>
      </c>
    </row>
    <row r="308" spans="1:31" ht="12.95" customHeight="1">
      <c r="A308" s="342" t="s">
        <v>682</v>
      </c>
      <c r="B308" s="344" t="s">
        <v>683</v>
      </c>
      <c r="C308" s="426" t="s">
        <v>684</v>
      </c>
      <c r="D308" s="470"/>
      <c r="E308" s="470">
        <f>IF(ISERROR(E228/E285),"nm",E228/E285)*100</f>
        <v>121.80886911982749</v>
      </c>
      <c r="F308" s="470">
        <f>IF(ISERROR(F228/F285),"nm",F228/F285)*100</f>
        <v>116.55051501205347</v>
      </c>
      <c r="G308" s="470">
        <f>IF(ISERROR(G228/G285),"nm",G228/G285)*100</f>
        <v>54.602382203538284</v>
      </c>
      <c r="H308" s="470">
        <f>IF(ISERROR(H228/H285),"nm",H228/H285)*100</f>
        <v>54.850844195608438</v>
      </c>
      <c r="I308" s="470">
        <f t="shared" ref="I308:P308" si="51">IF(ISERROR(I228/I285),"nm",I228/I285)*100</f>
        <v>55.011777021722061</v>
      </c>
      <c r="J308" s="470">
        <f t="shared" si="51"/>
        <v>55.72481305166351</v>
      </c>
      <c r="K308" s="470">
        <f t="shared" si="51"/>
        <v>57.326681399160591</v>
      </c>
      <c r="L308" s="470">
        <f t="shared" si="51"/>
        <v>58.8613168138559</v>
      </c>
      <c r="M308" s="470">
        <f t="shared" si="51"/>
        <v>61.558936479232642</v>
      </c>
      <c r="N308" s="470">
        <f t="shared" si="51"/>
        <v>64.528091075296359</v>
      </c>
      <c r="O308" s="470">
        <f t="shared" si="51"/>
        <v>71.435579258138162</v>
      </c>
      <c r="P308" s="470">
        <f t="shared" si="51"/>
        <v>78.761604280385953</v>
      </c>
      <c r="Q308" s="470">
        <f>IF(ISERROR(Q228/Q285),"nm",Q228/Q285)*100</f>
        <v>87.619127804725309</v>
      </c>
      <c r="R308" s="430"/>
      <c r="S308" s="461" t="str">
        <f>_xll.BLUEMATRIX2("/servlet/excelData",E308,$B$1,$B308&amp;":"&amp;E$115&amp;":"&amp;$R$114)</f>
        <v>#</v>
      </c>
      <c r="T308" s="461" t="str">
        <f>_xll.BLUEMATRIX2("/servlet/excelData",F308,$B$1,$B308&amp;":"&amp;F$115&amp;":"&amp;$R$114)</f>
        <v>#</v>
      </c>
      <c r="U308" s="461" t="str">
        <f>_xll.BLUEMATRIX2("/servlet/excelData",G308,$B$1,$B308&amp;":"&amp;G$115&amp;":"&amp;$R$114)</f>
        <v>#</v>
      </c>
      <c r="V308" s="461" t="str">
        <f>_xll.BLUEMATRIX2("/servlet/excelData",H308,$B$1,$B308&amp;":"&amp;H$115&amp;":"&amp;$R$114)</f>
        <v>#</v>
      </c>
      <c r="W308" s="461" t="str">
        <f>_xll.BLUEMATRIX2("/servlet/excelData",I308,$B$1,$B308&amp;":"&amp;I$115&amp;":"&amp;$R$114)</f>
        <v>#</v>
      </c>
      <c r="X308" s="461" t="str">
        <f>_xll.BLUEMATRIX2("/servlet/excelData",J308,$B$1,$B308&amp;":"&amp;J$115&amp;":"&amp;$R$114)</f>
        <v>#</v>
      </c>
      <c r="Y308" s="461" t="str">
        <f>_xll.BLUEMATRIX2("/servlet/excelData",K308,$B$1,$B308&amp;":"&amp;K$115&amp;":"&amp;$R$114)</f>
        <v>#</v>
      </c>
      <c r="Z308" s="461" t="str">
        <f>_xll.BLUEMATRIX2("/servlet/excelData",L308,$B$1,$B308&amp;":"&amp;L$115&amp;":"&amp;$R$114)</f>
        <v>#</v>
      </c>
      <c r="AA308" s="461" t="str">
        <f>_xll.BLUEMATRIX2("/servlet/excelData",M308,$B$1,$B308&amp;":"&amp;M$115&amp;":"&amp;$R$114)</f>
        <v>#</v>
      </c>
      <c r="AB308" s="461" t="str">
        <f>_xll.BLUEMATRIX2("/servlet/excelData",N308,$B$1,$B308&amp;":"&amp;N$115&amp;":"&amp;$R$114)</f>
        <v>#</v>
      </c>
      <c r="AC308" s="461" t="str">
        <f>_xll.BLUEMATRIX2("/servlet/excelData",O308,$B$1,$B308&amp;":"&amp;O$115&amp;":"&amp;$R$114)</f>
        <v>#</v>
      </c>
      <c r="AD308" s="461" t="str">
        <f>_xll.BLUEMATRIX2("/servlet/excelData",P308,$B$1,$B308&amp;":"&amp;P$115&amp;":"&amp;$R$114)</f>
        <v>#</v>
      </c>
      <c r="AE308" s="461" t="str">
        <f>_xll.BLUEMATRIX2("/servlet/excelData",Q308,$B$1,$B308&amp;":"&amp;Q$115&amp;":"&amp;$R$114)</f>
        <v>#</v>
      </c>
    </row>
    <row r="309" spans="1:31" ht="12.95" customHeight="1">
      <c r="A309" s="342" t="s">
        <v>685</v>
      </c>
      <c r="B309" s="344" t="s">
        <v>686</v>
      </c>
      <c r="C309" s="426" t="s">
        <v>687</v>
      </c>
      <c r="D309" s="470"/>
      <c r="E309" s="470">
        <f>IF(ISERROR(E233/E285),"nm",E233/E285)*100</f>
        <v>-22.343532371838062</v>
      </c>
      <c r="F309" s="470">
        <f>IF(ISERROR(F233/F285),"nm",F233/F285)*100</f>
        <v>-21.262327416173566</v>
      </c>
      <c r="G309" s="470">
        <f>IF(ISERROR(G233/G285),"nm",G233/G285)*100</f>
        <v>-56.730600805745311</v>
      </c>
      <c r="H309" s="470">
        <f>IF(ISERROR(H233/H285),"nm",H233/H285)*100</f>
        <v>-53.774822850144346</v>
      </c>
      <c r="I309" s="470">
        <f t="shared" ref="I309:P309" si="52">IF(ISERROR(I233/I285),"nm",I233/I285)*100</f>
        <v>-50.632469685073708</v>
      </c>
      <c r="J309" s="470">
        <f t="shared" si="52"/>
        <v>-59.323603593193873</v>
      </c>
      <c r="K309" s="470">
        <f t="shared" si="52"/>
        <v>-54.083944091548688</v>
      </c>
      <c r="L309" s="470">
        <f t="shared" si="52"/>
        <v>-48.479134003656647</v>
      </c>
      <c r="M309" s="470">
        <f t="shared" si="52"/>
        <v>-42.062509000873796</v>
      </c>
      <c r="N309" s="470">
        <f t="shared" si="52"/>
        <v>-35.728339239702635</v>
      </c>
      <c r="O309" s="470">
        <f t="shared" si="52"/>
        <v>-25.715150825192335</v>
      </c>
      <c r="P309" s="470">
        <f t="shared" si="52"/>
        <v>-15.473913110900925</v>
      </c>
      <c r="Q309" s="470">
        <f>IF(ISERROR(Q233/Q285),"nm",Q233/Q285)*100</f>
        <v>-3.8416430996320021</v>
      </c>
      <c r="R309" s="430"/>
      <c r="S309" s="461" t="str">
        <f>_xll.BLUEMATRIX2("/servlet/excelData",E309,$B$1,$B309&amp;":"&amp;E$115&amp;":"&amp;$R$114)</f>
        <v>#</v>
      </c>
      <c r="T309" s="461" t="str">
        <f>_xll.BLUEMATRIX2("/servlet/excelData",F309,$B$1,$B309&amp;":"&amp;F$115&amp;":"&amp;$R$114)</f>
        <v>#</v>
      </c>
      <c r="U309" s="461" t="str">
        <f>_xll.BLUEMATRIX2("/servlet/excelData",G309,$B$1,$B309&amp;":"&amp;G$115&amp;":"&amp;$R$114)</f>
        <v>#</v>
      </c>
      <c r="V309" s="461" t="str">
        <f>_xll.BLUEMATRIX2("/servlet/excelData",H309,$B$1,$B309&amp;":"&amp;H$115&amp;":"&amp;$R$114)</f>
        <v>#</v>
      </c>
      <c r="W309" s="461" t="str">
        <f>_xll.BLUEMATRIX2("/servlet/excelData",I309,$B$1,$B309&amp;":"&amp;I$115&amp;":"&amp;$R$114)</f>
        <v>#</v>
      </c>
      <c r="X309" s="461" t="str">
        <f>_xll.BLUEMATRIX2("/servlet/excelData",J309,$B$1,$B309&amp;":"&amp;J$115&amp;":"&amp;$R$114)</f>
        <v>#</v>
      </c>
      <c r="Y309" s="461" t="str">
        <f>_xll.BLUEMATRIX2("/servlet/excelData",K309,$B$1,$B309&amp;":"&amp;K$115&amp;":"&amp;$R$114)</f>
        <v>#</v>
      </c>
      <c r="Z309" s="461" t="str">
        <f>_xll.BLUEMATRIX2("/servlet/excelData",L309,$B$1,$B309&amp;":"&amp;L$115&amp;":"&amp;$R$114)</f>
        <v>#</v>
      </c>
      <c r="AA309" s="461" t="str">
        <f>_xll.BLUEMATRIX2("/servlet/excelData",M309,$B$1,$B309&amp;":"&amp;M$115&amp;":"&amp;$R$114)</f>
        <v>#</v>
      </c>
      <c r="AB309" s="461" t="str">
        <f>_xll.BLUEMATRIX2("/servlet/excelData",N309,$B$1,$B309&amp;":"&amp;N$115&amp;":"&amp;$R$114)</f>
        <v>#</v>
      </c>
      <c r="AC309" s="461" t="str">
        <f>_xll.BLUEMATRIX2("/servlet/excelData",O309,$B$1,$B309&amp;":"&amp;O$115&amp;":"&amp;$R$114)</f>
        <v>#</v>
      </c>
      <c r="AD309" s="461" t="str">
        <f>_xll.BLUEMATRIX2("/servlet/excelData",P309,$B$1,$B309&amp;":"&amp;P$115&amp;":"&amp;$R$114)</f>
        <v>#</v>
      </c>
      <c r="AE309" s="461" t="str">
        <f>_xll.BLUEMATRIX2("/servlet/excelData",Q309,$B$1,$B309&amp;":"&amp;Q$115&amp;":"&amp;$R$114)</f>
        <v>#</v>
      </c>
    </row>
    <row r="310" spans="1:31" ht="12.95" customHeight="1">
      <c r="A310" s="342"/>
      <c r="B310" s="344"/>
      <c r="C310" s="434"/>
      <c r="D310" s="430"/>
      <c r="E310" s="430"/>
      <c r="F310" s="430"/>
      <c r="G310" s="430"/>
      <c r="H310" s="430"/>
      <c r="I310" s="430"/>
      <c r="J310" s="430"/>
      <c r="K310" s="430"/>
      <c r="L310" s="430"/>
      <c r="M310" s="430"/>
      <c r="N310" s="430"/>
      <c r="O310" s="430"/>
      <c r="P310" s="430"/>
      <c r="Q310" s="430"/>
      <c r="R310" s="430"/>
      <c r="S310" s="458"/>
      <c r="T310" s="458"/>
      <c r="U310" s="458"/>
      <c r="V310" s="458"/>
      <c r="W310" s="458"/>
      <c r="X310" s="458"/>
      <c r="Y310" s="458"/>
      <c r="Z310" s="458"/>
      <c r="AA310" s="458"/>
      <c r="AB310" s="458"/>
      <c r="AC310" s="458"/>
      <c r="AD310" s="458"/>
      <c r="AE310" s="458"/>
    </row>
    <row r="311" spans="1:31" ht="12.95" customHeight="1">
      <c r="A311" s="342"/>
      <c r="B311" s="344"/>
      <c r="C311" s="434"/>
      <c r="D311" s="430"/>
      <c r="E311" s="435"/>
      <c r="F311" s="430"/>
      <c r="G311" s="435"/>
      <c r="H311" s="430"/>
      <c r="I311" s="430"/>
      <c r="J311" s="430"/>
      <c r="K311" s="430"/>
      <c r="L311" s="430"/>
      <c r="M311" s="430"/>
      <c r="N311" s="430"/>
      <c r="O311" s="430"/>
      <c r="P311" s="430"/>
      <c r="Q311" s="430"/>
      <c r="R311" s="430"/>
      <c r="S311" s="458"/>
      <c r="T311" s="458"/>
      <c r="U311" s="458"/>
      <c r="V311" s="458"/>
      <c r="W311" s="458"/>
      <c r="X311" s="458"/>
      <c r="Y311" s="458"/>
      <c r="Z311" s="458"/>
      <c r="AA311" s="458"/>
      <c r="AB311" s="458"/>
      <c r="AC311" s="458"/>
      <c r="AD311" s="458"/>
      <c r="AE311" s="458"/>
    </row>
    <row r="312" spans="1:31" ht="15" customHeight="1">
      <c r="A312" s="361"/>
      <c r="B312" s="344"/>
      <c r="C312" s="362" t="s">
        <v>688</v>
      </c>
      <c r="D312" s="363"/>
      <c r="E312" s="363"/>
      <c r="F312" s="363"/>
      <c r="G312" s="363"/>
      <c r="H312" s="363"/>
      <c r="I312" s="363"/>
      <c r="J312" s="363"/>
      <c r="K312" s="363"/>
      <c r="L312" s="363"/>
      <c r="M312" s="363"/>
      <c r="N312" s="363"/>
      <c r="O312" s="363"/>
      <c r="P312" s="363"/>
      <c r="Q312" s="363"/>
      <c r="R312" s="326"/>
      <c r="S312" s="458"/>
      <c r="T312" s="458"/>
      <c r="U312" s="458"/>
      <c r="V312" s="458"/>
      <c r="W312" s="458"/>
      <c r="X312" s="458"/>
      <c r="Y312" s="458"/>
      <c r="Z312" s="458"/>
      <c r="AA312" s="458"/>
      <c r="AB312" s="458"/>
      <c r="AC312" s="458"/>
      <c r="AD312" s="458"/>
      <c r="AE312" s="458"/>
    </row>
    <row r="313" spans="1:31" ht="15" customHeight="1">
      <c r="A313" s="361"/>
      <c r="B313" s="344"/>
      <c r="C313" s="436" t="s">
        <v>689</v>
      </c>
      <c r="D313" s="325"/>
      <c r="E313" s="325"/>
      <c r="F313" s="325"/>
      <c r="G313" s="325"/>
      <c r="H313" s="325"/>
      <c r="I313" s="325"/>
      <c r="J313" s="325"/>
      <c r="K313" s="325"/>
      <c r="L313" s="325"/>
      <c r="M313" s="325"/>
      <c r="N313" s="325"/>
      <c r="O313" s="325"/>
      <c r="P313" s="325"/>
      <c r="Q313" s="325"/>
      <c r="R313" s="326"/>
      <c r="S313" s="458"/>
      <c r="T313" s="458"/>
      <c r="U313" s="458"/>
      <c r="V313" s="458"/>
      <c r="W313" s="458"/>
      <c r="X313" s="458"/>
      <c r="Y313" s="458"/>
      <c r="Z313" s="458"/>
      <c r="AA313" s="458"/>
      <c r="AB313" s="458"/>
      <c r="AC313" s="458"/>
      <c r="AD313" s="458"/>
      <c r="AE313" s="458"/>
    </row>
    <row r="314" spans="1:31" ht="12.95" customHeight="1">
      <c r="A314" s="342" t="s">
        <v>690</v>
      </c>
      <c r="B314" s="344" t="s">
        <v>691</v>
      </c>
      <c r="C314" s="424" t="s">
        <v>72</v>
      </c>
      <c r="D314" s="433"/>
      <c r="E314" s="433">
        <f t="shared" ref="E314:Q314" si="53">IF(ISERROR(E149/E142),"nm",E149/E142)</f>
        <v>0.15194033624067754</v>
      </c>
      <c r="F314" s="433">
        <f t="shared" si="53"/>
        <v>0.16061452513966479</v>
      </c>
      <c r="G314" s="433">
        <f t="shared" si="53"/>
        <v>0.13583308392834237</v>
      </c>
      <c r="H314" s="433">
        <f t="shared" si="53"/>
        <v>0.14973609729977819</v>
      </c>
      <c r="I314" s="433">
        <f t="shared" si="53"/>
        <v>0.16375222850206728</v>
      </c>
      <c r="J314" s="433">
        <f t="shared" si="53"/>
        <v>0.1697944827691778</v>
      </c>
      <c r="K314" s="433">
        <f t="shared" si="53"/>
        <v>0.17059010876668976</v>
      </c>
      <c r="L314" s="433">
        <f t="shared" si="53"/>
        <v>0.17177295469194051</v>
      </c>
      <c r="M314" s="433">
        <f t="shared" si="53"/>
        <v>0.17025012036289203</v>
      </c>
      <c r="N314" s="433">
        <f t="shared" si="53"/>
        <v>0.16945812631191326</v>
      </c>
      <c r="O314" s="433">
        <f t="shared" si="53"/>
        <v>0.16874215605792645</v>
      </c>
      <c r="P314" s="433">
        <f t="shared" si="53"/>
        <v>0.16810189328664779</v>
      </c>
      <c r="Q314" s="433">
        <f t="shared" si="53"/>
        <v>0.16753689475367897</v>
      </c>
      <c r="R314" s="430"/>
      <c r="S314" s="461" t="str">
        <f>_xll.BLUEMATRIX2("/servlet/excelData",E314,$B$1,$B314&amp;":"&amp;E$115&amp;":"&amp;$R$114)</f>
        <v>#</v>
      </c>
      <c r="T314" s="461" t="str">
        <f>_xll.BLUEMATRIX2("/servlet/excelData",F314,$B$1,$B314&amp;":"&amp;F$115&amp;":"&amp;$R$114)</f>
        <v>#</v>
      </c>
      <c r="U314" s="461" t="str">
        <f>_xll.BLUEMATRIX2("/servlet/excelData",G314,$B$1,$B314&amp;":"&amp;G$115&amp;":"&amp;$R$114)</f>
        <v>#</v>
      </c>
      <c r="V314" s="461" t="str">
        <f>_xll.BLUEMATRIX2("/servlet/excelData",H314,$B$1,$B314&amp;":"&amp;H$115&amp;":"&amp;$R$114)</f>
        <v>#</v>
      </c>
      <c r="W314" s="461" t="str">
        <f>_xll.BLUEMATRIX2("/servlet/excelData",I314,$B$1,$B314&amp;":"&amp;I$115&amp;":"&amp;$R$114)</f>
        <v>#</v>
      </c>
      <c r="X314" s="461" t="str">
        <f>_xll.BLUEMATRIX2("/servlet/excelData",J314,$B$1,$B314&amp;":"&amp;J$115&amp;":"&amp;$R$114)</f>
        <v>#</v>
      </c>
      <c r="Y314" s="461" t="str">
        <f>_xll.BLUEMATRIX2("/servlet/excelData",K314,$B$1,$B314&amp;":"&amp;K$115&amp;":"&amp;$R$114)</f>
        <v>#</v>
      </c>
      <c r="Z314" s="461" t="str">
        <f>_xll.BLUEMATRIX2("/servlet/excelData",L314,$B$1,$B314&amp;":"&amp;L$115&amp;":"&amp;$R$114)</f>
        <v>#</v>
      </c>
      <c r="AA314" s="461" t="str">
        <f>_xll.BLUEMATRIX2("/servlet/excelData",M314,$B$1,$B314&amp;":"&amp;M$115&amp;":"&amp;$R$114)</f>
        <v>#</v>
      </c>
      <c r="AB314" s="461" t="str">
        <f>_xll.BLUEMATRIX2("/servlet/excelData",N314,$B$1,$B314&amp;":"&amp;N$115&amp;":"&amp;$R$114)</f>
        <v>#</v>
      </c>
      <c r="AC314" s="461" t="str">
        <f>_xll.BLUEMATRIX2("/servlet/excelData",O314,$B$1,$B314&amp;":"&amp;O$115&amp;":"&amp;$R$114)</f>
        <v>#</v>
      </c>
      <c r="AD314" s="461" t="str">
        <f>_xll.BLUEMATRIX2("/servlet/excelData",P314,$B$1,$B314&amp;":"&amp;P$115&amp;":"&amp;$R$114)</f>
        <v>#</v>
      </c>
      <c r="AE314" s="461" t="str">
        <f>_xll.BLUEMATRIX2("/servlet/excelData",Q314,$B$1,$B314&amp;":"&amp;Q$115&amp;":"&amp;$R$114)</f>
        <v>#</v>
      </c>
    </row>
    <row r="315" spans="1:31" ht="12.95" customHeight="1">
      <c r="A315" s="342" t="s">
        <v>692</v>
      </c>
      <c r="B315" s="344" t="s">
        <v>693</v>
      </c>
      <c r="C315" s="424" t="s">
        <v>73</v>
      </c>
      <c r="D315" s="433"/>
      <c r="E315" s="433">
        <f t="shared" ref="E315:Q315" si="54">IF(ISERROR(E156/E142),"nm",E156/E142)</f>
        <v>3.1264484051742314E-2</v>
      </c>
      <c r="F315" s="433">
        <f t="shared" si="54"/>
        <v>6.1822214919487348E-2</v>
      </c>
      <c r="G315" s="433">
        <f t="shared" si="54"/>
        <v>4.1643507631792712E-2</v>
      </c>
      <c r="H315" s="433">
        <f t="shared" si="54"/>
        <v>7.217165149544863E-2</v>
      </c>
      <c r="I315" s="433">
        <f t="shared" si="54"/>
        <v>8.2957174828357919E-2</v>
      </c>
      <c r="J315" s="433">
        <f t="shared" si="54"/>
        <v>8.6648274408402587E-2</v>
      </c>
      <c r="K315" s="433">
        <f t="shared" si="54"/>
        <v>9.2117624099730594E-2</v>
      </c>
      <c r="L315" s="433">
        <f t="shared" si="54"/>
        <v>9.3525751172765167E-2</v>
      </c>
      <c r="M315" s="433">
        <f t="shared" si="54"/>
        <v>9.7106237577011825E-2</v>
      </c>
      <c r="N315" s="433">
        <f t="shared" si="54"/>
        <v>9.9839779595989289E-2</v>
      </c>
      <c r="O315" s="433">
        <f t="shared" si="54"/>
        <v>0.10176430064812386</v>
      </c>
      <c r="P315" s="433">
        <f t="shared" si="54"/>
        <v>0.10312785176061773</v>
      </c>
      <c r="Q315" s="433">
        <f t="shared" si="54"/>
        <v>0.10410866393165154</v>
      </c>
      <c r="R315" s="430"/>
      <c r="S315" s="461" t="str">
        <f>_xll.BLUEMATRIX2("/servlet/excelData",E315,$B$1,$B315&amp;":"&amp;E$115&amp;":"&amp;$R$114)</f>
        <v>#</v>
      </c>
      <c r="T315" s="461" t="str">
        <f>_xll.BLUEMATRIX2("/servlet/excelData",F315,$B$1,$B315&amp;":"&amp;F$115&amp;":"&amp;$R$114)</f>
        <v>#</v>
      </c>
      <c r="U315" s="461" t="str">
        <f>_xll.BLUEMATRIX2("/servlet/excelData",G315,$B$1,$B315&amp;":"&amp;G$115&amp;":"&amp;$R$114)</f>
        <v>#</v>
      </c>
      <c r="V315" s="461" t="str">
        <f>_xll.BLUEMATRIX2("/servlet/excelData",H315,$B$1,$B315&amp;":"&amp;H$115&amp;":"&amp;$R$114)</f>
        <v>#</v>
      </c>
      <c r="W315" s="461" t="str">
        <f>_xll.BLUEMATRIX2("/servlet/excelData",I315,$B$1,$B315&amp;":"&amp;I$115&amp;":"&amp;$R$114)</f>
        <v>#</v>
      </c>
      <c r="X315" s="461" t="str">
        <f>_xll.BLUEMATRIX2("/servlet/excelData",J315,$B$1,$B315&amp;":"&amp;J$115&amp;":"&amp;$R$114)</f>
        <v>#</v>
      </c>
      <c r="Y315" s="461" t="str">
        <f>_xll.BLUEMATRIX2("/servlet/excelData",K315,$B$1,$B315&amp;":"&amp;K$115&amp;":"&amp;$R$114)</f>
        <v>#</v>
      </c>
      <c r="Z315" s="461" t="str">
        <f>_xll.BLUEMATRIX2("/servlet/excelData",L315,$B$1,$B315&amp;":"&amp;L$115&amp;":"&amp;$R$114)</f>
        <v>#</v>
      </c>
      <c r="AA315" s="461" t="str">
        <f>_xll.BLUEMATRIX2("/servlet/excelData",M315,$B$1,$B315&amp;":"&amp;M$115&amp;":"&amp;$R$114)</f>
        <v>#</v>
      </c>
      <c r="AB315" s="461" t="str">
        <f>_xll.BLUEMATRIX2("/servlet/excelData",N315,$B$1,$B315&amp;":"&amp;N$115&amp;":"&amp;$R$114)</f>
        <v>#</v>
      </c>
      <c r="AC315" s="461" t="str">
        <f>_xll.BLUEMATRIX2("/servlet/excelData",O315,$B$1,$B315&amp;":"&amp;O$115&amp;":"&amp;$R$114)</f>
        <v>#</v>
      </c>
      <c r="AD315" s="461" t="str">
        <f>_xll.BLUEMATRIX2("/servlet/excelData",P315,$B$1,$B315&amp;":"&amp;P$115&amp;":"&amp;$R$114)</f>
        <v>#</v>
      </c>
      <c r="AE315" s="461" t="str">
        <f>_xll.BLUEMATRIX2("/servlet/excelData",Q315,$B$1,$B315&amp;":"&amp;Q$115&amp;":"&amp;$R$114)</f>
        <v>#</v>
      </c>
    </row>
    <row r="316" spans="1:31" ht="12.95" customHeight="1">
      <c r="A316" s="342" t="s">
        <v>694</v>
      </c>
      <c r="B316" s="344" t="s">
        <v>695</v>
      </c>
      <c r="C316" s="424" t="s">
        <v>696</v>
      </c>
      <c r="D316" s="433"/>
      <c r="E316" s="433">
        <f t="shared" ref="E316:Q316" si="55">IF(ISERROR(E169/E142),"nm",E169/E142)</f>
        <v>3.1264484051742314E-2</v>
      </c>
      <c r="F316" s="433">
        <f t="shared" si="55"/>
        <v>3.46286559316464E-2</v>
      </c>
      <c r="G316" s="433">
        <f t="shared" si="55"/>
        <v>1.1971439565607754E-2</v>
      </c>
      <c r="H316" s="433">
        <f t="shared" si="55"/>
        <v>1.893215023330528E-2</v>
      </c>
      <c r="I316" s="433">
        <f t="shared" si="55"/>
        <v>2.696961650798467E-2</v>
      </c>
      <c r="J316" s="433">
        <f t="shared" si="55"/>
        <v>3.2657917270182794E-2</v>
      </c>
      <c r="K316" s="433">
        <f t="shared" si="55"/>
        <v>3.8669875336927076E-2</v>
      </c>
      <c r="L316" s="433">
        <f t="shared" si="55"/>
        <v>4.1924026777105265E-2</v>
      </c>
      <c r="M316" s="433">
        <f t="shared" si="55"/>
        <v>4.6698047001866361E-2</v>
      </c>
      <c r="N316" s="433">
        <f t="shared" si="55"/>
        <v>4.9807821065702813E-2</v>
      </c>
      <c r="O316" s="433">
        <f t="shared" si="55"/>
        <v>5.2053934486217278E-2</v>
      </c>
      <c r="P316" s="433">
        <f t="shared" si="55"/>
        <v>5.4283553327610118E-2</v>
      </c>
      <c r="Q316" s="433">
        <f t="shared" si="55"/>
        <v>6.4510721459232576E-2</v>
      </c>
      <c r="R316" s="430"/>
      <c r="S316" s="461" t="str">
        <f>_xll.BLUEMATRIX2("/servlet/excelData",E316,$B$1,$B316&amp;":"&amp;E$115&amp;":"&amp;$R$114)</f>
        <v>#</v>
      </c>
      <c r="T316" s="461" t="str">
        <f>_xll.BLUEMATRIX2("/servlet/excelData",F316,$B$1,$B316&amp;":"&amp;F$115&amp;":"&amp;$R$114)</f>
        <v>#</v>
      </c>
      <c r="U316" s="461" t="str">
        <f>_xll.BLUEMATRIX2("/servlet/excelData",G316,$B$1,$B316&amp;":"&amp;G$115&amp;":"&amp;$R$114)</f>
        <v>#</v>
      </c>
      <c r="V316" s="461" t="str">
        <f>_xll.BLUEMATRIX2("/servlet/excelData",H316,$B$1,$B316&amp;":"&amp;H$115&amp;":"&amp;$R$114)</f>
        <v>#</v>
      </c>
      <c r="W316" s="461" t="str">
        <f>_xll.BLUEMATRIX2("/servlet/excelData",I316,$B$1,$B316&amp;":"&amp;I$115&amp;":"&amp;$R$114)</f>
        <v>#</v>
      </c>
      <c r="X316" s="461" t="str">
        <f>_xll.BLUEMATRIX2("/servlet/excelData",J316,$B$1,$B316&amp;":"&amp;J$115&amp;":"&amp;$R$114)</f>
        <v>#</v>
      </c>
      <c r="Y316" s="461" t="str">
        <f>_xll.BLUEMATRIX2("/servlet/excelData",K316,$B$1,$B316&amp;":"&amp;K$115&amp;":"&amp;$R$114)</f>
        <v>#</v>
      </c>
      <c r="Z316" s="461" t="str">
        <f>_xll.BLUEMATRIX2("/servlet/excelData",L316,$B$1,$B316&amp;":"&amp;L$115&amp;":"&amp;$R$114)</f>
        <v>#</v>
      </c>
      <c r="AA316" s="461" t="str">
        <f>_xll.BLUEMATRIX2("/servlet/excelData",M316,$B$1,$B316&amp;":"&amp;M$115&amp;":"&amp;$R$114)</f>
        <v>#</v>
      </c>
      <c r="AB316" s="461" t="str">
        <f>_xll.BLUEMATRIX2("/servlet/excelData",N316,$B$1,$B316&amp;":"&amp;N$115&amp;":"&amp;$R$114)</f>
        <v>#</v>
      </c>
      <c r="AC316" s="461" t="str">
        <f>_xll.BLUEMATRIX2("/servlet/excelData",O316,$B$1,$B316&amp;":"&amp;O$115&amp;":"&amp;$R$114)</f>
        <v>#</v>
      </c>
      <c r="AD316" s="461" t="str">
        <f>_xll.BLUEMATRIX2("/servlet/excelData",P316,$B$1,$B316&amp;":"&amp;P$115&amp;":"&amp;$R$114)</f>
        <v>#</v>
      </c>
      <c r="AE316" s="461" t="str">
        <f>_xll.BLUEMATRIX2("/servlet/excelData",Q316,$B$1,$B316&amp;":"&amp;Q$115&amp;":"&amp;$R$114)</f>
        <v>#</v>
      </c>
    </row>
    <row r="317" spans="1:31" ht="12.95" customHeight="1">
      <c r="A317" s="342"/>
      <c r="B317" s="344"/>
      <c r="C317" s="428"/>
      <c r="D317" s="430"/>
      <c r="E317" s="430"/>
      <c r="F317" s="430"/>
      <c r="G317" s="430"/>
      <c r="H317" s="430"/>
      <c r="I317" s="430"/>
      <c r="J317" s="430"/>
      <c r="K317" s="430"/>
      <c r="L317" s="430"/>
      <c r="M317" s="430"/>
      <c r="N317" s="430"/>
      <c r="O317" s="430"/>
      <c r="P317" s="430"/>
      <c r="Q317" s="430"/>
      <c r="R317" s="430"/>
      <c r="S317" s="461"/>
      <c r="T317" s="461"/>
      <c r="U317" s="461"/>
      <c r="V317" s="461"/>
      <c r="W317" s="461"/>
      <c r="X317" s="461"/>
      <c r="Y317" s="461"/>
      <c r="Z317" s="461"/>
      <c r="AA317" s="461"/>
      <c r="AB317" s="461"/>
      <c r="AC317" s="461"/>
      <c r="AD317" s="461"/>
      <c r="AE317" s="461"/>
    </row>
    <row r="318" spans="1:31" ht="12.95" customHeight="1">
      <c r="A318" s="342"/>
      <c r="B318" s="344"/>
      <c r="C318" s="437" t="s">
        <v>697</v>
      </c>
      <c r="D318" s="430"/>
      <c r="E318" s="430"/>
      <c r="F318" s="430"/>
      <c r="G318" s="430"/>
      <c r="H318" s="430"/>
      <c r="I318" s="430"/>
      <c r="J318" s="430"/>
      <c r="K318" s="430"/>
      <c r="L318" s="430"/>
      <c r="M318" s="430"/>
      <c r="N318" s="430"/>
      <c r="O318" s="430"/>
      <c r="P318" s="430"/>
      <c r="Q318" s="430"/>
      <c r="R318" s="430"/>
      <c r="S318" s="461"/>
      <c r="T318" s="461"/>
      <c r="U318" s="461"/>
      <c r="V318" s="461"/>
      <c r="W318" s="461"/>
      <c r="X318" s="461"/>
      <c r="Y318" s="461"/>
      <c r="Z318" s="461"/>
      <c r="AA318" s="461"/>
      <c r="AB318" s="461"/>
      <c r="AC318" s="461"/>
      <c r="AD318" s="461"/>
      <c r="AE318" s="461"/>
    </row>
    <row r="319" spans="1:31" ht="12.95" customHeight="1">
      <c r="A319" s="342" t="s">
        <v>698</v>
      </c>
      <c r="B319" s="344" t="s">
        <v>699</v>
      </c>
      <c r="C319" s="469" t="s">
        <v>700</v>
      </c>
      <c r="D319" s="438"/>
      <c r="E319" s="438">
        <f t="shared" ref="E319:Q319" si="56">E231+E209+E204-E182</f>
        <v>2647</v>
      </c>
      <c r="F319" s="438">
        <f t="shared" si="56"/>
        <v>2800.2999999999997</v>
      </c>
      <c r="G319" s="438">
        <f t="shared" si="56"/>
        <v>1965.8</v>
      </c>
      <c r="H319" s="438">
        <f t="shared" si="56"/>
        <v>1755.5999999999995</v>
      </c>
      <c r="I319" s="438">
        <f t="shared" si="56"/>
        <v>1671.6999999999998</v>
      </c>
      <c r="J319" s="438">
        <f t="shared" si="56"/>
        <v>1899.7076292575784</v>
      </c>
      <c r="K319" s="438">
        <f t="shared" si="56"/>
        <v>1852.8479472179997</v>
      </c>
      <c r="L319" s="438">
        <f t="shared" si="56"/>
        <v>1782.1822510860879</v>
      </c>
      <c r="M319" s="438">
        <f t="shared" si="56"/>
        <v>1715.0245116482085</v>
      </c>
      <c r="N319" s="438">
        <f t="shared" si="56"/>
        <v>1660.6024246146194</v>
      </c>
      <c r="O319" s="438">
        <f t="shared" si="56"/>
        <v>1615.5691116122453</v>
      </c>
      <c r="P319" s="438">
        <f t="shared" si="56"/>
        <v>1569.3357208865743</v>
      </c>
      <c r="Q319" s="438">
        <f t="shared" si="56"/>
        <v>1529.4579508054865</v>
      </c>
      <c r="R319" s="430"/>
      <c r="S319" s="461" t="str">
        <f>_xll.BLUEMATRIX2("/servlet/excelData",E319,$B$1,$B319&amp;":"&amp;E$115&amp;":"&amp;$R$114)</f>
        <v>#</v>
      </c>
      <c r="T319" s="461" t="str">
        <f>_xll.BLUEMATRIX2("/servlet/excelData",F319,$B$1,$B319&amp;":"&amp;F$115&amp;":"&amp;$R$114)</f>
        <v>#</v>
      </c>
      <c r="U319" s="461" t="str">
        <f>_xll.BLUEMATRIX2("/servlet/excelData",G319,$B$1,$B319&amp;":"&amp;G$115&amp;":"&amp;$R$114)</f>
        <v>#</v>
      </c>
      <c r="V319" s="461" t="str">
        <f>_xll.BLUEMATRIX2("/servlet/excelData",H319,$B$1,$B319&amp;":"&amp;H$115&amp;":"&amp;$R$114)</f>
        <v>#</v>
      </c>
      <c r="W319" s="461" t="str">
        <f>_xll.BLUEMATRIX2("/servlet/excelData",I319,$B$1,$B319&amp;":"&amp;I$115&amp;":"&amp;$R$114)</f>
        <v>#</v>
      </c>
      <c r="X319" s="461" t="str">
        <f>_xll.BLUEMATRIX2("/servlet/excelData",J319,$B$1,$B319&amp;":"&amp;J$115&amp;":"&amp;$R$114)</f>
        <v>#</v>
      </c>
      <c r="Y319" s="461" t="str">
        <f>_xll.BLUEMATRIX2("/servlet/excelData",K319,$B$1,$B319&amp;":"&amp;K$115&amp;":"&amp;$R$114)</f>
        <v>#</v>
      </c>
      <c r="Z319" s="461" t="str">
        <f>_xll.BLUEMATRIX2("/servlet/excelData",L319,$B$1,$B319&amp;":"&amp;L$115&amp;":"&amp;$R$114)</f>
        <v>#</v>
      </c>
      <c r="AA319" s="461" t="str">
        <f>_xll.BLUEMATRIX2("/servlet/excelData",M319,$B$1,$B319&amp;":"&amp;M$115&amp;":"&amp;$R$114)</f>
        <v>#</v>
      </c>
      <c r="AB319" s="461" t="str">
        <f>_xll.BLUEMATRIX2("/servlet/excelData",N319,$B$1,$B319&amp;":"&amp;N$115&amp;":"&amp;$R$114)</f>
        <v>#</v>
      </c>
      <c r="AC319" s="461" t="str">
        <f>_xll.BLUEMATRIX2("/servlet/excelData",O319,$B$1,$B319&amp;":"&amp;O$115&amp;":"&amp;$R$114)</f>
        <v>#</v>
      </c>
      <c r="AD319" s="461" t="str">
        <f>_xll.BLUEMATRIX2("/servlet/excelData",P319,$B$1,$B319&amp;":"&amp;P$115&amp;":"&amp;$R$114)</f>
        <v>#</v>
      </c>
      <c r="AE319" s="461" t="str">
        <f>_xll.BLUEMATRIX2("/servlet/excelData",Q319,$B$1,$B319&amp;":"&amp;Q$115&amp;":"&amp;$R$114)</f>
        <v>#</v>
      </c>
    </row>
    <row r="320" spans="1:31" ht="12.95" customHeight="1">
      <c r="A320" s="342" t="s">
        <v>701</v>
      </c>
      <c r="B320" s="344" t="s">
        <v>702</v>
      </c>
      <c r="C320" s="479" t="s">
        <v>703</v>
      </c>
      <c r="D320" s="433"/>
      <c r="E320" s="433">
        <f>IF(ISERROR(E156/AVERAGE(E319:E319)),"nm",E156/AVERAGE(E319:E319))</f>
        <v>2.8031734038534206E-2</v>
      </c>
      <c r="F320" s="433">
        <f t="shared" ref="F320:Q320" si="57">IF(ISERROR(F156/AVERAGE(E319:F319)),"nm",F156/AVERAGE(E319:F319))</f>
        <v>5.5256732693260889E-2</v>
      </c>
      <c r="G320" s="433">
        <f t="shared" si="57"/>
        <v>4.0871991775246003E-2</v>
      </c>
      <c r="H320" s="433">
        <f t="shared" si="57"/>
        <v>0.10141344655237276</v>
      </c>
      <c r="I320" s="433">
        <f t="shared" si="57"/>
        <v>0.12762232661278561</v>
      </c>
      <c r="J320" s="433">
        <f t="shared" si="57"/>
        <v>0.13329201770475399</v>
      </c>
      <c r="K320" s="433">
        <f t="shared" si="57"/>
        <v>0.13976916019072258</v>
      </c>
      <c r="L320" s="433">
        <f t="shared" si="57"/>
        <v>0.14809656108529107</v>
      </c>
      <c r="M320" s="433">
        <f t="shared" si="57"/>
        <v>0.16350542914650895</v>
      </c>
      <c r="N320" s="433">
        <f t="shared" si="57"/>
        <v>0.17700655496283643</v>
      </c>
      <c r="O320" s="433">
        <f t="shared" si="57"/>
        <v>0.18899647003633341</v>
      </c>
      <c r="P320" s="433">
        <f t="shared" si="57"/>
        <v>0.20037241127221192</v>
      </c>
      <c r="Q320" s="433">
        <f t="shared" si="57"/>
        <v>0.21151097730374041</v>
      </c>
      <c r="R320" s="430"/>
      <c r="S320" s="461" t="str">
        <f>_xll.BLUEMATRIX2("/servlet/excelData",E320,$B$1,$B320&amp;":"&amp;E$115&amp;":"&amp;$R$114)</f>
        <v>#</v>
      </c>
      <c r="T320" s="461" t="str">
        <f>_xll.BLUEMATRIX2("/servlet/excelData",F320,$B$1,$B320&amp;":"&amp;F$115&amp;":"&amp;$R$114)</f>
        <v>#</v>
      </c>
      <c r="U320" s="461" t="str">
        <f>_xll.BLUEMATRIX2("/servlet/excelData",G320,$B$1,$B320&amp;":"&amp;G$115&amp;":"&amp;$R$114)</f>
        <v>#</v>
      </c>
      <c r="V320" s="461" t="str">
        <f>_xll.BLUEMATRIX2("/servlet/excelData",H320,$B$1,$B320&amp;":"&amp;H$115&amp;":"&amp;$R$114)</f>
        <v>#</v>
      </c>
      <c r="W320" s="461" t="str">
        <f>_xll.BLUEMATRIX2("/servlet/excelData",I320,$B$1,$B320&amp;":"&amp;I$115&amp;":"&amp;$R$114)</f>
        <v>#</v>
      </c>
      <c r="X320" s="461" t="str">
        <f>_xll.BLUEMATRIX2("/servlet/excelData",J320,$B$1,$B320&amp;":"&amp;J$115&amp;":"&amp;$R$114)</f>
        <v>#</v>
      </c>
      <c r="Y320" s="461" t="str">
        <f>_xll.BLUEMATRIX2("/servlet/excelData",K320,$B$1,$B320&amp;":"&amp;K$115&amp;":"&amp;$R$114)</f>
        <v>#</v>
      </c>
      <c r="Z320" s="461" t="str">
        <f>_xll.BLUEMATRIX2("/servlet/excelData",L320,$B$1,$B320&amp;":"&amp;L$115&amp;":"&amp;$R$114)</f>
        <v>#</v>
      </c>
      <c r="AA320" s="461" t="str">
        <f>_xll.BLUEMATRIX2("/servlet/excelData",M320,$B$1,$B320&amp;":"&amp;M$115&amp;":"&amp;$R$114)</f>
        <v>#</v>
      </c>
      <c r="AB320" s="461" t="str">
        <f>_xll.BLUEMATRIX2("/servlet/excelData",N320,$B$1,$B320&amp;":"&amp;N$115&amp;":"&amp;$R$114)</f>
        <v>#</v>
      </c>
      <c r="AC320" s="461" t="str">
        <f>_xll.BLUEMATRIX2("/servlet/excelData",O320,$B$1,$B320&amp;":"&amp;O$115&amp;":"&amp;$R$114)</f>
        <v>#</v>
      </c>
      <c r="AD320" s="461" t="str">
        <f>_xll.BLUEMATRIX2("/servlet/excelData",P320,$B$1,$B320&amp;":"&amp;P$115&amp;":"&amp;$R$114)</f>
        <v>#</v>
      </c>
      <c r="AE320" s="461" t="str">
        <f>_xll.BLUEMATRIX2("/servlet/excelData",Q320,$B$1,$B320&amp;":"&amp;Q$115&amp;":"&amp;$R$114)</f>
        <v>#</v>
      </c>
    </row>
    <row r="321" spans="1:31" ht="12.95" customHeight="1">
      <c r="A321" s="342" t="s">
        <v>704</v>
      </c>
      <c r="B321" s="344" t="s">
        <v>705</v>
      </c>
      <c r="C321" s="479" t="s">
        <v>706</v>
      </c>
      <c r="D321" s="433"/>
      <c r="E321" s="433">
        <f>IF(ISERROR(E149/AVERAGE(E319:E319)),"nm",E149/AVERAGE(E319:E319))</f>
        <v>0.13622969399319987</v>
      </c>
      <c r="F321" s="433">
        <f t="shared" ref="F321:Q321" si="58">IF(ISERROR(F149/AVERAGE(E319:F319)),"nm",F149/AVERAGE(E319:F319))</f>
        <v>0.14355735869146186</v>
      </c>
      <c r="G321" s="433">
        <f t="shared" si="58"/>
        <v>0.13331654812110533</v>
      </c>
      <c r="H321" s="433">
        <f t="shared" si="58"/>
        <v>0.21040468640834098</v>
      </c>
      <c r="I321" s="433">
        <f t="shared" si="58"/>
        <v>0.25191841974732299</v>
      </c>
      <c r="J321" s="433">
        <f t="shared" si="58"/>
        <v>0.26119676771363454</v>
      </c>
      <c r="K321" s="433">
        <f t="shared" si="58"/>
        <v>0.25883468524275566</v>
      </c>
      <c r="L321" s="433">
        <f t="shared" si="58"/>
        <v>0.27199978143285708</v>
      </c>
      <c r="M321" s="433">
        <f t="shared" si="58"/>
        <v>0.28666355207205901</v>
      </c>
      <c r="N321" s="433">
        <f t="shared" si="58"/>
        <v>0.30043334701165453</v>
      </c>
      <c r="O321" s="433">
        <f t="shared" si="58"/>
        <v>0.31338761862612136</v>
      </c>
      <c r="P321" s="433">
        <f t="shared" si="58"/>
        <v>0.32661382082752222</v>
      </c>
      <c r="Q321" s="433">
        <f t="shared" si="58"/>
        <v>0.34037409573374777</v>
      </c>
      <c r="R321" s="430"/>
      <c r="S321" s="461" t="str">
        <f>_xll.BLUEMATRIX2("/servlet/excelData",E321,$B$1,$B321&amp;":"&amp;E$115&amp;":"&amp;$R$114)</f>
        <v>#</v>
      </c>
      <c r="T321" s="461" t="str">
        <f>_xll.BLUEMATRIX2("/servlet/excelData",F321,$B$1,$B321&amp;":"&amp;F$115&amp;":"&amp;$R$114)</f>
        <v>#</v>
      </c>
      <c r="U321" s="461" t="str">
        <f>_xll.BLUEMATRIX2("/servlet/excelData",G321,$B$1,$B321&amp;":"&amp;G$115&amp;":"&amp;$R$114)</f>
        <v>#</v>
      </c>
      <c r="V321" s="461" t="str">
        <f>_xll.BLUEMATRIX2("/servlet/excelData",H321,$B$1,$B321&amp;":"&amp;H$115&amp;":"&amp;$R$114)</f>
        <v>#</v>
      </c>
      <c r="W321" s="461" t="str">
        <f>_xll.BLUEMATRIX2("/servlet/excelData",I321,$B$1,$B321&amp;":"&amp;I$115&amp;":"&amp;$R$114)</f>
        <v>#</v>
      </c>
      <c r="X321" s="461" t="str">
        <f>_xll.BLUEMATRIX2("/servlet/excelData",J321,$B$1,$B321&amp;":"&amp;J$115&amp;":"&amp;$R$114)</f>
        <v>#</v>
      </c>
      <c r="Y321" s="461" t="str">
        <f>_xll.BLUEMATRIX2("/servlet/excelData",K321,$B$1,$B321&amp;":"&amp;K$115&amp;":"&amp;$R$114)</f>
        <v>#</v>
      </c>
      <c r="Z321" s="461" t="str">
        <f>_xll.BLUEMATRIX2("/servlet/excelData",L321,$B$1,$B321&amp;":"&amp;L$115&amp;":"&amp;$R$114)</f>
        <v>#</v>
      </c>
      <c r="AA321" s="461" t="str">
        <f>_xll.BLUEMATRIX2("/servlet/excelData",M321,$B$1,$B321&amp;":"&amp;M$115&amp;":"&amp;$R$114)</f>
        <v>#</v>
      </c>
      <c r="AB321" s="461" t="str">
        <f>_xll.BLUEMATRIX2("/servlet/excelData",N321,$B$1,$B321&amp;":"&amp;N$115&amp;":"&amp;$R$114)</f>
        <v>#</v>
      </c>
      <c r="AC321" s="461" t="str">
        <f>_xll.BLUEMATRIX2("/servlet/excelData",O321,$B$1,$B321&amp;":"&amp;O$115&amp;":"&amp;$R$114)</f>
        <v>#</v>
      </c>
      <c r="AD321" s="461" t="str">
        <f>_xll.BLUEMATRIX2("/servlet/excelData",P321,$B$1,$B321&amp;":"&amp;P$115&amp;":"&amp;$R$114)</f>
        <v>#</v>
      </c>
      <c r="AE321" s="461" t="str">
        <f>_xll.BLUEMATRIX2("/servlet/excelData",Q321,$B$1,$B321&amp;":"&amp;Q$115&amp;":"&amp;$R$114)</f>
        <v>#</v>
      </c>
    </row>
    <row r="322" spans="1:31" ht="12.95" customHeight="1">
      <c r="A322" s="342" t="s">
        <v>707</v>
      </c>
      <c r="B322" s="344" t="s">
        <v>708</v>
      </c>
      <c r="C322" s="424" t="s">
        <v>709</v>
      </c>
      <c r="D322" s="433"/>
      <c r="E322" s="433">
        <f>IF(ISERROR(E169/AVERAGE(E228:E228)),"nm",E169/AVERAGE(E228:E228))</f>
        <v>2.7368964626904222E-2</v>
      </c>
      <c r="F322" s="433">
        <f t="shared" ref="F322:Q322" si="59">IF(ISERROR(F169/AVERAGE(E228:F228)),"nm",F169/AVERAGE(E228:F228))</f>
        <v>3.1395478753119058E-2</v>
      </c>
      <c r="G322" s="433">
        <f t="shared" si="59"/>
        <v>1.4336917562724002E-2</v>
      </c>
      <c r="H322" s="433">
        <f t="shared" si="59"/>
        <v>3.9585749130313076E-2</v>
      </c>
      <c r="I322" s="433">
        <f t="shared" si="59"/>
        <v>5.6536259541984733E-2</v>
      </c>
      <c r="J322" s="433">
        <f t="shared" si="59"/>
        <v>7.0672864810958233E-2</v>
      </c>
      <c r="K322" s="433">
        <f t="shared" si="59"/>
        <v>8.4950108281599712E-2</v>
      </c>
      <c r="L322" s="433">
        <f t="shared" si="59"/>
        <v>9.0593121561970566E-2</v>
      </c>
      <c r="M322" s="433">
        <f t="shared" si="59"/>
        <v>9.9604108653572679E-2</v>
      </c>
      <c r="N322" s="433">
        <f t="shared" si="59"/>
        <v>0.1031190796537215</v>
      </c>
      <c r="O322" s="433">
        <f t="shared" si="59"/>
        <v>0.1016078510664211</v>
      </c>
      <c r="P322" s="433">
        <f t="shared" si="59"/>
        <v>9.7552095846973469E-2</v>
      </c>
      <c r="Q322" s="433">
        <f t="shared" si="59"/>
        <v>0.10647294807920826</v>
      </c>
      <c r="R322" s="430"/>
      <c r="S322" s="461" t="str">
        <f>_xll.BLUEMATRIX2("/servlet/excelData",E322,$B$1,$B322&amp;":"&amp;E$115&amp;":"&amp;$R$114)</f>
        <v>#</v>
      </c>
      <c r="T322" s="461" t="str">
        <f>_xll.BLUEMATRIX2("/servlet/excelData",F322,$B$1,$B322&amp;":"&amp;F$115&amp;":"&amp;$R$114)</f>
        <v>#</v>
      </c>
      <c r="U322" s="461" t="str">
        <f>_xll.BLUEMATRIX2("/servlet/excelData",G322,$B$1,$B322&amp;":"&amp;G$115&amp;":"&amp;$R$114)</f>
        <v>#</v>
      </c>
      <c r="V322" s="461" t="str">
        <f>_xll.BLUEMATRIX2("/servlet/excelData",H322,$B$1,$B322&amp;":"&amp;H$115&amp;":"&amp;$R$114)</f>
        <v>#</v>
      </c>
      <c r="W322" s="461" t="str">
        <f>_xll.BLUEMATRIX2("/servlet/excelData",I322,$B$1,$B322&amp;":"&amp;I$115&amp;":"&amp;$R$114)</f>
        <v>#</v>
      </c>
      <c r="X322" s="461" t="str">
        <f>_xll.BLUEMATRIX2("/servlet/excelData",J322,$B$1,$B322&amp;":"&amp;J$115&amp;":"&amp;$R$114)</f>
        <v>#</v>
      </c>
      <c r="Y322" s="461" t="str">
        <f>_xll.BLUEMATRIX2("/servlet/excelData",K322,$B$1,$B322&amp;":"&amp;K$115&amp;":"&amp;$R$114)</f>
        <v>#</v>
      </c>
      <c r="Z322" s="461" t="str">
        <f>_xll.BLUEMATRIX2("/servlet/excelData",L322,$B$1,$B322&amp;":"&amp;L$115&amp;":"&amp;$R$114)</f>
        <v>#</v>
      </c>
      <c r="AA322" s="461" t="str">
        <f>_xll.BLUEMATRIX2("/servlet/excelData",M322,$B$1,$B322&amp;":"&amp;M$115&amp;":"&amp;$R$114)</f>
        <v>#</v>
      </c>
      <c r="AB322" s="461" t="str">
        <f>_xll.BLUEMATRIX2("/servlet/excelData",N322,$B$1,$B322&amp;":"&amp;N$115&amp;":"&amp;$R$114)</f>
        <v>#</v>
      </c>
      <c r="AC322" s="461" t="str">
        <f>_xll.BLUEMATRIX2("/servlet/excelData",O322,$B$1,$B322&amp;":"&amp;O$115&amp;":"&amp;$R$114)</f>
        <v>#</v>
      </c>
      <c r="AD322" s="461" t="str">
        <f>_xll.BLUEMATRIX2("/servlet/excelData",P322,$B$1,$B322&amp;":"&amp;P$115&amp;":"&amp;$R$114)</f>
        <v>#</v>
      </c>
      <c r="AE322" s="461" t="str">
        <f>_xll.BLUEMATRIX2("/servlet/excelData",Q322,$B$1,$B322&amp;":"&amp;Q$115&amp;":"&amp;$R$114)</f>
        <v>#</v>
      </c>
    </row>
    <row r="323" spans="1:31" ht="12.95" customHeight="1">
      <c r="A323" s="342" t="s">
        <v>710</v>
      </c>
      <c r="B323" s="344" t="s">
        <v>711</v>
      </c>
      <c r="C323" s="424" t="s">
        <v>712</v>
      </c>
      <c r="D323" s="433"/>
      <c r="E323" s="433">
        <f>IF(ISERROR(E156/AVERAGE(E197:E197)),"nm",E156/AVERAGE(E197:E197))</f>
        <v>1.8326870353446798E-2</v>
      </c>
      <c r="F323" s="433">
        <f t="shared" ref="F323:Q323" si="60">IF(ISERROR(F156/AVERAGE(E197:F197)),"nm",F156/AVERAGE(E197:F197))</f>
        <v>3.7155448025576777E-2</v>
      </c>
      <c r="G323" s="433">
        <f t="shared" si="60"/>
        <v>2.6190892345752045E-2</v>
      </c>
      <c r="H323" s="433">
        <f t="shared" si="60"/>
        <v>5.7834648685924452E-2</v>
      </c>
      <c r="I323" s="433">
        <f t="shared" si="60"/>
        <v>6.9013395604222219E-2</v>
      </c>
      <c r="J323" s="433">
        <f t="shared" si="60"/>
        <v>7.2370084515701857E-2</v>
      </c>
      <c r="K323" s="433">
        <f t="shared" si="60"/>
        <v>7.7434154714988768E-2</v>
      </c>
      <c r="L323" s="433">
        <f t="shared" si="60"/>
        <v>7.9184942914146322E-2</v>
      </c>
      <c r="M323" s="433">
        <f t="shared" si="60"/>
        <v>8.3399009861525999E-2</v>
      </c>
      <c r="N323" s="433">
        <f t="shared" si="60"/>
        <v>8.5971837203787399E-2</v>
      </c>
      <c r="O323" s="433">
        <f t="shared" si="60"/>
        <v>8.6809019178976446E-2</v>
      </c>
      <c r="P323" s="433">
        <f t="shared" si="60"/>
        <v>8.6009896543490769E-2</v>
      </c>
      <c r="Q323" s="433">
        <f t="shared" si="60"/>
        <v>8.4508306278648318E-2</v>
      </c>
      <c r="R323" s="430"/>
      <c r="S323" s="461" t="str">
        <f>_xll.BLUEMATRIX2("/servlet/excelData",E323,$B$1,$B323&amp;":"&amp;E$115&amp;":"&amp;$R$114)</f>
        <v>#</v>
      </c>
      <c r="T323" s="461" t="str">
        <f>_xll.BLUEMATRIX2("/servlet/excelData",F323,$B$1,$B323&amp;":"&amp;F$115&amp;":"&amp;$R$114)</f>
        <v>#</v>
      </c>
      <c r="U323" s="461" t="str">
        <f>_xll.BLUEMATRIX2("/servlet/excelData",G323,$B$1,$B323&amp;":"&amp;G$115&amp;":"&amp;$R$114)</f>
        <v>#</v>
      </c>
      <c r="V323" s="461" t="str">
        <f>_xll.BLUEMATRIX2("/servlet/excelData",H323,$B$1,$B323&amp;":"&amp;H$115&amp;":"&amp;$R$114)</f>
        <v>#</v>
      </c>
      <c r="W323" s="461" t="str">
        <f>_xll.BLUEMATRIX2("/servlet/excelData",I323,$B$1,$B323&amp;":"&amp;I$115&amp;":"&amp;$R$114)</f>
        <v>#</v>
      </c>
      <c r="X323" s="461" t="str">
        <f>_xll.BLUEMATRIX2("/servlet/excelData",J323,$B$1,$B323&amp;":"&amp;J$115&amp;":"&amp;$R$114)</f>
        <v>#</v>
      </c>
      <c r="Y323" s="461" t="str">
        <f>_xll.BLUEMATRIX2("/servlet/excelData",K323,$B$1,$B323&amp;":"&amp;K$115&amp;":"&amp;$R$114)</f>
        <v>#</v>
      </c>
      <c r="Z323" s="461" t="str">
        <f>_xll.BLUEMATRIX2("/servlet/excelData",L323,$B$1,$B323&amp;":"&amp;L$115&amp;":"&amp;$R$114)</f>
        <v>#</v>
      </c>
      <c r="AA323" s="461" t="str">
        <f>_xll.BLUEMATRIX2("/servlet/excelData",M323,$B$1,$B323&amp;":"&amp;M$115&amp;":"&amp;$R$114)</f>
        <v>#</v>
      </c>
      <c r="AB323" s="461" t="str">
        <f>_xll.BLUEMATRIX2("/servlet/excelData",N323,$B$1,$B323&amp;":"&amp;N$115&amp;":"&amp;$R$114)</f>
        <v>#</v>
      </c>
      <c r="AC323" s="461" t="str">
        <f>_xll.BLUEMATRIX2("/servlet/excelData",O323,$B$1,$B323&amp;":"&amp;O$115&amp;":"&amp;$R$114)</f>
        <v>#</v>
      </c>
      <c r="AD323" s="461" t="str">
        <f>_xll.BLUEMATRIX2("/servlet/excelData",P323,$B$1,$B323&amp;":"&amp;P$115&amp;":"&amp;$R$114)</f>
        <v>#</v>
      </c>
      <c r="AE323" s="461" t="str">
        <f>_xll.BLUEMATRIX2("/servlet/excelData",Q323,$B$1,$B323&amp;":"&amp;Q$115&amp;":"&amp;$R$114)</f>
        <v>#</v>
      </c>
    </row>
    <row r="324" spans="1:31" ht="12.95" customHeight="1">
      <c r="A324" s="342"/>
      <c r="B324" s="344"/>
      <c r="C324" s="428"/>
      <c r="D324" s="430"/>
      <c r="E324" s="430"/>
      <c r="F324" s="430"/>
      <c r="G324" s="430"/>
      <c r="H324" s="430"/>
      <c r="I324" s="430"/>
      <c r="J324" s="430"/>
      <c r="K324" s="430"/>
      <c r="L324" s="430"/>
      <c r="M324" s="430"/>
      <c r="N324" s="430"/>
      <c r="O324" s="430"/>
      <c r="P324" s="430"/>
      <c r="Q324" s="430"/>
      <c r="R324" s="430"/>
      <c r="S324" s="461"/>
      <c r="T324" s="461"/>
      <c r="U324" s="461"/>
      <c r="V324" s="461"/>
      <c r="W324" s="461"/>
      <c r="X324" s="461"/>
      <c r="Y324" s="461"/>
      <c r="Z324" s="461"/>
      <c r="AA324" s="461"/>
      <c r="AB324" s="461"/>
      <c r="AC324" s="461"/>
      <c r="AD324" s="461"/>
      <c r="AE324" s="461"/>
    </row>
    <row r="325" spans="1:31" ht="12.95" customHeight="1">
      <c r="A325" s="342" t="s">
        <v>713</v>
      </c>
      <c r="B325" s="344" t="s">
        <v>714</v>
      </c>
      <c r="C325" s="424" t="s">
        <v>715</v>
      </c>
      <c r="D325" s="433"/>
      <c r="E325" s="433">
        <f>IF(ISERROR(E232/E228),"nm",E232/E228)</f>
        <v>-2.3643539522702955E-2</v>
      </c>
      <c r="F325" s="433">
        <f>IF(ISERROR(F232/F228),"nm",F232/F228)</f>
        <v>5.310067316009176E-2</v>
      </c>
      <c r="G325" s="433">
        <f>IF(ISERROR(G232/G228),"nm",G232/G228)</f>
        <v>0.576549843612158</v>
      </c>
      <c r="H325" s="433">
        <f>IF(ISERROR(H232/H228),"nm",H232/H228)</f>
        <v>0.4</v>
      </c>
      <c r="I325" s="433">
        <f>IF(ISERROR(I232/I228),"nm",I232/I228)</f>
        <v>0.32548366634950837</v>
      </c>
      <c r="J325" s="433">
        <f t="shared" ref="J325:P325" si="61">IF(ISERROR(J232/J228),"nm",J232/J228)</f>
        <v>0.48699619979261649</v>
      </c>
      <c r="K325" s="433">
        <f t="shared" si="61"/>
        <v>0.4097908616141655</v>
      </c>
      <c r="L325" s="433">
        <f t="shared" si="61"/>
        <v>0.32066860054255664</v>
      </c>
      <c r="M325" s="433">
        <f t="shared" si="61"/>
        <v>0.21520888236220356</v>
      </c>
      <c r="N325" s="433">
        <f t="shared" si="61"/>
        <v>0.12250571808101808</v>
      </c>
      <c r="O325" s="433">
        <f t="shared" si="61"/>
        <v>-1.3532725281614673E-2</v>
      </c>
      <c r="P325" s="433">
        <f t="shared" si="61"/>
        <v>-0.13089345900185895</v>
      </c>
      <c r="Q325" s="433">
        <f>IF(ISERROR(Q232/Q228),"nm",Q232/Q228)</f>
        <v>-0.2386044614908393</v>
      </c>
      <c r="R325" s="430"/>
      <c r="S325" s="461" t="str">
        <f>_xll.BLUEMATRIX2("/servlet/excelData",E325,$B$1,$B325&amp;":"&amp;E$115&amp;":"&amp;$R$114)</f>
        <v>#</v>
      </c>
      <c r="T325" s="461" t="str">
        <f>_xll.BLUEMATRIX2("/servlet/excelData",F325,$B$1,$B325&amp;":"&amp;F$115&amp;":"&amp;$R$114)</f>
        <v>#</v>
      </c>
      <c r="U325" s="461" t="str">
        <f>_xll.BLUEMATRIX2("/servlet/excelData",G325,$B$1,$B325&amp;":"&amp;G$115&amp;":"&amp;$R$114)</f>
        <v>#</v>
      </c>
      <c r="V325" s="461" t="str">
        <f>_xll.BLUEMATRIX2("/servlet/excelData",H325,$B$1,$B325&amp;":"&amp;H$115&amp;":"&amp;$R$114)</f>
        <v>#</v>
      </c>
      <c r="W325" s="461" t="str">
        <f>_xll.BLUEMATRIX2("/servlet/excelData",I325,$B$1,$B325&amp;":"&amp;I$115&amp;":"&amp;$R$114)</f>
        <v>#</v>
      </c>
      <c r="X325" s="461" t="str">
        <f>_xll.BLUEMATRIX2("/servlet/excelData",J325,$B$1,$B325&amp;":"&amp;J$115&amp;":"&amp;$R$114)</f>
        <v>#</v>
      </c>
      <c r="Y325" s="461" t="str">
        <f>_xll.BLUEMATRIX2("/servlet/excelData",K325,$B$1,$B325&amp;":"&amp;K$115&amp;":"&amp;$R$114)</f>
        <v>#</v>
      </c>
      <c r="Z325" s="461" t="str">
        <f>_xll.BLUEMATRIX2("/servlet/excelData",L325,$B$1,$B325&amp;":"&amp;L$115&amp;":"&amp;$R$114)</f>
        <v>#</v>
      </c>
      <c r="AA325" s="461" t="str">
        <f>_xll.BLUEMATRIX2("/servlet/excelData",M325,$B$1,$B325&amp;":"&amp;M$115&amp;":"&amp;$R$114)</f>
        <v>#</v>
      </c>
      <c r="AB325" s="461" t="str">
        <f>_xll.BLUEMATRIX2("/servlet/excelData",N325,$B$1,$B325&amp;":"&amp;N$115&amp;":"&amp;$R$114)</f>
        <v>#</v>
      </c>
      <c r="AC325" s="461" t="str">
        <f>_xll.BLUEMATRIX2("/servlet/excelData",O325,$B$1,$B325&amp;":"&amp;O$115&amp;":"&amp;$R$114)</f>
        <v>#</v>
      </c>
      <c r="AD325" s="461" t="str">
        <f>_xll.BLUEMATRIX2("/servlet/excelData",P325,$B$1,$B325&amp;":"&amp;P$115&amp;":"&amp;$R$114)</f>
        <v>#</v>
      </c>
      <c r="AE325" s="461" t="str">
        <f>_xll.BLUEMATRIX2("/servlet/excelData",Q325,$B$1,$B325&amp;":"&amp;Q$115&amp;":"&amp;$R$114)</f>
        <v>#</v>
      </c>
    </row>
    <row r="326" spans="1:31" ht="12.95" customHeight="1">
      <c r="A326" s="342" t="s">
        <v>716</v>
      </c>
      <c r="B326" s="344" t="s">
        <v>717</v>
      </c>
      <c r="C326" s="424" t="s">
        <v>718</v>
      </c>
      <c r="D326" s="433"/>
      <c r="E326" s="433">
        <f>IF(ISERROR(E232/(E228+E232)),"nm",E232/(E228+E232))</f>
        <v>-2.4216093690970903E-2</v>
      </c>
      <c r="F326" s="433">
        <f>IF(ISERROR(F232/(F228+F232)),"nm",F232/(F228+F232))</f>
        <v>5.0423168946184337E-2</v>
      </c>
      <c r="G326" s="433">
        <f>IF(ISERROR(G232/(G228+G232)),"nm",G232/(G228+G232))</f>
        <v>0.36570353036931524</v>
      </c>
      <c r="H326" s="433">
        <f>IF(ISERROR(H232/(H228+H232)),"nm",H232/(H228+H232))</f>
        <v>0.28571428571428575</v>
      </c>
      <c r="I326" s="433">
        <f>IF(ISERROR(I232/(I228+I232)),"nm",I232/(I228+I232))</f>
        <v>0.24555841359095529</v>
      </c>
      <c r="J326" s="433">
        <f t="shared" ref="J326:P326" si="62">IF(ISERROR(J232/(J228+J232)),"nm",J232/(J228+J232))</f>
        <v>0.3275033250660192</v>
      </c>
      <c r="K326" s="433">
        <f t="shared" si="62"/>
        <v>0.29067493113479831</v>
      </c>
      <c r="L326" s="433">
        <f t="shared" si="62"/>
        <v>0.24280777207152474</v>
      </c>
      <c r="M326" s="433">
        <f t="shared" si="62"/>
        <v>0.17709620583406721</v>
      </c>
      <c r="N326" s="433">
        <f t="shared" si="62"/>
        <v>0.10913594123195024</v>
      </c>
      <c r="O326" s="433">
        <f t="shared" si="62"/>
        <v>-1.3718372244510564E-2</v>
      </c>
      <c r="P326" s="433">
        <f t="shared" si="62"/>
        <v>-0.15060691966664064</v>
      </c>
      <c r="Q326" s="433">
        <f>IF(ISERROR(Q232/(Q228+Q232)),"nm",Q232/(Q228+Q232))</f>
        <v>-0.31337780355009076</v>
      </c>
      <c r="R326" s="430"/>
      <c r="S326" s="461" t="str">
        <f>_xll.BLUEMATRIX2("/servlet/excelData",E326,$B$1,$B326&amp;":"&amp;E$115&amp;":"&amp;$R$114)</f>
        <v>#</v>
      </c>
      <c r="T326" s="461" t="str">
        <f>_xll.BLUEMATRIX2("/servlet/excelData",F326,$B$1,$B326&amp;":"&amp;F$115&amp;":"&amp;$R$114)</f>
        <v>#</v>
      </c>
      <c r="U326" s="461" t="str">
        <f>_xll.BLUEMATRIX2("/servlet/excelData",G326,$B$1,$B326&amp;":"&amp;G$115&amp;":"&amp;$R$114)</f>
        <v>#</v>
      </c>
      <c r="V326" s="461" t="str">
        <f>_xll.BLUEMATRIX2("/servlet/excelData",H326,$B$1,$B326&amp;":"&amp;H$115&amp;":"&amp;$R$114)</f>
        <v>#</v>
      </c>
      <c r="W326" s="461" t="str">
        <f>_xll.BLUEMATRIX2("/servlet/excelData",I326,$B$1,$B326&amp;":"&amp;I$115&amp;":"&amp;$R$114)</f>
        <v>#</v>
      </c>
      <c r="X326" s="461" t="str">
        <f>_xll.BLUEMATRIX2("/servlet/excelData",J326,$B$1,$B326&amp;":"&amp;J$115&amp;":"&amp;$R$114)</f>
        <v>#</v>
      </c>
      <c r="Y326" s="461" t="str">
        <f>_xll.BLUEMATRIX2("/servlet/excelData",K326,$B$1,$B326&amp;":"&amp;K$115&amp;":"&amp;$R$114)</f>
        <v>#</v>
      </c>
      <c r="Z326" s="461" t="str">
        <f>_xll.BLUEMATRIX2("/servlet/excelData",L326,$B$1,$B326&amp;":"&amp;L$115&amp;":"&amp;$R$114)</f>
        <v>#</v>
      </c>
      <c r="AA326" s="461" t="str">
        <f>_xll.BLUEMATRIX2("/servlet/excelData",M326,$B$1,$B326&amp;":"&amp;M$115&amp;":"&amp;$R$114)</f>
        <v>#</v>
      </c>
      <c r="AB326" s="461" t="str">
        <f>_xll.BLUEMATRIX2("/servlet/excelData",N326,$B$1,$B326&amp;":"&amp;N$115&amp;":"&amp;$R$114)</f>
        <v>#</v>
      </c>
      <c r="AC326" s="461" t="str">
        <f>_xll.BLUEMATRIX2("/servlet/excelData",O326,$B$1,$B326&amp;":"&amp;O$115&amp;":"&amp;$R$114)</f>
        <v>#</v>
      </c>
      <c r="AD326" s="461" t="str">
        <f>_xll.BLUEMATRIX2("/servlet/excelData",P326,$B$1,$B326&amp;":"&amp;P$115&amp;":"&amp;$R$114)</f>
        <v>#</v>
      </c>
      <c r="AE326" s="461" t="str">
        <f>_xll.BLUEMATRIX2("/servlet/excelData",Q326,$B$1,$B326&amp;":"&amp;Q$115&amp;":"&amp;$R$114)</f>
        <v>#</v>
      </c>
    </row>
    <row r="327" spans="1:31" ht="12.95" customHeight="1">
      <c r="A327" s="342" t="s">
        <v>719</v>
      </c>
      <c r="B327" s="344" t="s">
        <v>720</v>
      </c>
      <c r="C327" s="424" t="s">
        <v>721</v>
      </c>
      <c r="D327" s="470"/>
      <c r="E327" s="480">
        <f>FY!C175</f>
        <v>0</v>
      </c>
      <c r="F327" s="480">
        <f>FY!D175</f>
        <v>0.8</v>
      </c>
      <c r="G327" s="480">
        <f>FY!E175</f>
        <v>2.7</v>
      </c>
      <c r="H327" s="480">
        <f>FY!F175</f>
        <v>1.6</v>
      </c>
      <c r="I327" s="480">
        <f>FY!G175</f>
        <v>1.2</v>
      </c>
      <c r="J327" s="480">
        <f>FY!H175</f>
        <v>1.5965448786458456</v>
      </c>
      <c r="K327" s="480">
        <f>FY!I175</f>
        <v>1.3612317645527574</v>
      </c>
      <c r="L327" s="480">
        <f>FY!J175</f>
        <v>1.1231158171496709</v>
      </c>
      <c r="M327" s="480">
        <f>FY!K175</f>
        <v>0.8503044441344676</v>
      </c>
      <c r="N327" s="480">
        <f>FY!L175</f>
        <v>0.59898661827246258</v>
      </c>
      <c r="O327" s="480">
        <f>FY!M175</f>
        <v>0.19545317679488206</v>
      </c>
      <c r="P327" s="480">
        <f>FY!N175</f>
        <v>-0.21889848979342347</v>
      </c>
      <c r="Q327" s="480">
        <f>FY!O175</f>
        <v>-0.67655554353179403</v>
      </c>
      <c r="R327" s="430"/>
      <c r="S327" s="461" t="str">
        <f>_xll.BLUEMATRIX2("/servlet/excelData",E327,$B$1,$B327&amp;":"&amp;E$115&amp;":"&amp;$R$114)</f>
        <v>#</v>
      </c>
      <c r="T327" s="461" t="str">
        <f>_xll.BLUEMATRIX2("/servlet/excelData",F327,$B$1,$B327&amp;":"&amp;F$115&amp;":"&amp;$R$114)</f>
        <v>#</v>
      </c>
      <c r="U327" s="461" t="str">
        <f>_xll.BLUEMATRIX2("/servlet/excelData",G327,$B$1,$B327&amp;":"&amp;G$115&amp;":"&amp;$R$114)</f>
        <v>#</v>
      </c>
      <c r="V327" s="461" t="str">
        <f>_xll.BLUEMATRIX2("/servlet/excelData",H327,$B$1,$B327&amp;":"&amp;H$115&amp;":"&amp;$R$114)</f>
        <v>#</v>
      </c>
      <c r="W327" s="461" t="str">
        <f>_xll.BLUEMATRIX2("/servlet/excelData",I327,$B$1,$B327&amp;":"&amp;I$115&amp;":"&amp;$R$114)</f>
        <v>#</v>
      </c>
      <c r="X327" s="461" t="str">
        <f>_xll.BLUEMATRIX2("/servlet/excelData",J327,$B$1,$B327&amp;":"&amp;J$115&amp;":"&amp;$R$114)</f>
        <v>#</v>
      </c>
      <c r="Y327" s="461" t="str">
        <f>_xll.BLUEMATRIX2("/servlet/excelData",K327,$B$1,$B327&amp;":"&amp;K$115&amp;":"&amp;$R$114)</f>
        <v>#</v>
      </c>
      <c r="Z327" s="461" t="str">
        <f>_xll.BLUEMATRIX2("/servlet/excelData",L327,$B$1,$B327&amp;":"&amp;L$115&amp;":"&amp;$R$114)</f>
        <v>#</v>
      </c>
      <c r="AA327" s="461" t="str">
        <f>_xll.BLUEMATRIX2("/servlet/excelData",M327,$B$1,$B327&amp;":"&amp;M$115&amp;":"&amp;$R$114)</f>
        <v>#</v>
      </c>
      <c r="AB327" s="461" t="str">
        <f>_xll.BLUEMATRIX2("/servlet/excelData",N327,$B$1,$B327&amp;":"&amp;N$115&amp;":"&amp;$R$114)</f>
        <v>#</v>
      </c>
      <c r="AC327" s="461" t="str">
        <f>_xll.BLUEMATRIX2("/servlet/excelData",O327,$B$1,$B327&amp;":"&amp;O$115&amp;":"&amp;$R$114)</f>
        <v>#</v>
      </c>
      <c r="AD327" s="461" t="str">
        <f>_xll.BLUEMATRIX2("/servlet/excelData",P327,$B$1,$B327&amp;":"&amp;P$115&amp;":"&amp;$R$114)</f>
        <v>#</v>
      </c>
      <c r="AE327" s="461" t="str">
        <f>_xll.BLUEMATRIX2("/servlet/excelData",Q327,$B$1,$B327&amp;":"&amp;Q$115&amp;":"&amp;$R$114)</f>
        <v>#</v>
      </c>
    </row>
    <row r="328" spans="1:31" ht="12.95" customHeight="1">
      <c r="A328" s="342" t="s">
        <v>722</v>
      </c>
      <c r="B328" s="344" t="s">
        <v>723</v>
      </c>
      <c r="C328" s="424" t="s">
        <v>724</v>
      </c>
      <c r="D328" s="470"/>
      <c r="E328" s="480" t="str">
        <f t="shared" ref="E328:Q328" si="63">IF(ISERROR(E156/-E158),"nm",E156/-E158)</f>
        <v>nm</v>
      </c>
      <c r="F328" s="480" t="str">
        <f t="shared" si="63"/>
        <v>nm</v>
      </c>
      <c r="G328" s="480" t="str">
        <f t="shared" si="63"/>
        <v>nm</v>
      </c>
      <c r="H328" s="480" t="str">
        <f t="shared" si="63"/>
        <v>nm</v>
      </c>
      <c r="I328" s="480" t="str">
        <f t="shared" si="63"/>
        <v>nm</v>
      </c>
      <c r="J328" s="480" t="str">
        <f t="shared" si="63"/>
        <v>nm</v>
      </c>
      <c r="K328" s="480" t="str">
        <f t="shared" si="63"/>
        <v>nm</v>
      </c>
      <c r="L328" s="480" t="str">
        <f t="shared" si="63"/>
        <v>nm</v>
      </c>
      <c r="M328" s="480" t="str">
        <f t="shared" si="63"/>
        <v>nm</v>
      </c>
      <c r="N328" s="480" t="str">
        <f t="shared" si="63"/>
        <v>nm</v>
      </c>
      <c r="O328" s="480" t="str">
        <f t="shared" si="63"/>
        <v>nm</v>
      </c>
      <c r="P328" s="480" t="str">
        <f t="shared" si="63"/>
        <v>nm</v>
      </c>
      <c r="Q328" s="480" t="str">
        <f t="shared" si="63"/>
        <v>nm</v>
      </c>
      <c r="R328" s="430"/>
      <c r="S328" s="461" t="str">
        <f>_xll.BLUEMATRIX2("/servlet/excelData",E328,$B$1,$B328&amp;":"&amp;E$115&amp;":"&amp;$R$114)</f>
        <v>#</v>
      </c>
      <c r="T328" s="461" t="str">
        <f>_xll.BLUEMATRIX2("/servlet/excelData",F328,$B$1,$B328&amp;":"&amp;F$115&amp;":"&amp;$R$114)</f>
        <v>#</v>
      </c>
      <c r="U328" s="461" t="str">
        <f>_xll.BLUEMATRIX2("/servlet/excelData",G328,$B$1,$B328&amp;":"&amp;G$115&amp;":"&amp;$R$114)</f>
        <v>#</v>
      </c>
      <c r="V328" s="461" t="str">
        <f>_xll.BLUEMATRIX2("/servlet/excelData",H328,$B$1,$B328&amp;":"&amp;H$115&amp;":"&amp;$R$114)</f>
        <v>#</v>
      </c>
      <c r="W328" s="461" t="str">
        <f>_xll.BLUEMATRIX2("/servlet/excelData",I328,$B$1,$B328&amp;":"&amp;I$115&amp;":"&amp;$R$114)</f>
        <v>#</v>
      </c>
      <c r="X328" s="461" t="str">
        <f>_xll.BLUEMATRIX2("/servlet/excelData",J328,$B$1,$B328&amp;":"&amp;J$115&amp;":"&amp;$R$114)</f>
        <v>#</v>
      </c>
      <c r="Y328" s="461" t="str">
        <f>_xll.BLUEMATRIX2("/servlet/excelData",K328,$B$1,$B328&amp;":"&amp;K$115&amp;":"&amp;$R$114)</f>
        <v>#</v>
      </c>
      <c r="Z328" s="461" t="str">
        <f>_xll.BLUEMATRIX2("/servlet/excelData",L328,$B$1,$B328&amp;":"&amp;L$115&amp;":"&amp;$R$114)</f>
        <v>#</v>
      </c>
      <c r="AA328" s="461" t="str">
        <f>_xll.BLUEMATRIX2("/servlet/excelData",M328,$B$1,$B328&amp;":"&amp;M$115&amp;":"&amp;$R$114)</f>
        <v>#</v>
      </c>
      <c r="AB328" s="461" t="str">
        <f>_xll.BLUEMATRIX2("/servlet/excelData",N328,$B$1,$B328&amp;":"&amp;N$115&amp;":"&amp;$R$114)</f>
        <v>#</v>
      </c>
      <c r="AC328" s="461" t="str">
        <f>_xll.BLUEMATRIX2("/servlet/excelData",O328,$B$1,$B328&amp;":"&amp;O$115&amp;":"&amp;$R$114)</f>
        <v>#</v>
      </c>
      <c r="AD328" s="461" t="str">
        <f>_xll.BLUEMATRIX2("/servlet/excelData",P328,$B$1,$B328&amp;":"&amp;P$115&amp;":"&amp;$R$114)</f>
        <v>#</v>
      </c>
      <c r="AE328" s="461" t="str">
        <f>_xll.BLUEMATRIX2("/servlet/excelData",Q328,$B$1,$B328&amp;":"&amp;Q$115&amp;":"&amp;$R$114)</f>
        <v>#</v>
      </c>
    </row>
    <row r="329" spans="1:31" ht="12.95" customHeight="1">
      <c r="A329" s="342" t="s">
        <v>725</v>
      </c>
      <c r="B329" s="344" t="s">
        <v>726</v>
      </c>
      <c r="C329" s="426" t="s">
        <v>727</v>
      </c>
      <c r="D329" s="438"/>
      <c r="E329" s="438"/>
      <c r="F329" s="438"/>
      <c r="G329" s="438"/>
      <c r="H329" s="438"/>
      <c r="I329" s="438"/>
      <c r="J329" s="438"/>
      <c r="K329" s="438"/>
      <c r="L329" s="438"/>
      <c r="M329" s="438"/>
      <c r="N329" s="438"/>
      <c r="O329" s="438"/>
      <c r="P329" s="438"/>
      <c r="Q329" s="438"/>
      <c r="R329" s="430"/>
      <c r="S329" s="461" t="str">
        <f>_xll.BLUEMATRIX2("/servlet/excelData",E329,$B$1,$B329&amp;":"&amp;E$115&amp;":"&amp;$R$114)</f>
        <v>#</v>
      </c>
      <c r="T329" s="461" t="str">
        <f>_xll.BLUEMATRIX2("/servlet/excelData",F329,$B$1,$B329&amp;":"&amp;F$115&amp;":"&amp;$R$114)</f>
        <v>#</v>
      </c>
      <c r="U329" s="461" t="str">
        <f>_xll.BLUEMATRIX2("/servlet/excelData",G329,$B$1,$B329&amp;":"&amp;G$115&amp;":"&amp;$R$114)</f>
        <v>#</v>
      </c>
      <c r="V329" s="461" t="str">
        <f>_xll.BLUEMATRIX2("/servlet/excelData",H329,$B$1,$B329&amp;":"&amp;H$115&amp;":"&amp;$R$114)</f>
        <v>#</v>
      </c>
      <c r="W329" s="461" t="str">
        <f>_xll.BLUEMATRIX2("/servlet/excelData",I329,$B$1,$B329&amp;":"&amp;I$115&amp;":"&amp;$R$114)</f>
        <v>#</v>
      </c>
      <c r="X329" s="461" t="str">
        <f>_xll.BLUEMATRIX2("/servlet/excelData",J329,$B$1,$B329&amp;":"&amp;J$115&amp;":"&amp;$R$114)</f>
        <v>#</v>
      </c>
      <c r="Y329" s="461" t="str">
        <f>_xll.BLUEMATRIX2("/servlet/excelData",K329,$B$1,$B329&amp;":"&amp;K$115&amp;":"&amp;$R$114)</f>
        <v>#</v>
      </c>
      <c r="Z329" s="461" t="str">
        <f>_xll.BLUEMATRIX2("/servlet/excelData",L329,$B$1,$B329&amp;":"&amp;L$115&amp;":"&amp;$R$114)</f>
        <v>#</v>
      </c>
      <c r="AA329" s="461" t="str">
        <f>_xll.BLUEMATRIX2("/servlet/excelData",M329,$B$1,$B329&amp;":"&amp;M$115&amp;":"&amp;$R$114)</f>
        <v>#</v>
      </c>
      <c r="AB329" s="461" t="str">
        <f>_xll.BLUEMATRIX2("/servlet/excelData",N329,$B$1,$B329&amp;":"&amp;N$115&amp;":"&amp;$R$114)</f>
        <v>#</v>
      </c>
      <c r="AC329" s="461" t="str">
        <f>_xll.BLUEMATRIX2("/servlet/excelData",O329,$B$1,$B329&amp;":"&amp;O$115&amp;":"&amp;$R$114)</f>
        <v>#</v>
      </c>
      <c r="AD329" s="461" t="str">
        <f>_xll.BLUEMATRIX2("/servlet/excelData",P329,$B$1,$B329&amp;":"&amp;P$115&amp;":"&amp;$R$114)</f>
        <v>#</v>
      </c>
      <c r="AE329" s="461" t="str">
        <f>_xll.BLUEMATRIX2("/servlet/excelData",Q329,$B$1,$B329&amp;":"&amp;Q$115&amp;":"&amp;$R$114)</f>
        <v>#</v>
      </c>
    </row>
    <row r="330" spans="1:31" ht="12.95" customHeight="1">
      <c r="A330" s="342" t="s">
        <v>728</v>
      </c>
      <c r="B330" s="344" t="s">
        <v>729</v>
      </c>
      <c r="C330" s="426" t="s">
        <v>730</v>
      </c>
      <c r="D330" s="438"/>
      <c r="E330" s="438"/>
      <c r="F330" s="438"/>
      <c r="G330" s="438"/>
      <c r="H330" s="438"/>
      <c r="I330" s="438"/>
      <c r="J330" s="438"/>
      <c r="K330" s="438"/>
      <c r="L330" s="438"/>
      <c r="M330" s="438"/>
      <c r="N330" s="438"/>
      <c r="O330" s="438"/>
      <c r="P330" s="438"/>
      <c r="Q330" s="438"/>
      <c r="R330" s="430"/>
      <c r="S330" s="461" t="str">
        <f>_xll.BLUEMATRIX2("/servlet/excelData",E330,$B$1,$B330&amp;":"&amp;E$115&amp;":"&amp;$R$114)</f>
        <v>#</v>
      </c>
      <c r="T330" s="461" t="str">
        <f>_xll.BLUEMATRIX2("/servlet/excelData",F330,$B$1,$B330&amp;":"&amp;F$115&amp;":"&amp;$R$114)</f>
        <v>#</v>
      </c>
      <c r="U330" s="461" t="str">
        <f>_xll.BLUEMATRIX2("/servlet/excelData",G330,$B$1,$B330&amp;":"&amp;G$115&amp;":"&amp;$R$114)</f>
        <v>#</v>
      </c>
      <c r="V330" s="461" t="str">
        <f>_xll.BLUEMATRIX2("/servlet/excelData",H330,$B$1,$B330&amp;":"&amp;H$115&amp;":"&amp;$R$114)</f>
        <v>#</v>
      </c>
      <c r="W330" s="461" t="str">
        <f>_xll.BLUEMATRIX2("/servlet/excelData",I330,$B$1,$B330&amp;":"&amp;I$115&amp;":"&amp;$R$114)</f>
        <v>#</v>
      </c>
      <c r="X330" s="461" t="str">
        <f>_xll.BLUEMATRIX2("/servlet/excelData",J330,$B$1,$B330&amp;":"&amp;J$115&amp;":"&amp;$R$114)</f>
        <v>#</v>
      </c>
      <c r="Y330" s="461" t="str">
        <f>_xll.BLUEMATRIX2("/servlet/excelData",K330,$B$1,$B330&amp;":"&amp;K$115&amp;":"&amp;$R$114)</f>
        <v>#</v>
      </c>
      <c r="Z330" s="461" t="str">
        <f>_xll.BLUEMATRIX2("/servlet/excelData",L330,$B$1,$B330&amp;":"&amp;L$115&amp;":"&amp;$R$114)</f>
        <v>#</v>
      </c>
      <c r="AA330" s="461" t="str">
        <f>_xll.BLUEMATRIX2("/servlet/excelData",M330,$B$1,$B330&amp;":"&amp;M$115&amp;":"&amp;$R$114)</f>
        <v>#</v>
      </c>
      <c r="AB330" s="461" t="str">
        <f>_xll.BLUEMATRIX2("/servlet/excelData",N330,$B$1,$B330&amp;":"&amp;N$115&amp;":"&amp;$R$114)</f>
        <v>#</v>
      </c>
      <c r="AC330" s="461" t="str">
        <f>_xll.BLUEMATRIX2("/servlet/excelData",O330,$B$1,$B330&amp;":"&amp;O$115&amp;":"&amp;$R$114)</f>
        <v>#</v>
      </c>
      <c r="AD330" s="461" t="str">
        <f>_xll.BLUEMATRIX2("/servlet/excelData",P330,$B$1,$B330&amp;":"&amp;P$115&amp;":"&amp;$R$114)</f>
        <v>#</v>
      </c>
      <c r="AE330" s="461" t="str">
        <f>_xll.BLUEMATRIX2("/servlet/excelData",Q330,$B$1,$B330&amp;":"&amp;Q$115&amp;":"&amp;$R$114)</f>
        <v>#</v>
      </c>
    </row>
    <row r="331" spans="1:31" ht="12.95" customHeight="1">
      <c r="A331" s="342" t="s">
        <v>731</v>
      </c>
      <c r="B331" s="344" t="s">
        <v>732</v>
      </c>
      <c r="C331" s="424" t="s">
        <v>733</v>
      </c>
      <c r="D331" s="433"/>
      <c r="E331" s="433" t="str">
        <f>IF(ISERROR(E246/E242),"nm",E246/E242)</f>
        <v>nm</v>
      </c>
      <c r="F331" s="433">
        <f>IF(ISERROR(F246/F242),"nm",F246/F242)</f>
        <v>0.44245524296675193</v>
      </c>
      <c r="G331" s="433">
        <f>IF(ISERROR(G246/G242),"nm",G246/G242)</f>
        <v>0.49795404469625421</v>
      </c>
      <c r="H331" s="433">
        <f>IF(ISERROR(H246/H242),"nm",H246/H242)</f>
        <v>1.2</v>
      </c>
      <c r="I331" s="433">
        <f>IF(ISERROR(I246/I242),"nm",I246/I242)</f>
        <v>0.91128098216353948</v>
      </c>
      <c r="J331" s="433">
        <f t="shared" ref="J331:P331" si="64">IF(ISERROR(J246/J242),"nm",J246/J242)</f>
        <v>1.0355738785832456</v>
      </c>
      <c r="K331" s="433">
        <f t="shared" si="64"/>
        <v>1.0071238796834594</v>
      </c>
      <c r="L331" s="433">
        <f t="shared" si="64"/>
        <v>1.0100736006127276</v>
      </c>
      <c r="M331" s="433">
        <f t="shared" si="64"/>
        <v>1.0226439594770729</v>
      </c>
      <c r="N331" s="433">
        <f t="shared" si="64"/>
        <v>1.0153101802057316</v>
      </c>
      <c r="O331" s="433">
        <f t="shared" si="64"/>
        <v>1.0099909964637968</v>
      </c>
      <c r="P331" s="433">
        <f t="shared" si="64"/>
        <v>1.0217998938363204</v>
      </c>
      <c r="Q331" s="433">
        <f>IF(ISERROR(Q246/Q242),"nm",Q246/Q242)</f>
        <v>1.0165373238096036</v>
      </c>
      <c r="R331" s="430"/>
      <c r="S331" s="461" t="str">
        <f>_xll.BLUEMATRIX2("/servlet/excelData",E331,$B$1,$B331&amp;":"&amp;E$115&amp;":"&amp;$R$114)</f>
        <v>#</v>
      </c>
      <c r="T331" s="461" t="str">
        <f>_xll.BLUEMATRIX2("/servlet/excelData",F331,$B$1,$B331&amp;":"&amp;F$115&amp;":"&amp;$R$114)</f>
        <v>#</v>
      </c>
      <c r="U331" s="461" t="str">
        <f>_xll.BLUEMATRIX2("/servlet/excelData",G331,$B$1,$B331&amp;":"&amp;G$115&amp;":"&amp;$R$114)</f>
        <v>#</v>
      </c>
      <c r="V331" s="461" t="str">
        <f>_xll.BLUEMATRIX2("/servlet/excelData",H331,$B$1,$B331&amp;":"&amp;H$115&amp;":"&amp;$R$114)</f>
        <v>#</v>
      </c>
      <c r="W331" s="461" t="str">
        <f>_xll.BLUEMATRIX2("/servlet/excelData",I331,$B$1,$B331&amp;":"&amp;I$115&amp;":"&amp;$R$114)</f>
        <v>#</v>
      </c>
      <c r="X331" s="461" t="str">
        <f>_xll.BLUEMATRIX2("/servlet/excelData",J331,$B$1,$B331&amp;":"&amp;J$115&amp;":"&amp;$R$114)</f>
        <v>#</v>
      </c>
      <c r="Y331" s="461" t="str">
        <f>_xll.BLUEMATRIX2("/servlet/excelData",K331,$B$1,$B331&amp;":"&amp;K$115&amp;":"&amp;$R$114)</f>
        <v>#</v>
      </c>
      <c r="Z331" s="461" t="str">
        <f>_xll.BLUEMATRIX2("/servlet/excelData",L331,$B$1,$B331&amp;":"&amp;L$115&amp;":"&amp;$R$114)</f>
        <v>#</v>
      </c>
      <c r="AA331" s="461" t="str">
        <f>_xll.BLUEMATRIX2("/servlet/excelData",M331,$B$1,$B331&amp;":"&amp;M$115&amp;":"&amp;$R$114)</f>
        <v>#</v>
      </c>
      <c r="AB331" s="461" t="str">
        <f>_xll.BLUEMATRIX2("/servlet/excelData",N331,$B$1,$B331&amp;":"&amp;N$115&amp;":"&amp;$R$114)</f>
        <v>#</v>
      </c>
      <c r="AC331" s="461" t="str">
        <f>_xll.BLUEMATRIX2("/servlet/excelData",O331,$B$1,$B331&amp;":"&amp;O$115&amp;":"&amp;$R$114)</f>
        <v>#</v>
      </c>
      <c r="AD331" s="461" t="str">
        <f>_xll.BLUEMATRIX2("/servlet/excelData",P331,$B$1,$B331&amp;":"&amp;P$115&amp;":"&amp;$R$114)</f>
        <v>#</v>
      </c>
      <c r="AE331" s="461" t="str">
        <f>_xll.BLUEMATRIX2("/servlet/excelData",Q331,$B$1,$B331&amp;":"&amp;Q$115&amp;":"&amp;$R$114)</f>
        <v>#</v>
      </c>
    </row>
    <row r="332" spans="1:31" ht="12.95" customHeight="1">
      <c r="A332" s="342" t="s">
        <v>734</v>
      </c>
      <c r="B332" s="344" t="s">
        <v>735</v>
      </c>
      <c r="C332" s="424" t="s">
        <v>736</v>
      </c>
      <c r="D332" s="433"/>
      <c r="E332" s="433">
        <f t="shared" ref="E332:Q332" si="65">IF(ISERROR(-(E256+E257+E258)/E142),"nm",-(E256+E257+E258)/E142)</f>
        <v>0</v>
      </c>
      <c r="F332" s="433">
        <f t="shared" si="65"/>
        <v>9.4561288202431801E-2</v>
      </c>
      <c r="G332" s="433">
        <f t="shared" si="65"/>
        <v>0.32630723844542303</v>
      </c>
      <c r="H332" s="433">
        <f t="shared" si="65"/>
        <v>4.505469287845177E-2</v>
      </c>
      <c r="I332" s="433">
        <f t="shared" si="65"/>
        <v>5.7163448772901408E-2</v>
      </c>
      <c r="J332" s="433">
        <f t="shared" si="65"/>
        <v>5.8246030375324241E-2</v>
      </c>
      <c r="K332" s="433">
        <f t="shared" si="65"/>
        <v>5.2689671889184837E-2</v>
      </c>
      <c r="L332" s="433">
        <f t="shared" si="65"/>
        <v>4.4999999999999998E-2</v>
      </c>
      <c r="M332" s="433">
        <f t="shared" si="65"/>
        <v>4.4000000000000004E-2</v>
      </c>
      <c r="N332" s="433">
        <f t="shared" si="65"/>
        <v>4.4000000000000004E-2</v>
      </c>
      <c r="O332" s="433">
        <f t="shared" si="65"/>
        <v>4.4000000000000004E-2</v>
      </c>
      <c r="P332" s="433">
        <f t="shared" si="65"/>
        <v>4.3999999999999997E-2</v>
      </c>
      <c r="Q332" s="433">
        <f t="shared" si="65"/>
        <v>4.3999999999999997E-2</v>
      </c>
      <c r="R332" s="430"/>
      <c r="S332" s="461" t="str">
        <f>_xll.BLUEMATRIX2("/servlet/excelData",E332,$B$1,$B332&amp;":"&amp;E$115&amp;":"&amp;$R$114)</f>
        <v>#</v>
      </c>
      <c r="T332" s="461" t="str">
        <f>_xll.BLUEMATRIX2("/servlet/excelData",F332,$B$1,$B332&amp;":"&amp;F$115&amp;":"&amp;$R$114)</f>
        <v>#</v>
      </c>
      <c r="U332" s="461" t="str">
        <f>_xll.BLUEMATRIX2("/servlet/excelData",G332,$B$1,$B332&amp;":"&amp;G$115&amp;":"&amp;$R$114)</f>
        <v>#</v>
      </c>
      <c r="V332" s="461" t="str">
        <f>_xll.BLUEMATRIX2("/servlet/excelData",H332,$B$1,$B332&amp;":"&amp;H$115&amp;":"&amp;$R$114)</f>
        <v>#</v>
      </c>
      <c r="W332" s="461" t="str">
        <f>_xll.BLUEMATRIX2("/servlet/excelData",I332,$B$1,$B332&amp;":"&amp;I$115&amp;":"&amp;$R$114)</f>
        <v>#</v>
      </c>
      <c r="X332" s="461" t="str">
        <f>_xll.BLUEMATRIX2("/servlet/excelData",J332,$B$1,$B332&amp;":"&amp;J$115&amp;":"&amp;$R$114)</f>
        <v>#</v>
      </c>
      <c r="Y332" s="461" t="str">
        <f>_xll.BLUEMATRIX2("/servlet/excelData",K332,$B$1,$B332&amp;":"&amp;K$115&amp;":"&amp;$R$114)</f>
        <v>#</v>
      </c>
      <c r="Z332" s="461" t="str">
        <f>_xll.BLUEMATRIX2("/servlet/excelData",L332,$B$1,$B332&amp;":"&amp;L$115&amp;":"&amp;$R$114)</f>
        <v>#</v>
      </c>
      <c r="AA332" s="461" t="str">
        <f>_xll.BLUEMATRIX2("/servlet/excelData",M332,$B$1,$B332&amp;":"&amp;M$115&amp;":"&amp;$R$114)</f>
        <v>#</v>
      </c>
      <c r="AB332" s="461" t="str">
        <f>_xll.BLUEMATRIX2("/servlet/excelData",N332,$B$1,$B332&amp;":"&amp;N$115&amp;":"&amp;$R$114)</f>
        <v>#</v>
      </c>
      <c r="AC332" s="461" t="str">
        <f>_xll.BLUEMATRIX2("/servlet/excelData",O332,$B$1,$B332&amp;":"&amp;O$115&amp;":"&amp;$R$114)</f>
        <v>#</v>
      </c>
      <c r="AD332" s="461" t="str">
        <f>_xll.BLUEMATRIX2("/servlet/excelData",P332,$B$1,$B332&amp;":"&amp;P$115&amp;":"&amp;$R$114)</f>
        <v>#</v>
      </c>
      <c r="AE332" s="461" t="str">
        <f>_xll.BLUEMATRIX2("/servlet/excelData",Q332,$B$1,$B332&amp;":"&amp;Q$115&amp;":"&amp;$R$114)</f>
        <v>#</v>
      </c>
    </row>
    <row r="333" spans="1:31" ht="12.95" customHeight="1">
      <c r="A333" s="342" t="s">
        <v>737</v>
      </c>
      <c r="B333" s="344" t="s">
        <v>738</v>
      </c>
      <c r="C333" s="424" t="s">
        <v>739</v>
      </c>
      <c r="D333" s="470"/>
      <c r="E333" s="480">
        <f t="shared" ref="E333:Q333" si="66">IF(ISERROR((E256+E257+E258)/E154),"nm",(E256+E257+E258)/E154)</f>
        <v>0</v>
      </c>
      <c r="F333" s="480">
        <f t="shared" si="66"/>
        <v>0.95717255717255711</v>
      </c>
      <c r="G333" s="480">
        <f t="shared" si="66"/>
        <v>3.4643667725828409</v>
      </c>
      <c r="H333" s="480">
        <f t="shared" si="66"/>
        <v>0.5808678500986193</v>
      </c>
      <c r="I333" s="480">
        <f t="shared" si="66"/>
        <v>0.70751173708920179</v>
      </c>
      <c r="J333" s="480">
        <f t="shared" si="66"/>
        <v>0.70052539404553527</v>
      </c>
      <c r="K333" s="480">
        <f t="shared" si="66"/>
        <v>0.67144136078782557</v>
      </c>
      <c r="L333" s="480">
        <f t="shared" si="66"/>
        <v>0.57510042501355663</v>
      </c>
      <c r="M333" s="480">
        <f t="shared" si="66"/>
        <v>0.60155406473026096</v>
      </c>
      <c r="N333" s="480">
        <f t="shared" si="66"/>
        <v>0.63201730686798663</v>
      </c>
      <c r="O333" s="480">
        <f t="shared" si="66"/>
        <v>0.65693354513647728</v>
      </c>
      <c r="P333" s="480">
        <f t="shared" si="66"/>
        <v>0.67719352169854796</v>
      </c>
      <c r="Q333" s="480">
        <f t="shared" si="66"/>
        <v>0.69369741879541147</v>
      </c>
      <c r="R333" s="430"/>
      <c r="S333" s="461" t="str">
        <f>_xll.BLUEMATRIX2("/servlet/excelData",E333,$B$1,$B333&amp;":"&amp;E$115&amp;":"&amp;$R$114)</f>
        <v>#</v>
      </c>
      <c r="T333" s="461" t="str">
        <f>_xll.BLUEMATRIX2("/servlet/excelData",F333,$B$1,$B333&amp;":"&amp;F$115&amp;":"&amp;$R$114)</f>
        <v>#</v>
      </c>
      <c r="U333" s="461" t="str">
        <f>_xll.BLUEMATRIX2("/servlet/excelData",G333,$B$1,$B333&amp;":"&amp;G$115&amp;":"&amp;$R$114)</f>
        <v>#</v>
      </c>
      <c r="V333" s="461" t="str">
        <f>_xll.BLUEMATRIX2("/servlet/excelData",H333,$B$1,$B333&amp;":"&amp;H$115&amp;":"&amp;$R$114)</f>
        <v>#</v>
      </c>
      <c r="W333" s="461" t="str">
        <f>_xll.BLUEMATRIX2("/servlet/excelData",I333,$B$1,$B333&amp;":"&amp;I$115&amp;":"&amp;$R$114)</f>
        <v>#</v>
      </c>
      <c r="X333" s="461" t="str">
        <f>_xll.BLUEMATRIX2("/servlet/excelData",J333,$B$1,$B333&amp;":"&amp;J$115&amp;":"&amp;$R$114)</f>
        <v>#</v>
      </c>
      <c r="Y333" s="461" t="str">
        <f>_xll.BLUEMATRIX2("/servlet/excelData",K333,$B$1,$B333&amp;":"&amp;K$115&amp;":"&amp;$R$114)</f>
        <v>#</v>
      </c>
      <c r="Z333" s="461" t="str">
        <f>_xll.BLUEMATRIX2("/servlet/excelData",L333,$B$1,$B333&amp;":"&amp;L$115&amp;":"&amp;$R$114)</f>
        <v>#</v>
      </c>
      <c r="AA333" s="461" t="str">
        <f>_xll.BLUEMATRIX2("/servlet/excelData",M333,$B$1,$B333&amp;":"&amp;M$115&amp;":"&amp;$R$114)</f>
        <v>#</v>
      </c>
      <c r="AB333" s="461" t="str">
        <f>_xll.BLUEMATRIX2("/servlet/excelData",N333,$B$1,$B333&amp;":"&amp;N$115&amp;":"&amp;$R$114)</f>
        <v>#</v>
      </c>
      <c r="AC333" s="461" t="str">
        <f>_xll.BLUEMATRIX2("/servlet/excelData",O333,$B$1,$B333&amp;":"&amp;O$115&amp;":"&amp;$R$114)</f>
        <v>#</v>
      </c>
      <c r="AD333" s="461" t="str">
        <f>_xll.BLUEMATRIX2("/servlet/excelData",P333,$B$1,$B333&amp;":"&amp;P$115&amp;":"&amp;$R$114)</f>
        <v>#</v>
      </c>
      <c r="AE333" s="461" t="str">
        <f>_xll.BLUEMATRIX2("/servlet/excelData",Q333,$B$1,$B333&amp;":"&amp;Q$115&amp;":"&amp;$R$114)</f>
        <v>#</v>
      </c>
    </row>
    <row r="334" spans="1:31" ht="12.95" customHeight="1">
      <c r="A334" s="342" t="s">
        <v>740</v>
      </c>
      <c r="B334" s="344" t="s">
        <v>741</v>
      </c>
      <c r="C334" s="424" t="s">
        <v>742</v>
      </c>
      <c r="D334" s="433"/>
      <c r="E334" s="433">
        <f t="shared" ref="E334:Q334" si="67">IF(ISERROR((E196-E217)/E142),"nm",(E196-E217)/E142)</f>
        <v>-0.19744659335103021</v>
      </c>
      <c r="F334" s="433">
        <f t="shared" si="67"/>
        <v>-0.16644758462044035</v>
      </c>
      <c r="G334" s="433">
        <f t="shared" si="67"/>
        <v>-0.16845525674462353</v>
      </c>
      <c r="H334" s="433">
        <f t="shared" si="67"/>
        <v>-0.18224585022565593</v>
      </c>
      <c r="I334" s="433">
        <f t="shared" si="67"/>
        <v>-0.18351477449455678</v>
      </c>
      <c r="J334" s="433">
        <f t="shared" si="67"/>
        <v>-0.18216168266152241</v>
      </c>
      <c r="K334" s="433">
        <f t="shared" si="67"/>
        <v>-0.17698532894517227</v>
      </c>
      <c r="L334" s="433">
        <f t="shared" si="67"/>
        <v>-0.17680017223463801</v>
      </c>
      <c r="M334" s="433">
        <f t="shared" si="67"/>
        <v>-0.17667677441343443</v>
      </c>
      <c r="N334" s="433">
        <f t="shared" si="67"/>
        <v>-0.17643280474120537</v>
      </c>
      <c r="O334" s="433">
        <f t="shared" si="67"/>
        <v>-0.17522392493881267</v>
      </c>
      <c r="P334" s="433">
        <f t="shared" si="67"/>
        <v>-0.17595452136355014</v>
      </c>
      <c r="Q334" s="433">
        <f t="shared" si="67"/>
        <v>-0.17572044404848849</v>
      </c>
      <c r="R334" s="430"/>
      <c r="S334" s="461" t="str">
        <f>_xll.BLUEMATRIX2("/servlet/excelData",E334,$B$1,$B334&amp;":"&amp;E$115&amp;":"&amp;$R$114)</f>
        <v>#</v>
      </c>
      <c r="T334" s="461" t="str">
        <f>_xll.BLUEMATRIX2("/servlet/excelData",F334,$B$1,$B334&amp;":"&amp;F$115&amp;":"&amp;$R$114)</f>
        <v>#</v>
      </c>
      <c r="U334" s="461" t="str">
        <f>_xll.BLUEMATRIX2("/servlet/excelData",G334,$B$1,$B334&amp;":"&amp;G$115&amp;":"&amp;$R$114)</f>
        <v>#</v>
      </c>
      <c r="V334" s="461" t="str">
        <f>_xll.BLUEMATRIX2("/servlet/excelData",H334,$B$1,$B334&amp;":"&amp;H$115&amp;":"&amp;$R$114)</f>
        <v>#</v>
      </c>
      <c r="W334" s="461" t="str">
        <f>_xll.BLUEMATRIX2("/servlet/excelData",I334,$B$1,$B334&amp;":"&amp;I$115&amp;":"&amp;$R$114)</f>
        <v>#</v>
      </c>
      <c r="X334" s="461" t="str">
        <f>_xll.BLUEMATRIX2("/servlet/excelData",J334,$B$1,$B334&amp;":"&amp;J$115&amp;":"&amp;$R$114)</f>
        <v>#</v>
      </c>
      <c r="Y334" s="461" t="str">
        <f>_xll.BLUEMATRIX2("/servlet/excelData",K334,$B$1,$B334&amp;":"&amp;K$115&amp;":"&amp;$R$114)</f>
        <v>#</v>
      </c>
      <c r="Z334" s="461" t="str">
        <f>_xll.BLUEMATRIX2("/servlet/excelData",L334,$B$1,$B334&amp;":"&amp;L$115&amp;":"&amp;$R$114)</f>
        <v>#</v>
      </c>
      <c r="AA334" s="461" t="str">
        <f>_xll.BLUEMATRIX2("/servlet/excelData",M334,$B$1,$B334&amp;":"&amp;M$115&amp;":"&amp;$R$114)</f>
        <v>#</v>
      </c>
      <c r="AB334" s="461" t="str">
        <f>_xll.BLUEMATRIX2("/servlet/excelData",N334,$B$1,$B334&amp;":"&amp;N$115&amp;":"&amp;$R$114)</f>
        <v>#</v>
      </c>
      <c r="AC334" s="461" t="str">
        <f>_xll.BLUEMATRIX2("/servlet/excelData",O334,$B$1,$B334&amp;":"&amp;O$115&amp;":"&amp;$R$114)</f>
        <v>#</v>
      </c>
      <c r="AD334" s="461" t="str">
        <f>_xll.BLUEMATRIX2("/servlet/excelData",P334,$B$1,$B334&amp;":"&amp;P$115&amp;":"&amp;$R$114)</f>
        <v>#</v>
      </c>
      <c r="AE334" s="461" t="str">
        <f>_xll.BLUEMATRIX2("/servlet/excelData",Q334,$B$1,$B334&amp;":"&amp;Q$115&amp;":"&amp;$R$114)</f>
        <v>#</v>
      </c>
    </row>
    <row r="335" spans="1:31" ht="12.95" customHeight="1">
      <c r="A335" s="342" t="s">
        <v>743</v>
      </c>
      <c r="B335" s="344" t="s">
        <v>744</v>
      </c>
      <c r="C335" s="424" t="s">
        <v>745</v>
      </c>
      <c r="D335" s="433"/>
      <c r="E335" s="433">
        <f t="shared" ref="E335:Q335" si="68">IF(ISERROR(-E154/E190),"nm",-E154/E190)</f>
        <v>0.81969089868345735</v>
      </c>
      <c r="F335" s="433">
        <f t="shared" si="68"/>
        <v>0.8851674641148326</v>
      </c>
      <c r="G335" s="433">
        <f t="shared" si="68"/>
        <v>1.1972826086956523</v>
      </c>
      <c r="H335" s="433">
        <f t="shared" si="68"/>
        <v>0.99071812408402549</v>
      </c>
      <c r="I335" s="433">
        <f t="shared" si="68"/>
        <v>0.99023709902370993</v>
      </c>
      <c r="J335" s="433">
        <f t="shared" si="68"/>
        <v>1.0667912190565141</v>
      </c>
      <c r="K335" s="433">
        <f t="shared" si="68"/>
        <v>0.99687639446675436</v>
      </c>
      <c r="L335" s="433">
        <f t="shared" si="68"/>
        <v>1.0156445559542624</v>
      </c>
      <c r="M335" s="433">
        <f t="shared" si="68"/>
        <v>0.97365449275861438</v>
      </c>
      <c r="N335" s="433">
        <f t="shared" si="68"/>
        <v>0.93978367748530867</v>
      </c>
      <c r="O335" s="433">
        <f t="shared" si="68"/>
        <v>0.91387465053756922</v>
      </c>
      <c r="P335" s="433">
        <f t="shared" si="68"/>
        <v>0.89385656169023875</v>
      </c>
      <c r="Q335" s="433">
        <f t="shared" si="68"/>
        <v>0.87815515503031882</v>
      </c>
      <c r="R335" s="430"/>
      <c r="S335" s="461" t="str">
        <f>_xll.BLUEMATRIX2("/servlet/excelData",E335,$B$1,$B335&amp;":"&amp;E$115&amp;":"&amp;$R$114)</f>
        <v>#</v>
      </c>
      <c r="T335" s="461" t="str">
        <f>_xll.BLUEMATRIX2("/servlet/excelData",F335,$B$1,$B335&amp;":"&amp;F$115&amp;":"&amp;$R$114)</f>
        <v>#</v>
      </c>
      <c r="U335" s="461" t="str">
        <f>_xll.BLUEMATRIX2("/servlet/excelData",G335,$B$1,$B335&amp;":"&amp;G$115&amp;":"&amp;$R$114)</f>
        <v>#</v>
      </c>
      <c r="V335" s="461" t="str">
        <f>_xll.BLUEMATRIX2("/servlet/excelData",H335,$B$1,$B335&amp;":"&amp;H$115&amp;":"&amp;$R$114)</f>
        <v>#</v>
      </c>
      <c r="W335" s="461" t="str">
        <f>_xll.BLUEMATRIX2("/servlet/excelData",I335,$B$1,$B335&amp;":"&amp;I$115&amp;":"&amp;$R$114)</f>
        <v>#</v>
      </c>
      <c r="X335" s="461" t="str">
        <f>_xll.BLUEMATRIX2("/servlet/excelData",J335,$B$1,$B335&amp;":"&amp;J$115&amp;":"&amp;$R$114)</f>
        <v>#</v>
      </c>
      <c r="Y335" s="461" t="str">
        <f>_xll.BLUEMATRIX2("/servlet/excelData",K335,$B$1,$B335&amp;":"&amp;K$115&amp;":"&amp;$R$114)</f>
        <v>#</v>
      </c>
      <c r="Z335" s="461" t="str">
        <f>_xll.BLUEMATRIX2("/servlet/excelData",L335,$B$1,$B335&amp;":"&amp;L$115&amp;":"&amp;$R$114)</f>
        <v>#</v>
      </c>
      <c r="AA335" s="461" t="str">
        <f>_xll.BLUEMATRIX2("/servlet/excelData",M335,$B$1,$B335&amp;":"&amp;M$115&amp;":"&amp;$R$114)</f>
        <v>#</v>
      </c>
      <c r="AB335" s="461" t="str">
        <f>_xll.BLUEMATRIX2("/servlet/excelData",N335,$B$1,$B335&amp;":"&amp;N$115&amp;":"&amp;$R$114)</f>
        <v>#</v>
      </c>
      <c r="AC335" s="461" t="str">
        <f>_xll.BLUEMATRIX2("/servlet/excelData",O335,$B$1,$B335&amp;":"&amp;O$115&amp;":"&amp;$R$114)</f>
        <v>#</v>
      </c>
      <c r="AD335" s="461" t="str">
        <f>_xll.BLUEMATRIX2("/servlet/excelData",P335,$B$1,$B335&amp;":"&amp;P$115&amp;":"&amp;$R$114)</f>
        <v>#</v>
      </c>
      <c r="AE335" s="461" t="str">
        <f>_xll.BLUEMATRIX2("/servlet/excelData",Q335,$B$1,$B335&amp;":"&amp;Q$115&amp;":"&amp;$R$114)</f>
        <v>#</v>
      </c>
    </row>
    <row r="336" spans="1:31" ht="12.95" customHeight="1">
      <c r="A336" s="342"/>
      <c r="B336" s="344" t="s">
        <v>746</v>
      </c>
      <c r="C336" s="424" t="s">
        <v>747</v>
      </c>
      <c r="D336" s="481"/>
      <c r="E336" s="481">
        <f t="shared" ref="E336:Q336" si="69">((E18*E285)+E232)/E149</f>
        <v>6.3956475318912904</v>
      </c>
      <c r="F336" s="481">
        <f t="shared" si="69"/>
        <v>6.8380179028132995</v>
      </c>
      <c r="G336" s="481">
        <f t="shared" si="69"/>
        <v>7.2943657538558382</v>
      </c>
      <c r="H336" s="481">
        <f t="shared" si="69"/>
        <v>5.4565338441890159</v>
      </c>
      <c r="I336" s="481">
        <f t="shared" si="69"/>
        <v>5.7835672921009964</v>
      </c>
      <c r="J336" s="481">
        <f t="shared" si="69"/>
        <v>5.8068397385177688</v>
      </c>
      <c r="K336" s="481">
        <f t="shared" si="69"/>
        <v>5.4048498052935052</v>
      </c>
      <c r="L336" s="481">
        <f t="shared" si="69"/>
        <v>5.0954260037350911</v>
      </c>
      <c r="M336" s="481">
        <f t="shared" si="69"/>
        <v>4.7679572483798722</v>
      </c>
      <c r="N336" s="481">
        <f t="shared" si="69"/>
        <v>4.4717160167683536</v>
      </c>
      <c r="O336" s="481">
        <f t="shared" si="69"/>
        <v>4.0208039525114412</v>
      </c>
      <c r="P336" s="481">
        <f t="shared" si="69"/>
        <v>3.5567253029806714</v>
      </c>
      <c r="Q336" s="481">
        <f t="shared" si="69"/>
        <v>3.0471091866252005</v>
      </c>
      <c r="R336" s="320"/>
      <c r="S336" s="461" t="str">
        <f>_xll.BLUEMATRIX2("/servlet/excelData",E336,$B$1,$B336&amp;":"&amp;E$115&amp;":"&amp;$R$114)</f>
        <v>#</v>
      </c>
      <c r="T336" s="461" t="str">
        <f>_xll.BLUEMATRIX2("/servlet/excelData",F336,$B$1,$B336&amp;":"&amp;F$115&amp;":"&amp;$R$114)</f>
        <v>#</v>
      </c>
      <c r="U336" s="461" t="str">
        <f>_xll.BLUEMATRIX2("/servlet/excelData",G336,$B$1,$B336&amp;":"&amp;G$115&amp;":"&amp;$R$114)</f>
        <v>#</v>
      </c>
      <c r="V336" s="461" t="str">
        <f>_xll.BLUEMATRIX2("/servlet/excelData",H336,$B$1,$B336&amp;":"&amp;H$115&amp;":"&amp;$R$114)</f>
        <v>#</v>
      </c>
      <c r="W336" s="461" t="str">
        <f>_xll.BLUEMATRIX2("/servlet/excelData",I336,$B$1,$B336&amp;":"&amp;I$115&amp;":"&amp;$R$114)</f>
        <v>#</v>
      </c>
      <c r="X336" s="461" t="str">
        <f>_xll.BLUEMATRIX2("/servlet/excelData",J336,$B$1,$B336&amp;":"&amp;J$115&amp;":"&amp;$R$114)</f>
        <v>#</v>
      </c>
      <c r="Y336" s="461" t="str">
        <f>_xll.BLUEMATRIX2("/servlet/excelData",K336,$B$1,$B336&amp;":"&amp;K$115&amp;":"&amp;$R$114)</f>
        <v>#</v>
      </c>
      <c r="Z336" s="461" t="str">
        <f>_xll.BLUEMATRIX2("/servlet/excelData",L336,$B$1,$B336&amp;":"&amp;L$115&amp;":"&amp;$R$114)</f>
        <v>#</v>
      </c>
      <c r="AA336" s="461" t="str">
        <f>_xll.BLUEMATRIX2("/servlet/excelData",M336,$B$1,$B336&amp;":"&amp;M$115&amp;":"&amp;$R$114)</f>
        <v>#</v>
      </c>
      <c r="AB336" s="461" t="str">
        <f>_xll.BLUEMATRIX2("/servlet/excelData",N336,$B$1,$B336&amp;":"&amp;N$115&amp;":"&amp;$R$114)</f>
        <v>#</v>
      </c>
      <c r="AC336" s="461" t="str">
        <f>_xll.BLUEMATRIX2("/servlet/excelData",O336,$B$1,$B336&amp;":"&amp;O$115&amp;":"&amp;$R$114)</f>
        <v>#</v>
      </c>
      <c r="AD336" s="461" t="str">
        <f>_xll.BLUEMATRIX2("/servlet/excelData",P336,$B$1,$B336&amp;":"&amp;P$115&amp;":"&amp;$R$114)</f>
        <v>#</v>
      </c>
      <c r="AE336" s="461" t="str">
        <f>_xll.BLUEMATRIX2("/servlet/excelData",Q336,$B$1,$B336&amp;":"&amp;Q$115&amp;":"&amp;$R$114)</f>
        <v>#</v>
      </c>
    </row>
    <row r="337" spans="1:31" ht="12.95" customHeight="1">
      <c r="A337" s="342"/>
      <c r="B337" s="344"/>
      <c r="C337" s="428"/>
      <c r="D337" s="429"/>
      <c r="E337" s="429"/>
      <c r="F337" s="429"/>
      <c r="G337" s="429"/>
      <c r="H337" s="429"/>
      <c r="I337" s="429"/>
      <c r="J337" s="429"/>
      <c r="K337" s="429"/>
      <c r="L337" s="429"/>
      <c r="M337" s="429"/>
      <c r="N337" s="429"/>
      <c r="O337" s="429"/>
      <c r="P337" s="429"/>
      <c r="Q337" s="429"/>
      <c r="R337" s="320"/>
      <c r="S337" s="458" t="str">
        <f>_xll.BLUEMATRIX2("/servlet/excelData",E337,$B$1,$B337&amp;":"&amp;E$115&amp;":"&amp;$R$114)</f>
        <v>#</v>
      </c>
      <c r="T337" s="458" t="str">
        <f>_xll.BLUEMATRIX2("/servlet/excelData",F337,$B$1,$B337&amp;":"&amp;F$115&amp;":"&amp;$R$114)</f>
        <v>#</v>
      </c>
      <c r="U337" s="458" t="str">
        <f>_xll.BLUEMATRIX2("/servlet/excelData",G337,$B$1,$B337&amp;":"&amp;G$115&amp;":"&amp;$R$114)</f>
        <v>#</v>
      </c>
      <c r="V337" s="458" t="str">
        <f>_xll.BLUEMATRIX2("/servlet/excelData",H337,$B$1,$B337&amp;":"&amp;H$115&amp;":"&amp;$R$114)</f>
        <v>#</v>
      </c>
      <c r="W337" s="458" t="str">
        <f>_xll.BLUEMATRIX2("/servlet/excelData",I337,$B$1,$B337&amp;":"&amp;I$115&amp;":"&amp;$R$114)</f>
        <v>#</v>
      </c>
      <c r="X337" s="458" t="str">
        <f>_xll.BLUEMATRIX2("/servlet/excelData",J337,$B$1,$B337&amp;":"&amp;J$115&amp;":"&amp;$R$114)</f>
        <v>#</v>
      </c>
      <c r="Y337" s="458" t="str">
        <f>_xll.BLUEMATRIX2("/servlet/excelData",K337,$B$1,$B337&amp;":"&amp;K$115&amp;":"&amp;$R$114)</f>
        <v>#</v>
      </c>
      <c r="Z337" s="458" t="str">
        <f>_xll.BLUEMATRIX2("/servlet/excelData",L337,$B$1,$B337&amp;":"&amp;L$115&amp;":"&amp;$R$114)</f>
        <v>#</v>
      </c>
      <c r="AA337" s="458" t="str">
        <f>_xll.BLUEMATRIX2("/servlet/excelData",M337,$B$1,$B337&amp;":"&amp;M$115&amp;":"&amp;$R$114)</f>
        <v>#</v>
      </c>
      <c r="AB337" s="458" t="str">
        <f>_xll.BLUEMATRIX2("/servlet/excelData",N337,$B$1,$B337&amp;":"&amp;N$115&amp;":"&amp;$R$114)</f>
        <v>#</v>
      </c>
      <c r="AC337" s="458" t="str">
        <f>_xll.BLUEMATRIX2("/servlet/excelData",O337,$B$1,$B337&amp;":"&amp;O$115&amp;":"&amp;$R$114)</f>
        <v>#</v>
      </c>
      <c r="AD337" s="458" t="str">
        <f>_xll.BLUEMATRIX2("/servlet/excelData",P337,$B$1,$B337&amp;":"&amp;P$115&amp;":"&amp;$R$114)</f>
        <v>#</v>
      </c>
      <c r="AE337" s="458" t="str">
        <f>_xll.BLUEMATRIX2("/servlet/excelData",Q337,$B$1,$B337&amp;":"&amp;Q$115&amp;":"&amp;$R$114)</f>
        <v>#</v>
      </c>
    </row>
    <row r="338" spans="1:31" ht="15" customHeight="1">
      <c r="A338" s="361"/>
      <c r="B338" s="344"/>
      <c r="C338" s="362" t="s">
        <v>748</v>
      </c>
      <c r="D338" s="368"/>
      <c r="E338" s="368" t="str">
        <f t="shared" ref="E338:Q338" si="70">+E114</f>
        <v>FY2022A</v>
      </c>
      <c r="F338" s="368" t="str">
        <f t="shared" si="70"/>
        <v>FY2023A</v>
      </c>
      <c r="G338" s="368" t="str">
        <f t="shared" si="70"/>
        <v>FY2024F</v>
      </c>
      <c r="H338" s="368" t="str">
        <f t="shared" si="70"/>
        <v>FY2025F</v>
      </c>
      <c r="I338" s="368" t="str">
        <f t="shared" si="70"/>
        <v>FY2026F</v>
      </c>
      <c r="J338" s="368" t="str">
        <f t="shared" si="70"/>
        <v>FY2027F</v>
      </c>
      <c r="K338" s="368" t="str">
        <f t="shared" si="70"/>
        <v>FY2028F</v>
      </c>
      <c r="L338" s="368" t="str">
        <f t="shared" si="70"/>
        <v>FY2029F</v>
      </c>
      <c r="M338" s="368" t="str">
        <f t="shared" si="70"/>
        <v>FY2030F</v>
      </c>
      <c r="N338" s="368" t="str">
        <f t="shared" si="70"/>
        <v>FY2031F</v>
      </c>
      <c r="O338" s="368" t="str">
        <f t="shared" si="70"/>
        <v>FY2032F</v>
      </c>
      <c r="P338" s="368" t="str">
        <f t="shared" si="70"/>
        <v>FY2033F</v>
      </c>
      <c r="Q338" s="368" t="str">
        <f t="shared" si="70"/>
        <v>FY2034F</v>
      </c>
      <c r="R338" s="326"/>
      <c r="S338" s="458"/>
      <c r="T338" s="458"/>
      <c r="U338" s="458"/>
      <c r="V338" s="458"/>
      <c r="W338" s="458"/>
      <c r="X338" s="458"/>
      <c r="Y338" s="458"/>
      <c r="Z338" s="458"/>
      <c r="AA338" s="458"/>
      <c r="AB338" s="458"/>
      <c r="AC338" s="458"/>
      <c r="AD338" s="458"/>
      <c r="AE338" s="458"/>
    </row>
    <row r="339" spans="1:31" ht="12.95" customHeight="1">
      <c r="A339" s="342" t="s">
        <v>749</v>
      </c>
      <c r="B339" s="344" t="s">
        <v>750</v>
      </c>
      <c r="C339" s="440" t="str">
        <f>D46&amp;" "&amp;$D$57</f>
        <v>Wagering &amp; Media Revenue</v>
      </c>
      <c r="D339" s="375"/>
      <c r="E339" s="375">
        <f>FY!C8</f>
        <v>2181.9</v>
      </c>
      <c r="F339" s="375">
        <f>FY!D8</f>
        <v>2230.8000000000002</v>
      </c>
      <c r="G339" s="375">
        <f>FY!E8</f>
        <v>2162.8000000000002</v>
      </c>
      <c r="H339" s="375">
        <f>FY!F8</f>
        <v>2438.8000000000002</v>
      </c>
      <c r="I339" s="375">
        <f>FY!G8</f>
        <v>2454.6999999999998</v>
      </c>
      <c r="J339" s="375">
        <f>FY!H8</f>
        <v>2535.5783164499999</v>
      </c>
      <c r="K339" s="375">
        <f>FY!I8</f>
        <v>2553.5792355250001</v>
      </c>
      <c r="L339" s="375">
        <f>FY!J8</f>
        <v>2575.9298172777799</v>
      </c>
      <c r="M339" s="375">
        <f>FY!K8</f>
        <v>2633.1222319379817</v>
      </c>
      <c r="N339" s="375">
        <f>FY!L8</f>
        <v>2671.861469582695</v>
      </c>
      <c r="O339" s="375">
        <f>FY!M8</f>
        <v>2712.1623086498839</v>
      </c>
      <c r="P339" s="375">
        <f>FY!N8</f>
        <v>2754.0676029392921</v>
      </c>
      <c r="Q339" s="375">
        <f>FY!O8</f>
        <v>2797.6215318070836</v>
      </c>
      <c r="R339" s="565" t="str">
        <f>_xll.BLUEMATRIX2("ExcelToolkitService",C339,$B$1,"[DivisionName:1]DIVISION")</f>
        <v>#</v>
      </c>
      <c r="S339" s="461" t="str">
        <f>_xll.BLUEMATRIX2("/servlet/excelData",E339,$B$1,$B339&amp;":"&amp;E$115&amp;":"&amp;$R$114)</f>
        <v>#</v>
      </c>
      <c r="T339" s="461" t="str">
        <f>_xll.BLUEMATRIX2("/servlet/excelData",F339,$B$1,$B339&amp;":"&amp;F$115&amp;":"&amp;$R$114)</f>
        <v>#</v>
      </c>
      <c r="U339" s="461" t="str">
        <f>_xll.BLUEMATRIX2("/servlet/excelData",G339,$B$1,$B339&amp;":"&amp;G$115&amp;":"&amp;$R$114)</f>
        <v>#</v>
      </c>
      <c r="V339" s="461" t="str">
        <f>_xll.BLUEMATRIX2("/servlet/excelData",H339,$B$1,$B339&amp;":"&amp;H$115&amp;":"&amp;$R$114)</f>
        <v>#</v>
      </c>
      <c r="W339" s="461" t="str">
        <f>_xll.BLUEMATRIX2("/servlet/excelData",I339,$B$1,$B339&amp;":"&amp;I$115&amp;":"&amp;$R$114)</f>
        <v>#</v>
      </c>
      <c r="X339" s="461" t="str">
        <f>_xll.BLUEMATRIX2("/servlet/excelData",J339,$B$1,$B339&amp;":"&amp;J$115&amp;":"&amp;$R$114)</f>
        <v>#</v>
      </c>
      <c r="Y339" s="461" t="str">
        <f>_xll.BLUEMATRIX2("/servlet/excelData",K339,$B$1,$B339&amp;":"&amp;K$115&amp;":"&amp;$R$114)</f>
        <v>#</v>
      </c>
      <c r="Z339" s="461" t="str">
        <f>_xll.BLUEMATRIX2("/servlet/excelData",L339,$B$1,$B339&amp;":"&amp;L$115&amp;":"&amp;$R$114)</f>
        <v>#</v>
      </c>
      <c r="AA339" s="461" t="str">
        <f>_xll.BLUEMATRIX2("/servlet/excelData",M339,$B$1,$B339&amp;":"&amp;M$115&amp;":"&amp;$R$114)</f>
        <v>#</v>
      </c>
      <c r="AB339" s="461" t="str">
        <f>_xll.BLUEMATRIX2("/servlet/excelData",N339,$B$1,$B339&amp;":"&amp;N$115&amp;":"&amp;$R$114)</f>
        <v>#</v>
      </c>
      <c r="AC339" s="461" t="str">
        <f>_xll.BLUEMATRIX2("/servlet/excelData",O339,$B$1,$B339&amp;":"&amp;O$115&amp;":"&amp;$R$114)</f>
        <v>#</v>
      </c>
      <c r="AD339" s="461" t="str">
        <f>_xll.BLUEMATRIX2("/servlet/excelData",P339,$B$1,$B339&amp;":"&amp;P$115&amp;":"&amp;$R$114)</f>
        <v>#</v>
      </c>
      <c r="AE339" s="461" t="str">
        <f>_xll.BLUEMATRIX2("/servlet/excelData",Q339,$B$1,$B339&amp;":"&amp;Q$115&amp;":"&amp;$R$114)</f>
        <v>#</v>
      </c>
    </row>
    <row r="340" spans="1:31" ht="12.95" customHeight="1">
      <c r="A340" s="342" t="s">
        <v>751</v>
      </c>
      <c r="B340" s="344" t="s">
        <v>752</v>
      </c>
      <c r="C340" s="440" t="str">
        <f>D47&amp;" "&amp;$D$57</f>
        <v>Integrity Services Revenue</v>
      </c>
      <c r="D340" s="375"/>
      <c r="E340" s="375">
        <f>FY!C9</f>
        <v>196.9</v>
      </c>
      <c r="F340" s="375">
        <f>FY!D9</f>
        <v>203.6</v>
      </c>
      <c r="G340" s="375">
        <f>FY!E9</f>
        <v>163.4</v>
      </c>
      <c r="H340" s="375">
        <f>FY!F9</f>
        <v>175.8</v>
      </c>
      <c r="I340" s="375">
        <f>FY!G9</f>
        <v>181.6</v>
      </c>
      <c r="J340" s="375">
        <f>FY!H9</f>
        <v>186.14</v>
      </c>
      <c r="K340" s="375">
        <f>FY!I9</f>
        <v>190.79349999999994</v>
      </c>
      <c r="L340" s="375">
        <f>FY!J9</f>
        <v>196.51730499999996</v>
      </c>
      <c r="M340" s="375">
        <f>FY!K9</f>
        <v>202.41282414999995</v>
      </c>
      <c r="N340" s="375">
        <f>FY!L9</f>
        <v>208.48520887449996</v>
      </c>
      <c r="O340" s="375">
        <f>FY!M9</f>
        <v>214.73976514073496</v>
      </c>
      <c r="P340" s="375">
        <f>FY!N9</f>
        <v>221.181958094957</v>
      </c>
      <c r="Q340" s="375">
        <f>FY!O9</f>
        <v>227.81741683780569</v>
      </c>
      <c r="R340" s="565" t="str">
        <f>_xll.BLUEMATRIX2("ExcelToolkitService",C340,$B$1,"[DivisionName:2]DIVISION")</f>
        <v>#</v>
      </c>
      <c r="S340" s="461" t="str">
        <f>_xll.BLUEMATRIX2("/servlet/excelData",E340,$B$1,$B340&amp;":"&amp;E$115&amp;":"&amp;$R$114)</f>
        <v>#</v>
      </c>
      <c r="T340" s="461" t="str">
        <f>_xll.BLUEMATRIX2("/servlet/excelData",F340,$B$1,$B340&amp;":"&amp;F$115&amp;":"&amp;$R$114)</f>
        <v>#</v>
      </c>
      <c r="U340" s="461" t="str">
        <f>_xll.BLUEMATRIX2("/servlet/excelData",G340,$B$1,$B340&amp;":"&amp;G$115&amp;":"&amp;$R$114)</f>
        <v>#</v>
      </c>
      <c r="V340" s="461" t="str">
        <f>_xll.BLUEMATRIX2("/servlet/excelData",H340,$B$1,$B340&amp;":"&amp;H$115&amp;":"&amp;$R$114)</f>
        <v>#</v>
      </c>
      <c r="W340" s="461" t="str">
        <f>_xll.BLUEMATRIX2("/servlet/excelData",I340,$B$1,$B340&amp;":"&amp;I$115&amp;":"&amp;$R$114)</f>
        <v>#</v>
      </c>
      <c r="X340" s="461" t="str">
        <f>_xll.BLUEMATRIX2("/servlet/excelData",J340,$B$1,$B340&amp;":"&amp;J$115&amp;":"&amp;$R$114)</f>
        <v>#</v>
      </c>
      <c r="Y340" s="461" t="str">
        <f>_xll.BLUEMATRIX2("/servlet/excelData",K340,$B$1,$B340&amp;":"&amp;K$115&amp;":"&amp;$R$114)</f>
        <v>#</v>
      </c>
      <c r="Z340" s="461" t="str">
        <f>_xll.BLUEMATRIX2("/servlet/excelData",L340,$B$1,$B340&amp;":"&amp;L$115&amp;":"&amp;$R$114)</f>
        <v>#</v>
      </c>
      <c r="AA340" s="461" t="str">
        <f>_xll.BLUEMATRIX2("/servlet/excelData",M340,$B$1,$B340&amp;":"&amp;M$115&amp;":"&amp;$R$114)</f>
        <v>#</v>
      </c>
      <c r="AB340" s="461" t="str">
        <f>_xll.BLUEMATRIX2("/servlet/excelData",N340,$B$1,$B340&amp;":"&amp;N$115&amp;":"&amp;$R$114)</f>
        <v>#</v>
      </c>
      <c r="AC340" s="461" t="str">
        <f>_xll.BLUEMATRIX2("/servlet/excelData",O340,$B$1,$B340&amp;":"&amp;O$115&amp;":"&amp;$R$114)</f>
        <v>#</v>
      </c>
      <c r="AD340" s="461" t="str">
        <f>_xll.BLUEMATRIX2("/servlet/excelData",P340,$B$1,$B340&amp;":"&amp;P$115&amp;":"&amp;$R$114)</f>
        <v>#</v>
      </c>
      <c r="AE340" s="461" t="str">
        <f>_xll.BLUEMATRIX2("/servlet/excelData",Q340,$B$1,$B340&amp;":"&amp;Q$115&amp;":"&amp;$R$114)</f>
        <v>#</v>
      </c>
    </row>
    <row r="341" spans="1:31" ht="12.95" customHeight="1">
      <c r="A341" s="342" t="s">
        <v>753</v>
      </c>
      <c r="B341" s="344" t="s">
        <v>754</v>
      </c>
      <c r="C341" s="422"/>
      <c r="D341" s="375"/>
      <c r="E341" s="375"/>
      <c r="F341" s="375"/>
      <c r="G341" s="375"/>
      <c r="H341" s="375"/>
      <c r="I341" s="375"/>
      <c r="J341" s="375"/>
      <c r="K341" s="375"/>
      <c r="L341" s="375"/>
      <c r="M341" s="375"/>
      <c r="N341" s="375"/>
      <c r="O341" s="375"/>
      <c r="P341" s="375"/>
      <c r="Q341" s="375"/>
      <c r="R341" s="369"/>
      <c r="S341" s="461" t="str">
        <f>_xll.BLUEMATRIX2("/servlet/excelData",E341,$B$1,$B341&amp;":"&amp;E$115&amp;":"&amp;$R$114)</f>
        <v>#</v>
      </c>
      <c r="T341" s="461" t="str">
        <f>_xll.BLUEMATRIX2("/servlet/excelData",F341,$B$1,$B341&amp;":"&amp;F$115&amp;":"&amp;$R$114)</f>
        <v>#</v>
      </c>
      <c r="U341" s="461" t="str">
        <f>_xll.BLUEMATRIX2("/servlet/excelData",G341,$B$1,$B341&amp;":"&amp;G$115&amp;":"&amp;$R$114)</f>
        <v>#</v>
      </c>
      <c r="V341" s="461" t="str">
        <f>_xll.BLUEMATRIX2("/servlet/excelData",H341,$B$1,$B341&amp;":"&amp;H$115&amp;":"&amp;$R$114)</f>
        <v>#</v>
      </c>
      <c r="W341" s="461" t="str">
        <f>_xll.BLUEMATRIX2("/servlet/excelData",I341,$B$1,$B341&amp;":"&amp;I$115&amp;":"&amp;$R$114)</f>
        <v>#</v>
      </c>
      <c r="X341" s="461" t="str">
        <f>_xll.BLUEMATRIX2("/servlet/excelData",J341,$B$1,$B341&amp;":"&amp;J$115&amp;":"&amp;$R$114)</f>
        <v>#</v>
      </c>
      <c r="Y341" s="461" t="str">
        <f>_xll.BLUEMATRIX2("/servlet/excelData",K341,$B$1,$B341&amp;":"&amp;K$115&amp;":"&amp;$R$114)</f>
        <v>#</v>
      </c>
      <c r="Z341" s="461" t="str">
        <f>_xll.BLUEMATRIX2("/servlet/excelData",L341,$B$1,$B341&amp;":"&amp;L$115&amp;":"&amp;$R$114)</f>
        <v>#</v>
      </c>
      <c r="AA341" s="461" t="str">
        <f>_xll.BLUEMATRIX2("/servlet/excelData",M341,$B$1,$B341&amp;":"&amp;M$115&amp;":"&amp;$R$114)</f>
        <v>#</v>
      </c>
      <c r="AB341" s="461" t="str">
        <f>_xll.BLUEMATRIX2("/servlet/excelData",N341,$B$1,$B341&amp;":"&amp;N$115&amp;":"&amp;$R$114)</f>
        <v>#</v>
      </c>
      <c r="AC341" s="461" t="str">
        <f>_xll.BLUEMATRIX2("/servlet/excelData",O341,$B$1,$B341&amp;":"&amp;O$115&amp;":"&amp;$R$114)</f>
        <v>#</v>
      </c>
      <c r="AD341" s="461" t="str">
        <f>_xll.BLUEMATRIX2("/servlet/excelData",P341,$B$1,$B341&amp;":"&amp;P$115&amp;":"&amp;$R$114)</f>
        <v>#</v>
      </c>
      <c r="AE341" s="461" t="str">
        <f>_xll.BLUEMATRIX2("/servlet/excelData",Q341,$B$1,$B341&amp;":"&amp;Q$115&amp;":"&amp;$R$114)</f>
        <v>#</v>
      </c>
    </row>
    <row r="342" spans="1:31" ht="12.95" customHeight="1">
      <c r="A342" s="342" t="s">
        <v>755</v>
      </c>
      <c r="B342" s="344" t="s">
        <v>756</v>
      </c>
      <c r="C342" s="422"/>
      <c r="D342" s="375"/>
      <c r="E342" s="375"/>
      <c r="F342" s="375"/>
      <c r="G342" s="375"/>
      <c r="H342" s="375"/>
      <c r="I342" s="375"/>
      <c r="J342" s="375"/>
      <c r="K342" s="375"/>
      <c r="L342" s="375"/>
      <c r="M342" s="375"/>
      <c r="N342" s="375"/>
      <c r="O342" s="375"/>
      <c r="P342" s="375"/>
      <c r="Q342" s="375"/>
      <c r="R342" s="369"/>
      <c r="S342" s="461" t="str">
        <f>_xll.BLUEMATRIX2("/servlet/excelData",E342,$B$1,$B342&amp;":"&amp;E$115&amp;":"&amp;$R$114)</f>
        <v>#</v>
      </c>
      <c r="T342" s="461" t="str">
        <f>_xll.BLUEMATRIX2("/servlet/excelData",F342,$B$1,$B342&amp;":"&amp;F$115&amp;":"&amp;$R$114)</f>
        <v>#</v>
      </c>
      <c r="U342" s="461" t="str">
        <f>_xll.BLUEMATRIX2("/servlet/excelData",G342,$B$1,$B342&amp;":"&amp;G$115&amp;":"&amp;$R$114)</f>
        <v>#</v>
      </c>
      <c r="V342" s="461" t="str">
        <f>_xll.BLUEMATRIX2("/servlet/excelData",H342,$B$1,$B342&amp;":"&amp;H$115&amp;":"&amp;$R$114)</f>
        <v>#</v>
      </c>
      <c r="W342" s="461" t="str">
        <f>_xll.BLUEMATRIX2("/servlet/excelData",I342,$B$1,$B342&amp;":"&amp;I$115&amp;":"&amp;$R$114)</f>
        <v>#</v>
      </c>
      <c r="X342" s="461" t="str">
        <f>_xll.BLUEMATRIX2("/servlet/excelData",J342,$B$1,$B342&amp;":"&amp;J$115&amp;":"&amp;$R$114)</f>
        <v>#</v>
      </c>
      <c r="Y342" s="461" t="str">
        <f>_xll.BLUEMATRIX2("/servlet/excelData",K342,$B$1,$B342&amp;":"&amp;K$115&amp;":"&amp;$R$114)</f>
        <v>#</v>
      </c>
      <c r="Z342" s="461" t="str">
        <f>_xll.BLUEMATRIX2("/servlet/excelData",L342,$B$1,$B342&amp;":"&amp;L$115&amp;":"&amp;$R$114)</f>
        <v>#</v>
      </c>
      <c r="AA342" s="461" t="str">
        <f>_xll.BLUEMATRIX2("/servlet/excelData",M342,$B$1,$B342&amp;":"&amp;M$115&amp;":"&amp;$R$114)</f>
        <v>#</v>
      </c>
      <c r="AB342" s="461" t="str">
        <f>_xll.BLUEMATRIX2("/servlet/excelData",N342,$B$1,$B342&amp;":"&amp;N$115&amp;":"&amp;$R$114)</f>
        <v>#</v>
      </c>
      <c r="AC342" s="461" t="str">
        <f>_xll.BLUEMATRIX2("/servlet/excelData",O342,$B$1,$B342&amp;":"&amp;O$115&amp;":"&amp;$R$114)</f>
        <v>#</v>
      </c>
      <c r="AD342" s="461" t="str">
        <f>_xll.BLUEMATRIX2("/servlet/excelData",P342,$B$1,$B342&amp;":"&amp;P$115&amp;":"&amp;$R$114)</f>
        <v>#</v>
      </c>
      <c r="AE342" s="461" t="str">
        <f>_xll.BLUEMATRIX2("/servlet/excelData",Q342,$B$1,$B342&amp;":"&amp;Q$115&amp;":"&amp;$R$114)</f>
        <v>#</v>
      </c>
    </row>
    <row r="343" spans="1:31" ht="12.95" customHeight="1">
      <c r="A343" s="342" t="s">
        <v>757</v>
      </c>
      <c r="B343" s="344" t="s">
        <v>758</v>
      </c>
      <c r="C343" s="422"/>
      <c r="D343" s="375"/>
      <c r="E343" s="375"/>
      <c r="F343" s="375"/>
      <c r="G343" s="375"/>
      <c r="H343" s="375"/>
      <c r="I343" s="375"/>
      <c r="J343" s="375"/>
      <c r="K343" s="375"/>
      <c r="L343" s="375"/>
      <c r="M343" s="375"/>
      <c r="N343" s="375"/>
      <c r="O343" s="375"/>
      <c r="P343" s="375"/>
      <c r="Q343" s="375"/>
      <c r="R343" s="369"/>
      <c r="S343" s="461" t="str">
        <f>_xll.BLUEMATRIX2("/servlet/excelData",E343,$B$1,$B343&amp;":"&amp;E$115&amp;":"&amp;$R$114)</f>
        <v>#</v>
      </c>
      <c r="T343" s="461" t="str">
        <f>_xll.BLUEMATRIX2("/servlet/excelData",F343,$B$1,$B343&amp;":"&amp;F$115&amp;":"&amp;$R$114)</f>
        <v>#</v>
      </c>
      <c r="U343" s="461" t="str">
        <f>_xll.BLUEMATRIX2("/servlet/excelData",G343,$B$1,$B343&amp;":"&amp;G$115&amp;":"&amp;$R$114)</f>
        <v>#</v>
      </c>
      <c r="V343" s="461" t="str">
        <f>_xll.BLUEMATRIX2("/servlet/excelData",H343,$B$1,$B343&amp;":"&amp;H$115&amp;":"&amp;$R$114)</f>
        <v>#</v>
      </c>
      <c r="W343" s="461" t="str">
        <f>_xll.BLUEMATRIX2("/servlet/excelData",I343,$B$1,$B343&amp;":"&amp;I$115&amp;":"&amp;$R$114)</f>
        <v>#</v>
      </c>
      <c r="X343" s="461" t="str">
        <f>_xll.BLUEMATRIX2("/servlet/excelData",J343,$B$1,$B343&amp;":"&amp;J$115&amp;":"&amp;$R$114)</f>
        <v>#</v>
      </c>
      <c r="Y343" s="461" t="str">
        <f>_xll.BLUEMATRIX2("/servlet/excelData",K343,$B$1,$B343&amp;":"&amp;K$115&amp;":"&amp;$R$114)</f>
        <v>#</v>
      </c>
      <c r="Z343" s="461" t="str">
        <f>_xll.BLUEMATRIX2("/servlet/excelData",L343,$B$1,$B343&amp;":"&amp;L$115&amp;":"&amp;$R$114)</f>
        <v>#</v>
      </c>
      <c r="AA343" s="461" t="str">
        <f>_xll.BLUEMATRIX2("/servlet/excelData",M343,$B$1,$B343&amp;":"&amp;M$115&amp;":"&amp;$R$114)</f>
        <v>#</v>
      </c>
      <c r="AB343" s="461" t="str">
        <f>_xll.BLUEMATRIX2("/servlet/excelData",N343,$B$1,$B343&amp;":"&amp;N$115&amp;":"&amp;$R$114)</f>
        <v>#</v>
      </c>
      <c r="AC343" s="461" t="str">
        <f>_xll.BLUEMATRIX2("/servlet/excelData",O343,$B$1,$B343&amp;":"&amp;O$115&amp;":"&amp;$R$114)</f>
        <v>#</v>
      </c>
      <c r="AD343" s="461" t="str">
        <f>_xll.BLUEMATRIX2("/servlet/excelData",P343,$B$1,$B343&amp;":"&amp;P$115&amp;":"&amp;$R$114)</f>
        <v>#</v>
      </c>
      <c r="AE343" s="461" t="str">
        <f>_xll.BLUEMATRIX2("/servlet/excelData",Q343,$B$1,$B343&amp;":"&amp;Q$115&amp;":"&amp;$R$114)</f>
        <v>#</v>
      </c>
    </row>
    <row r="344" spans="1:31" ht="12.95" customHeight="1">
      <c r="A344" s="342" t="s">
        <v>759</v>
      </c>
      <c r="B344" s="344" t="s">
        <v>760</v>
      </c>
      <c r="C344" s="422"/>
      <c r="D344" s="375"/>
      <c r="E344" s="375"/>
      <c r="F344" s="375"/>
      <c r="G344" s="375"/>
      <c r="H344" s="375"/>
      <c r="I344" s="375"/>
      <c r="J344" s="375"/>
      <c r="K344" s="375"/>
      <c r="L344" s="375"/>
      <c r="M344" s="375"/>
      <c r="N344" s="375"/>
      <c r="O344" s="375"/>
      <c r="P344" s="375"/>
      <c r="Q344" s="375"/>
      <c r="R344" s="369"/>
      <c r="S344" s="461" t="str">
        <f>_xll.BLUEMATRIX2("/servlet/excelData",E344,$B$1,$B344&amp;":"&amp;E$115&amp;":"&amp;$R$114)</f>
        <v>#</v>
      </c>
      <c r="T344" s="461" t="str">
        <f>_xll.BLUEMATRIX2("/servlet/excelData",F344,$B$1,$B344&amp;":"&amp;F$115&amp;":"&amp;$R$114)</f>
        <v>#</v>
      </c>
      <c r="U344" s="461" t="str">
        <f>_xll.BLUEMATRIX2("/servlet/excelData",G344,$B$1,$B344&amp;":"&amp;G$115&amp;":"&amp;$R$114)</f>
        <v>#</v>
      </c>
      <c r="V344" s="461" t="str">
        <f>_xll.BLUEMATRIX2("/servlet/excelData",H344,$B$1,$B344&amp;":"&amp;H$115&amp;":"&amp;$R$114)</f>
        <v>#</v>
      </c>
      <c r="W344" s="461" t="str">
        <f>_xll.BLUEMATRIX2("/servlet/excelData",I344,$B$1,$B344&amp;":"&amp;I$115&amp;":"&amp;$R$114)</f>
        <v>#</v>
      </c>
      <c r="X344" s="461" t="str">
        <f>_xll.BLUEMATRIX2("/servlet/excelData",J344,$B$1,$B344&amp;":"&amp;J$115&amp;":"&amp;$R$114)</f>
        <v>#</v>
      </c>
      <c r="Y344" s="461" t="str">
        <f>_xll.BLUEMATRIX2("/servlet/excelData",K344,$B$1,$B344&amp;":"&amp;K$115&amp;":"&amp;$R$114)</f>
        <v>#</v>
      </c>
      <c r="Z344" s="461" t="str">
        <f>_xll.BLUEMATRIX2("/servlet/excelData",L344,$B$1,$B344&amp;":"&amp;L$115&amp;":"&amp;$R$114)</f>
        <v>#</v>
      </c>
      <c r="AA344" s="461" t="str">
        <f>_xll.BLUEMATRIX2("/servlet/excelData",M344,$B$1,$B344&amp;":"&amp;M$115&amp;":"&amp;$R$114)</f>
        <v>#</v>
      </c>
      <c r="AB344" s="461" t="str">
        <f>_xll.BLUEMATRIX2("/servlet/excelData",N344,$B$1,$B344&amp;":"&amp;N$115&amp;":"&amp;$R$114)</f>
        <v>#</v>
      </c>
      <c r="AC344" s="461" t="str">
        <f>_xll.BLUEMATRIX2("/servlet/excelData",O344,$B$1,$B344&amp;":"&amp;O$115&amp;":"&amp;$R$114)</f>
        <v>#</v>
      </c>
      <c r="AD344" s="461" t="str">
        <f>_xll.BLUEMATRIX2("/servlet/excelData",P344,$B$1,$B344&amp;":"&amp;P$115&amp;":"&amp;$R$114)</f>
        <v>#</v>
      </c>
      <c r="AE344" s="461" t="str">
        <f>_xll.BLUEMATRIX2("/servlet/excelData",Q344,$B$1,$B344&amp;":"&amp;Q$115&amp;":"&amp;$R$114)</f>
        <v>#</v>
      </c>
    </row>
    <row r="345" spans="1:31" ht="12.95" customHeight="1">
      <c r="A345" s="342" t="s">
        <v>761</v>
      </c>
      <c r="B345" s="344" t="s">
        <v>762</v>
      </c>
      <c r="C345" s="422"/>
      <c r="D345" s="375"/>
      <c r="E345" s="375"/>
      <c r="F345" s="375"/>
      <c r="G345" s="375"/>
      <c r="H345" s="375"/>
      <c r="I345" s="375"/>
      <c r="J345" s="375"/>
      <c r="K345" s="375"/>
      <c r="L345" s="375"/>
      <c r="M345" s="375"/>
      <c r="N345" s="375"/>
      <c r="O345" s="375"/>
      <c r="P345" s="375"/>
      <c r="Q345" s="375"/>
      <c r="R345" s="369"/>
      <c r="S345" s="461" t="str">
        <f>_xll.BLUEMATRIX2("/servlet/excelData",E345,$B$1,$B345&amp;":"&amp;E$115&amp;":"&amp;$R$114)</f>
        <v>#</v>
      </c>
      <c r="T345" s="461" t="str">
        <f>_xll.BLUEMATRIX2("/servlet/excelData",F345,$B$1,$B345&amp;":"&amp;F$115&amp;":"&amp;$R$114)</f>
        <v>#</v>
      </c>
      <c r="U345" s="461" t="str">
        <f>_xll.BLUEMATRIX2("/servlet/excelData",G345,$B$1,$B345&amp;":"&amp;G$115&amp;":"&amp;$R$114)</f>
        <v>#</v>
      </c>
      <c r="V345" s="461" t="str">
        <f>_xll.BLUEMATRIX2("/servlet/excelData",H345,$B$1,$B345&amp;":"&amp;H$115&amp;":"&amp;$R$114)</f>
        <v>#</v>
      </c>
      <c r="W345" s="461" t="str">
        <f>_xll.BLUEMATRIX2("/servlet/excelData",I345,$B$1,$B345&amp;":"&amp;I$115&amp;":"&amp;$R$114)</f>
        <v>#</v>
      </c>
      <c r="X345" s="461" t="str">
        <f>_xll.BLUEMATRIX2("/servlet/excelData",J345,$B$1,$B345&amp;":"&amp;J$115&amp;":"&amp;$R$114)</f>
        <v>#</v>
      </c>
      <c r="Y345" s="461" t="str">
        <f>_xll.BLUEMATRIX2("/servlet/excelData",K345,$B$1,$B345&amp;":"&amp;K$115&amp;":"&amp;$R$114)</f>
        <v>#</v>
      </c>
      <c r="Z345" s="461" t="str">
        <f>_xll.BLUEMATRIX2("/servlet/excelData",L345,$B$1,$B345&amp;":"&amp;L$115&amp;":"&amp;$R$114)</f>
        <v>#</v>
      </c>
      <c r="AA345" s="461" t="str">
        <f>_xll.BLUEMATRIX2("/servlet/excelData",M345,$B$1,$B345&amp;":"&amp;M$115&amp;":"&amp;$R$114)</f>
        <v>#</v>
      </c>
      <c r="AB345" s="461" t="str">
        <f>_xll.BLUEMATRIX2("/servlet/excelData",N345,$B$1,$B345&amp;":"&amp;N$115&amp;":"&amp;$R$114)</f>
        <v>#</v>
      </c>
      <c r="AC345" s="461" t="str">
        <f>_xll.BLUEMATRIX2("/servlet/excelData",O345,$B$1,$B345&amp;":"&amp;O$115&amp;":"&amp;$R$114)</f>
        <v>#</v>
      </c>
      <c r="AD345" s="461" t="str">
        <f>_xll.BLUEMATRIX2("/servlet/excelData",P345,$B$1,$B345&amp;":"&amp;P$115&amp;":"&amp;$R$114)</f>
        <v>#</v>
      </c>
      <c r="AE345" s="461" t="str">
        <f>_xll.BLUEMATRIX2("/servlet/excelData",Q345,$B$1,$B345&amp;":"&amp;Q$115&amp;":"&amp;$R$114)</f>
        <v>#</v>
      </c>
    </row>
    <row r="346" spans="1:31" ht="12.95" customHeight="1">
      <c r="A346" s="342" t="s">
        <v>763</v>
      </c>
      <c r="B346" s="344" t="s">
        <v>764</v>
      </c>
      <c r="C346" s="422"/>
      <c r="D346" s="375"/>
      <c r="E346" s="375"/>
      <c r="F346" s="375"/>
      <c r="G346" s="375"/>
      <c r="H346" s="375"/>
      <c r="I346" s="375"/>
      <c r="J346" s="375"/>
      <c r="K346" s="375"/>
      <c r="L346" s="375"/>
      <c r="M346" s="375"/>
      <c r="N346" s="375"/>
      <c r="O346" s="375"/>
      <c r="P346" s="375"/>
      <c r="Q346" s="375"/>
      <c r="R346" s="369"/>
      <c r="S346" s="461" t="str">
        <f>_xll.BLUEMATRIX2("/servlet/excelData",E346,$B$1,$B346&amp;":"&amp;E$115&amp;":"&amp;$R$114)</f>
        <v>#</v>
      </c>
      <c r="T346" s="461" t="str">
        <f>_xll.BLUEMATRIX2("/servlet/excelData",F346,$B$1,$B346&amp;":"&amp;F$115&amp;":"&amp;$R$114)</f>
        <v>#</v>
      </c>
      <c r="U346" s="461" t="str">
        <f>_xll.BLUEMATRIX2("/servlet/excelData",G346,$B$1,$B346&amp;":"&amp;G$115&amp;":"&amp;$R$114)</f>
        <v>#</v>
      </c>
      <c r="V346" s="461" t="str">
        <f>_xll.BLUEMATRIX2("/servlet/excelData",H346,$B$1,$B346&amp;":"&amp;H$115&amp;":"&amp;$R$114)</f>
        <v>#</v>
      </c>
      <c r="W346" s="461" t="str">
        <f>_xll.BLUEMATRIX2("/servlet/excelData",I346,$B$1,$B346&amp;":"&amp;I$115&amp;":"&amp;$R$114)</f>
        <v>#</v>
      </c>
      <c r="X346" s="461" t="str">
        <f>_xll.BLUEMATRIX2("/servlet/excelData",J346,$B$1,$B346&amp;":"&amp;J$115&amp;":"&amp;$R$114)</f>
        <v>#</v>
      </c>
      <c r="Y346" s="461" t="str">
        <f>_xll.BLUEMATRIX2("/servlet/excelData",K346,$B$1,$B346&amp;":"&amp;K$115&amp;":"&amp;$R$114)</f>
        <v>#</v>
      </c>
      <c r="Z346" s="461" t="str">
        <f>_xll.BLUEMATRIX2("/servlet/excelData",L346,$B$1,$B346&amp;":"&amp;L$115&amp;":"&amp;$R$114)</f>
        <v>#</v>
      </c>
      <c r="AA346" s="461" t="str">
        <f>_xll.BLUEMATRIX2("/servlet/excelData",M346,$B$1,$B346&amp;":"&amp;M$115&amp;":"&amp;$R$114)</f>
        <v>#</v>
      </c>
      <c r="AB346" s="461" t="str">
        <f>_xll.BLUEMATRIX2("/servlet/excelData",N346,$B$1,$B346&amp;":"&amp;N$115&amp;":"&amp;$R$114)</f>
        <v>#</v>
      </c>
      <c r="AC346" s="461" t="str">
        <f>_xll.BLUEMATRIX2("/servlet/excelData",O346,$B$1,$B346&amp;":"&amp;O$115&amp;":"&amp;$R$114)</f>
        <v>#</v>
      </c>
      <c r="AD346" s="461" t="str">
        <f>_xll.BLUEMATRIX2("/servlet/excelData",P346,$B$1,$B346&amp;":"&amp;P$115&amp;":"&amp;$R$114)</f>
        <v>#</v>
      </c>
      <c r="AE346" s="461" t="str">
        <f>_xll.BLUEMATRIX2("/servlet/excelData",Q346,$B$1,$B346&amp;":"&amp;Q$115&amp;":"&amp;$R$114)</f>
        <v>#</v>
      </c>
    </row>
    <row r="347" spans="1:31" ht="12.95" customHeight="1">
      <c r="A347" s="342" t="s">
        <v>765</v>
      </c>
      <c r="B347" s="344" t="s">
        <v>766</v>
      </c>
      <c r="C347" s="422"/>
      <c r="D347" s="375"/>
      <c r="E347" s="375"/>
      <c r="F347" s="375"/>
      <c r="G347" s="375"/>
      <c r="H347" s="375"/>
      <c r="I347" s="375"/>
      <c r="J347" s="375"/>
      <c r="K347" s="375"/>
      <c r="L347" s="375"/>
      <c r="M347" s="375"/>
      <c r="N347" s="375"/>
      <c r="O347" s="375"/>
      <c r="P347" s="375"/>
      <c r="Q347" s="375"/>
      <c r="R347" s="369"/>
      <c r="S347" s="461" t="str">
        <f>_xll.BLUEMATRIX2("/servlet/excelData",E347,$B$1,$B347&amp;":"&amp;E$115&amp;":"&amp;$R$114)</f>
        <v>#</v>
      </c>
      <c r="T347" s="461" t="str">
        <f>_xll.BLUEMATRIX2("/servlet/excelData",F347,$B$1,$B347&amp;":"&amp;F$115&amp;":"&amp;$R$114)</f>
        <v>#</v>
      </c>
      <c r="U347" s="461" t="str">
        <f>_xll.BLUEMATRIX2("/servlet/excelData",G347,$B$1,$B347&amp;":"&amp;G$115&amp;":"&amp;$R$114)</f>
        <v>#</v>
      </c>
      <c r="V347" s="461" t="str">
        <f>_xll.BLUEMATRIX2("/servlet/excelData",H347,$B$1,$B347&amp;":"&amp;H$115&amp;":"&amp;$R$114)</f>
        <v>#</v>
      </c>
      <c r="W347" s="461" t="str">
        <f>_xll.BLUEMATRIX2("/servlet/excelData",I347,$B$1,$B347&amp;":"&amp;I$115&amp;":"&amp;$R$114)</f>
        <v>#</v>
      </c>
      <c r="X347" s="461" t="str">
        <f>_xll.BLUEMATRIX2("/servlet/excelData",J347,$B$1,$B347&amp;":"&amp;J$115&amp;":"&amp;$R$114)</f>
        <v>#</v>
      </c>
      <c r="Y347" s="461" t="str">
        <f>_xll.BLUEMATRIX2("/servlet/excelData",K347,$B$1,$B347&amp;":"&amp;K$115&amp;":"&amp;$R$114)</f>
        <v>#</v>
      </c>
      <c r="Z347" s="461" t="str">
        <f>_xll.BLUEMATRIX2("/servlet/excelData",L347,$B$1,$B347&amp;":"&amp;L$115&amp;":"&amp;$R$114)</f>
        <v>#</v>
      </c>
      <c r="AA347" s="461" t="str">
        <f>_xll.BLUEMATRIX2("/servlet/excelData",M347,$B$1,$B347&amp;":"&amp;M$115&amp;":"&amp;$R$114)</f>
        <v>#</v>
      </c>
      <c r="AB347" s="461" t="str">
        <f>_xll.BLUEMATRIX2("/servlet/excelData",N347,$B$1,$B347&amp;":"&amp;N$115&amp;":"&amp;$R$114)</f>
        <v>#</v>
      </c>
      <c r="AC347" s="461" t="str">
        <f>_xll.BLUEMATRIX2("/servlet/excelData",O347,$B$1,$B347&amp;":"&amp;O$115&amp;":"&amp;$R$114)</f>
        <v>#</v>
      </c>
      <c r="AD347" s="461" t="str">
        <f>_xll.BLUEMATRIX2("/servlet/excelData",P347,$B$1,$B347&amp;":"&amp;P$115&amp;":"&amp;$R$114)</f>
        <v>#</v>
      </c>
      <c r="AE347" s="461" t="str">
        <f>_xll.BLUEMATRIX2("/servlet/excelData",Q347,$B$1,$B347&amp;":"&amp;Q$115&amp;":"&amp;$R$114)</f>
        <v>#</v>
      </c>
    </row>
    <row r="348" spans="1:31" ht="12.95" customHeight="1">
      <c r="A348" s="342" t="s">
        <v>767</v>
      </c>
      <c r="B348" s="344" t="s">
        <v>768</v>
      </c>
      <c r="C348" s="422"/>
      <c r="D348" s="375"/>
      <c r="E348" s="375"/>
      <c r="F348" s="375"/>
      <c r="G348" s="375"/>
      <c r="H348" s="375"/>
      <c r="I348" s="375"/>
      <c r="J348" s="375"/>
      <c r="K348" s="375"/>
      <c r="L348" s="375"/>
      <c r="M348" s="375"/>
      <c r="N348" s="375"/>
      <c r="O348" s="375"/>
      <c r="P348" s="375"/>
      <c r="Q348" s="375"/>
      <c r="R348" s="369"/>
      <c r="S348" s="461" t="str">
        <f>_xll.BLUEMATRIX2("/servlet/excelData",E348,$B$1,$B348&amp;":"&amp;E$115&amp;":"&amp;$R$114)</f>
        <v>#</v>
      </c>
      <c r="T348" s="461" t="str">
        <f>_xll.BLUEMATRIX2("/servlet/excelData",F348,$B$1,$B348&amp;":"&amp;F$115&amp;":"&amp;$R$114)</f>
        <v>#</v>
      </c>
      <c r="U348" s="461" t="str">
        <f>_xll.BLUEMATRIX2("/servlet/excelData",G348,$B$1,$B348&amp;":"&amp;G$115&amp;":"&amp;$R$114)</f>
        <v>#</v>
      </c>
      <c r="V348" s="461" t="str">
        <f>_xll.BLUEMATRIX2("/servlet/excelData",H348,$B$1,$B348&amp;":"&amp;H$115&amp;":"&amp;$R$114)</f>
        <v>#</v>
      </c>
      <c r="W348" s="461" t="str">
        <f>_xll.BLUEMATRIX2("/servlet/excelData",I348,$B$1,$B348&amp;":"&amp;I$115&amp;":"&amp;$R$114)</f>
        <v>#</v>
      </c>
      <c r="X348" s="461" t="str">
        <f>_xll.BLUEMATRIX2("/servlet/excelData",J348,$B$1,$B348&amp;":"&amp;J$115&amp;":"&amp;$R$114)</f>
        <v>#</v>
      </c>
      <c r="Y348" s="461" t="str">
        <f>_xll.BLUEMATRIX2("/servlet/excelData",K348,$B$1,$B348&amp;":"&amp;K$115&amp;":"&amp;$R$114)</f>
        <v>#</v>
      </c>
      <c r="Z348" s="461" t="str">
        <f>_xll.BLUEMATRIX2("/servlet/excelData",L348,$B$1,$B348&amp;":"&amp;L$115&amp;":"&amp;$R$114)</f>
        <v>#</v>
      </c>
      <c r="AA348" s="461" t="str">
        <f>_xll.BLUEMATRIX2("/servlet/excelData",M348,$B$1,$B348&amp;":"&amp;M$115&amp;":"&amp;$R$114)</f>
        <v>#</v>
      </c>
      <c r="AB348" s="461" t="str">
        <f>_xll.BLUEMATRIX2("/servlet/excelData",N348,$B$1,$B348&amp;":"&amp;N$115&amp;":"&amp;$R$114)</f>
        <v>#</v>
      </c>
      <c r="AC348" s="461" t="str">
        <f>_xll.BLUEMATRIX2("/servlet/excelData",O348,$B$1,$B348&amp;":"&amp;O$115&amp;":"&amp;$R$114)</f>
        <v>#</v>
      </c>
      <c r="AD348" s="461" t="str">
        <f>_xll.BLUEMATRIX2("/servlet/excelData",P348,$B$1,$B348&amp;":"&amp;P$115&amp;":"&amp;$R$114)</f>
        <v>#</v>
      </c>
      <c r="AE348" s="461" t="str">
        <f>_xll.BLUEMATRIX2("/servlet/excelData",Q348,$B$1,$B348&amp;":"&amp;Q$115&amp;":"&amp;$R$114)</f>
        <v>#</v>
      </c>
    </row>
    <row r="349" spans="1:31" ht="12.95" customHeight="1">
      <c r="A349" s="342"/>
      <c r="B349" s="344"/>
      <c r="C349" s="423"/>
      <c r="D349" s="439"/>
      <c r="E349" s="439"/>
      <c r="F349" s="439"/>
      <c r="G349" s="439"/>
      <c r="H349" s="439"/>
      <c r="I349" s="439"/>
      <c r="J349" s="439"/>
      <c r="K349" s="439"/>
      <c r="L349" s="439"/>
      <c r="M349" s="439"/>
      <c r="N349" s="439"/>
      <c r="O349" s="439"/>
      <c r="P349" s="439"/>
      <c r="Q349" s="439"/>
      <c r="R349" s="369"/>
      <c r="S349" s="461"/>
      <c r="T349" s="461"/>
      <c r="U349" s="461"/>
      <c r="V349" s="461"/>
      <c r="W349" s="461"/>
      <c r="X349" s="461"/>
      <c r="Y349" s="461"/>
      <c r="Z349" s="461"/>
      <c r="AA349" s="461"/>
      <c r="AB349" s="461"/>
      <c r="AC349" s="461"/>
      <c r="AD349" s="461"/>
      <c r="AE349" s="461"/>
    </row>
    <row r="350" spans="1:31" ht="12.95" customHeight="1">
      <c r="A350" s="342" t="s">
        <v>769</v>
      </c>
      <c r="B350" s="344" t="s">
        <v>770</v>
      </c>
      <c r="C350" s="440" t="str">
        <f>D46&amp;" "&amp;$D$59</f>
        <v>Wagering &amp; Media EBITDA</v>
      </c>
      <c r="D350" s="375"/>
      <c r="E350" s="375">
        <f>FY!C30</f>
        <v>287</v>
      </c>
      <c r="F350" s="375">
        <f>FY!D30</f>
        <v>308</v>
      </c>
      <c r="G350" s="375">
        <f>FY!E30</f>
        <v>251.2</v>
      </c>
      <c r="H350" s="375">
        <f>FY!F30</f>
        <v>329.1</v>
      </c>
      <c r="I350" s="375">
        <f>FY!G30</f>
        <v>361.8</v>
      </c>
      <c r="J350" s="375">
        <f>FY!H30</f>
        <v>390.48893499775005</v>
      </c>
      <c r="K350" s="375">
        <f>FY!I30</f>
        <v>379.2673630323751</v>
      </c>
      <c r="L350" s="375">
        <f>FY!J30</f>
        <v>369.21394977472295</v>
      </c>
      <c r="M350" s="375">
        <f>FY!K30</f>
        <v>372.35660372400287</v>
      </c>
      <c r="N350" s="375">
        <f>FY!L30</f>
        <v>374.30406903583457</v>
      </c>
      <c r="O350" s="375">
        <f>FY!M30</f>
        <v>376.60127623838764</v>
      </c>
      <c r="P350" s="375">
        <f>FY!N30</f>
        <v>379.25981076913735</v>
      </c>
      <c r="Q350" s="375">
        <f>FY!O30</f>
        <v>382.29167482407729</v>
      </c>
      <c r="R350" s="565" t="str">
        <f>_xll.BLUEMATRIX2("ExcelToolkitService",C350,$B$1,"[DivisionName:11]DIVISION")</f>
        <v>#</v>
      </c>
      <c r="S350" s="461" t="str">
        <f>_xll.BLUEMATRIX2("/servlet/excelData",E350,$B$1,$B350&amp;":"&amp;E$115&amp;":"&amp;$R$114)</f>
        <v>#</v>
      </c>
      <c r="T350" s="461" t="str">
        <f>_xll.BLUEMATRIX2("/servlet/excelData",F350,$B$1,$B350&amp;":"&amp;F$115&amp;":"&amp;$R$114)</f>
        <v>#</v>
      </c>
      <c r="U350" s="461" t="str">
        <f>_xll.BLUEMATRIX2("/servlet/excelData",G350,$B$1,$B350&amp;":"&amp;G$115&amp;":"&amp;$R$114)</f>
        <v>#</v>
      </c>
      <c r="V350" s="461" t="str">
        <f>_xll.BLUEMATRIX2("/servlet/excelData",H350,$B$1,$B350&amp;":"&amp;H$115&amp;":"&amp;$R$114)</f>
        <v>#</v>
      </c>
      <c r="W350" s="461" t="str">
        <f>_xll.BLUEMATRIX2("/servlet/excelData",I350,$B$1,$B350&amp;":"&amp;I$115&amp;":"&amp;$R$114)</f>
        <v>#</v>
      </c>
      <c r="X350" s="461" t="str">
        <f>_xll.BLUEMATRIX2("/servlet/excelData",J350,$B$1,$B350&amp;":"&amp;J$115&amp;":"&amp;$R$114)</f>
        <v>#</v>
      </c>
      <c r="Y350" s="461" t="str">
        <f>_xll.BLUEMATRIX2("/servlet/excelData",K350,$B$1,$B350&amp;":"&amp;K$115&amp;":"&amp;$R$114)</f>
        <v>#</v>
      </c>
      <c r="Z350" s="461" t="str">
        <f>_xll.BLUEMATRIX2("/servlet/excelData",L350,$B$1,$B350&amp;":"&amp;L$115&amp;":"&amp;$R$114)</f>
        <v>#</v>
      </c>
      <c r="AA350" s="461" t="str">
        <f>_xll.BLUEMATRIX2("/servlet/excelData",M350,$B$1,$B350&amp;":"&amp;M$115&amp;":"&amp;$R$114)</f>
        <v>#</v>
      </c>
      <c r="AB350" s="461" t="str">
        <f>_xll.BLUEMATRIX2("/servlet/excelData",N350,$B$1,$B350&amp;":"&amp;N$115&amp;":"&amp;$R$114)</f>
        <v>#</v>
      </c>
      <c r="AC350" s="461" t="str">
        <f>_xll.BLUEMATRIX2("/servlet/excelData",O350,$B$1,$B350&amp;":"&amp;O$115&amp;":"&amp;$R$114)</f>
        <v>#</v>
      </c>
      <c r="AD350" s="461" t="str">
        <f>_xll.BLUEMATRIX2("/servlet/excelData",P350,$B$1,$B350&amp;":"&amp;P$115&amp;":"&amp;$R$114)</f>
        <v>#</v>
      </c>
      <c r="AE350" s="461" t="str">
        <f>_xll.BLUEMATRIX2("/servlet/excelData",Q350,$B$1,$B350&amp;":"&amp;Q$115&amp;":"&amp;$R$114)</f>
        <v>#</v>
      </c>
    </row>
    <row r="351" spans="1:31" ht="12.95" customHeight="1">
      <c r="A351" s="342" t="s">
        <v>771</v>
      </c>
      <c r="B351" s="344" t="s">
        <v>772</v>
      </c>
      <c r="C351" s="440" t="str">
        <f>D47&amp;" "&amp;$D$59</f>
        <v>Integrity Services EBITDA</v>
      </c>
      <c r="D351" s="375"/>
      <c r="E351" s="375">
        <f>FY!C31</f>
        <v>73.2</v>
      </c>
      <c r="F351" s="375">
        <f>FY!D31</f>
        <v>83.1</v>
      </c>
      <c r="G351" s="375">
        <f>FY!E31</f>
        <v>59</v>
      </c>
      <c r="H351" s="375">
        <f>FY!F31</f>
        <v>62.4</v>
      </c>
      <c r="I351" s="375">
        <f>FY!G31</f>
        <v>69.900000000000006</v>
      </c>
      <c r="J351" s="375">
        <f>FY!H31</f>
        <v>70.731129477196873</v>
      </c>
      <c r="K351" s="375">
        <f>FY!I31</f>
        <v>72.499407714126775</v>
      </c>
      <c r="L351" s="375">
        <f>FY!J31</f>
        <v>74.674389945550587</v>
      </c>
      <c r="M351" s="375">
        <f>FY!K31</f>
        <v>76.914621643917101</v>
      </c>
      <c r="N351" s="375">
        <f>FY!L31</f>
        <v>79.222060293234605</v>
      </c>
      <c r="O351" s="375">
        <f>FY!M31</f>
        <v>81.598722102031658</v>
      </c>
      <c r="P351" s="375">
        <f>FY!N31</f>
        <v>84.04668376509261</v>
      </c>
      <c r="Q351" s="375">
        <f>FY!O31</f>
        <v>86.568084278045376</v>
      </c>
      <c r="R351" s="565" t="str">
        <f>_xll.BLUEMATRIX2("ExcelToolkitService",C351,$B$1,"[DivisionName:12]DIVISION")</f>
        <v>#</v>
      </c>
      <c r="S351" s="461" t="str">
        <f>_xll.BLUEMATRIX2("/servlet/excelData",E351,$B$1,$B351&amp;":"&amp;E$115&amp;":"&amp;$R$114)</f>
        <v>#</v>
      </c>
      <c r="T351" s="461" t="str">
        <f>_xll.BLUEMATRIX2("/servlet/excelData",F351,$B$1,$B351&amp;":"&amp;F$115&amp;":"&amp;$R$114)</f>
        <v>#</v>
      </c>
      <c r="U351" s="461" t="str">
        <f>_xll.BLUEMATRIX2("/servlet/excelData",G351,$B$1,$B351&amp;":"&amp;G$115&amp;":"&amp;$R$114)</f>
        <v>#</v>
      </c>
      <c r="V351" s="461" t="str">
        <f>_xll.BLUEMATRIX2("/servlet/excelData",H351,$B$1,$B351&amp;":"&amp;H$115&amp;":"&amp;$R$114)</f>
        <v>#</v>
      </c>
      <c r="W351" s="461" t="str">
        <f>_xll.BLUEMATRIX2("/servlet/excelData",I351,$B$1,$B351&amp;":"&amp;I$115&amp;":"&amp;$R$114)</f>
        <v>#</v>
      </c>
      <c r="X351" s="461" t="str">
        <f>_xll.BLUEMATRIX2("/servlet/excelData",J351,$B$1,$B351&amp;":"&amp;J$115&amp;":"&amp;$R$114)</f>
        <v>#</v>
      </c>
      <c r="Y351" s="461" t="str">
        <f>_xll.BLUEMATRIX2("/servlet/excelData",K351,$B$1,$B351&amp;":"&amp;K$115&amp;":"&amp;$R$114)</f>
        <v>#</v>
      </c>
      <c r="Z351" s="461" t="str">
        <f>_xll.BLUEMATRIX2("/servlet/excelData",L351,$B$1,$B351&amp;":"&amp;L$115&amp;":"&amp;$R$114)</f>
        <v>#</v>
      </c>
      <c r="AA351" s="461" t="str">
        <f>_xll.BLUEMATRIX2("/servlet/excelData",M351,$B$1,$B351&amp;":"&amp;M$115&amp;":"&amp;$R$114)</f>
        <v>#</v>
      </c>
      <c r="AB351" s="461" t="str">
        <f>_xll.BLUEMATRIX2("/servlet/excelData",N351,$B$1,$B351&amp;":"&amp;N$115&amp;":"&amp;$R$114)</f>
        <v>#</v>
      </c>
      <c r="AC351" s="461" t="str">
        <f>_xll.BLUEMATRIX2("/servlet/excelData",O351,$B$1,$B351&amp;":"&amp;O$115&amp;":"&amp;$R$114)</f>
        <v>#</v>
      </c>
      <c r="AD351" s="461" t="str">
        <f>_xll.BLUEMATRIX2("/servlet/excelData",P351,$B$1,$B351&amp;":"&amp;P$115&amp;":"&amp;$R$114)</f>
        <v>#</v>
      </c>
      <c r="AE351" s="461" t="str">
        <f>_xll.BLUEMATRIX2("/servlet/excelData",Q351,$B$1,$B351&amp;":"&amp;Q$115&amp;":"&amp;$R$114)</f>
        <v>#</v>
      </c>
    </row>
    <row r="352" spans="1:31" ht="12.95" customHeight="1">
      <c r="A352" s="342" t="s">
        <v>773</v>
      </c>
      <c r="B352" s="344" t="s">
        <v>774</v>
      </c>
      <c r="C352" s="440"/>
      <c r="D352" s="375"/>
      <c r="E352" s="375"/>
      <c r="F352" s="375"/>
      <c r="G352" s="375"/>
      <c r="H352" s="375"/>
      <c r="I352" s="375"/>
      <c r="J352" s="375"/>
      <c r="K352" s="375"/>
      <c r="L352" s="375"/>
      <c r="M352" s="375"/>
      <c r="N352" s="375"/>
      <c r="O352" s="375"/>
      <c r="P352" s="375"/>
      <c r="Q352" s="375"/>
      <c r="R352" s="369"/>
      <c r="S352" s="461" t="str">
        <f>_xll.BLUEMATRIX2("/servlet/excelData",E352,$B$1,$B352&amp;":"&amp;E$115&amp;":"&amp;$R$114)</f>
        <v>#</v>
      </c>
      <c r="T352" s="461" t="str">
        <f>_xll.BLUEMATRIX2("/servlet/excelData",F352,$B$1,$B352&amp;":"&amp;F$115&amp;":"&amp;$R$114)</f>
        <v>#</v>
      </c>
      <c r="U352" s="461" t="str">
        <f>_xll.BLUEMATRIX2("/servlet/excelData",G352,$B$1,$B352&amp;":"&amp;G$115&amp;":"&amp;$R$114)</f>
        <v>#</v>
      </c>
      <c r="V352" s="461" t="str">
        <f>_xll.BLUEMATRIX2("/servlet/excelData",H352,$B$1,$B352&amp;":"&amp;H$115&amp;":"&amp;$R$114)</f>
        <v>#</v>
      </c>
      <c r="W352" s="461" t="str">
        <f>_xll.BLUEMATRIX2("/servlet/excelData",I352,$B$1,$B352&amp;":"&amp;I$115&amp;":"&amp;$R$114)</f>
        <v>#</v>
      </c>
      <c r="X352" s="461" t="str">
        <f>_xll.BLUEMATRIX2("/servlet/excelData",J352,$B$1,$B352&amp;":"&amp;J$115&amp;":"&amp;$R$114)</f>
        <v>#</v>
      </c>
      <c r="Y352" s="461" t="str">
        <f>_xll.BLUEMATRIX2("/servlet/excelData",K352,$B$1,$B352&amp;":"&amp;K$115&amp;":"&amp;$R$114)</f>
        <v>#</v>
      </c>
      <c r="Z352" s="461" t="str">
        <f>_xll.BLUEMATRIX2("/servlet/excelData",L352,$B$1,$B352&amp;":"&amp;L$115&amp;":"&amp;$R$114)</f>
        <v>#</v>
      </c>
      <c r="AA352" s="461" t="str">
        <f>_xll.BLUEMATRIX2("/servlet/excelData",M352,$B$1,$B352&amp;":"&amp;M$115&amp;":"&amp;$R$114)</f>
        <v>#</v>
      </c>
      <c r="AB352" s="461" t="str">
        <f>_xll.BLUEMATRIX2("/servlet/excelData",N352,$B$1,$B352&amp;":"&amp;N$115&amp;":"&amp;$R$114)</f>
        <v>#</v>
      </c>
      <c r="AC352" s="461" t="str">
        <f>_xll.BLUEMATRIX2("/servlet/excelData",O352,$B$1,$B352&amp;":"&amp;O$115&amp;":"&amp;$R$114)</f>
        <v>#</v>
      </c>
      <c r="AD352" s="461" t="str">
        <f>_xll.BLUEMATRIX2("/servlet/excelData",P352,$B$1,$B352&amp;":"&amp;P$115&amp;":"&amp;$R$114)</f>
        <v>#</v>
      </c>
      <c r="AE352" s="461" t="str">
        <f>_xll.BLUEMATRIX2("/servlet/excelData",Q352,$B$1,$B352&amp;":"&amp;Q$115&amp;":"&amp;$R$114)</f>
        <v>#</v>
      </c>
    </row>
    <row r="353" spans="1:31" ht="12.95" customHeight="1">
      <c r="A353" s="342" t="s">
        <v>775</v>
      </c>
      <c r="B353" s="344" t="s">
        <v>776</v>
      </c>
      <c r="C353" s="440"/>
      <c r="D353" s="375"/>
      <c r="E353" s="375"/>
      <c r="F353" s="375"/>
      <c r="G353" s="375"/>
      <c r="H353" s="375"/>
      <c r="I353" s="375"/>
      <c r="J353" s="375"/>
      <c r="K353" s="375"/>
      <c r="L353" s="375"/>
      <c r="M353" s="375"/>
      <c r="N353" s="375"/>
      <c r="O353" s="375"/>
      <c r="P353" s="375"/>
      <c r="Q353" s="375"/>
      <c r="R353" s="369"/>
      <c r="S353" s="461" t="str">
        <f>_xll.BLUEMATRIX2("/servlet/excelData",E353,$B$1,$B353&amp;":"&amp;E$115&amp;":"&amp;$R$114)</f>
        <v>#</v>
      </c>
      <c r="T353" s="461" t="str">
        <f>_xll.BLUEMATRIX2("/servlet/excelData",F353,$B$1,$B353&amp;":"&amp;F$115&amp;":"&amp;$R$114)</f>
        <v>#</v>
      </c>
      <c r="U353" s="461" t="str">
        <f>_xll.BLUEMATRIX2("/servlet/excelData",G353,$B$1,$B353&amp;":"&amp;G$115&amp;":"&amp;$R$114)</f>
        <v>#</v>
      </c>
      <c r="V353" s="461" t="str">
        <f>_xll.BLUEMATRIX2("/servlet/excelData",H353,$B$1,$B353&amp;":"&amp;H$115&amp;":"&amp;$R$114)</f>
        <v>#</v>
      </c>
      <c r="W353" s="461" t="str">
        <f>_xll.BLUEMATRIX2("/servlet/excelData",I353,$B$1,$B353&amp;":"&amp;I$115&amp;":"&amp;$R$114)</f>
        <v>#</v>
      </c>
      <c r="X353" s="461" t="str">
        <f>_xll.BLUEMATRIX2("/servlet/excelData",J353,$B$1,$B353&amp;":"&amp;J$115&amp;":"&amp;$R$114)</f>
        <v>#</v>
      </c>
      <c r="Y353" s="461" t="str">
        <f>_xll.BLUEMATRIX2("/servlet/excelData",K353,$B$1,$B353&amp;":"&amp;K$115&amp;":"&amp;$R$114)</f>
        <v>#</v>
      </c>
      <c r="Z353" s="461" t="str">
        <f>_xll.BLUEMATRIX2("/servlet/excelData",L353,$B$1,$B353&amp;":"&amp;L$115&amp;":"&amp;$R$114)</f>
        <v>#</v>
      </c>
      <c r="AA353" s="461" t="str">
        <f>_xll.BLUEMATRIX2("/servlet/excelData",M353,$B$1,$B353&amp;":"&amp;M$115&amp;":"&amp;$R$114)</f>
        <v>#</v>
      </c>
      <c r="AB353" s="461" t="str">
        <f>_xll.BLUEMATRIX2("/servlet/excelData",N353,$B$1,$B353&amp;":"&amp;N$115&amp;":"&amp;$R$114)</f>
        <v>#</v>
      </c>
      <c r="AC353" s="461" t="str">
        <f>_xll.BLUEMATRIX2("/servlet/excelData",O353,$B$1,$B353&amp;":"&amp;O$115&amp;":"&amp;$R$114)</f>
        <v>#</v>
      </c>
      <c r="AD353" s="461" t="str">
        <f>_xll.BLUEMATRIX2("/servlet/excelData",P353,$B$1,$B353&amp;":"&amp;P$115&amp;":"&amp;$R$114)</f>
        <v>#</v>
      </c>
      <c r="AE353" s="461" t="str">
        <f>_xll.BLUEMATRIX2("/servlet/excelData",Q353,$B$1,$B353&amp;":"&amp;Q$115&amp;":"&amp;$R$114)</f>
        <v>#</v>
      </c>
    </row>
    <row r="354" spans="1:31" ht="12.95" customHeight="1">
      <c r="A354" s="342" t="s">
        <v>777</v>
      </c>
      <c r="B354" s="344" t="s">
        <v>778</v>
      </c>
      <c r="C354" s="440"/>
      <c r="D354" s="375"/>
      <c r="E354" s="375"/>
      <c r="F354" s="375"/>
      <c r="G354" s="375"/>
      <c r="H354" s="375"/>
      <c r="I354" s="375"/>
      <c r="J354" s="375"/>
      <c r="K354" s="375"/>
      <c r="L354" s="375"/>
      <c r="M354" s="375"/>
      <c r="N354" s="375"/>
      <c r="O354" s="375"/>
      <c r="P354" s="375"/>
      <c r="Q354" s="375"/>
      <c r="R354" s="369"/>
      <c r="S354" s="461" t="str">
        <f>_xll.BLUEMATRIX2("/servlet/excelData",E354,$B$1,$B354&amp;":"&amp;E$115&amp;":"&amp;$R$114)</f>
        <v>#</v>
      </c>
      <c r="T354" s="461" t="str">
        <f>_xll.BLUEMATRIX2("/servlet/excelData",F354,$B$1,$B354&amp;":"&amp;F$115&amp;":"&amp;$R$114)</f>
        <v>#</v>
      </c>
      <c r="U354" s="461" t="str">
        <f>_xll.BLUEMATRIX2("/servlet/excelData",G354,$B$1,$B354&amp;":"&amp;G$115&amp;":"&amp;$R$114)</f>
        <v>#</v>
      </c>
      <c r="V354" s="461" t="str">
        <f>_xll.BLUEMATRIX2("/servlet/excelData",H354,$B$1,$B354&amp;":"&amp;H$115&amp;":"&amp;$R$114)</f>
        <v>#</v>
      </c>
      <c r="W354" s="461" t="str">
        <f>_xll.BLUEMATRIX2("/servlet/excelData",I354,$B$1,$B354&amp;":"&amp;I$115&amp;":"&amp;$R$114)</f>
        <v>#</v>
      </c>
      <c r="X354" s="461" t="str">
        <f>_xll.BLUEMATRIX2("/servlet/excelData",J354,$B$1,$B354&amp;":"&amp;J$115&amp;":"&amp;$R$114)</f>
        <v>#</v>
      </c>
      <c r="Y354" s="461" t="str">
        <f>_xll.BLUEMATRIX2("/servlet/excelData",K354,$B$1,$B354&amp;":"&amp;K$115&amp;":"&amp;$R$114)</f>
        <v>#</v>
      </c>
      <c r="Z354" s="461" t="str">
        <f>_xll.BLUEMATRIX2("/servlet/excelData",L354,$B$1,$B354&amp;":"&amp;L$115&amp;":"&amp;$R$114)</f>
        <v>#</v>
      </c>
      <c r="AA354" s="461" t="str">
        <f>_xll.BLUEMATRIX2("/servlet/excelData",M354,$B$1,$B354&amp;":"&amp;M$115&amp;":"&amp;$R$114)</f>
        <v>#</v>
      </c>
      <c r="AB354" s="461" t="str">
        <f>_xll.BLUEMATRIX2("/servlet/excelData",N354,$B$1,$B354&amp;":"&amp;N$115&amp;":"&amp;$R$114)</f>
        <v>#</v>
      </c>
      <c r="AC354" s="461" t="str">
        <f>_xll.BLUEMATRIX2("/servlet/excelData",O354,$B$1,$B354&amp;":"&amp;O$115&amp;":"&amp;$R$114)</f>
        <v>#</v>
      </c>
      <c r="AD354" s="461" t="str">
        <f>_xll.BLUEMATRIX2("/servlet/excelData",P354,$B$1,$B354&amp;":"&amp;P$115&amp;":"&amp;$R$114)</f>
        <v>#</v>
      </c>
      <c r="AE354" s="461" t="str">
        <f>_xll.BLUEMATRIX2("/servlet/excelData",Q354,$B$1,$B354&amp;":"&amp;Q$115&amp;":"&amp;$R$114)</f>
        <v>#</v>
      </c>
    </row>
    <row r="355" spans="1:31" ht="12.95" customHeight="1">
      <c r="A355" s="342" t="s">
        <v>779</v>
      </c>
      <c r="B355" s="344" t="s">
        <v>780</v>
      </c>
      <c r="C355" s="440"/>
      <c r="D355" s="375"/>
      <c r="E355" s="375"/>
      <c r="F355" s="375"/>
      <c r="G355" s="375"/>
      <c r="H355" s="375"/>
      <c r="I355" s="375"/>
      <c r="J355" s="375"/>
      <c r="K355" s="375"/>
      <c r="L355" s="375"/>
      <c r="M355" s="375"/>
      <c r="N355" s="375"/>
      <c r="O355" s="375"/>
      <c r="P355" s="375"/>
      <c r="Q355" s="375"/>
      <c r="R355" s="369"/>
      <c r="S355" s="461" t="str">
        <f>_xll.BLUEMATRIX2("/servlet/excelData",E355,$B$1,$B355&amp;":"&amp;E$115&amp;":"&amp;$R$114)</f>
        <v>#</v>
      </c>
      <c r="T355" s="461" t="str">
        <f>_xll.BLUEMATRIX2("/servlet/excelData",F355,$B$1,$B355&amp;":"&amp;F$115&amp;":"&amp;$R$114)</f>
        <v>#</v>
      </c>
      <c r="U355" s="461" t="str">
        <f>_xll.BLUEMATRIX2("/servlet/excelData",G355,$B$1,$B355&amp;":"&amp;G$115&amp;":"&amp;$R$114)</f>
        <v>#</v>
      </c>
      <c r="V355" s="461" t="str">
        <f>_xll.BLUEMATRIX2("/servlet/excelData",H355,$B$1,$B355&amp;":"&amp;H$115&amp;":"&amp;$R$114)</f>
        <v>#</v>
      </c>
      <c r="W355" s="461" t="str">
        <f>_xll.BLUEMATRIX2("/servlet/excelData",I355,$B$1,$B355&amp;":"&amp;I$115&amp;":"&amp;$R$114)</f>
        <v>#</v>
      </c>
      <c r="X355" s="461" t="str">
        <f>_xll.BLUEMATRIX2("/servlet/excelData",J355,$B$1,$B355&amp;":"&amp;J$115&amp;":"&amp;$R$114)</f>
        <v>#</v>
      </c>
      <c r="Y355" s="461" t="str">
        <f>_xll.BLUEMATRIX2("/servlet/excelData",K355,$B$1,$B355&amp;":"&amp;K$115&amp;":"&amp;$R$114)</f>
        <v>#</v>
      </c>
      <c r="Z355" s="461" t="str">
        <f>_xll.BLUEMATRIX2("/servlet/excelData",L355,$B$1,$B355&amp;":"&amp;L$115&amp;":"&amp;$R$114)</f>
        <v>#</v>
      </c>
      <c r="AA355" s="461" t="str">
        <f>_xll.BLUEMATRIX2("/servlet/excelData",M355,$B$1,$B355&amp;":"&amp;M$115&amp;":"&amp;$R$114)</f>
        <v>#</v>
      </c>
      <c r="AB355" s="461" t="str">
        <f>_xll.BLUEMATRIX2("/servlet/excelData",N355,$B$1,$B355&amp;":"&amp;N$115&amp;":"&amp;$R$114)</f>
        <v>#</v>
      </c>
      <c r="AC355" s="461" t="str">
        <f>_xll.BLUEMATRIX2("/servlet/excelData",O355,$B$1,$B355&amp;":"&amp;O$115&amp;":"&amp;$R$114)</f>
        <v>#</v>
      </c>
      <c r="AD355" s="461" t="str">
        <f>_xll.BLUEMATRIX2("/servlet/excelData",P355,$B$1,$B355&amp;":"&amp;P$115&amp;":"&amp;$R$114)</f>
        <v>#</v>
      </c>
      <c r="AE355" s="461" t="str">
        <f>_xll.BLUEMATRIX2("/servlet/excelData",Q355,$B$1,$B355&amp;":"&amp;Q$115&amp;":"&amp;$R$114)</f>
        <v>#</v>
      </c>
    </row>
    <row r="356" spans="1:31" ht="12.95" customHeight="1">
      <c r="A356" s="342" t="s">
        <v>781</v>
      </c>
      <c r="B356" s="344" t="s">
        <v>782</v>
      </c>
      <c r="C356" s="440"/>
      <c r="D356" s="375"/>
      <c r="E356" s="375"/>
      <c r="F356" s="375"/>
      <c r="G356" s="375"/>
      <c r="H356" s="375"/>
      <c r="I356" s="375"/>
      <c r="J356" s="375"/>
      <c r="K356" s="375"/>
      <c r="L356" s="375"/>
      <c r="M356" s="375"/>
      <c r="N356" s="375"/>
      <c r="O356" s="375"/>
      <c r="P356" s="375"/>
      <c r="Q356" s="375"/>
      <c r="R356" s="369"/>
      <c r="S356" s="461" t="str">
        <f>_xll.BLUEMATRIX2("/servlet/excelData",E356,$B$1,$B356&amp;":"&amp;E$115&amp;":"&amp;$R$114)</f>
        <v>#</v>
      </c>
      <c r="T356" s="461" t="str">
        <f>_xll.BLUEMATRIX2("/servlet/excelData",F356,$B$1,$B356&amp;":"&amp;F$115&amp;":"&amp;$R$114)</f>
        <v>#</v>
      </c>
      <c r="U356" s="461" t="str">
        <f>_xll.BLUEMATRIX2("/servlet/excelData",G356,$B$1,$B356&amp;":"&amp;G$115&amp;":"&amp;$R$114)</f>
        <v>#</v>
      </c>
      <c r="V356" s="461" t="str">
        <f>_xll.BLUEMATRIX2("/servlet/excelData",H356,$B$1,$B356&amp;":"&amp;H$115&amp;":"&amp;$R$114)</f>
        <v>#</v>
      </c>
      <c r="W356" s="461" t="str">
        <f>_xll.BLUEMATRIX2("/servlet/excelData",I356,$B$1,$B356&amp;":"&amp;I$115&amp;":"&amp;$R$114)</f>
        <v>#</v>
      </c>
      <c r="X356" s="461" t="str">
        <f>_xll.BLUEMATRIX2("/servlet/excelData",J356,$B$1,$B356&amp;":"&amp;J$115&amp;":"&amp;$R$114)</f>
        <v>#</v>
      </c>
      <c r="Y356" s="461" t="str">
        <f>_xll.BLUEMATRIX2("/servlet/excelData",K356,$B$1,$B356&amp;":"&amp;K$115&amp;":"&amp;$R$114)</f>
        <v>#</v>
      </c>
      <c r="Z356" s="461" t="str">
        <f>_xll.BLUEMATRIX2("/servlet/excelData",L356,$B$1,$B356&amp;":"&amp;L$115&amp;":"&amp;$R$114)</f>
        <v>#</v>
      </c>
      <c r="AA356" s="461" t="str">
        <f>_xll.BLUEMATRIX2("/servlet/excelData",M356,$B$1,$B356&amp;":"&amp;M$115&amp;":"&amp;$R$114)</f>
        <v>#</v>
      </c>
      <c r="AB356" s="461" t="str">
        <f>_xll.BLUEMATRIX2("/servlet/excelData",N356,$B$1,$B356&amp;":"&amp;N$115&amp;":"&amp;$R$114)</f>
        <v>#</v>
      </c>
      <c r="AC356" s="461" t="str">
        <f>_xll.BLUEMATRIX2("/servlet/excelData",O356,$B$1,$B356&amp;":"&amp;O$115&amp;":"&amp;$R$114)</f>
        <v>#</v>
      </c>
      <c r="AD356" s="461" t="str">
        <f>_xll.BLUEMATRIX2("/servlet/excelData",P356,$B$1,$B356&amp;":"&amp;P$115&amp;":"&amp;$R$114)</f>
        <v>#</v>
      </c>
      <c r="AE356" s="461" t="str">
        <f>_xll.BLUEMATRIX2("/servlet/excelData",Q356,$B$1,$B356&amp;":"&amp;Q$115&amp;":"&amp;$R$114)</f>
        <v>#</v>
      </c>
    </row>
    <row r="357" spans="1:31" ht="12.95" customHeight="1">
      <c r="A357" s="342" t="s">
        <v>783</v>
      </c>
      <c r="B357" s="344" t="s">
        <v>784</v>
      </c>
      <c r="C357" s="440"/>
      <c r="D357" s="375"/>
      <c r="E357" s="375"/>
      <c r="F357" s="375"/>
      <c r="G357" s="375"/>
      <c r="H357" s="375"/>
      <c r="I357" s="375"/>
      <c r="J357" s="375"/>
      <c r="K357" s="375"/>
      <c r="L357" s="375"/>
      <c r="M357" s="375"/>
      <c r="N357" s="375"/>
      <c r="O357" s="375"/>
      <c r="P357" s="375"/>
      <c r="Q357" s="375"/>
      <c r="R357" s="369"/>
      <c r="S357" s="461" t="str">
        <f>_xll.BLUEMATRIX2("/servlet/excelData",E357,$B$1,$B357&amp;":"&amp;E$115&amp;":"&amp;$R$114)</f>
        <v>#</v>
      </c>
      <c r="T357" s="461" t="str">
        <f>_xll.BLUEMATRIX2("/servlet/excelData",F357,$B$1,$B357&amp;":"&amp;F$115&amp;":"&amp;$R$114)</f>
        <v>#</v>
      </c>
      <c r="U357" s="461" t="str">
        <f>_xll.BLUEMATRIX2("/servlet/excelData",G357,$B$1,$B357&amp;":"&amp;G$115&amp;":"&amp;$R$114)</f>
        <v>#</v>
      </c>
      <c r="V357" s="461" t="str">
        <f>_xll.BLUEMATRIX2("/servlet/excelData",H357,$B$1,$B357&amp;":"&amp;H$115&amp;":"&amp;$R$114)</f>
        <v>#</v>
      </c>
      <c r="W357" s="461" t="str">
        <f>_xll.BLUEMATRIX2("/servlet/excelData",I357,$B$1,$B357&amp;":"&amp;I$115&amp;":"&amp;$R$114)</f>
        <v>#</v>
      </c>
      <c r="X357" s="461" t="str">
        <f>_xll.BLUEMATRIX2("/servlet/excelData",J357,$B$1,$B357&amp;":"&amp;J$115&amp;":"&amp;$R$114)</f>
        <v>#</v>
      </c>
      <c r="Y357" s="461" t="str">
        <f>_xll.BLUEMATRIX2("/servlet/excelData",K357,$B$1,$B357&amp;":"&amp;K$115&amp;":"&amp;$R$114)</f>
        <v>#</v>
      </c>
      <c r="Z357" s="461" t="str">
        <f>_xll.BLUEMATRIX2("/servlet/excelData",L357,$B$1,$B357&amp;":"&amp;L$115&amp;":"&amp;$R$114)</f>
        <v>#</v>
      </c>
      <c r="AA357" s="461" t="str">
        <f>_xll.BLUEMATRIX2("/servlet/excelData",M357,$B$1,$B357&amp;":"&amp;M$115&amp;":"&amp;$R$114)</f>
        <v>#</v>
      </c>
      <c r="AB357" s="461" t="str">
        <f>_xll.BLUEMATRIX2("/servlet/excelData",N357,$B$1,$B357&amp;":"&amp;N$115&amp;":"&amp;$R$114)</f>
        <v>#</v>
      </c>
      <c r="AC357" s="461" t="str">
        <f>_xll.BLUEMATRIX2("/servlet/excelData",O357,$B$1,$B357&amp;":"&amp;O$115&amp;":"&amp;$R$114)</f>
        <v>#</v>
      </c>
      <c r="AD357" s="461" t="str">
        <f>_xll.BLUEMATRIX2("/servlet/excelData",P357,$B$1,$B357&amp;":"&amp;P$115&amp;":"&amp;$R$114)</f>
        <v>#</v>
      </c>
      <c r="AE357" s="461" t="str">
        <f>_xll.BLUEMATRIX2("/servlet/excelData",Q357,$B$1,$B357&amp;":"&amp;Q$115&amp;":"&amp;$R$114)</f>
        <v>#</v>
      </c>
    </row>
    <row r="358" spans="1:31" ht="12.95" customHeight="1">
      <c r="A358" s="342" t="s">
        <v>785</v>
      </c>
      <c r="B358" s="344" t="s">
        <v>786</v>
      </c>
      <c r="C358" s="440"/>
      <c r="D358" s="375"/>
      <c r="E358" s="375"/>
      <c r="F358" s="375"/>
      <c r="G358" s="375"/>
      <c r="H358" s="375"/>
      <c r="I358" s="375"/>
      <c r="J358" s="375"/>
      <c r="K358" s="375"/>
      <c r="L358" s="375"/>
      <c r="M358" s="375"/>
      <c r="N358" s="375"/>
      <c r="O358" s="375"/>
      <c r="P358" s="375"/>
      <c r="Q358" s="375"/>
      <c r="R358" s="369"/>
      <c r="S358" s="461" t="str">
        <f>_xll.BLUEMATRIX2("/servlet/excelData",E358,$B$1,$B358&amp;":"&amp;E$115&amp;":"&amp;$R$114)</f>
        <v>#</v>
      </c>
      <c r="T358" s="461" t="str">
        <f>_xll.BLUEMATRIX2("/servlet/excelData",F358,$B$1,$B358&amp;":"&amp;F$115&amp;":"&amp;$R$114)</f>
        <v>#</v>
      </c>
      <c r="U358" s="461" t="str">
        <f>_xll.BLUEMATRIX2("/servlet/excelData",G358,$B$1,$B358&amp;":"&amp;G$115&amp;":"&amp;$R$114)</f>
        <v>#</v>
      </c>
      <c r="V358" s="461" t="str">
        <f>_xll.BLUEMATRIX2("/servlet/excelData",H358,$B$1,$B358&amp;":"&amp;H$115&amp;":"&amp;$R$114)</f>
        <v>#</v>
      </c>
      <c r="W358" s="461" t="str">
        <f>_xll.BLUEMATRIX2("/servlet/excelData",I358,$B$1,$B358&amp;":"&amp;I$115&amp;":"&amp;$R$114)</f>
        <v>#</v>
      </c>
      <c r="X358" s="461" t="str">
        <f>_xll.BLUEMATRIX2("/servlet/excelData",J358,$B$1,$B358&amp;":"&amp;J$115&amp;":"&amp;$R$114)</f>
        <v>#</v>
      </c>
      <c r="Y358" s="461" t="str">
        <f>_xll.BLUEMATRIX2("/servlet/excelData",K358,$B$1,$B358&amp;":"&amp;K$115&amp;":"&amp;$R$114)</f>
        <v>#</v>
      </c>
      <c r="Z358" s="461" t="str">
        <f>_xll.BLUEMATRIX2("/servlet/excelData",L358,$B$1,$B358&amp;":"&amp;L$115&amp;":"&amp;$R$114)</f>
        <v>#</v>
      </c>
      <c r="AA358" s="461" t="str">
        <f>_xll.BLUEMATRIX2("/servlet/excelData",M358,$B$1,$B358&amp;":"&amp;M$115&amp;":"&amp;$R$114)</f>
        <v>#</v>
      </c>
      <c r="AB358" s="461" t="str">
        <f>_xll.BLUEMATRIX2("/servlet/excelData",N358,$B$1,$B358&amp;":"&amp;N$115&amp;":"&amp;$R$114)</f>
        <v>#</v>
      </c>
      <c r="AC358" s="461" t="str">
        <f>_xll.BLUEMATRIX2("/servlet/excelData",O358,$B$1,$B358&amp;":"&amp;O$115&amp;":"&amp;$R$114)</f>
        <v>#</v>
      </c>
      <c r="AD358" s="461" t="str">
        <f>_xll.BLUEMATRIX2("/servlet/excelData",P358,$B$1,$B358&amp;":"&amp;P$115&amp;":"&amp;$R$114)</f>
        <v>#</v>
      </c>
      <c r="AE358" s="461" t="str">
        <f>_xll.BLUEMATRIX2("/servlet/excelData",Q358,$B$1,$B358&amp;":"&amp;Q$115&amp;":"&amp;$R$114)</f>
        <v>#</v>
      </c>
    </row>
    <row r="359" spans="1:31" ht="12.95" customHeight="1">
      <c r="A359" s="342" t="s">
        <v>787</v>
      </c>
      <c r="B359" s="344" t="s">
        <v>788</v>
      </c>
      <c r="C359" s="440"/>
      <c r="D359" s="375"/>
      <c r="E359" s="375"/>
      <c r="F359" s="375"/>
      <c r="G359" s="375"/>
      <c r="H359" s="375"/>
      <c r="I359" s="375"/>
      <c r="J359" s="375"/>
      <c r="K359" s="375"/>
      <c r="L359" s="375"/>
      <c r="M359" s="375"/>
      <c r="N359" s="375"/>
      <c r="O359" s="375"/>
      <c r="P359" s="375"/>
      <c r="Q359" s="375"/>
      <c r="R359" s="369"/>
      <c r="S359" s="461" t="str">
        <f>_xll.BLUEMATRIX2("/servlet/excelData",E359,$B$1,$B359&amp;":"&amp;E$115&amp;":"&amp;$R$114)</f>
        <v>#</v>
      </c>
      <c r="T359" s="461" t="str">
        <f>_xll.BLUEMATRIX2("/servlet/excelData",F359,$B$1,$B359&amp;":"&amp;F$115&amp;":"&amp;$R$114)</f>
        <v>#</v>
      </c>
      <c r="U359" s="461" t="str">
        <f>_xll.BLUEMATRIX2("/servlet/excelData",G359,$B$1,$B359&amp;":"&amp;G$115&amp;":"&amp;$R$114)</f>
        <v>#</v>
      </c>
      <c r="V359" s="461" t="str">
        <f>_xll.BLUEMATRIX2("/servlet/excelData",H359,$B$1,$B359&amp;":"&amp;H$115&amp;":"&amp;$R$114)</f>
        <v>#</v>
      </c>
      <c r="W359" s="461" t="str">
        <f>_xll.BLUEMATRIX2("/servlet/excelData",I359,$B$1,$B359&amp;":"&amp;I$115&amp;":"&amp;$R$114)</f>
        <v>#</v>
      </c>
      <c r="X359" s="461" t="str">
        <f>_xll.BLUEMATRIX2("/servlet/excelData",J359,$B$1,$B359&amp;":"&amp;J$115&amp;":"&amp;$R$114)</f>
        <v>#</v>
      </c>
      <c r="Y359" s="461" t="str">
        <f>_xll.BLUEMATRIX2("/servlet/excelData",K359,$B$1,$B359&amp;":"&amp;K$115&amp;":"&amp;$R$114)</f>
        <v>#</v>
      </c>
      <c r="Z359" s="461" t="str">
        <f>_xll.BLUEMATRIX2("/servlet/excelData",L359,$B$1,$B359&amp;":"&amp;L$115&amp;":"&amp;$R$114)</f>
        <v>#</v>
      </c>
      <c r="AA359" s="461" t="str">
        <f>_xll.BLUEMATRIX2("/servlet/excelData",M359,$B$1,$B359&amp;":"&amp;M$115&amp;":"&amp;$R$114)</f>
        <v>#</v>
      </c>
      <c r="AB359" s="461" t="str">
        <f>_xll.BLUEMATRIX2("/servlet/excelData",N359,$B$1,$B359&amp;":"&amp;N$115&amp;":"&amp;$R$114)</f>
        <v>#</v>
      </c>
      <c r="AC359" s="461" t="str">
        <f>_xll.BLUEMATRIX2("/servlet/excelData",O359,$B$1,$B359&amp;":"&amp;O$115&amp;":"&amp;$R$114)</f>
        <v>#</v>
      </c>
      <c r="AD359" s="461" t="str">
        <f>_xll.BLUEMATRIX2("/servlet/excelData",P359,$B$1,$B359&amp;":"&amp;P$115&amp;":"&amp;$R$114)</f>
        <v>#</v>
      </c>
      <c r="AE359" s="461" t="str">
        <f>_xll.BLUEMATRIX2("/servlet/excelData",Q359,$B$1,$B359&amp;":"&amp;Q$115&amp;":"&amp;$R$114)</f>
        <v>#</v>
      </c>
    </row>
    <row r="360" spans="1:31" ht="12.95" customHeight="1">
      <c r="A360" s="342"/>
      <c r="B360" s="344"/>
      <c r="C360" s="423"/>
      <c r="D360" s="439"/>
      <c r="E360" s="439"/>
      <c r="F360" s="439"/>
      <c r="G360" s="439"/>
      <c r="H360" s="439"/>
      <c r="I360" s="439"/>
      <c r="J360" s="439"/>
      <c r="K360" s="439"/>
      <c r="L360" s="439"/>
      <c r="M360" s="439"/>
      <c r="N360" s="439"/>
      <c r="O360" s="439"/>
      <c r="P360" s="439"/>
      <c r="Q360" s="439"/>
      <c r="R360" s="369"/>
      <c r="S360" s="461"/>
      <c r="T360" s="461"/>
      <c r="U360" s="461"/>
      <c r="V360" s="461"/>
      <c r="W360" s="461"/>
      <c r="X360" s="461"/>
      <c r="Y360" s="461"/>
      <c r="Z360" s="461"/>
      <c r="AA360" s="461"/>
      <c r="AB360" s="461"/>
      <c r="AC360" s="461"/>
      <c r="AD360" s="461"/>
      <c r="AE360" s="461"/>
    </row>
    <row r="361" spans="1:31" ht="12.95" customHeight="1">
      <c r="A361" s="342"/>
      <c r="B361" s="344"/>
      <c r="C361" s="320"/>
      <c r="D361" s="320"/>
      <c r="E361" s="320"/>
      <c r="F361" s="320"/>
      <c r="G361" s="320"/>
      <c r="H361" s="320"/>
      <c r="I361" s="320"/>
      <c r="J361" s="320"/>
      <c r="K361" s="320"/>
      <c r="L361" s="320"/>
      <c r="M361" s="320"/>
      <c r="N361" s="320"/>
      <c r="O361" s="320"/>
      <c r="P361" s="320"/>
      <c r="Q361" s="320"/>
      <c r="R361" s="320"/>
      <c r="S361" s="461"/>
      <c r="T361" s="461"/>
      <c r="U361" s="461"/>
      <c r="V361" s="461"/>
      <c r="W361" s="461"/>
      <c r="X361" s="461"/>
      <c r="Y361" s="461"/>
      <c r="Z361" s="461"/>
      <c r="AA361" s="461"/>
      <c r="AB361" s="461"/>
      <c r="AC361" s="461"/>
      <c r="AD361" s="461"/>
      <c r="AE361" s="461"/>
    </row>
    <row r="362" spans="1:31" ht="12.95" customHeight="1">
      <c r="A362" s="342"/>
      <c r="B362" s="344"/>
      <c r="C362" s="320"/>
      <c r="D362" s="320"/>
      <c r="E362" s="320"/>
      <c r="F362" s="320"/>
      <c r="G362" s="320"/>
      <c r="H362" s="320"/>
      <c r="I362" s="320"/>
      <c r="J362" s="320"/>
      <c r="K362" s="320"/>
      <c r="L362" s="320"/>
      <c r="M362" s="320"/>
      <c r="N362" s="320"/>
      <c r="O362" s="320"/>
      <c r="P362" s="320"/>
      <c r="Q362" s="320"/>
      <c r="R362" s="320"/>
      <c r="S362" s="461"/>
      <c r="T362" s="461"/>
      <c r="U362" s="461"/>
      <c r="V362" s="461"/>
      <c r="W362" s="461"/>
      <c r="X362" s="461"/>
      <c r="Y362" s="461"/>
      <c r="Z362" s="461"/>
      <c r="AA362" s="461"/>
      <c r="AB362" s="461"/>
      <c r="AC362" s="461"/>
      <c r="AD362" s="461"/>
      <c r="AE362" s="461"/>
    </row>
    <row r="363" spans="1:31" ht="15" customHeight="1">
      <c r="A363" s="342"/>
      <c r="B363" s="344"/>
      <c r="C363" s="362" t="s">
        <v>789</v>
      </c>
      <c r="D363" s="363"/>
      <c r="E363" s="363"/>
      <c r="F363" s="363"/>
      <c r="G363" s="363"/>
      <c r="H363" s="363"/>
      <c r="I363" s="363"/>
      <c r="J363" s="363"/>
      <c r="K363" s="363"/>
      <c r="L363" s="363"/>
      <c r="M363" s="363"/>
      <c r="N363" s="363"/>
      <c r="O363" s="363"/>
      <c r="P363" s="363"/>
      <c r="Q363" s="363"/>
      <c r="R363" s="320"/>
      <c r="S363" s="461"/>
      <c r="T363" s="461"/>
      <c r="U363" s="461"/>
      <c r="V363" s="461"/>
      <c r="W363" s="461"/>
      <c r="X363" s="461"/>
      <c r="Y363" s="461"/>
      <c r="Z363" s="461"/>
      <c r="AA363" s="461"/>
      <c r="AB363" s="461"/>
      <c r="AC363" s="461"/>
      <c r="AD363" s="461"/>
      <c r="AE363" s="461"/>
    </row>
    <row r="364" spans="1:31" ht="12.95" customHeight="1">
      <c r="A364" s="342" t="s">
        <v>790</v>
      </c>
      <c r="B364" s="344" t="s">
        <v>791</v>
      </c>
      <c r="C364" s="346" t="str">
        <f t="shared" ref="C364:C373" si="71">IF(D79="","",D79)</f>
        <v/>
      </c>
      <c r="D364" s="375"/>
      <c r="E364" s="375"/>
      <c r="F364" s="375"/>
      <c r="G364" s="375"/>
      <c r="H364" s="375"/>
      <c r="I364" s="375"/>
      <c r="J364" s="375"/>
      <c r="K364" s="375"/>
      <c r="L364" s="375"/>
      <c r="M364" s="375"/>
      <c r="N364" s="375"/>
      <c r="O364" s="375"/>
      <c r="P364" s="375"/>
      <c r="Q364" s="375"/>
      <c r="R364" s="320"/>
      <c r="S364" s="461" t="str">
        <f>_xll.BLUEMATRIX2("/servlet/excelData",E364,$B$1,$B364&amp;":"&amp;E$115&amp;":"&amp;$R$114)</f>
        <v>#</v>
      </c>
      <c r="T364" s="461" t="str">
        <f>_xll.BLUEMATRIX2("/servlet/excelData",F364,$B$1,$B364&amp;":"&amp;F$115&amp;":"&amp;$R$114)</f>
        <v>#</v>
      </c>
      <c r="U364" s="461" t="str">
        <f>_xll.BLUEMATRIX2("/servlet/excelData",G364,$B$1,$B364&amp;":"&amp;G$115&amp;":"&amp;$R$114)</f>
        <v>#</v>
      </c>
      <c r="V364" s="461" t="str">
        <f>_xll.BLUEMATRIX2("/servlet/excelData",H364,$B$1,$B364&amp;":"&amp;H$115&amp;":"&amp;$R$114)</f>
        <v>#</v>
      </c>
      <c r="W364" s="461" t="str">
        <f>_xll.BLUEMATRIX2("/servlet/excelData",I364,$B$1,$B364&amp;":"&amp;I$115&amp;":"&amp;$R$114)</f>
        <v>#</v>
      </c>
      <c r="X364" s="461" t="str">
        <f>_xll.BLUEMATRIX2("/servlet/excelData",J364,$B$1,$B364&amp;":"&amp;J$115&amp;":"&amp;$R$114)</f>
        <v>#</v>
      </c>
      <c r="Y364" s="461" t="str">
        <f>_xll.BLUEMATRIX2("/servlet/excelData",K364,$B$1,$B364&amp;":"&amp;K$115&amp;":"&amp;$R$114)</f>
        <v>#</v>
      </c>
      <c r="Z364" s="461" t="str">
        <f>_xll.BLUEMATRIX2("/servlet/excelData",L364,$B$1,$B364&amp;":"&amp;L$115&amp;":"&amp;$R$114)</f>
        <v>#</v>
      </c>
      <c r="AA364" s="461" t="str">
        <f>_xll.BLUEMATRIX2("/servlet/excelData",M364,$B$1,$B364&amp;":"&amp;M$115&amp;":"&amp;$R$114)</f>
        <v>#</v>
      </c>
      <c r="AB364" s="461" t="str">
        <f>_xll.BLUEMATRIX2("/servlet/excelData",N364,$B$1,$B364&amp;":"&amp;N$115&amp;":"&amp;$R$114)</f>
        <v>#</v>
      </c>
      <c r="AC364" s="461" t="str">
        <f>_xll.BLUEMATRIX2("/servlet/excelData",O364,$B$1,$B364&amp;":"&amp;O$115&amp;":"&amp;$R$114)</f>
        <v>#</v>
      </c>
      <c r="AD364" s="461" t="str">
        <f>_xll.BLUEMATRIX2("/servlet/excelData",P364,$B$1,$B364&amp;":"&amp;P$115&amp;":"&amp;$R$114)</f>
        <v>#</v>
      </c>
      <c r="AE364" s="461" t="str">
        <f>_xll.BLUEMATRIX2("/servlet/excelData",Q364,$B$1,$B364&amp;":"&amp;Q$115&amp;":"&amp;$R$114)</f>
        <v>#</v>
      </c>
    </row>
    <row r="365" spans="1:31" ht="12.95" customHeight="1">
      <c r="A365" s="342" t="s">
        <v>792</v>
      </c>
      <c r="B365" s="344" t="s">
        <v>793</v>
      </c>
      <c r="C365" s="440" t="str">
        <f t="shared" si="71"/>
        <v/>
      </c>
      <c r="D365" s="375"/>
      <c r="E365" s="375"/>
      <c r="F365" s="375"/>
      <c r="G365" s="375"/>
      <c r="H365" s="375"/>
      <c r="I365" s="375"/>
      <c r="J365" s="375"/>
      <c r="K365" s="375"/>
      <c r="L365" s="375"/>
      <c r="M365" s="375"/>
      <c r="N365" s="375"/>
      <c r="O365" s="375"/>
      <c r="P365" s="375"/>
      <c r="Q365" s="375"/>
      <c r="R365" s="320"/>
      <c r="S365" s="461" t="str">
        <f>_xll.BLUEMATRIX2("/servlet/excelData",E365,$B$1,$B365&amp;":"&amp;E$115&amp;":"&amp;$R$114)</f>
        <v>#</v>
      </c>
      <c r="T365" s="461" t="str">
        <f>_xll.BLUEMATRIX2("/servlet/excelData",F365,$B$1,$B365&amp;":"&amp;F$115&amp;":"&amp;$R$114)</f>
        <v>#</v>
      </c>
      <c r="U365" s="461" t="str">
        <f>_xll.BLUEMATRIX2("/servlet/excelData",G365,$B$1,$B365&amp;":"&amp;G$115&amp;":"&amp;$R$114)</f>
        <v>#</v>
      </c>
      <c r="V365" s="461" t="str">
        <f>_xll.BLUEMATRIX2("/servlet/excelData",H365,$B$1,$B365&amp;":"&amp;H$115&amp;":"&amp;$R$114)</f>
        <v>#</v>
      </c>
      <c r="W365" s="461" t="str">
        <f>_xll.BLUEMATRIX2("/servlet/excelData",I365,$B$1,$B365&amp;":"&amp;I$115&amp;":"&amp;$R$114)</f>
        <v>#</v>
      </c>
      <c r="X365" s="461" t="str">
        <f>_xll.BLUEMATRIX2("/servlet/excelData",J365,$B$1,$B365&amp;":"&amp;J$115&amp;":"&amp;$R$114)</f>
        <v>#</v>
      </c>
      <c r="Y365" s="461" t="str">
        <f>_xll.BLUEMATRIX2("/servlet/excelData",K365,$B$1,$B365&amp;":"&amp;K$115&amp;":"&amp;$R$114)</f>
        <v>#</v>
      </c>
      <c r="Z365" s="461" t="str">
        <f>_xll.BLUEMATRIX2("/servlet/excelData",L365,$B$1,$B365&amp;":"&amp;L$115&amp;":"&amp;$R$114)</f>
        <v>#</v>
      </c>
      <c r="AA365" s="461" t="str">
        <f>_xll.BLUEMATRIX2("/servlet/excelData",M365,$B$1,$B365&amp;":"&amp;M$115&amp;":"&amp;$R$114)</f>
        <v>#</v>
      </c>
      <c r="AB365" s="461" t="str">
        <f>_xll.BLUEMATRIX2("/servlet/excelData",N365,$B$1,$B365&amp;":"&amp;N$115&amp;":"&amp;$R$114)</f>
        <v>#</v>
      </c>
      <c r="AC365" s="461" t="str">
        <f>_xll.BLUEMATRIX2("/servlet/excelData",O365,$B$1,$B365&amp;":"&amp;O$115&amp;":"&amp;$R$114)</f>
        <v>#</v>
      </c>
      <c r="AD365" s="461" t="str">
        <f>_xll.BLUEMATRIX2("/servlet/excelData",P365,$B$1,$B365&amp;":"&amp;P$115&amp;":"&amp;$R$114)</f>
        <v>#</v>
      </c>
      <c r="AE365" s="461" t="str">
        <f>_xll.BLUEMATRIX2("/servlet/excelData",Q365,$B$1,$B365&amp;":"&amp;Q$115&amp;":"&amp;$R$114)</f>
        <v>#</v>
      </c>
    </row>
    <row r="366" spans="1:31" ht="12.95" customHeight="1">
      <c r="A366" s="342" t="s">
        <v>794</v>
      </c>
      <c r="B366" s="344" t="s">
        <v>795</v>
      </c>
      <c r="C366" s="440" t="str">
        <f t="shared" si="71"/>
        <v/>
      </c>
      <c r="D366" s="375"/>
      <c r="E366" s="375"/>
      <c r="F366" s="375"/>
      <c r="G366" s="375"/>
      <c r="H366" s="375"/>
      <c r="I366" s="375"/>
      <c r="J366" s="375"/>
      <c r="K366" s="375"/>
      <c r="L366" s="375"/>
      <c r="M366" s="375"/>
      <c r="N366" s="375"/>
      <c r="O366" s="375"/>
      <c r="P366" s="375"/>
      <c r="Q366" s="375"/>
      <c r="R366" s="320"/>
      <c r="S366" s="461" t="str">
        <f>_xll.BLUEMATRIX2("/servlet/excelData",E366,$B$1,$B366&amp;":"&amp;E$115&amp;":"&amp;$R$114)</f>
        <v>#</v>
      </c>
      <c r="T366" s="461" t="str">
        <f>_xll.BLUEMATRIX2("/servlet/excelData",F366,$B$1,$B366&amp;":"&amp;F$115&amp;":"&amp;$R$114)</f>
        <v>#</v>
      </c>
      <c r="U366" s="461" t="str">
        <f>_xll.BLUEMATRIX2("/servlet/excelData",G366,$B$1,$B366&amp;":"&amp;G$115&amp;":"&amp;$R$114)</f>
        <v>#</v>
      </c>
      <c r="V366" s="461" t="str">
        <f>_xll.BLUEMATRIX2("/servlet/excelData",H366,$B$1,$B366&amp;":"&amp;H$115&amp;":"&amp;$R$114)</f>
        <v>#</v>
      </c>
      <c r="W366" s="461" t="str">
        <f>_xll.BLUEMATRIX2("/servlet/excelData",I366,$B$1,$B366&amp;":"&amp;I$115&amp;":"&amp;$R$114)</f>
        <v>#</v>
      </c>
      <c r="X366" s="461" t="str">
        <f>_xll.BLUEMATRIX2("/servlet/excelData",J366,$B$1,$B366&amp;":"&amp;J$115&amp;":"&amp;$R$114)</f>
        <v>#</v>
      </c>
      <c r="Y366" s="461" t="str">
        <f>_xll.BLUEMATRIX2("/servlet/excelData",K366,$B$1,$B366&amp;":"&amp;K$115&amp;":"&amp;$R$114)</f>
        <v>#</v>
      </c>
      <c r="Z366" s="461" t="str">
        <f>_xll.BLUEMATRIX2("/servlet/excelData",L366,$B$1,$B366&amp;":"&amp;L$115&amp;":"&amp;$R$114)</f>
        <v>#</v>
      </c>
      <c r="AA366" s="461" t="str">
        <f>_xll.BLUEMATRIX2("/servlet/excelData",M366,$B$1,$B366&amp;":"&amp;M$115&amp;":"&amp;$R$114)</f>
        <v>#</v>
      </c>
      <c r="AB366" s="461" t="str">
        <f>_xll.BLUEMATRIX2("/servlet/excelData",N366,$B$1,$B366&amp;":"&amp;N$115&amp;":"&amp;$R$114)</f>
        <v>#</v>
      </c>
      <c r="AC366" s="461" t="str">
        <f>_xll.BLUEMATRIX2("/servlet/excelData",O366,$B$1,$B366&amp;":"&amp;O$115&amp;":"&amp;$R$114)</f>
        <v>#</v>
      </c>
      <c r="AD366" s="461" t="str">
        <f>_xll.BLUEMATRIX2("/servlet/excelData",P366,$B$1,$B366&amp;":"&amp;P$115&amp;":"&amp;$R$114)</f>
        <v>#</v>
      </c>
      <c r="AE366" s="461" t="str">
        <f>_xll.BLUEMATRIX2("/servlet/excelData",Q366,$B$1,$B366&amp;":"&amp;Q$115&amp;":"&amp;$R$114)</f>
        <v>#</v>
      </c>
    </row>
    <row r="367" spans="1:31" ht="12.95" customHeight="1">
      <c r="A367" s="342" t="s">
        <v>796</v>
      </c>
      <c r="B367" s="344" t="s">
        <v>797</v>
      </c>
      <c r="C367" s="440" t="str">
        <f t="shared" si="71"/>
        <v/>
      </c>
      <c r="D367" s="375"/>
      <c r="E367" s="375"/>
      <c r="F367" s="375"/>
      <c r="G367" s="375"/>
      <c r="H367" s="375"/>
      <c r="I367" s="375"/>
      <c r="J367" s="375"/>
      <c r="K367" s="375"/>
      <c r="L367" s="375"/>
      <c r="M367" s="375"/>
      <c r="N367" s="375"/>
      <c r="O367" s="375"/>
      <c r="P367" s="375"/>
      <c r="Q367" s="375"/>
      <c r="R367" s="320"/>
      <c r="S367" s="461" t="str">
        <f>_xll.BLUEMATRIX2("/servlet/excelData",E367,$B$1,$B367&amp;":"&amp;E$115&amp;":"&amp;$R$114)</f>
        <v>#</v>
      </c>
      <c r="T367" s="461" t="str">
        <f>_xll.BLUEMATRIX2("/servlet/excelData",F367,$B$1,$B367&amp;":"&amp;F$115&amp;":"&amp;$R$114)</f>
        <v>#</v>
      </c>
      <c r="U367" s="461" t="str">
        <f>_xll.BLUEMATRIX2("/servlet/excelData",G367,$B$1,$B367&amp;":"&amp;G$115&amp;":"&amp;$R$114)</f>
        <v>#</v>
      </c>
      <c r="V367" s="461" t="str">
        <f>_xll.BLUEMATRIX2("/servlet/excelData",H367,$B$1,$B367&amp;":"&amp;H$115&amp;":"&amp;$R$114)</f>
        <v>#</v>
      </c>
      <c r="W367" s="461" t="str">
        <f>_xll.BLUEMATRIX2("/servlet/excelData",I367,$B$1,$B367&amp;":"&amp;I$115&amp;":"&amp;$R$114)</f>
        <v>#</v>
      </c>
      <c r="X367" s="461" t="str">
        <f>_xll.BLUEMATRIX2("/servlet/excelData",J367,$B$1,$B367&amp;":"&amp;J$115&amp;":"&amp;$R$114)</f>
        <v>#</v>
      </c>
      <c r="Y367" s="461" t="str">
        <f>_xll.BLUEMATRIX2("/servlet/excelData",K367,$B$1,$B367&amp;":"&amp;K$115&amp;":"&amp;$R$114)</f>
        <v>#</v>
      </c>
      <c r="Z367" s="461" t="str">
        <f>_xll.BLUEMATRIX2("/servlet/excelData",L367,$B$1,$B367&amp;":"&amp;L$115&amp;":"&amp;$R$114)</f>
        <v>#</v>
      </c>
      <c r="AA367" s="461" t="str">
        <f>_xll.BLUEMATRIX2("/servlet/excelData",M367,$B$1,$B367&amp;":"&amp;M$115&amp;":"&amp;$R$114)</f>
        <v>#</v>
      </c>
      <c r="AB367" s="461" t="str">
        <f>_xll.BLUEMATRIX2("/servlet/excelData",N367,$B$1,$B367&amp;":"&amp;N$115&amp;":"&amp;$R$114)</f>
        <v>#</v>
      </c>
      <c r="AC367" s="461" t="str">
        <f>_xll.BLUEMATRIX2("/servlet/excelData",O367,$B$1,$B367&amp;":"&amp;O$115&amp;":"&amp;$R$114)</f>
        <v>#</v>
      </c>
      <c r="AD367" s="461" t="str">
        <f>_xll.BLUEMATRIX2("/servlet/excelData",P367,$B$1,$B367&amp;":"&amp;P$115&amp;":"&amp;$R$114)</f>
        <v>#</v>
      </c>
      <c r="AE367" s="461" t="str">
        <f>_xll.BLUEMATRIX2("/servlet/excelData",Q367,$B$1,$B367&amp;":"&amp;Q$115&amp;":"&amp;$R$114)</f>
        <v>#</v>
      </c>
    </row>
    <row r="368" spans="1:31" ht="12.95" customHeight="1">
      <c r="A368" s="342" t="s">
        <v>798</v>
      </c>
      <c r="B368" s="344" t="s">
        <v>799</v>
      </c>
      <c r="C368" s="440" t="str">
        <f t="shared" si="71"/>
        <v/>
      </c>
      <c r="D368" s="375"/>
      <c r="E368" s="375"/>
      <c r="F368" s="375"/>
      <c r="G368" s="375"/>
      <c r="H368" s="375"/>
      <c r="I368" s="375"/>
      <c r="J368" s="375"/>
      <c r="K368" s="375"/>
      <c r="L368" s="375"/>
      <c r="M368" s="375"/>
      <c r="N368" s="375"/>
      <c r="O368" s="375"/>
      <c r="P368" s="375"/>
      <c r="Q368" s="375"/>
      <c r="R368" s="320"/>
      <c r="S368" s="461" t="str">
        <f>_xll.BLUEMATRIX2("/servlet/excelData",E368,$B$1,$B368&amp;":"&amp;E$115&amp;":"&amp;$R$114)</f>
        <v>#</v>
      </c>
      <c r="T368" s="461" t="str">
        <f>_xll.BLUEMATRIX2("/servlet/excelData",F368,$B$1,$B368&amp;":"&amp;F$115&amp;":"&amp;$R$114)</f>
        <v>#</v>
      </c>
      <c r="U368" s="461" t="str">
        <f>_xll.BLUEMATRIX2("/servlet/excelData",G368,$B$1,$B368&amp;":"&amp;G$115&amp;":"&amp;$R$114)</f>
        <v>#</v>
      </c>
      <c r="V368" s="461" t="str">
        <f>_xll.BLUEMATRIX2("/servlet/excelData",H368,$B$1,$B368&amp;":"&amp;H$115&amp;":"&amp;$R$114)</f>
        <v>#</v>
      </c>
      <c r="W368" s="461" t="str">
        <f>_xll.BLUEMATRIX2("/servlet/excelData",I368,$B$1,$B368&amp;":"&amp;I$115&amp;":"&amp;$R$114)</f>
        <v>#</v>
      </c>
      <c r="X368" s="461" t="str">
        <f>_xll.BLUEMATRIX2("/servlet/excelData",J368,$B$1,$B368&amp;":"&amp;J$115&amp;":"&amp;$R$114)</f>
        <v>#</v>
      </c>
      <c r="Y368" s="461" t="str">
        <f>_xll.BLUEMATRIX2("/servlet/excelData",K368,$B$1,$B368&amp;":"&amp;K$115&amp;":"&amp;$R$114)</f>
        <v>#</v>
      </c>
      <c r="Z368" s="461" t="str">
        <f>_xll.BLUEMATRIX2("/servlet/excelData",L368,$B$1,$B368&amp;":"&amp;L$115&amp;":"&amp;$R$114)</f>
        <v>#</v>
      </c>
      <c r="AA368" s="461" t="str">
        <f>_xll.BLUEMATRIX2("/servlet/excelData",M368,$B$1,$B368&amp;":"&amp;M$115&amp;":"&amp;$R$114)</f>
        <v>#</v>
      </c>
      <c r="AB368" s="461" t="str">
        <f>_xll.BLUEMATRIX2("/servlet/excelData",N368,$B$1,$B368&amp;":"&amp;N$115&amp;":"&amp;$R$114)</f>
        <v>#</v>
      </c>
      <c r="AC368" s="461" t="str">
        <f>_xll.BLUEMATRIX2("/servlet/excelData",O368,$B$1,$B368&amp;":"&amp;O$115&amp;":"&amp;$R$114)</f>
        <v>#</v>
      </c>
      <c r="AD368" s="461" t="str">
        <f>_xll.BLUEMATRIX2("/servlet/excelData",P368,$B$1,$B368&amp;":"&amp;P$115&amp;":"&amp;$R$114)</f>
        <v>#</v>
      </c>
      <c r="AE368" s="461" t="str">
        <f>_xll.BLUEMATRIX2("/servlet/excelData",Q368,$B$1,$B368&amp;":"&amp;Q$115&amp;":"&amp;$R$114)</f>
        <v>#</v>
      </c>
    </row>
    <row r="369" spans="1:31" ht="12.95" customHeight="1">
      <c r="A369" s="342" t="s">
        <v>800</v>
      </c>
      <c r="B369" s="344" t="s">
        <v>801</v>
      </c>
      <c r="C369" s="440" t="str">
        <f t="shared" si="71"/>
        <v/>
      </c>
      <c r="D369" s="375"/>
      <c r="E369" s="375"/>
      <c r="F369" s="375"/>
      <c r="G369" s="375"/>
      <c r="H369" s="375"/>
      <c r="I369" s="375"/>
      <c r="J369" s="375"/>
      <c r="K369" s="375"/>
      <c r="L369" s="375"/>
      <c r="M369" s="375"/>
      <c r="N369" s="375"/>
      <c r="O369" s="375"/>
      <c r="P369" s="375"/>
      <c r="Q369" s="375"/>
      <c r="R369" s="320"/>
      <c r="S369" s="461" t="str">
        <f>_xll.BLUEMATRIX2("/servlet/excelData",E369,$B$1,$B369&amp;":"&amp;E$115&amp;":"&amp;$R$114)</f>
        <v>#</v>
      </c>
      <c r="T369" s="461" t="str">
        <f>_xll.BLUEMATRIX2("/servlet/excelData",F369,$B$1,$B369&amp;":"&amp;F$115&amp;":"&amp;$R$114)</f>
        <v>#</v>
      </c>
      <c r="U369" s="461" t="str">
        <f>_xll.BLUEMATRIX2("/servlet/excelData",G369,$B$1,$B369&amp;":"&amp;G$115&amp;":"&amp;$R$114)</f>
        <v>#</v>
      </c>
      <c r="V369" s="461" t="str">
        <f>_xll.BLUEMATRIX2("/servlet/excelData",H369,$B$1,$B369&amp;":"&amp;H$115&amp;":"&amp;$R$114)</f>
        <v>#</v>
      </c>
      <c r="W369" s="461" t="str">
        <f>_xll.BLUEMATRIX2("/servlet/excelData",I369,$B$1,$B369&amp;":"&amp;I$115&amp;":"&amp;$R$114)</f>
        <v>#</v>
      </c>
      <c r="X369" s="461" t="str">
        <f>_xll.BLUEMATRIX2("/servlet/excelData",J369,$B$1,$B369&amp;":"&amp;J$115&amp;":"&amp;$R$114)</f>
        <v>#</v>
      </c>
      <c r="Y369" s="461" t="str">
        <f>_xll.BLUEMATRIX2("/servlet/excelData",K369,$B$1,$B369&amp;":"&amp;K$115&amp;":"&amp;$R$114)</f>
        <v>#</v>
      </c>
      <c r="Z369" s="461" t="str">
        <f>_xll.BLUEMATRIX2("/servlet/excelData",L369,$B$1,$B369&amp;":"&amp;L$115&amp;":"&amp;$R$114)</f>
        <v>#</v>
      </c>
      <c r="AA369" s="461" t="str">
        <f>_xll.BLUEMATRIX2("/servlet/excelData",M369,$B$1,$B369&amp;":"&amp;M$115&amp;":"&amp;$R$114)</f>
        <v>#</v>
      </c>
      <c r="AB369" s="461" t="str">
        <f>_xll.BLUEMATRIX2("/servlet/excelData",N369,$B$1,$B369&amp;":"&amp;N$115&amp;":"&amp;$R$114)</f>
        <v>#</v>
      </c>
      <c r="AC369" s="461" t="str">
        <f>_xll.BLUEMATRIX2("/servlet/excelData",O369,$B$1,$B369&amp;":"&amp;O$115&amp;":"&amp;$R$114)</f>
        <v>#</v>
      </c>
      <c r="AD369" s="461" t="str">
        <f>_xll.BLUEMATRIX2("/servlet/excelData",P369,$B$1,$B369&amp;":"&amp;P$115&amp;":"&amp;$R$114)</f>
        <v>#</v>
      </c>
      <c r="AE369" s="461" t="str">
        <f>_xll.BLUEMATRIX2("/servlet/excelData",Q369,$B$1,$B369&amp;":"&amp;Q$115&amp;":"&amp;$R$114)</f>
        <v>#</v>
      </c>
    </row>
    <row r="370" spans="1:31" ht="12.95" customHeight="1">
      <c r="A370" s="342" t="s">
        <v>802</v>
      </c>
      <c r="B370" s="344" t="s">
        <v>803</v>
      </c>
      <c r="C370" s="440" t="str">
        <f t="shared" si="71"/>
        <v/>
      </c>
      <c r="D370" s="375"/>
      <c r="E370" s="375"/>
      <c r="F370" s="375"/>
      <c r="G370" s="375"/>
      <c r="H370" s="375"/>
      <c r="I370" s="375"/>
      <c r="J370" s="375"/>
      <c r="K370" s="375"/>
      <c r="L370" s="375"/>
      <c r="M370" s="375"/>
      <c r="N370" s="375"/>
      <c r="O370" s="375"/>
      <c r="P370" s="375"/>
      <c r="Q370" s="375"/>
      <c r="R370" s="320"/>
      <c r="S370" s="461" t="str">
        <f>_xll.BLUEMATRIX2("/servlet/excelData",E370,$B$1,$B370&amp;":"&amp;E$115&amp;":"&amp;$R$114)</f>
        <v>#</v>
      </c>
      <c r="T370" s="461" t="str">
        <f>_xll.BLUEMATRIX2("/servlet/excelData",F370,$B$1,$B370&amp;":"&amp;F$115&amp;":"&amp;$R$114)</f>
        <v>#</v>
      </c>
      <c r="U370" s="461" t="str">
        <f>_xll.BLUEMATRIX2("/servlet/excelData",G370,$B$1,$B370&amp;":"&amp;G$115&amp;":"&amp;$R$114)</f>
        <v>#</v>
      </c>
      <c r="V370" s="461" t="str">
        <f>_xll.BLUEMATRIX2("/servlet/excelData",H370,$B$1,$B370&amp;":"&amp;H$115&amp;":"&amp;$R$114)</f>
        <v>#</v>
      </c>
      <c r="W370" s="461" t="str">
        <f>_xll.BLUEMATRIX2("/servlet/excelData",I370,$B$1,$B370&amp;":"&amp;I$115&amp;":"&amp;$R$114)</f>
        <v>#</v>
      </c>
      <c r="X370" s="461" t="str">
        <f>_xll.BLUEMATRIX2("/servlet/excelData",J370,$B$1,$B370&amp;":"&amp;J$115&amp;":"&amp;$R$114)</f>
        <v>#</v>
      </c>
      <c r="Y370" s="461" t="str">
        <f>_xll.BLUEMATRIX2("/servlet/excelData",K370,$B$1,$B370&amp;":"&amp;K$115&amp;":"&amp;$R$114)</f>
        <v>#</v>
      </c>
      <c r="Z370" s="461" t="str">
        <f>_xll.BLUEMATRIX2("/servlet/excelData",L370,$B$1,$B370&amp;":"&amp;L$115&amp;":"&amp;$R$114)</f>
        <v>#</v>
      </c>
      <c r="AA370" s="461" t="str">
        <f>_xll.BLUEMATRIX2("/servlet/excelData",M370,$B$1,$B370&amp;":"&amp;M$115&amp;":"&amp;$R$114)</f>
        <v>#</v>
      </c>
      <c r="AB370" s="461" t="str">
        <f>_xll.BLUEMATRIX2("/servlet/excelData",N370,$B$1,$B370&amp;":"&amp;N$115&amp;":"&amp;$R$114)</f>
        <v>#</v>
      </c>
      <c r="AC370" s="461" t="str">
        <f>_xll.BLUEMATRIX2("/servlet/excelData",O370,$B$1,$B370&amp;":"&amp;O$115&amp;":"&amp;$R$114)</f>
        <v>#</v>
      </c>
      <c r="AD370" s="461" t="str">
        <f>_xll.BLUEMATRIX2("/servlet/excelData",P370,$B$1,$B370&amp;":"&amp;P$115&amp;":"&amp;$R$114)</f>
        <v>#</v>
      </c>
      <c r="AE370" s="461" t="str">
        <f>_xll.BLUEMATRIX2("/servlet/excelData",Q370,$B$1,$B370&amp;":"&amp;Q$115&amp;":"&amp;$R$114)</f>
        <v>#</v>
      </c>
    </row>
    <row r="371" spans="1:31" ht="12.95" customHeight="1">
      <c r="A371" s="342" t="s">
        <v>804</v>
      </c>
      <c r="B371" s="344" t="s">
        <v>805</v>
      </c>
      <c r="C371" s="440" t="str">
        <f t="shared" si="71"/>
        <v/>
      </c>
      <c r="D371" s="375"/>
      <c r="E371" s="375"/>
      <c r="F371" s="375"/>
      <c r="G371" s="375"/>
      <c r="H371" s="375"/>
      <c r="I371" s="375"/>
      <c r="J371" s="375"/>
      <c r="K371" s="375"/>
      <c r="L371" s="375"/>
      <c r="M371" s="375"/>
      <c r="N371" s="375"/>
      <c r="O371" s="375"/>
      <c r="P371" s="375"/>
      <c r="Q371" s="375"/>
      <c r="R371" s="320"/>
      <c r="S371" s="461" t="str">
        <f>_xll.BLUEMATRIX2("/servlet/excelData",E371,$B$1,$B371&amp;":"&amp;E$115&amp;":"&amp;$R$114)</f>
        <v>#</v>
      </c>
      <c r="T371" s="461" t="str">
        <f>_xll.BLUEMATRIX2("/servlet/excelData",F371,$B$1,$B371&amp;":"&amp;F$115&amp;":"&amp;$R$114)</f>
        <v>#</v>
      </c>
      <c r="U371" s="461" t="str">
        <f>_xll.BLUEMATRIX2("/servlet/excelData",G371,$B$1,$B371&amp;":"&amp;G$115&amp;":"&amp;$R$114)</f>
        <v>#</v>
      </c>
      <c r="V371" s="461" t="str">
        <f>_xll.BLUEMATRIX2("/servlet/excelData",H371,$B$1,$B371&amp;":"&amp;H$115&amp;":"&amp;$R$114)</f>
        <v>#</v>
      </c>
      <c r="W371" s="461" t="str">
        <f>_xll.BLUEMATRIX2("/servlet/excelData",I371,$B$1,$B371&amp;":"&amp;I$115&amp;":"&amp;$R$114)</f>
        <v>#</v>
      </c>
      <c r="X371" s="461" t="str">
        <f>_xll.BLUEMATRIX2("/servlet/excelData",J371,$B$1,$B371&amp;":"&amp;J$115&amp;":"&amp;$R$114)</f>
        <v>#</v>
      </c>
      <c r="Y371" s="461" t="str">
        <f>_xll.BLUEMATRIX2("/servlet/excelData",K371,$B$1,$B371&amp;":"&amp;K$115&amp;":"&amp;$R$114)</f>
        <v>#</v>
      </c>
      <c r="Z371" s="461" t="str">
        <f>_xll.BLUEMATRIX2("/servlet/excelData",L371,$B$1,$B371&amp;":"&amp;L$115&amp;":"&amp;$R$114)</f>
        <v>#</v>
      </c>
      <c r="AA371" s="461" t="str">
        <f>_xll.BLUEMATRIX2("/servlet/excelData",M371,$B$1,$B371&amp;":"&amp;M$115&amp;":"&amp;$R$114)</f>
        <v>#</v>
      </c>
      <c r="AB371" s="461" t="str">
        <f>_xll.BLUEMATRIX2("/servlet/excelData",N371,$B$1,$B371&amp;":"&amp;N$115&amp;":"&amp;$R$114)</f>
        <v>#</v>
      </c>
      <c r="AC371" s="461" t="str">
        <f>_xll.BLUEMATRIX2("/servlet/excelData",O371,$B$1,$B371&amp;":"&amp;O$115&amp;":"&amp;$R$114)</f>
        <v>#</v>
      </c>
      <c r="AD371" s="461" t="str">
        <f>_xll.BLUEMATRIX2("/servlet/excelData",P371,$B$1,$B371&amp;":"&amp;P$115&amp;":"&amp;$R$114)</f>
        <v>#</v>
      </c>
      <c r="AE371" s="461" t="str">
        <f>_xll.BLUEMATRIX2("/servlet/excelData",Q371,$B$1,$B371&amp;":"&amp;Q$115&amp;":"&amp;$R$114)</f>
        <v>#</v>
      </c>
    </row>
    <row r="372" spans="1:31" ht="12.95" customHeight="1">
      <c r="A372" s="342" t="s">
        <v>806</v>
      </c>
      <c r="B372" s="344" t="s">
        <v>807</v>
      </c>
      <c r="C372" s="440" t="str">
        <f t="shared" si="71"/>
        <v/>
      </c>
      <c r="D372" s="375"/>
      <c r="E372" s="375"/>
      <c r="F372" s="375"/>
      <c r="G372" s="375"/>
      <c r="H372" s="375"/>
      <c r="I372" s="375"/>
      <c r="J372" s="375"/>
      <c r="K372" s="375"/>
      <c r="L372" s="375"/>
      <c r="M372" s="375"/>
      <c r="N372" s="375"/>
      <c r="O372" s="375"/>
      <c r="P372" s="375"/>
      <c r="Q372" s="375"/>
      <c r="R372" s="320"/>
      <c r="S372" s="461" t="str">
        <f>_xll.BLUEMATRIX2("/servlet/excelData",E372,$B$1,$B372&amp;":"&amp;E$115&amp;":"&amp;$R$114)</f>
        <v>#</v>
      </c>
      <c r="T372" s="461" t="str">
        <f>_xll.BLUEMATRIX2("/servlet/excelData",F372,$B$1,$B372&amp;":"&amp;F$115&amp;":"&amp;$R$114)</f>
        <v>#</v>
      </c>
      <c r="U372" s="461" t="str">
        <f>_xll.BLUEMATRIX2("/servlet/excelData",G372,$B$1,$B372&amp;":"&amp;G$115&amp;":"&amp;$R$114)</f>
        <v>#</v>
      </c>
      <c r="V372" s="461" t="str">
        <f>_xll.BLUEMATRIX2("/servlet/excelData",H372,$B$1,$B372&amp;":"&amp;H$115&amp;":"&amp;$R$114)</f>
        <v>#</v>
      </c>
      <c r="W372" s="461" t="str">
        <f>_xll.BLUEMATRIX2("/servlet/excelData",I372,$B$1,$B372&amp;":"&amp;I$115&amp;":"&amp;$R$114)</f>
        <v>#</v>
      </c>
      <c r="X372" s="461" t="str">
        <f>_xll.BLUEMATRIX2("/servlet/excelData",J372,$B$1,$B372&amp;":"&amp;J$115&amp;":"&amp;$R$114)</f>
        <v>#</v>
      </c>
      <c r="Y372" s="461" t="str">
        <f>_xll.BLUEMATRIX2("/servlet/excelData",K372,$B$1,$B372&amp;":"&amp;K$115&amp;":"&amp;$R$114)</f>
        <v>#</v>
      </c>
      <c r="Z372" s="461" t="str">
        <f>_xll.BLUEMATRIX2("/servlet/excelData",L372,$B$1,$B372&amp;":"&amp;L$115&amp;":"&amp;$R$114)</f>
        <v>#</v>
      </c>
      <c r="AA372" s="461" t="str">
        <f>_xll.BLUEMATRIX2("/servlet/excelData",M372,$B$1,$B372&amp;":"&amp;M$115&amp;":"&amp;$R$114)</f>
        <v>#</v>
      </c>
      <c r="AB372" s="461" t="str">
        <f>_xll.BLUEMATRIX2("/servlet/excelData",N372,$B$1,$B372&amp;":"&amp;N$115&amp;":"&amp;$R$114)</f>
        <v>#</v>
      </c>
      <c r="AC372" s="461" t="str">
        <f>_xll.BLUEMATRIX2("/servlet/excelData",O372,$B$1,$B372&amp;":"&amp;O$115&amp;":"&amp;$R$114)</f>
        <v>#</v>
      </c>
      <c r="AD372" s="461" t="str">
        <f>_xll.BLUEMATRIX2("/servlet/excelData",P372,$B$1,$B372&amp;":"&amp;P$115&amp;":"&amp;$R$114)</f>
        <v>#</v>
      </c>
      <c r="AE372" s="461" t="str">
        <f>_xll.BLUEMATRIX2("/servlet/excelData",Q372,$B$1,$B372&amp;":"&amp;Q$115&amp;":"&amp;$R$114)</f>
        <v>#</v>
      </c>
    </row>
    <row r="373" spans="1:31" ht="12.95" customHeight="1">
      <c r="A373" s="342" t="s">
        <v>808</v>
      </c>
      <c r="B373" s="344" t="s">
        <v>809</v>
      </c>
      <c r="C373" s="440" t="str">
        <f t="shared" si="71"/>
        <v/>
      </c>
      <c r="D373" s="375"/>
      <c r="E373" s="375"/>
      <c r="F373" s="375"/>
      <c r="G373" s="375"/>
      <c r="H373" s="375"/>
      <c r="I373" s="375"/>
      <c r="J373" s="375"/>
      <c r="K373" s="375"/>
      <c r="L373" s="375"/>
      <c r="M373" s="375"/>
      <c r="N373" s="375"/>
      <c r="O373" s="375"/>
      <c r="P373" s="375"/>
      <c r="Q373" s="375"/>
      <c r="R373" s="320"/>
      <c r="S373" s="461" t="str">
        <f>_xll.BLUEMATRIX2("/servlet/excelData",E373,$B$1,$B373&amp;":"&amp;E$115&amp;":"&amp;$R$114)</f>
        <v>#</v>
      </c>
      <c r="T373" s="461" t="str">
        <f>_xll.BLUEMATRIX2("/servlet/excelData",F373,$B$1,$B373&amp;":"&amp;F$115&amp;":"&amp;$R$114)</f>
        <v>#</v>
      </c>
      <c r="U373" s="461" t="str">
        <f>_xll.BLUEMATRIX2("/servlet/excelData",G373,$B$1,$B373&amp;":"&amp;G$115&amp;":"&amp;$R$114)</f>
        <v>#</v>
      </c>
      <c r="V373" s="461" t="str">
        <f>_xll.BLUEMATRIX2("/servlet/excelData",H373,$B$1,$B373&amp;":"&amp;H$115&amp;":"&amp;$R$114)</f>
        <v>#</v>
      </c>
      <c r="W373" s="461" t="str">
        <f>_xll.BLUEMATRIX2("/servlet/excelData",I373,$B$1,$B373&amp;":"&amp;I$115&amp;":"&amp;$R$114)</f>
        <v>#</v>
      </c>
      <c r="X373" s="461" t="str">
        <f>_xll.BLUEMATRIX2("/servlet/excelData",J373,$B$1,$B373&amp;":"&amp;J$115&amp;":"&amp;$R$114)</f>
        <v>#</v>
      </c>
      <c r="Y373" s="461" t="str">
        <f>_xll.BLUEMATRIX2("/servlet/excelData",K373,$B$1,$B373&amp;":"&amp;K$115&amp;":"&amp;$R$114)</f>
        <v>#</v>
      </c>
      <c r="Z373" s="461" t="str">
        <f>_xll.BLUEMATRIX2("/servlet/excelData",L373,$B$1,$B373&amp;":"&amp;L$115&amp;":"&amp;$R$114)</f>
        <v>#</v>
      </c>
      <c r="AA373" s="461" t="str">
        <f>_xll.BLUEMATRIX2("/servlet/excelData",M373,$B$1,$B373&amp;":"&amp;M$115&amp;":"&amp;$R$114)</f>
        <v>#</v>
      </c>
      <c r="AB373" s="461" t="str">
        <f>_xll.BLUEMATRIX2("/servlet/excelData",N373,$B$1,$B373&amp;":"&amp;N$115&amp;":"&amp;$R$114)</f>
        <v>#</v>
      </c>
      <c r="AC373" s="461" t="str">
        <f>_xll.BLUEMATRIX2("/servlet/excelData",O373,$B$1,$B373&amp;":"&amp;O$115&amp;":"&amp;$R$114)</f>
        <v>#</v>
      </c>
      <c r="AD373" s="461" t="str">
        <f>_xll.BLUEMATRIX2("/servlet/excelData",P373,$B$1,$B373&amp;":"&amp;P$115&amp;":"&amp;$R$114)</f>
        <v>#</v>
      </c>
      <c r="AE373" s="461" t="str">
        <f>_xll.BLUEMATRIX2("/servlet/excelData",Q373,$B$1,$B373&amp;":"&amp;Q$115&amp;":"&amp;$R$114)</f>
        <v>#</v>
      </c>
    </row>
    <row r="374" spans="1:31" ht="12.95" customHeight="1">
      <c r="A374" s="441"/>
      <c r="B374" s="344"/>
      <c r="C374" s="320"/>
      <c r="D374" s="320"/>
      <c r="E374" s="320"/>
      <c r="F374" s="320"/>
      <c r="G374" s="320"/>
      <c r="H374" s="320"/>
      <c r="I374" s="320"/>
      <c r="J374" s="320"/>
      <c r="K374" s="320"/>
      <c r="L374" s="320"/>
      <c r="M374" s="320"/>
      <c r="N374" s="320"/>
      <c r="O374" s="320"/>
      <c r="P374" s="320"/>
      <c r="Q374" s="320"/>
      <c r="R374" s="320"/>
      <c r="S374" s="461"/>
      <c r="T374" s="461"/>
      <c r="U374" s="461"/>
      <c r="V374" s="461"/>
      <c r="W374" s="461"/>
      <c r="X374" s="461"/>
      <c r="Y374" s="461"/>
      <c r="Z374" s="461"/>
      <c r="AA374" s="461"/>
      <c r="AB374" s="461"/>
      <c r="AC374" s="461"/>
      <c r="AD374" s="461"/>
      <c r="AE374" s="461"/>
    </row>
    <row r="375" spans="1:31" ht="12.95" customHeight="1">
      <c r="A375" s="320"/>
      <c r="B375" s="344"/>
      <c r="C375" s="320"/>
      <c r="D375" s="320"/>
      <c r="E375" s="320"/>
      <c r="F375" s="320"/>
      <c r="G375" s="320"/>
      <c r="H375" s="320"/>
      <c r="I375" s="320"/>
      <c r="J375" s="320"/>
      <c r="K375" s="320"/>
      <c r="L375" s="320"/>
      <c r="M375" s="320"/>
      <c r="N375" s="320"/>
      <c r="O375" s="320"/>
      <c r="P375" s="320"/>
      <c r="Q375" s="320"/>
      <c r="R375" s="320"/>
      <c r="S375" s="461"/>
      <c r="T375" s="461"/>
      <c r="U375" s="461"/>
      <c r="V375" s="461"/>
      <c r="W375" s="461"/>
      <c r="X375" s="461"/>
      <c r="Y375" s="461"/>
      <c r="Z375" s="461"/>
      <c r="AA375" s="461"/>
      <c r="AB375" s="461"/>
      <c r="AC375" s="461"/>
      <c r="AD375" s="461"/>
      <c r="AE375" s="461"/>
    </row>
    <row r="376" spans="1:31" ht="15" customHeight="1">
      <c r="A376" s="342"/>
      <c r="B376" s="344"/>
      <c r="C376" s="362" t="s">
        <v>810</v>
      </c>
      <c r="D376" s="363"/>
      <c r="E376" s="363"/>
      <c r="F376" s="363"/>
      <c r="G376" s="363"/>
      <c r="H376" s="363"/>
      <c r="I376" s="363"/>
      <c r="J376" s="363"/>
      <c r="K376" s="363"/>
      <c r="L376" s="363"/>
      <c r="M376" s="363"/>
      <c r="N376" s="363"/>
      <c r="O376" s="363"/>
      <c r="P376" s="363"/>
      <c r="Q376" s="363"/>
      <c r="R376" s="320"/>
      <c r="S376" s="461"/>
      <c r="T376" s="461"/>
      <c r="U376" s="461"/>
      <c r="V376" s="461"/>
      <c r="W376" s="461"/>
      <c r="X376" s="461"/>
      <c r="Y376" s="461"/>
      <c r="Z376" s="461"/>
      <c r="AA376" s="461"/>
      <c r="AB376" s="461"/>
      <c r="AC376" s="461"/>
      <c r="AD376" s="461"/>
      <c r="AE376" s="461"/>
    </row>
    <row r="377" spans="1:31" ht="12.95" customHeight="1">
      <c r="A377" s="342" t="s">
        <v>811</v>
      </c>
      <c r="B377" s="344" t="s">
        <v>812</v>
      </c>
      <c r="C377" s="442" t="s">
        <v>813</v>
      </c>
      <c r="D377" s="408"/>
      <c r="E377" s="408">
        <f t="shared" ref="E377:Q377" si="72">E156+E166</f>
        <v>74.200000000000045</v>
      </c>
      <c r="F377" s="408">
        <f t="shared" si="72"/>
        <v>147.80000000000001</v>
      </c>
      <c r="G377" s="408">
        <f t="shared" si="72"/>
        <v>94.199999999999974</v>
      </c>
      <c r="H377" s="408">
        <f t="shared" si="72"/>
        <v>192.5</v>
      </c>
      <c r="I377" s="408">
        <f t="shared" si="72"/>
        <v>215.7</v>
      </c>
      <c r="J377" s="408">
        <f t="shared" si="72"/>
        <v>239.02006447494728</v>
      </c>
      <c r="K377" s="408">
        <f t="shared" si="72"/>
        <v>274.24577074650222</v>
      </c>
      <c r="L377" s="408">
        <f t="shared" si="72"/>
        <v>291.16773590500952</v>
      </c>
      <c r="M377" s="408">
        <f t="shared" si="72"/>
        <v>315.90614627747226</v>
      </c>
      <c r="N377" s="408">
        <f t="shared" si="72"/>
        <v>329.65404741381872</v>
      </c>
      <c r="O377" s="408">
        <f t="shared" si="72"/>
        <v>341.4194277901945</v>
      </c>
      <c r="P377" s="408">
        <f t="shared" si="72"/>
        <v>351.86534048015437</v>
      </c>
      <c r="Q377" s="408">
        <f t="shared" si="72"/>
        <v>361.47970328111694</v>
      </c>
      <c r="R377" s="320"/>
      <c r="S377" s="461" t="str">
        <f>_xll.BLUEMATRIX2("/servlet/excelData",E377,$B$1,$B377&amp;":"&amp;E$115&amp;":"&amp;$R$114)</f>
        <v>#</v>
      </c>
      <c r="T377" s="461" t="str">
        <f>_xll.BLUEMATRIX2("/servlet/excelData",F377,$B$1,$B377&amp;":"&amp;F$115&amp;":"&amp;$R$114)</f>
        <v>#</v>
      </c>
      <c r="U377" s="461" t="str">
        <f>_xll.BLUEMATRIX2("/servlet/excelData",G377,$B$1,$B377&amp;":"&amp;G$115&amp;":"&amp;$R$114)</f>
        <v>#</v>
      </c>
      <c r="V377" s="461" t="str">
        <f>_xll.BLUEMATRIX2("/servlet/excelData",H377,$B$1,$B377&amp;":"&amp;H$115&amp;":"&amp;$R$114)</f>
        <v>#</v>
      </c>
      <c r="W377" s="461" t="str">
        <f>_xll.BLUEMATRIX2("/servlet/excelData",I377,$B$1,$B377&amp;":"&amp;I$115&amp;":"&amp;$R$114)</f>
        <v>#</v>
      </c>
      <c r="X377" s="461" t="str">
        <f>_xll.BLUEMATRIX2("/servlet/excelData",J377,$B$1,$B377&amp;":"&amp;J$115&amp;":"&amp;$R$114)</f>
        <v>#</v>
      </c>
      <c r="Y377" s="461" t="str">
        <f>_xll.BLUEMATRIX2("/servlet/excelData",K377,$B$1,$B377&amp;":"&amp;K$115&amp;":"&amp;$R$114)</f>
        <v>#</v>
      </c>
      <c r="Z377" s="461" t="str">
        <f>_xll.BLUEMATRIX2("/servlet/excelData",L377,$B$1,$B377&amp;":"&amp;L$115&amp;":"&amp;$R$114)</f>
        <v>#</v>
      </c>
      <c r="AA377" s="461" t="str">
        <f>_xll.BLUEMATRIX2("/servlet/excelData",M377,$B$1,$B377&amp;":"&amp;M$115&amp;":"&amp;$R$114)</f>
        <v>#</v>
      </c>
      <c r="AB377" s="461" t="str">
        <f>_xll.BLUEMATRIX2("/servlet/excelData",N377,$B$1,$B377&amp;":"&amp;N$115&amp;":"&amp;$R$114)</f>
        <v>#</v>
      </c>
      <c r="AC377" s="461" t="str">
        <f>_xll.BLUEMATRIX2("/servlet/excelData",O377,$B$1,$B377&amp;":"&amp;O$115&amp;":"&amp;$R$114)</f>
        <v>#</v>
      </c>
      <c r="AD377" s="461" t="str">
        <f>_xll.BLUEMATRIX2("/servlet/excelData",P377,$B$1,$B377&amp;":"&amp;P$115&amp;":"&amp;$R$114)</f>
        <v>#</v>
      </c>
      <c r="AE377" s="461" t="str">
        <f>_xll.BLUEMATRIX2("/servlet/excelData",Q377,$B$1,$B377&amp;":"&amp;Q$115&amp;":"&amp;$R$114)</f>
        <v>#</v>
      </c>
    </row>
    <row r="378" spans="1:31" ht="12.95" customHeight="1">
      <c r="A378" s="342" t="s">
        <v>814</v>
      </c>
      <c r="B378" s="344" t="s">
        <v>815</v>
      </c>
      <c r="C378" s="320" t="s">
        <v>816</v>
      </c>
      <c r="D378" s="408"/>
      <c r="E378" s="408">
        <f t="shared" ref="E378:Q378" si="73">E166+E168</f>
        <v>0</v>
      </c>
      <c r="F378" s="408">
        <f t="shared" si="73"/>
        <v>-2.7</v>
      </c>
      <c r="G378" s="408">
        <f t="shared" si="73"/>
        <v>-3.2</v>
      </c>
      <c r="H378" s="408">
        <f t="shared" si="73"/>
        <v>3.8</v>
      </c>
      <c r="I378" s="408">
        <f t="shared" si="73"/>
        <v>-3</v>
      </c>
      <c r="J378" s="408">
        <f t="shared" si="73"/>
        <v>1</v>
      </c>
      <c r="K378" s="408">
        <f t="shared" si="73"/>
        <v>12</v>
      </c>
      <c r="L378" s="408">
        <f t="shared" si="73"/>
        <v>22</v>
      </c>
      <c r="M378" s="408">
        <f t="shared" si="73"/>
        <v>30</v>
      </c>
      <c r="N378" s="408">
        <f t="shared" si="73"/>
        <v>30.9</v>
      </c>
      <c r="O378" s="408">
        <f t="shared" si="73"/>
        <v>31.826999999999998</v>
      </c>
      <c r="P378" s="408">
        <f t="shared" si="73"/>
        <v>32.78181</v>
      </c>
      <c r="Q378" s="408">
        <f t="shared" si="73"/>
        <v>33.765264300000005</v>
      </c>
      <c r="R378" s="320"/>
      <c r="S378" s="461" t="str">
        <f>_xll.BLUEMATRIX2("/servlet/excelData",E378,$B$1,$B378&amp;":"&amp;E$115&amp;":"&amp;$R$114)</f>
        <v>#</v>
      </c>
      <c r="T378" s="461" t="str">
        <f>_xll.BLUEMATRIX2("/servlet/excelData",F378,$B$1,$B378&amp;":"&amp;F$115&amp;":"&amp;$R$114)</f>
        <v>#</v>
      </c>
      <c r="U378" s="461" t="str">
        <f>_xll.BLUEMATRIX2("/servlet/excelData",G378,$B$1,$B378&amp;":"&amp;G$115&amp;":"&amp;$R$114)</f>
        <v>#</v>
      </c>
      <c r="V378" s="461" t="str">
        <f>_xll.BLUEMATRIX2("/servlet/excelData",H378,$B$1,$B378&amp;":"&amp;H$115&amp;":"&amp;$R$114)</f>
        <v>#</v>
      </c>
      <c r="W378" s="461" t="str">
        <f>_xll.BLUEMATRIX2("/servlet/excelData",I378,$B$1,$B378&amp;":"&amp;I$115&amp;":"&amp;$R$114)</f>
        <v>#</v>
      </c>
      <c r="X378" s="461" t="str">
        <f>_xll.BLUEMATRIX2("/servlet/excelData",J378,$B$1,$B378&amp;":"&amp;J$115&amp;":"&amp;$R$114)</f>
        <v>#</v>
      </c>
      <c r="Y378" s="461" t="str">
        <f>_xll.BLUEMATRIX2("/servlet/excelData",K378,$B$1,$B378&amp;":"&amp;K$115&amp;":"&amp;$R$114)</f>
        <v>#</v>
      </c>
      <c r="Z378" s="461" t="str">
        <f>_xll.BLUEMATRIX2("/servlet/excelData",L378,$B$1,$B378&amp;":"&amp;L$115&amp;":"&amp;$R$114)</f>
        <v>#</v>
      </c>
      <c r="AA378" s="461" t="str">
        <f>_xll.BLUEMATRIX2("/servlet/excelData",M378,$B$1,$B378&amp;":"&amp;M$115&amp;":"&amp;$R$114)</f>
        <v>#</v>
      </c>
      <c r="AB378" s="461" t="str">
        <f>_xll.BLUEMATRIX2("/servlet/excelData",N378,$B$1,$B378&amp;":"&amp;N$115&amp;":"&amp;$R$114)</f>
        <v>#</v>
      </c>
      <c r="AC378" s="461" t="str">
        <f>_xll.BLUEMATRIX2("/servlet/excelData",O378,$B$1,$B378&amp;":"&amp;O$115&amp;":"&amp;$R$114)</f>
        <v>#</v>
      </c>
      <c r="AD378" s="461" t="str">
        <f>_xll.BLUEMATRIX2("/servlet/excelData",P378,$B$1,$B378&amp;":"&amp;P$115&amp;":"&amp;$R$114)</f>
        <v>#</v>
      </c>
      <c r="AE378" s="461" t="str">
        <f>_xll.BLUEMATRIX2("/servlet/excelData",Q378,$B$1,$B378&amp;":"&amp;Q$115&amp;":"&amp;$R$114)</f>
        <v>#</v>
      </c>
    </row>
    <row r="379" spans="1:31" ht="12.95" customHeight="1">
      <c r="A379" s="342" t="s">
        <v>817</v>
      </c>
      <c r="B379" s="344" t="s">
        <v>818</v>
      </c>
      <c r="C379" s="320" t="s">
        <v>819</v>
      </c>
      <c r="D379" s="408"/>
      <c r="E379" s="408">
        <f t="shared" ref="E379:Q379" si="74">E170+E171</f>
        <v>6794</v>
      </c>
      <c r="F379" s="408">
        <f t="shared" si="74"/>
        <v>-17.800000000000004</v>
      </c>
      <c r="G379" s="408">
        <f t="shared" si="74"/>
        <v>-1387.7</v>
      </c>
      <c r="H379" s="408">
        <f t="shared" si="74"/>
        <v>-12.899999999999999</v>
      </c>
      <c r="I379" s="408">
        <f t="shared" si="74"/>
        <v>-24.799999999999997</v>
      </c>
      <c r="J379" s="408">
        <f t="shared" si="74"/>
        <v>-37</v>
      </c>
      <c r="K379" s="408">
        <f t="shared" si="74"/>
        <v>-5</v>
      </c>
      <c r="L379" s="408">
        <f t="shared" si="74"/>
        <v>0</v>
      </c>
      <c r="M379" s="408">
        <f t="shared" si="74"/>
        <v>0</v>
      </c>
      <c r="N379" s="408">
        <f t="shared" si="74"/>
        <v>0</v>
      </c>
      <c r="O379" s="408">
        <f t="shared" si="74"/>
        <v>0</v>
      </c>
      <c r="P379" s="408">
        <f t="shared" si="74"/>
        <v>0</v>
      </c>
      <c r="Q379" s="408">
        <f t="shared" si="74"/>
        <v>0</v>
      </c>
      <c r="R379" s="320"/>
      <c r="S379" s="461" t="str">
        <f>_xll.BLUEMATRIX2("/servlet/excelData",E379,$B$1,$B379&amp;":"&amp;E$115&amp;":"&amp;$R$114)</f>
        <v>#</v>
      </c>
      <c r="T379" s="461" t="str">
        <f>_xll.BLUEMATRIX2("/servlet/excelData",F379,$B$1,$B379&amp;":"&amp;F$115&amp;":"&amp;$R$114)</f>
        <v>#</v>
      </c>
      <c r="U379" s="461" t="str">
        <f>_xll.BLUEMATRIX2("/servlet/excelData",G379,$B$1,$B379&amp;":"&amp;G$115&amp;":"&amp;$R$114)</f>
        <v>#</v>
      </c>
      <c r="V379" s="461" t="str">
        <f>_xll.BLUEMATRIX2("/servlet/excelData",H379,$B$1,$B379&amp;":"&amp;H$115&amp;":"&amp;$R$114)</f>
        <v>#</v>
      </c>
      <c r="W379" s="461" t="str">
        <f>_xll.BLUEMATRIX2("/servlet/excelData",I379,$B$1,$B379&amp;":"&amp;I$115&amp;":"&amp;$R$114)</f>
        <v>#</v>
      </c>
      <c r="X379" s="461" t="str">
        <f>_xll.BLUEMATRIX2("/servlet/excelData",J379,$B$1,$B379&amp;":"&amp;J$115&amp;":"&amp;$R$114)</f>
        <v>#</v>
      </c>
      <c r="Y379" s="461" t="str">
        <f>_xll.BLUEMATRIX2("/servlet/excelData",K379,$B$1,$B379&amp;":"&amp;K$115&amp;":"&amp;$R$114)</f>
        <v>#</v>
      </c>
      <c r="Z379" s="461" t="str">
        <f>_xll.BLUEMATRIX2("/servlet/excelData",L379,$B$1,$B379&amp;":"&amp;L$115&amp;":"&amp;$R$114)</f>
        <v>#</v>
      </c>
      <c r="AA379" s="461" t="str">
        <f>_xll.BLUEMATRIX2("/servlet/excelData",M379,$B$1,$B379&amp;":"&amp;M$115&amp;":"&amp;$R$114)</f>
        <v>#</v>
      </c>
      <c r="AB379" s="461" t="str">
        <f>_xll.BLUEMATRIX2("/servlet/excelData",N379,$B$1,$B379&amp;":"&amp;N$115&amp;":"&amp;$R$114)</f>
        <v>#</v>
      </c>
      <c r="AC379" s="461" t="str">
        <f>_xll.BLUEMATRIX2("/servlet/excelData",O379,$B$1,$B379&amp;":"&amp;O$115&amp;":"&amp;$R$114)</f>
        <v>#</v>
      </c>
      <c r="AD379" s="461" t="str">
        <f>_xll.BLUEMATRIX2("/servlet/excelData",P379,$B$1,$B379&amp;":"&amp;P$115&amp;":"&amp;$R$114)</f>
        <v>#</v>
      </c>
      <c r="AE379" s="461" t="str">
        <f>_xll.BLUEMATRIX2("/servlet/excelData",Q379,$B$1,$B379&amp;":"&amp;Q$115&amp;":"&amp;$R$114)</f>
        <v>#</v>
      </c>
    </row>
    <row r="380" spans="1:31" ht="12.95" customHeight="1">
      <c r="A380" s="342" t="s">
        <v>820</v>
      </c>
      <c r="B380" s="344" t="s">
        <v>821</v>
      </c>
      <c r="C380" s="320" t="s">
        <v>822</v>
      </c>
      <c r="D380" s="408"/>
      <c r="E380" s="408">
        <f t="shared" ref="E380:Q380" si="75">E185+E186+E188+E191+E192+E194</f>
        <v>1895.6000000000001</v>
      </c>
      <c r="F380" s="408">
        <f t="shared" si="75"/>
        <v>1883.3999999999999</v>
      </c>
      <c r="G380" s="408">
        <f t="shared" si="75"/>
        <v>1142.2</v>
      </c>
      <c r="H380" s="408">
        <f t="shared" si="75"/>
        <v>1081.9000000000001</v>
      </c>
      <c r="I380" s="408">
        <f t="shared" si="75"/>
        <v>1105</v>
      </c>
      <c r="J380" s="408">
        <f t="shared" si="75"/>
        <v>1388</v>
      </c>
      <c r="K380" s="408">
        <f t="shared" si="75"/>
        <v>1388</v>
      </c>
      <c r="L380" s="408">
        <f t="shared" si="75"/>
        <v>1388</v>
      </c>
      <c r="M380" s="408">
        <f t="shared" si="75"/>
        <v>1388</v>
      </c>
      <c r="N380" s="408">
        <f t="shared" si="75"/>
        <v>1388</v>
      </c>
      <c r="O380" s="408">
        <f t="shared" si="75"/>
        <v>1388</v>
      </c>
      <c r="P380" s="408">
        <f t="shared" si="75"/>
        <v>1388</v>
      </c>
      <c r="Q380" s="408">
        <f t="shared" si="75"/>
        <v>1388</v>
      </c>
      <c r="R380" s="320"/>
      <c r="S380" s="461" t="str">
        <f>_xll.BLUEMATRIX2("/servlet/excelData",E380,$B$1,$B380&amp;":"&amp;E$115&amp;":"&amp;$R$114)</f>
        <v>#</v>
      </c>
      <c r="T380" s="461" t="str">
        <f>_xll.BLUEMATRIX2("/servlet/excelData",F380,$B$1,$B380&amp;":"&amp;F$115&amp;":"&amp;$R$114)</f>
        <v>#</v>
      </c>
      <c r="U380" s="461" t="str">
        <f>_xll.BLUEMATRIX2("/servlet/excelData",G380,$B$1,$B380&amp;":"&amp;G$115&amp;":"&amp;$R$114)</f>
        <v>#</v>
      </c>
      <c r="V380" s="461" t="str">
        <f>_xll.BLUEMATRIX2("/servlet/excelData",H380,$B$1,$B380&amp;":"&amp;H$115&amp;":"&amp;$R$114)</f>
        <v>#</v>
      </c>
      <c r="W380" s="461" t="str">
        <f>_xll.BLUEMATRIX2("/servlet/excelData",I380,$B$1,$B380&amp;":"&amp;I$115&amp;":"&amp;$R$114)</f>
        <v>#</v>
      </c>
      <c r="X380" s="461" t="str">
        <f>_xll.BLUEMATRIX2("/servlet/excelData",J380,$B$1,$B380&amp;":"&amp;J$115&amp;":"&amp;$R$114)</f>
        <v>#</v>
      </c>
      <c r="Y380" s="461" t="str">
        <f>_xll.BLUEMATRIX2("/servlet/excelData",K380,$B$1,$B380&amp;":"&amp;K$115&amp;":"&amp;$R$114)</f>
        <v>#</v>
      </c>
      <c r="Z380" s="461" t="str">
        <f>_xll.BLUEMATRIX2("/servlet/excelData",L380,$B$1,$B380&amp;":"&amp;L$115&amp;":"&amp;$R$114)</f>
        <v>#</v>
      </c>
      <c r="AA380" s="461" t="str">
        <f>_xll.BLUEMATRIX2("/servlet/excelData",M380,$B$1,$B380&amp;":"&amp;M$115&amp;":"&amp;$R$114)</f>
        <v>#</v>
      </c>
      <c r="AB380" s="461" t="str">
        <f>_xll.BLUEMATRIX2("/servlet/excelData",N380,$B$1,$B380&amp;":"&amp;N$115&amp;":"&amp;$R$114)</f>
        <v>#</v>
      </c>
      <c r="AC380" s="461" t="str">
        <f>_xll.BLUEMATRIX2("/servlet/excelData",O380,$B$1,$B380&amp;":"&amp;O$115&amp;":"&amp;$R$114)</f>
        <v>#</v>
      </c>
      <c r="AD380" s="461" t="str">
        <f>_xll.BLUEMATRIX2("/servlet/excelData",P380,$B$1,$B380&amp;":"&amp;P$115&amp;":"&amp;$R$114)</f>
        <v>#</v>
      </c>
      <c r="AE380" s="461" t="str">
        <f>_xll.BLUEMATRIX2("/servlet/excelData",Q380,$B$1,$B380&amp;":"&amp;Q$115&amp;":"&amp;$R$114)</f>
        <v>#</v>
      </c>
    </row>
    <row r="381" spans="1:31" ht="12.95" customHeight="1">
      <c r="A381" s="342" t="s">
        <v>823</v>
      </c>
      <c r="B381" s="344" t="s">
        <v>824</v>
      </c>
      <c r="C381" s="320" t="s">
        <v>825</v>
      </c>
      <c r="D381" s="408"/>
      <c r="E381" s="408">
        <f>E202+E205+E206+E207+E210+E211+E212+E213+E214+E215</f>
        <v>603.79999999999995</v>
      </c>
      <c r="F381" s="408">
        <f>F202+F205+F206+F207+F210+F211+F212+F213+F214+F215</f>
        <v>390.4</v>
      </c>
      <c r="G381" s="408">
        <f>G202+G205+G206+G207+G210+G211+G212+G213+G214+G215</f>
        <v>550.90000000000009</v>
      </c>
      <c r="H381" s="408">
        <f>H202+H205+H206+H207+H210+H211+H212+H213+H214+H215</f>
        <v>583.79999999999995</v>
      </c>
      <c r="I381" s="408">
        <f t="shared" ref="I381:P381" si="76">I202+I205+I206+I207+I210+I211+I212+I213+I214+I215</f>
        <v>629.5</v>
      </c>
      <c r="J381" s="408">
        <f t="shared" si="76"/>
        <v>599.5</v>
      </c>
      <c r="K381" s="408">
        <f t="shared" si="76"/>
        <v>569.5</v>
      </c>
      <c r="L381" s="408">
        <f t="shared" si="76"/>
        <v>539.5</v>
      </c>
      <c r="M381" s="408">
        <f t="shared" si="76"/>
        <v>509.5</v>
      </c>
      <c r="N381" s="408">
        <f t="shared" si="76"/>
        <v>479.5</v>
      </c>
      <c r="O381" s="408">
        <f t="shared" si="76"/>
        <v>449.5</v>
      </c>
      <c r="P381" s="408">
        <f t="shared" si="76"/>
        <v>419.5</v>
      </c>
      <c r="Q381" s="408">
        <f>Q202+Q205+Q206+Q207+Q210+Q211+Q212+Q213+Q214+Q215</f>
        <v>389.5</v>
      </c>
      <c r="R381" s="320"/>
      <c r="S381" s="461" t="str">
        <f>_xll.BLUEMATRIX2("/servlet/excelData",E381,$B$1,$B381&amp;":"&amp;E$115&amp;":"&amp;$R$114)</f>
        <v>#</v>
      </c>
      <c r="T381" s="461" t="str">
        <f>_xll.BLUEMATRIX2("/servlet/excelData",F381,$B$1,$B381&amp;":"&amp;F$115&amp;":"&amp;$R$114)</f>
        <v>#</v>
      </c>
      <c r="U381" s="461" t="str">
        <f>_xll.BLUEMATRIX2("/servlet/excelData",G381,$B$1,$B381&amp;":"&amp;G$115&amp;":"&amp;$R$114)</f>
        <v>#</v>
      </c>
      <c r="V381" s="461" t="str">
        <f>_xll.BLUEMATRIX2("/servlet/excelData",H381,$B$1,$B381&amp;":"&amp;H$115&amp;":"&amp;$R$114)</f>
        <v>#</v>
      </c>
      <c r="W381" s="461" t="str">
        <f>_xll.BLUEMATRIX2("/servlet/excelData",I381,$B$1,$B381&amp;":"&amp;I$115&amp;":"&amp;$R$114)</f>
        <v>#</v>
      </c>
      <c r="X381" s="461" t="str">
        <f>_xll.BLUEMATRIX2("/servlet/excelData",J381,$B$1,$B381&amp;":"&amp;J$115&amp;":"&amp;$R$114)</f>
        <v>#</v>
      </c>
      <c r="Y381" s="461" t="str">
        <f>_xll.BLUEMATRIX2("/servlet/excelData",K381,$B$1,$B381&amp;":"&amp;K$115&amp;":"&amp;$R$114)</f>
        <v>#</v>
      </c>
      <c r="Z381" s="461" t="str">
        <f>_xll.BLUEMATRIX2("/servlet/excelData",L381,$B$1,$B381&amp;":"&amp;L$115&amp;":"&amp;$R$114)</f>
        <v>#</v>
      </c>
      <c r="AA381" s="461" t="str">
        <f>_xll.BLUEMATRIX2("/servlet/excelData",M381,$B$1,$B381&amp;":"&amp;M$115&amp;":"&amp;$R$114)</f>
        <v>#</v>
      </c>
      <c r="AB381" s="461" t="str">
        <f>_xll.BLUEMATRIX2("/servlet/excelData",N381,$B$1,$B381&amp;":"&amp;N$115&amp;":"&amp;$R$114)</f>
        <v>#</v>
      </c>
      <c r="AC381" s="461" t="str">
        <f>_xll.BLUEMATRIX2("/servlet/excelData",O381,$B$1,$B381&amp;":"&amp;O$115&amp;":"&amp;$R$114)</f>
        <v>#</v>
      </c>
      <c r="AD381" s="461" t="str">
        <f>_xll.BLUEMATRIX2("/servlet/excelData",P381,$B$1,$B381&amp;":"&amp;P$115&amp;":"&amp;$R$114)</f>
        <v>#</v>
      </c>
      <c r="AE381" s="461" t="str">
        <f>_xll.BLUEMATRIX2("/servlet/excelData",Q381,$B$1,$B381&amp;":"&amp;Q$115&amp;":"&amp;$R$114)</f>
        <v>#</v>
      </c>
    </row>
    <row r="382" spans="1:31" ht="12.95" customHeight="1">
      <c r="A382" s="342" t="s">
        <v>826</v>
      </c>
      <c r="B382" s="344" t="s">
        <v>827</v>
      </c>
      <c r="C382" s="320" t="s">
        <v>828</v>
      </c>
      <c r="D382" s="408"/>
      <c r="E382" s="408">
        <f>E204+E209</f>
        <v>135.30000000000001</v>
      </c>
      <c r="F382" s="408">
        <f>F204+F209</f>
        <v>431.9</v>
      </c>
      <c r="G382" s="408">
        <f>G204+G209</f>
        <v>1032.5999999999999</v>
      </c>
      <c r="H382" s="408">
        <f>H204+H209</f>
        <v>738.1</v>
      </c>
      <c r="I382" s="408">
        <f t="shared" ref="I382:P382" si="77">I204+I209</f>
        <v>716.3</v>
      </c>
      <c r="J382" s="408">
        <f t="shared" si="77"/>
        <v>891.3</v>
      </c>
      <c r="K382" s="408">
        <f t="shared" si="77"/>
        <v>891.3</v>
      </c>
      <c r="L382" s="408">
        <f t="shared" si="77"/>
        <v>891.3</v>
      </c>
      <c r="M382" s="408">
        <f t="shared" si="77"/>
        <v>891.3</v>
      </c>
      <c r="N382" s="408">
        <f t="shared" si="77"/>
        <v>891.3</v>
      </c>
      <c r="O382" s="408">
        <f t="shared" si="77"/>
        <v>891.3</v>
      </c>
      <c r="P382" s="408">
        <f t="shared" si="77"/>
        <v>891.3</v>
      </c>
      <c r="Q382" s="408">
        <f>Q204+Q209</f>
        <v>891.3</v>
      </c>
      <c r="R382" s="320"/>
      <c r="S382" s="461" t="str">
        <f>_xll.BLUEMATRIX2("/servlet/excelData",E382,$B$1,$B382&amp;":"&amp;E$115&amp;":"&amp;$R$114)</f>
        <v>#</v>
      </c>
      <c r="T382" s="461" t="str">
        <f>_xll.BLUEMATRIX2("/servlet/excelData",F382,$B$1,$B382&amp;":"&amp;F$115&amp;":"&amp;$R$114)</f>
        <v>#</v>
      </c>
      <c r="U382" s="461" t="str">
        <f>_xll.BLUEMATRIX2("/servlet/excelData",G382,$B$1,$B382&amp;":"&amp;G$115&amp;":"&amp;$R$114)</f>
        <v>#</v>
      </c>
      <c r="V382" s="461" t="str">
        <f>_xll.BLUEMATRIX2("/servlet/excelData",H382,$B$1,$B382&amp;":"&amp;H$115&amp;":"&amp;$R$114)</f>
        <v>#</v>
      </c>
      <c r="W382" s="461" t="str">
        <f>_xll.BLUEMATRIX2("/servlet/excelData",I382,$B$1,$B382&amp;":"&amp;I$115&amp;":"&amp;$R$114)</f>
        <v>#</v>
      </c>
      <c r="X382" s="461" t="str">
        <f>_xll.BLUEMATRIX2("/servlet/excelData",J382,$B$1,$B382&amp;":"&amp;J$115&amp;":"&amp;$R$114)</f>
        <v>#</v>
      </c>
      <c r="Y382" s="461" t="str">
        <f>_xll.BLUEMATRIX2("/servlet/excelData",K382,$B$1,$B382&amp;":"&amp;K$115&amp;":"&amp;$R$114)</f>
        <v>#</v>
      </c>
      <c r="Z382" s="461" t="str">
        <f>_xll.BLUEMATRIX2("/servlet/excelData",L382,$B$1,$B382&amp;":"&amp;L$115&amp;":"&amp;$R$114)</f>
        <v>#</v>
      </c>
      <c r="AA382" s="461" t="str">
        <f>_xll.BLUEMATRIX2("/servlet/excelData",M382,$B$1,$B382&amp;":"&amp;M$115&amp;":"&amp;$R$114)</f>
        <v>#</v>
      </c>
      <c r="AB382" s="461" t="str">
        <f>_xll.BLUEMATRIX2("/servlet/excelData",N382,$B$1,$B382&amp;":"&amp;N$115&amp;":"&amp;$R$114)</f>
        <v>#</v>
      </c>
      <c r="AC382" s="461" t="str">
        <f>_xll.BLUEMATRIX2("/servlet/excelData",O382,$B$1,$B382&amp;":"&amp;O$115&amp;":"&amp;$R$114)</f>
        <v>#</v>
      </c>
      <c r="AD382" s="461" t="str">
        <f>_xll.BLUEMATRIX2("/servlet/excelData",P382,$B$1,$B382&amp;":"&amp;P$115&amp;":"&amp;$R$114)</f>
        <v>#</v>
      </c>
      <c r="AE382" s="461" t="str">
        <f>_xll.BLUEMATRIX2("/servlet/excelData",Q382,$B$1,$B382&amp;":"&amp;Q$115&amp;":"&amp;$R$114)</f>
        <v>#</v>
      </c>
    </row>
    <row r="383" spans="1:31" ht="12.95" customHeight="1">
      <c r="A383" s="342" t="s">
        <v>829</v>
      </c>
      <c r="B383" s="344" t="s">
        <v>830</v>
      </c>
      <c r="C383" s="320" t="s">
        <v>831</v>
      </c>
      <c r="D383" s="408"/>
      <c r="E383" s="408">
        <f>E243+E245</f>
        <v>0</v>
      </c>
      <c r="F383" s="408">
        <f>F243+F245</f>
        <v>-154.59999999999997</v>
      </c>
      <c r="G383" s="408">
        <f>G243+G245</f>
        <v>-148.30000000000004</v>
      </c>
      <c r="H383" s="408">
        <f>H243+H245</f>
        <v>-4.1999999999999318</v>
      </c>
      <c r="I383" s="408">
        <f>I243+I245</f>
        <v>-45.600000000000122</v>
      </c>
      <c r="J383" s="408">
        <f t="shared" ref="J383:P383" si="78">J243+J245</f>
        <v>0</v>
      </c>
      <c r="K383" s="408">
        <f t="shared" si="78"/>
        <v>0</v>
      </c>
      <c r="L383" s="408">
        <f t="shared" si="78"/>
        <v>0</v>
      </c>
      <c r="M383" s="408">
        <f t="shared" si="78"/>
        <v>0</v>
      </c>
      <c r="N383" s="408">
        <f t="shared" si="78"/>
        <v>0</v>
      </c>
      <c r="O383" s="408">
        <f t="shared" si="78"/>
        <v>0</v>
      </c>
      <c r="P383" s="408">
        <f t="shared" si="78"/>
        <v>0</v>
      </c>
      <c r="Q383" s="408">
        <f>Q243+Q245</f>
        <v>0</v>
      </c>
      <c r="R383" s="320"/>
      <c r="S383" s="461" t="str">
        <f>_xll.BLUEMATRIX2("/servlet/excelData",E383,$B$1,$B383&amp;":"&amp;E$115&amp;":"&amp;$R$114)</f>
        <v>#</v>
      </c>
      <c r="T383" s="461" t="str">
        <f>_xll.BLUEMATRIX2("/servlet/excelData",F383,$B$1,$B383&amp;":"&amp;F$115&amp;":"&amp;$R$114)</f>
        <v>#</v>
      </c>
      <c r="U383" s="461" t="str">
        <f>_xll.BLUEMATRIX2("/servlet/excelData",G383,$B$1,$B383&amp;":"&amp;G$115&amp;":"&amp;$R$114)</f>
        <v>#</v>
      </c>
      <c r="V383" s="461" t="str">
        <f>_xll.BLUEMATRIX2("/servlet/excelData",H383,$B$1,$B383&amp;":"&amp;H$115&amp;":"&amp;$R$114)</f>
        <v>#</v>
      </c>
      <c r="W383" s="461" t="str">
        <f>_xll.BLUEMATRIX2("/servlet/excelData",I383,$B$1,$B383&amp;":"&amp;I$115&amp;":"&amp;$R$114)</f>
        <v>#</v>
      </c>
      <c r="X383" s="461" t="str">
        <f>_xll.BLUEMATRIX2("/servlet/excelData",J383,$B$1,$B383&amp;":"&amp;J$115&amp;":"&amp;$R$114)</f>
        <v>#</v>
      </c>
      <c r="Y383" s="461" t="str">
        <f>_xll.BLUEMATRIX2("/servlet/excelData",K383,$B$1,$B383&amp;":"&amp;K$115&amp;":"&amp;$R$114)</f>
        <v>#</v>
      </c>
      <c r="Z383" s="461" t="str">
        <f>_xll.BLUEMATRIX2("/servlet/excelData",L383,$B$1,$B383&amp;":"&amp;L$115&amp;":"&amp;$R$114)</f>
        <v>#</v>
      </c>
      <c r="AA383" s="461" t="str">
        <f>_xll.BLUEMATRIX2("/servlet/excelData",M383,$B$1,$B383&amp;":"&amp;M$115&amp;":"&amp;$R$114)</f>
        <v>#</v>
      </c>
      <c r="AB383" s="461" t="str">
        <f>_xll.BLUEMATRIX2("/servlet/excelData",N383,$B$1,$B383&amp;":"&amp;N$115&amp;":"&amp;$R$114)</f>
        <v>#</v>
      </c>
      <c r="AC383" s="461" t="str">
        <f>_xll.BLUEMATRIX2("/servlet/excelData",O383,$B$1,$B383&amp;":"&amp;O$115&amp;":"&amp;$R$114)</f>
        <v>#</v>
      </c>
      <c r="AD383" s="461" t="str">
        <f>_xll.BLUEMATRIX2("/servlet/excelData",P383,$B$1,$B383&amp;":"&amp;P$115&amp;":"&amp;$R$114)</f>
        <v>#</v>
      </c>
      <c r="AE383" s="461" t="str">
        <f>_xll.BLUEMATRIX2("/servlet/excelData",Q383,$B$1,$B383&amp;":"&amp;Q$115&amp;":"&amp;$R$114)</f>
        <v>#</v>
      </c>
    </row>
    <row r="384" spans="1:31" ht="12.95" customHeight="1">
      <c r="A384" s="342" t="s">
        <v>832</v>
      </c>
      <c r="B384" s="344" t="s">
        <v>833</v>
      </c>
      <c r="C384" s="320" t="s">
        <v>834</v>
      </c>
      <c r="D384" s="408"/>
      <c r="E384" s="408">
        <f>E255+E257+E258+E259</f>
        <v>0</v>
      </c>
      <c r="F384" s="408">
        <f>F255+F257+F258+F259</f>
        <v>7.9000000000000057</v>
      </c>
      <c r="G384" s="408">
        <f>G255+G257+G258+G259</f>
        <v>-1.4</v>
      </c>
      <c r="H384" s="408">
        <f>H255+H257+H258+H259</f>
        <v>0.8</v>
      </c>
      <c r="I384" s="408">
        <f>I255+I257+I258+I259</f>
        <v>0</v>
      </c>
      <c r="J384" s="408">
        <f t="shared" ref="J384:P384" si="79">J255+J257+J258+J259</f>
        <v>0</v>
      </c>
      <c r="K384" s="408">
        <f t="shared" si="79"/>
        <v>0</v>
      </c>
      <c r="L384" s="408">
        <f t="shared" si="79"/>
        <v>0</v>
      </c>
      <c r="M384" s="408">
        <f t="shared" si="79"/>
        <v>0</v>
      </c>
      <c r="N384" s="408">
        <f t="shared" si="79"/>
        <v>0</v>
      </c>
      <c r="O384" s="408">
        <f t="shared" si="79"/>
        <v>0</v>
      </c>
      <c r="P384" s="408">
        <f t="shared" si="79"/>
        <v>0</v>
      </c>
      <c r="Q384" s="408">
        <f>Q255+Q257+Q258+Q259</f>
        <v>0</v>
      </c>
      <c r="R384" s="320"/>
      <c r="S384" s="461" t="str">
        <f>_xll.BLUEMATRIX2("/servlet/excelData",E384,$B$1,$B384&amp;":"&amp;E$115&amp;":"&amp;$R$114)</f>
        <v>#</v>
      </c>
      <c r="T384" s="461" t="str">
        <f>_xll.BLUEMATRIX2("/servlet/excelData",F384,$B$1,$B384&amp;":"&amp;F$115&amp;":"&amp;$R$114)</f>
        <v>#</v>
      </c>
      <c r="U384" s="461" t="str">
        <f>_xll.BLUEMATRIX2("/servlet/excelData",G384,$B$1,$B384&amp;":"&amp;G$115&amp;":"&amp;$R$114)</f>
        <v>#</v>
      </c>
      <c r="V384" s="461" t="str">
        <f>_xll.BLUEMATRIX2("/servlet/excelData",H384,$B$1,$B384&amp;":"&amp;H$115&amp;":"&amp;$R$114)</f>
        <v>#</v>
      </c>
      <c r="W384" s="461" t="str">
        <f>_xll.BLUEMATRIX2("/servlet/excelData",I384,$B$1,$B384&amp;":"&amp;I$115&amp;":"&amp;$R$114)</f>
        <v>#</v>
      </c>
      <c r="X384" s="461" t="str">
        <f>_xll.BLUEMATRIX2("/servlet/excelData",J384,$B$1,$B384&amp;":"&amp;J$115&amp;":"&amp;$R$114)</f>
        <v>#</v>
      </c>
      <c r="Y384" s="461" t="str">
        <f>_xll.BLUEMATRIX2("/servlet/excelData",K384,$B$1,$B384&amp;":"&amp;K$115&amp;":"&amp;$R$114)</f>
        <v>#</v>
      </c>
      <c r="Z384" s="461" t="str">
        <f>_xll.BLUEMATRIX2("/servlet/excelData",L384,$B$1,$B384&amp;":"&amp;L$115&amp;":"&amp;$R$114)</f>
        <v>#</v>
      </c>
      <c r="AA384" s="461" t="str">
        <f>_xll.BLUEMATRIX2("/servlet/excelData",M384,$B$1,$B384&amp;":"&amp;M$115&amp;":"&amp;$R$114)</f>
        <v>#</v>
      </c>
      <c r="AB384" s="461" t="str">
        <f>_xll.BLUEMATRIX2("/servlet/excelData",N384,$B$1,$B384&amp;":"&amp;N$115&amp;":"&amp;$R$114)</f>
        <v>#</v>
      </c>
      <c r="AC384" s="461" t="str">
        <f>_xll.BLUEMATRIX2("/servlet/excelData",O384,$B$1,$B384&amp;":"&amp;O$115&amp;":"&amp;$R$114)</f>
        <v>#</v>
      </c>
      <c r="AD384" s="461" t="str">
        <f>_xll.BLUEMATRIX2("/servlet/excelData",P384,$B$1,$B384&amp;":"&amp;P$115&amp;":"&amp;$R$114)</f>
        <v>#</v>
      </c>
      <c r="AE384" s="461" t="str">
        <f>_xll.BLUEMATRIX2("/servlet/excelData",Q384,$B$1,$B384&amp;":"&amp;Q$115&amp;":"&amp;$R$114)</f>
        <v>#</v>
      </c>
    </row>
    <row r="385" spans="1:31" ht="12.95" customHeight="1">
      <c r="A385" s="342" t="s">
        <v>835</v>
      </c>
      <c r="B385" s="344" t="s">
        <v>836</v>
      </c>
      <c r="C385" s="320" t="s">
        <v>837</v>
      </c>
      <c r="D385" s="408"/>
      <c r="E385" s="408">
        <f>E267+E268</f>
        <v>0</v>
      </c>
      <c r="F385" s="408">
        <f>F267+F268</f>
        <v>424.9</v>
      </c>
      <c r="G385" s="408">
        <f>G267+G268</f>
        <v>0</v>
      </c>
      <c r="H385" s="408">
        <f>H267+H268</f>
        <v>0</v>
      </c>
      <c r="I385" s="408">
        <f>I267+I268</f>
        <v>300</v>
      </c>
      <c r="J385" s="408">
        <f t="shared" ref="J385:P385" si="80">J267+J268</f>
        <v>175</v>
      </c>
      <c r="K385" s="408">
        <f t="shared" si="80"/>
        <v>0</v>
      </c>
      <c r="L385" s="408">
        <f t="shared" si="80"/>
        <v>0</v>
      </c>
      <c r="M385" s="408">
        <f t="shared" si="80"/>
        <v>0</v>
      </c>
      <c r="N385" s="408">
        <f t="shared" si="80"/>
        <v>0</v>
      </c>
      <c r="O385" s="408">
        <f t="shared" si="80"/>
        <v>0</v>
      </c>
      <c r="P385" s="408">
        <f t="shared" si="80"/>
        <v>0</v>
      </c>
      <c r="Q385" s="408">
        <f>Q267+Q268</f>
        <v>0</v>
      </c>
      <c r="R385" s="320"/>
      <c r="S385" s="461" t="str">
        <f>_xll.BLUEMATRIX2("/servlet/excelData",E385,$B$1,$B385&amp;":"&amp;E$115&amp;":"&amp;$R$114)</f>
        <v>#</v>
      </c>
      <c r="T385" s="461" t="str">
        <f>_xll.BLUEMATRIX2("/servlet/excelData",F385,$B$1,$B385&amp;":"&amp;F$115&amp;":"&amp;$R$114)</f>
        <v>#</v>
      </c>
      <c r="U385" s="461" t="str">
        <f>_xll.BLUEMATRIX2("/servlet/excelData",G385,$B$1,$B385&amp;":"&amp;G$115&amp;":"&amp;$R$114)</f>
        <v>#</v>
      </c>
      <c r="V385" s="461" t="str">
        <f>_xll.BLUEMATRIX2("/servlet/excelData",H385,$B$1,$B385&amp;":"&amp;H$115&amp;":"&amp;$R$114)</f>
        <v>#</v>
      </c>
      <c r="W385" s="461" t="str">
        <f>_xll.BLUEMATRIX2("/servlet/excelData",I385,$B$1,$B385&amp;":"&amp;I$115&amp;":"&amp;$R$114)</f>
        <v>#</v>
      </c>
      <c r="X385" s="461" t="str">
        <f>_xll.BLUEMATRIX2("/servlet/excelData",J385,$B$1,$B385&amp;":"&amp;J$115&amp;":"&amp;$R$114)</f>
        <v>#</v>
      </c>
      <c r="Y385" s="461" t="str">
        <f>_xll.BLUEMATRIX2("/servlet/excelData",K385,$B$1,$B385&amp;":"&amp;K$115&amp;":"&amp;$R$114)</f>
        <v>#</v>
      </c>
      <c r="Z385" s="461" t="str">
        <f>_xll.BLUEMATRIX2("/servlet/excelData",L385,$B$1,$B385&amp;":"&amp;L$115&amp;":"&amp;$R$114)</f>
        <v>#</v>
      </c>
      <c r="AA385" s="461" t="str">
        <f>_xll.BLUEMATRIX2("/servlet/excelData",M385,$B$1,$B385&amp;":"&amp;M$115&amp;":"&amp;$R$114)</f>
        <v>#</v>
      </c>
      <c r="AB385" s="461" t="str">
        <f>_xll.BLUEMATRIX2("/servlet/excelData",N385,$B$1,$B385&amp;":"&amp;N$115&amp;":"&amp;$R$114)</f>
        <v>#</v>
      </c>
      <c r="AC385" s="461" t="str">
        <f>_xll.BLUEMATRIX2("/servlet/excelData",O385,$B$1,$B385&amp;":"&amp;O$115&amp;":"&amp;$R$114)</f>
        <v>#</v>
      </c>
      <c r="AD385" s="461" t="str">
        <f>_xll.BLUEMATRIX2("/servlet/excelData",P385,$B$1,$B385&amp;":"&amp;P$115&amp;":"&amp;$R$114)</f>
        <v>#</v>
      </c>
      <c r="AE385" s="461" t="str">
        <f>_xll.BLUEMATRIX2("/servlet/excelData",Q385,$B$1,$B385&amp;":"&amp;Q$115&amp;":"&amp;$R$114)</f>
        <v>#</v>
      </c>
    </row>
    <row r="386" spans="1:31" ht="12.95" customHeight="1">
      <c r="A386" s="342" t="s">
        <v>838</v>
      </c>
      <c r="B386" s="344" t="s">
        <v>839</v>
      </c>
      <c r="C386" s="320" t="s">
        <v>3</v>
      </c>
      <c r="D386" s="408"/>
      <c r="E386" s="408">
        <f>E260+E261+E270+E271</f>
        <v>0</v>
      </c>
      <c r="F386" s="408">
        <f>F260+F261+F270+F271</f>
        <v>-138.5</v>
      </c>
      <c r="G386" s="408">
        <f>G260+G261+G270+G271</f>
        <v>585.6</v>
      </c>
      <c r="H386" s="408">
        <f>H260+H261+H270+H271</f>
        <v>-333.4</v>
      </c>
      <c r="I386" s="408">
        <f>I260+I261+I270+I271</f>
        <v>-338.5</v>
      </c>
      <c r="J386" s="408">
        <f t="shared" ref="J386:P386" si="81">J260+J261+J270+J271</f>
        <v>-312</v>
      </c>
      <c r="K386" s="408">
        <f t="shared" si="81"/>
        <v>-18</v>
      </c>
      <c r="L386" s="408">
        <f t="shared" si="81"/>
        <v>-8</v>
      </c>
      <c r="M386" s="408">
        <f t="shared" si="81"/>
        <v>0</v>
      </c>
      <c r="N386" s="408">
        <f t="shared" si="81"/>
        <v>0.90000000000000036</v>
      </c>
      <c r="O386" s="408">
        <f t="shared" si="81"/>
        <v>1.827</v>
      </c>
      <c r="P386" s="408">
        <f t="shared" si="81"/>
        <v>2.7818100000000019</v>
      </c>
      <c r="Q386" s="408">
        <f>Q260+Q261+Q270+Q271</f>
        <v>3.7652643000000037</v>
      </c>
      <c r="R386" s="320"/>
      <c r="S386" s="461" t="str">
        <f>_xll.BLUEMATRIX2("/servlet/excelData",E386,$B$1,$B386&amp;":"&amp;E$115&amp;":"&amp;$R$114)</f>
        <v>#</v>
      </c>
      <c r="T386" s="461" t="str">
        <f>_xll.BLUEMATRIX2("/servlet/excelData",F386,$B$1,$B386&amp;":"&amp;F$115&amp;":"&amp;$R$114)</f>
        <v>#</v>
      </c>
      <c r="U386" s="461" t="str">
        <f>_xll.BLUEMATRIX2("/servlet/excelData",G386,$B$1,$B386&amp;":"&amp;G$115&amp;":"&amp;$R$114)</f>
        <v>#</v>
      </c>
      <c r="V386" s="461" t="str">
        <f>_xll.BLUEMATRIX2("/servlet/excelData",H386,$B$1,$B386&amp;":"&amp;H$115&amp;":"&amp;$R$114)</f>
        <v>#</v>
      </c>
      <c r="W386" s="461" t="str">
        <f>_xll.BLUEMATRIX2("/servlet/excelData",I386,$B$1,$B386&amp;":"&amp;I$115&amp;":"&amp;$R$114)</f>
        <v>#</v>
      </c>
      <c r="X386" s="461" t="str">
        <f>_xll.BLUEMATRIX2("/servlet/excelData",J386,$B$1,$B386&amp;":"&amp;J$115&amp;":"&amp;$R$114)</f>
        <v>#</v>
      </c>
      <c r="Y386" s="461" t="str">
        <f>_xll.BLUEMATRIX2("/servlet/excelData",K386,$B$1,$B386&amp;":"&amp;K$115&amp;":"&amp;$R$114)</f>
        <v>#</v>
      </c>
      <c r="Z386" s="461" t="str">
        <f>_xll.BLUEMATRIX2("/servlet/excelData",L386,$B$1,$B386&amp;":"&amp;L$115&amp;":"&amp;$R$114)</f>
        <v>#</v>
      </c>
      <c r="AA386" s="461" t="str">
        <f>_xll.BLUEMATRIX2("/servlet/excelData",M386,$B$1,$B386&amp;":"&amp;M$115&amp;":"&amp;$R$114)</f>
        <v>#</v>
      </c>
      <c r="AB386" s="461" t="str">
        <f>_xll.BLUEMATRIX2("/servlet/excelData",N386,$B$1,$B386&amp;":"&amp;N$115&amp;":"&amp;$R$114)</f>
        <v>#</v>
      </c>
      <c r="AC386" s="461" t="str">
        <f>_xll.BLUEMATRIX2("/servlet/excelData",O386,$B$1,$B386&amp;":"&amp;O$115&amp;":"&amp;$R$114)</f>
        <v>#</v>
      </c>
      <c r="AD386" s="461" t="str">
        <f>_xll.BLUEMATRIX2("/servlet/excelData",P386,$B$1,$B386&amp;":"&amp;P$115&amp;":"&amp;$R$114)</f>
        <v>#</v>
      </c>
      <c r="AE386" s="461" t="str">
        <f>_xll.BLUEMATRIX2("/servlet/excelData",Q386,$B$1,$B386&amp;":"&amp;Q$115&amp;":"&amp;$R$114)</f>
        <v>#</v>
      </c>
    </row>
    <row r="387" spans="1:31" ht="12.95" customHeight="1">
      <c r="A387" s="342"/>
      <c r="B387" s="342"/>
      <c r="C387" s="342"/>
      <c r="D387" s="342"/>
      <c r="E387" s="342"/>
      <c r="F387" s="342"/>
      <c r="G387" s="342"/>
      <c r="H387" s="342"/>
      <c r="I387" s="342"/>
      <c r="J387" s="342"/>
      <c r="K387" s="342"/>
      <c r="L387" s="342"/>
      <c r="M387" s="342"/>
      <c r="N387" s="342"/>
      <c r="O387" s="342"/>
      <c r="P387" s="342"/>
      <c r="Q387" s="342"/>
      <c r="R387" s="320"/>
    </row>
    <row r="388" spans="1:31" ht="12.95" customHeight="1">
      <c r="A388" s="342"/>
      <c r="B388" s="342"/>
      <c r="C388" s="342"/>
      <c r="D388" s="342"/>
      <c r="E388" s="342"/>
      <c r="F388" s="342"/>
      <c r="G388" s="342"/>
      <c r="H388" s="342"/>
      <c r="I388" s="342"/>
      <c r="J388" s="342"/>
      <c r="K388" s="342"/>
      <c r="L388" s="342"/>
      <c r="M388" s="342"/>
      <c r="N388" s="342"/>
      <c r="O388" s="342"/>
      <c r="P388" s="342"/>
      <c r="Q388" s="342"/>
      <c r="R388" s="320"/>
    </row>
    <row r="389" spans="1:31" ht="12.95" customHeight="1">
      <c r="A389" s="320"/>
      <c r="B389" s="320"/>
      <c r="C389" s="320"/>
      <c r="D389" s="320"/>
      <c r="E389" s="320"/>
      <c r="F389" s="320"/>
      <c r="G389" s="320"/>
      <c r="H389" s="320"/>
      <c r="I389" s="320"/>
      <c r="J389" s="320"/>
      <c r="K389" s="320"/>
      <c r="L389" s="320"/>
      <c r="M389" s="320"/>
      <c r="N389" s="320"/>
      <c r="O389" s="320"/>
      <c r="P389" s="320"/>
      <c r="Q389" s="320"/>
      <c r="R389" s="320"/>
    </row>
    <row r="390" spans="1:31" ht="12.95" customHeight="1">
      <c r="A390" s="365" t="s">
        <v>272</v>
      </c>
      <c r="B390" s="365"/>
      <c r="C390" s="320"/>
      <c r="D390" s="320"/>
      <c r="E390" s="320"/>
      <c r="F390" s="320"/>
      <c r="G390" s="320"/>
      <c r="H390" s="320"/>
      <c r="I390" s="320"/>
      <c r="J390" s="320"/>
      <c r="K390" s="320"/>
      <c r="L390" s="320"/>
      <c r="M390" s="320"/>
      <c r="N390" s="320"/>
      <c r="O390" s="320"/>
      <c r="P390" s="320"/>
      <c r="Q390" s="320"/>
      <c r="R390" s="320"/>
    </row>
    <row r="391" spans="1:31">
      <c r="A391" s="320"/>
      <c r="B391" s="320"/>
      <c r="C391" s="320"/>
      <c r="D391" s="320"/>
      <c r="E391" s="320"/>
      <c r="F391" s="320"/>
      <c r="G391" s="320"/>
      <c r="H391" s="320"/>
      <c r="I391" s="320"/>
      <c r="J391" s="320"/>
      <c r="K391" s="320"/>
      <c r="L391" s="320"/>
      <c r="M391" s="320"/>
      <c r="N391" s="320"/>
      <c r="O391" s="320"/>
      <c r="P391" s="320"/>
      <c r="Q391" s="320"/>
      <c r="R391" s="320"/>
    </row>
  </sheetData>
  <dataValidations disablePrompts="1" count="7">
    <dataValidation type="list" allowBlank="1" showInputMessage="1" showErrorMessage="1" sqref="D109 IE109 SA109 ABW109 ALS109 AVO109 BFK109 BPG109 BZC109 CIY109 CSU109 DCQ109 DMM109 DWI109 EGE109 EQA109 EZW109 FJS109 FTO109 GDK109 GNG109 GXC109 HGY109 HQU109 IAQ109 IKM109 IUI109 JEE109 JOA109 JXW109 KHS109 KRO109 LBK109 LLG109 LVC109 MEY109 MOU109 MYQ109 NIM109 NSI109 OCE109 OMA109 OVW109 PFS109 PPO109 PZK109 QJG109 QTC109 RCY109 RMU109 RWQ109 SGM109 SQI109 TAE109 TKA109 TTW109 UDS109 UNO109 UXK109 VHG109 VRC109 WAY109 WKU109 WUQ109 D65657 IE65657 SA65657 ABW65657 ALS65657 AVO65657 BFK65657 BPG65657 BZC65657 CIY65657 CSU65657 DCQ65657 DMM65657 DWI65657 EGE65657 EQA65657 EZW65657 FJS65657 FTO65657 GDK65657 GNG65657 GXC65657 HGY65657 HQU65657 IAQ65657 IKM65657 IUI65657 JEE65657 JOA65657 JXW65657 KHS65657 KRO65657 LBK65657 LLG65657 LVC65657 MEY65657 MOU65657 MYQ65657 NIM65657 NSI65657 OCE65657 OMA65657 OVW65657 PFS65657 PPO65657 PZK65657 QJG65657 QTC65657 RCY65657 RMU65657 RWQ65657 SGM65657 SQI65657 TAE65657 TKA65657 TTW65657 UDS65657 UNO65657 UXK65657 VHG65657 VRC65657 WAY65657 WKU65657 WUQ65657 D131193 IE131193 SA131193 ABW131193 ALS131193 AVO131193 BFK131193 BPG131193 BZC131193 CIY131193 CSU131193 DCQ131193 DMM131193 DWI131193 EGE131193 EQA131193 EZW131193 FJS131193 FTO131193 GDK131193 GNG131193 GXC131193 HGY131193 HQU131193 IAQ131193 IKM131193 IUI131193 JEE131193 JOA131193 JXW131193 KHS131193 KRO131193 LBK131193 LLG131193 LVC131193 MEY131193 MOU131193 MYQ131193 NIM131193 NSI131193 OCE131193 OMA131193 OVW131193 PFS131193 PPO131193 PZK131193 QJG131193 QTC131193 RCY131193 RMU131193 RWQ131193 SGM131193 SQI131193 TAE131193 TKA131193 TTW131193 UDS131193 UNO131193 UXK131193 VHG131193 VRC131193 WAY131193 WKU131193 WUQ131193 D196729 IE196729 SA196729 ABW196729 ALS196729 AVO196729 BFK196729 BPG196729 BZC196729 CIY196729 CSU196729 DCQ196729 DMM196729 DWI196729 EGE196729 EQA196729 EZW196729 FJS196729 FTO196729 GDK196729 GNG196729 GXC196729 HGY196729 HQU196729 IAQ196729 IKM196729 IUI196729 JEE196729 JOA196729 JXW196729 KHS196729 KRO196729 LBK196729 LLG196729 LVC196729 MEY196729 MOU196729 MYQ196729 NIM196729 NSI196729 OCE196729 OMA196729 OVW196729 PFS196729 PPO196729 PZK196729 QJG196729 QTC196729 RCY196729 RMU196729 RWQ196729 SGM196729 SQI196729 TAE196729 TKA196729 TTW196729 UDS196729 UNO196729 UXK196729 VHG196729 VRC196729 WAY196729 WKU196729 WUQ196729 D262265 IE262265 SA262265 ABW262265 ALS262265 AVO262265 BFK262265 BPG262265 BZC262265 CIY262265 CSU262265 DCQ262265 DMM262265 DWI262265 EGE262265 EQA262265 EZW262265 FJS262265 FTO262265 GDK262265 GNG262265 GXC262265 HGY262265 HQU262265 IAQ262265 IKM262265 IUI262265 JEE262265 JOA262265 JXW262265 KHS262265 KRO262265 LBK262265 LLG262265 LVC262265 MEY262265 MOU262265 MYQ262265 NIM262265 NSI262265 OCE262265 OMA262265 OVW262265 PFS262265 PPO262265 PZK262265 QJG262265 QTC262265 RCY262265 RMU262265 RWQ262265 SGM262265 SQI262265 TAE262265 TKA262265 TTW262265 UDS262265 UNO262265 UXK262265 VHG262265 VRC262265 WAY262265 WKU262265 WUQ262265 D327801 IE327801 SA327801 ABW327801 ALS327801 AVO327801 BFK327801 BPG327801 BZC327801 CIY327801 CSU327801 DCQ327801 DMM327801 DWI327801 EGE327801 EQA327801 EZW327801 FJS327801 FTO327801 GDK327801 GNG327801 GXC327801 HGY327801 HQU327801 IAQ327801 IKM327801 IUI327801 JEE327801 JOA327801 JXW327801 KHS327801 KRO327801 LBK327801 LLG327801 LVC327801 MEY327801 MOU327801 MYQ327801 NIM327801 NSI327801 OCE327801 OMA327801 OVW327801 PFS327801 PPO327801 PZK327801 QJG327801 QTC327801 RCY327801 RMU327801 RWQ327801 SGM327801 SQI327801 TAE327801 TKA327801 TTW327801 UDS327801 UNO327801 UXK327801 VHG327801 VRC327801 WAY327801 WKU327801 WUQ327801 D393337 IE393337 SA393337 ABW393337 ALS393337 AVO393337 BFK393337 BPG393337 BZC393337 CIY393337 CSU393337 DCQ393337 DMM393337 DWI393337 EGE393337 EQA393337 EZW393337 FJS393337 FTO393337 GDK393337 GNG393337 GXC393337 HGY393337 HQU393337 IAQ393337 IKM393337 IUI393337 JEE393337 JOA393337 JXW393337 KHS393337 KRO393337 LBK393337 LLG393337 LVC393337 MEY393337 MOU393337 MYQ393337 NIM393337 NSI393337 OCE393337 OMA393337 OVW393337 PFS393337 PPO393337 PZK393337 QJG393337 QTC393337 RCY393337 RMU393337 RWQ393337 SGM393337 SQI393337 TAE393337 TKA393337 TTW393337 UDS393337 UNO393337 UXK393337 VHG393337 VRC393337 WAY393337 WKU393337 WUQ393337 D458873 IE458873 SA458873 ABW458873 ALS458873 AVO458873 BFK458873 BPG458873 BZC458873 CIY458873 CSU458873 DCQ458873 DMM458873 DWI458873 EGE458873 EQA458873 EZW458873 FJS458873 FTO458873 GDK458873 GNG458873 GXC458873 HGY458873 HQU458873 IAQ458873 IKM458873 IUI458873 JEE458873 JOA458873 JXW458873 KHS458873 KRO458873 LBK458873 LLG458873 LVC458873 MEY458873 MOU458873 MYQ458873 NIM458873 NSI458873 OCE458873 OMA458873 OVW458873 PFS458873 PPO458873 PZK458873 QJG458873 QTC458873 RCY458873 RMU458873 RWQ458873 SGM458873 SQI458873 TAE458873 TKA458873 TTW458873 UDS458873 UNO458873 UXK458873 VHG458873 VRC458873 WAY458873 WKU458873 WUQ458873 D524409 IE524409 SA524409 ABW524409 ALS524409 AVO524409 BFK524409 BPG524409 BZC524409 CIY524409 CSU524409 DCQ524409 DMM524409 DWI524409 EGE524409 EQA524409 EZW524409 FJS524409 FTO524409 GDK524409 GNG524409 GXC524409 HGY524409 HQU524409 IAQ524409 IKM524409 IUI524409 JEE524409 JOA524409 JXW524409 KHS524409 KRO524409 LBK524409 LLG524409 LVC524409 MEY524409 MOU524409 MYQ524409 NIM524409 NSI524409 OCE524409 OMA524409 OVW524409 PFS524409 PPO524409 PZK524409 QJG524409 QTC524409 RCY524409 RMU524409 RWQ524409 SGM524409 SQI524409 TAE524409 TKA524409 TTW524409 UDS524409 UNO524409 UXK524409 VHG524409 VRC524409 WAY524409 WKU524409 WUQ524409 D589945 IE589945 SA589945 ABW589945 ALS589945 AVO589945 BFK589945 BPG589945 BZC589945 CIY589945 CSU589945 DCQ589945 DMM589945 DWI589945 EGE589945 EQA589945 EZW589945 FJS589945 FTO589945 GDK589945 GNG589945 GXC589945 HGY589945 HQU589945 IAQ589945 IKM589945 IUI589945 JEE589945 JOA589945 JXW589945 KHS589945 KRO589945 LBK589945 LLG589945 LVC589945 MEY589945 MOU589945 MYQ589945 NIM589945 NSI589945 OCE589945 OMA589945 OVW589945 PFS589945 PPO589945 PZK589945 QJG589945 QTC589945 RCY589945 RMU589945 RWQ589945 SGM589945 SQI589945 TAE589945 TKA589945 TTW589945 UDS589945 UNO589945 UXK589945 VHG589945 VRC589945 WAY589945 WKU589945 WUQ589945 D655481 IE655481 SA655481 ABW655481 ALS655481 AVO655481 BFK655481 BPG655481 BZC655481 CIY655481 CSU655481 DCQ655481 DMM655481 DWI655481 EGE655481 EQA655481 EZW655481 FJS655481 FTO655481 GDK655481 GNG655481 GXC655481 HGY655481 HQU655481 IAQ655481 IKM655481 IUI655481 JEE655481 JOA655481 JXW655481 KHS655481 KRO655481 LBK655481 LLG655481 LVC655481 MEY655481 MOU655481 MYQ655481 NIM655481 NSI655481 OCE655481 OMA655481 OVW655481 PFS655481 PPO655481 PZK655481 QJG655481 QTC655481 RCY655481 RMU655481 RWQ655481 SGM655481 SQI655481 TAE655481 TKA655481 TTW655481 UDS655481 UNO655481 UXK655481 VHG655481 VRC655481 WAY655481 WKU655481 WUQ655481 D721017 IE721017 SA721017 ABW721017 ALS721017 AVO721017 BFK721017 BPG721017 BZC721017 CIY721017 CSU721017 DCQ721017 DMM721017 DWI721017 EGE721017 EQA721017 EZW721017 FJS721017 FTO721017 GDK721017 GNG721017 GXC721017 HGY721017 HQU721017 IAQ721017 IKM721017 IUI721017 JEE721017 JOA721017 JXW721017 KHS721017 KRO721017 LBK721017 LLG721017 LVC721017 MEY721017 MOU721017 MYQ721017 NIM721017 NSI721017 OCE721017 OMA721017 OVW721017 PFS721017 PPO721017 PZK721017 QJG721017 QTC721017 RCY721017 RMU721017 RWQ721017 SGM721017 SQI721017 TAE721017 TKA721017 TTW721017 UDS721017 UNO721017 UXK721017 VHG721017 VRC721017 WAY721017 WKU721017 WUQ721017 D786553 IE786553 SA786553 ABW786553 ALS786553 AVO786553 BFK786553 BPG786553 BZC786553 CIY786553 CSU786553 DCQ786553 DMM786553 DWI786553 EGE786553 EQA786553 EZW786553 FJS786553 FTO786553 GDK786553 GNG786553 GXC786553 HGY786553 HQU786553 IAQ786553 IKM786553 IUI786553 JEE786553 JOA786553 JXW786553 KHS786553 KRO786553 LBK786553 LLG786553 LVC786553 MEY786553 MOU786553 MYQ786553 NIM786553 NSI786553 OCE786553 OMA786553 OVW786553 PFS786553 PPO786553 PZK786553 QJG786553 QTC786553 RCY786553 RMU786553 RWQ786553 SGM786553 SQI786553 TAE786553 TKA786553 TTW786553 UDS786553 UNO786553 UXK786553 VHG786553 VRC786553 WAY786553 WKU786553 WUQ786553 D852089 IE852089 SA852089 ABW852089 ALS852089 AVO852089 BFK852089 BPG852089 BZC852089 CIY852089 CSU852089 DCQ852089 DMM852089 DWI852089 EGE852089 EQA852089 EZW852089 FJS852089 FTO852089 GDK852089 GNG852089 GXC852089 HGY852089 HQU852089 IAQ852089 IKM852089 IUI852089 JEE852089 JOA852089 JXW852089 KHS852089 KRO852089 LBK852089 LLG852089 LVC852089 MEY852089 MOU852089 MYQ852089 NIM852089 NSI852089 OCE852089 OMA852089 OVW852089 PFS852089 PPO852089 PZK852089 QJG852089 QTC852089 RCY852089 RMU852089 RWQ852089 SGM852089 SQI852089 TAE852089 TKA852089 TTW852089 UDS852089 UNO852089 UXK852089 VHG852089 VRC852089 WAY852089 WKU852089 WUQ852089 D917625 IE917625 SA917625 ABW917625 ALS917625 AVO917625 BFK917625 BPG917625 BZC917625 CIY917625 CSU917625 DCQ917625 DMM917625 DWI917625 EGE917625 EQA917625 EZW917625 FJS917625 FTO917625 GDK917625 GNG917625 GXC917625 HGY917625 HQU917625 IAQ917625 IKM917625 IUI917625 JEE917625 JOA917625 JXW917625 KHS917625 KRO917625 LBK917625 LLG917625 LVC917625 MEY917625 MOU917625 MYQ917625 NIM917625 NSI917625 OCE917625 OMA917625 OVW917625 PFS917625 PPO917625 PZK917625 QJG917625 QTC917625 RCY917625 RMU917625 RWQ917625 SGM917625 SQI917625 TAE917625 TKA917625 TTW917625 UDS917625 UNO917625 UXK917625 VHG917625 VRC917625 WAY917625 WKU917625 WUQ917625 D983161 IE983161 SA983161 ABW983161 ALS983161 AVO983161 BFK983161 BPG983161 BZC983161 CIY983161 CSU983161 DCQ983161 DMM983161 DWI983161 EGE983161 EQA983161 EZW983161 FJS983161 FTO983161 GDK983161 GNG983161 GXC983161 HGY983161 HQU983161 IAQ983161 IKM983161 IUI983161 JEE983161 JOA983161 JXW983161 KHS983161 KRO983161 LBK983161 LLG983161 LVC983161 MEY983161 MOU983161 MYQ983161 NIM983161 NSI983161 OCE983161 OMA983161 OVW983161 PFS983161 PPO983161 PZK983161 QJG983161 QTC983161 RCY983161 RMU983161 RWQ983161 SGM983161 SQI983161 TAE983161 TKA983161 TTW983161 UDS983161 UNO983161 UXK983161 VHG983161 VRC983161 WAY983161 WKU983161 WUQ983161" xr:uid="{8FDCDE6B-9B71-49A4-AA04-785C446B8A10}">
      <formula1>"AS44,AS45,AS51"</formula1>
    </dataValidation>
    <dataValidation type="list" allowBlank="1" showInputMessage="1" showErrorMessage="1" sqref="D91:D100 IE91:IE100 SA91:SA100 ABW91:ABW100 ALS91:ALS100 AVO91:AVO100 BFK91:BFK100 BPG91:BPG100 BZC91:BZC100 CIY91:CIY100 CSU91:CSU100 DCQ91:DCQ100 DMM91:DMM100 DWI91:DWI100 EGE91:EGE100 EQA91:EQA100 EZW91:EZW100 FJS91:FJS100 FTO91:FTO100 GDK91:GDK100 GNG91:GNG100 GXC91:GXC100 HGY91:HGY100 HQU91:HQU100 IAQ91:IAQ100 IKM91:IKM100 IUI91:IUI100 JEE91:JEE100 JOA91:JOA100 JXW91:JXW100 KHS91:KHS100 KRO91:KRO100 LBK91:LBK100 LLG91:LLG100 LVC91:LVC100 MEY91:MEY100 MOU91:MOU100 MYQ91:MYQ100 NIM91:NIM100 NSI91:NSI100 OCE91:OCE100 OMA91:OMA100 OVW91:OVW100 PFS91:PFS100 PPO91:PPO100 PZK91:PZK100 QJG91:QJG100 QTC91:QTC100 RCY91:RCY100 RMU91:RMU100 RWQ91:RWQ100 SGM91:SGM100 SQI91:SQI100 TAE91:TAE100 TKA91:TKA100 TTW91:TTW100 UDS91:UDS100 UNO91:UNO100 UXK91:UXK100 VHG91:VHG100 VRC91:VRC100 WAY91:WAY100 WKU91:WKU100 WUQ91:WUQ100 D65639:D65648 IE65639:IE65648 SA65639:SA65648 ABW65639:ABW65648 ALS65639:ALS65648 AVO65639:AVO65648 BFK65639:BFK65648 BPG65639:BPG65648 BZC65639:BZC65648 CIY65639:CIY65648 CSU65639:CSU65648 DCQ65639:DCQ65648 DMM65639:DMM65648 DWI65639:DWI65648 EGE65639:EGE65648 EQA65639:EQA65648 EZW65639:EZW65648 FJS65639:FJS65648 FTO65639:FTO65648 GDK65639:GDK65648 GNG65639:GNG65648 GXC65639:GXC65648 HGY65639:HGY65648 HQU65639:HQU65648 IAQ65639:IAQ65648 IKM65639:IKM65648 IUI65639:IUI65648 JEE65639:JEE65648 JOA65639:JOA65648 JXW65639:JXW65648 KHS65639:KHS65648 KRO65639:KRO65648 LBK65639:LBK65648 LLG65639:LLG65648 LVC65639:LVC65648 MEY65639:MEY65648 MOU65639:MOU65648 MYQ65639:MYQ65648 NIM65639:NIM65648 NSI65639:NSI65648 OCE65639:OCE65648 OMA65639:OMA65648 OVW65639:OVW65648 PFS65639:PFS65648 PPO65639:PPO65648 PZK65639:PZK65648 QJG65639:QJG65648 QTC65639:QTC65648 RCY65639:RCY65648 RMU65639:RMU65648 RWQ65639:RWQ65648 SGM65639:SGM65648 SQI65639:SQI65648 TAE65639:TAE65648 TKA65639:TKA65648 TTW65639:TTW65648 UDS65639:UDS65648 UNO65639:UNO65648 UXK65639:UXK65648 VHG65639:VHG65648 VRC65639:VRC65648 WAY65639:WAY65648 WKU65639:WKU65648 WUQ65639:WUQ65648 D131175:D131184 IE131175:IE131184 SA131175:SA131184 ABW131175:ABW131184 ALS131175:ALS131184 AVO131175:AVO131184 BFK131175:BFK131184 BPG131175:BPG131184 BZC131175:BZC131184 CIY131175:CIY131184 CSU131175:CSU131184 DCQ131175:DCQ131184 DMM131175:DMM131184 DWI131175:DWI131184 EGE131175:EGE131184 EQA131175:EQA131184 EZW131175:EZW131184 FJS131175:FJS131184 FTO131175:FTO131184 GDK131175:GDK131184 GNG131175:GNG131184 GXC131175:GXC131184 HGY131175:HGY131184 HQU131175:HQU131184 IAQ131175:IAQ131184 IKM131175:IKM131184 IUI131175:IUI131184 JEE131175:JEE131184 JOA131175:JOA131184 JXW131175:JXW131184 KHS131175:KHS131184 KRO131175:KRO131184 LBK131175:LBK131184 LLG131175:LLG131184 LVC131175:LVC131184 MEY131175:MEY131184 MOU131175:MOU131184 MYQ131175:MYQ131184 NIM131175:NIM131184 NSI131175:NSI131184 OCE131175:OCE131184 OMA131175:OMA131184 OVW131175:OVW131184 PFS131175:PFS131184 PPO131175:PPO131184 PZK131175:PZK131184 QJG131175:QJG131184 QTC131175:QTC131184 RCY131175:RCY131184 RMU131175:RMU131184 RWQ131175:RWQ131184 SGM131175:SGM131184 SQI131175:SQI131184 TAE131175:TAE131184 TKA131175:TKA131184 TTW131175:TTW131184 UDS131175:UDS131184 UNO131175:UNO131184 UXK131175:UXK131184 VHG131175:VHG131184 VRC131175:VRC131184 WAY131175:WAY131184 WKU131175:WKU131184 WUQ131175:WUQ131184 D196711:D196720 IE196711:IE196720 SA196711:SA196720 ABW196711:ABW196720 ALS196711:ALS196720 AVO196711:AVO196720 BFK196711:BFK196720 BPG196711:BPG196720 BZC196711:BZC196720 CIY196711:CIY196720 CSU196711:CSU196720 DCQ196711:DCQ196720 DMM196711:DMM196720 DWI196711:DWI196720 EGE196711:EGE196720 EQA196711:EQA196720 EZW196711:EZW196720 FJS196711:FJS196720 FTO196711:FTO196720 GDK196711:GDK196720 GNG196711:GNG196720 GXC196711:GXC196720 HGY196711:HGY196720 HQU196711:HQU196720 IAQ196711:IAQ196720 IKM196711:IKM196720 IUI196711:IUI196720 JEE196711:JEE196720 JOA196711:JOA196720 JXW196711:JXW196720 KHS196711:KHS196720 KRO196711:KRO196720 LBK196711:LBK196720 LLG196711:LLG196720 LVC196711:LVC196720 MEY196711:MEY196720 MOU196711:MOU196720 MYQ196711:MYQ196720 NIM196711:NIM196720 NSI196711:NSI196720 OCE196711:OCE196720 OMA196711:OMA196720 OVW196711:OVW196720 PFS196711:PFS196720 PPO196711:PPO196720 PZK196711:PZK196720 QJG196711:QJG196720 QTC196711:QTC196720 RCY196711:RCY196720 RMU196711:RMU196720 RWQ196711:RWQ196720 SGM196711:SGM196720 SQI196711:SQI196720 TAE196711:TAE196720 TKA196711:TKA196720 TTW196711:TTW196720 UDS196711:UDS196720 UNO196711:UNO196720 UXK196711:UXK196720 VHG196711:VHG196720 VRC196711:VRC196720 WAY196711:WAY196720 WKU196711:WKU196720 WUQ196711:WUQ196720 D262247:D262256 IE262247:IE262256 SA262247:SA262256 ABW262247:ABW262256 ALS262247:ALS262256 AVO262247:AVO262256 BFK262247:BFK262256 BPG262247:BPG262256 BZC262247:BZC262256 CIY262247:CIY262256 CSU262247:CSU262256 DCQ262247:DCQ262256 DMM262247:DMM262256 DWI262247:DWI262256 EGE262247:EGE262256 EQA262247:EQA262256 EZW262247:EZW262256 FJS262247:FJS262256 FTO262247:FTO262256 GDK262247:GDK262256 GNG262247:GNG262256 GXC262247:GXC262256 HGY262247:HGY262256 HQU262247:HQU262256 IAQ262247:IAQ262256 IKM262247:IKM262256 IUI262247:IUI262256 JEE262247:JEE262256 JOA262247:JOA262256 JXW262247:JXW262256 KHS262247:KHS262256 KRO262247:KRO262256 LBK262247:LBK262256 LLG262247:LLG262256 LVC262247:LVC262256 MEY262247:MEY262256 MOU262247:MOU262256 MYQ262247:MYQ262256 NIM262247:NIM262256 NSI262247:NSI262256 OCE262247:OCE262256 OMA262247:OMA262256 OVW262247:OVW262256 PFS262247:PFS262256 PPO262247:PPO262256 PZK262247:PZK262256 QJG262247:QJG262256 QTC262247:QTC262256 RCY262247:RCY262256 RMU262247:RMU262256 RWQ262247:RWQ262256 SGM262247:SGM262256 SQI262247:SQI262256 TAE262247:TAE262256 TKA262247:TKA262256 TTW262247:TTW262256 UDS262247:UDS262256 UNO262247:UNO262256 UXK262247:UXK262256 VHG262247:VHG262256 VRC262247:VRC262256 WAY262247:WAY262256 WKU262247:WKU262256 WUQ262247:WUQ262256 D327783:D327792 IE327783:IE327792 SA327783:SA327792 ABW327783:ABW327792 ALS327783:ALS327792 AVO327783:AVO327792 BFK327783:BFK327792 BPG327783:BPG327792 BZC327783:BZC327792 CIY327783:CIY327792 CSU327783:CSU327792 DCQ327783:DCQ327792 DMM327783:DMM327792 DWI327783:DWI327792 EGE327783:EGE327792 EQA327783:EQA327792 EZW327783:EZW327792 FJS327783:FJS327792 FTO327783:FTO327792 GDK327783:GDK327792 GNG327783:GNG327792 GXC327783:GXC327792 HGY327783:HGY327792 HQU327783:HQU327792 IAQ327783:IAQ327792 IKM327783:IKM327792 IUI327783:IUI327792 JEE327783:JEE327792 JOA327783:JOA327792 JXW327783:JXW327792 KHS327783:KHS327792 KRO327783:KRO327792 LBK327783:LBK327792 LLG327783:LLG327792 LVC327783:LVC327792 MEY327783:MEY327792 MOU327783:MOU327792 MYQ327783:MYQ327792 NIM327783:NIM327792 NSI327783:NSI327792 OCE327783:OCE327792 OMA327783:OMA327792 OVW327783:OVW327792 PFS327783:PFS327792 PPO327783:PPO327792 PZK327783:PZK327792 QJG327783:QJG327792 QTC327783:QTC327792 RCY327783:RCY327792 RMU327783:RMU327792 RWQ327783:RWQ327792 SGM327783:SGM327792 SQI327783:SQI327792 TAE327783:TAE327792 TKA327783:TKA327792 TTW327783:TTW327792 UDS327783:UDS327792 UNO327783:UNO327792 UXK327783:UXK327792 VHG327783:VHG327792 VRC327783:VRC327792 WAY327783:WAY327792 WKU327783:WKU327792 WUQ327783:WUQ327792 D393319:D393328 IE393319:IE393328 SA393319:SA393328 ABW393319:ABW393328 ALS393319:ALS393328 AVO393319:AVO393328 BFK393319:BFK393328 BPG393319:BPG393328 BZC393319:BZC393328 CIY393319:CIY393328 CSU393319:CSU393328 DCQ393319:DCQ393328 DMM393319:DMM393328 DWI393319:DWI393328 EGE393319:EGE393328 EQA393319:EQA393328 EZW393319:EZW393328 FJS393319:FJS393328 FTO393319:FTO393328 GDK393319:GDK393328 GNG393319:GNG393328 GXC393319:GXC393328 HGY393319:HGY393328 HQU393319:HQU393328 IAQ393319:IAQ393328 IKM393319:IKM393328 IUI393319:IUI393328 JEE393319:JEE393328 JOA393319:JOA393328 JXW393319:JXW393328 KHS393319:KHS393328 KRO393319:KRO393328 LBK393319:LBK393328 LLG393319:LLG393328 LVC393319:LVC393328 MEY393319:MEY393328 MOU393319:MOU393328 MYQ393319:MYQ393328 NIM393319:NIM393328 NSI393319:NSI393328 OCE393319:OCE393328 OMA393319:OMA393328 OVW393319:OVW393328 PFS393319:PFS393328 PPO393319:PPO393328 PZK393319:PZK393328 QJG393319:QJG393328 QTC393319:QTC393328 RCY393319:RCY393328 RMU393319:RMU393328 RWQ393319:RWQ393328 SGM393319:SGM393328 SQI393319:SQI393328 TAE393319:TAE393328 TKA393319:TKA393328 TTW393319:TTW393328 UDS393319:UDS393328 UNO393319:UNO393328 UXK393319:UXK393328 VHG393319:VHG393328 VRC393319:VRC393328 WAY393319:WAY393328 WKU393319:WKU393328 WUQ393319:WUQ393328 D458855:D458864 IE458855:IE458864 SA458855:SA458864 ABW458855:ABW458864 ALS458855:ALS458864 AVO458855:AVO458864 BFK458855:BFK458864 BPG458855:BPG458864 BZC458855:BZC458864 CIY458855:CIY458864 CSU458855:CSU458864 DCQ458855:DCQ458864 DMM458855:DMM458864 DWI458855:DWI458864 EGE458855:EGE458864 EQA458855:EQA458864 EZW458855:EZW458864 FJS458855:FJS458864 FTO458855:FTO458864 GDK458855:GDK458864 GNG458855:GNG458864 GXC458855:GXC458864 HGY458855:HGY458864 HQU458855:HQU458864 IAQ458855:IAQ458864 IKM458855:IKM458864 IUI458855:IUI458864 JEE458855:JEE458864 JOA458855:JOA458864 JXW458855:JXW458864 KHS458855:KHS458864 KRO458855:KRO458864 LBK458855:LBK458864 LLG458855:LLG458864 LVC458855:LVC458864 MEY458855:MEY458864 MOU458855:MOU458864 MYQ458855:MYQ458864 NIM458855:NIM458864 NSI458855:NSI458864 OCE458855:OCE458864 OMA458855:OMA458864 OVW458855:OVW458864 PFS458855:PFS458864 PPO458855:PPO458864 PZK458855:PZK458864 QJG458855:QJG458864 QTC458855:QTC458864 RCY458855:RCY458864 RMU458855:RMU458864 RWQ458855:RWQ458864 SGM458855:SGM458864 SQI458855:SQI458864 TAE458855:TAE458864 TKA458855:TKA458864 TTW458855:TTW458864 UDS458855:UDS458864 UNO458855:UNO458864 UXK458855:UXK458864 VHG458855:VHG458864 VRC458855:VRC458864 WAY458855:WAY458864 WKU458855:WKU458864 WUQ458855:WUQ458864 D524391:D524400 IE524391:IE524400 SA524391:SA524400 ABW524391:ABW524400 ALS524391:ALS524400 AVO524391:AVO524400 BFK524391:BFK524400 BPG524391:BPG524400 BZC524391:BZC524400 CIY524391:CIY524400 CSU524391:CSU524400 DCQ524391:DCQ524400 DMM524391:DMM524400 DWI524391:DWI524400 EGE524391:EGE524400 EQA524391:EQA524400 EZW524391:EZW524400 FJS524391:FJS524400 FTO524391:FTO524400 GDK524391:GDK524400 GNG524391:GNG524400 GXC524391:GXC524400 HGY524391:HGY524400 HQU524391:HQU524400 IAQ524391:IAQ524400 IKM524391:IKM524400 IUI524391:IUI524400 JEE524391:JEE524400 JOA524391:JOA524400 JXW524391:JXW524400 KHS524391:KHS524400 KRO524391:KRO524400 LBK524391:LBK524400 LLG524391:LLG524400 LVC524391:LVC524400 MEY524391:MEY524400 MOU524391:MOU524400 MYQ524391:MYQ524400 NIM524391:NIM524400 NSI524391:NSI524400 OCE524391:OCE524400 OMA524391:OMA524400 OVW524391:OVW524400 PFS524391:PFS524400 PPO524391:PPO524400 PZK524391:PZK524400 QJG524391:QJG524400 QTC524391:QTC524400 RCY524391:RCY524400 RMU524391:RMU524400 RWQ524391:RWQ524400 SGM524391:SGM524400 SQI524391:SQI524400 TAE524391:TAE524400 TKA524391:TKA524400 TTW524391:TTW524400 UDS524391:UDS524400 UNO524391:UNO524400 UXK524391:UXK524400 VHG524391:VHG524400 VRC524391:VRC524400 WAY524391:WAY524400 WKU524391:WKU524400 WUQ524391:WUQ524400 D589927:D589936 IE589927:IE589936 SA589927:SA589936 ABW589927:ABW589936 ALS589927:ALS589936 AVO589927:AVO589936 BFK589927:BFK589936 BPG589927:BPG589936 BZC589927:BZC589936 CIY589927:CIY589936 CSU589927:CSU589936 DCQ589927:DCQ589936 DMM589927:DMM589936 DWI589927:DWI589936 EGE589927:EGE589936 EQA589927:EQA589936 EZW589927:EZW589936 FJS589927:FJS589936 FTO589927:FTO589936 GDK589927:GDK589936 GNG589927:GNG589936 GXC589927:GXC589936 HGY589927:HGY589936 HQU589927:HQU589936 IAQ589927:IAQ589936 IKM589927:IKM589936 IUI589927:IUI589936 JEE589927:JEE589936 JOA589927:JOA589936 JXW589927:JXW589936 KHS589927:KHS589936 KRO589927:KRO589936 LBK589927:LBK589936 LLG589927:LLG589936 LVC589927:LVC589936 MEY589927:MEY589936 MOU589927:MOU589936 MYQ589927:MYQ589936 NIM589927:NIM589936 NSI589927:NSI589936 OCE589927:OCE589936 OMA589927:OMA589936 OVW589927:OVW589936 PFS589927:PFS589936 PPO589927:PPO589936 PZK589927:PZK589936 QJG589927:QJG589936 QTC589927:QTC589936 RCY589927:RCY589936 RMU589927:RMU589936 RWQ589927:RWQ589936 SGM589927:SGM589936 SQI589927:SQI589936 TAE589927:TAE589936 TKA589927:TKA589936 TTW589927:TTW589936 UDS589927:UDS589936 UNO589927:UNO589936 UXK589927:UXK589936 VHG589927:VHG589936 VRC589927:VRC589936 WAY589927:WAY589936 WKU589927:WKU589936 WUQ589927:WUQ589936 D655463:D655472 IE655463:IE655472 SA655463:SA655472 ABW655463:ABW655472 ALS655463:ALS655472 AVO655463:AVO655472 BFK655463:BFK655472 BPG655463:BPG655472 BZC655463:BZC655472 CIY655463:CIY655472 CSU655463:CSU655472 DCQ655463:DCQ655472 DMM655463:DMM655472 DWI655463:DWI655472 EGE655463:EGE655472 EQA655463:EQA655472 EZW655463:EZW655472 FJS655463:FJS655472 FTO655463:FTO655472 GDK655463:GDK655472 GNG655463:GNG655472 GXC655463:GXC655472 HGY655463:HGY655472 HQU655463:HQU655472 IAQ655463:IAQ655472 IKM655463:IKM655472 IUI655463:IUI655472 JEE655463:JEE655472 JOA655463:JOA655472 JXW655463:JXW655472 KHS655463:KHS655472 KRO655463:KRO655472 LBK655463:LBK655472 LLG655463:LLG655472 LVC655463:LVC655472 MEY655463:MEY655472 MOU655463:MOU655472 MYQ655463:MYQ655472 NIM655463:NIM655472 NSI655463:NSI655472 OCE655463:OCE655472 OMA655463:OMA655472 OVW655463:OVW655472 PFS655463:PFS655472 PPO655463:PPO655472 PZK655463:PZK655472 QJG655463:QJG655472 QTC655463:QTC655472 RCY655463:RCY655472 RMU655463:RMU655472 RWQ655463:RWQ655472 SGM655463:SGM655472 SQI655463:SQI655472 TAE655463:TAE655472 TKA655463:TKA655472 TTW655463:TTW655472 UDS655463:UDS655472 UNO655463:UNO655472 UXK655463:UXK655472 VHG655463:VHG655472 VRC655463:VRC655472 WAY655463:WAY655472 WKU655463:WKU655472 WUQ655463:WUQ655472 D720999:D721008 IE720999:IE721008 SA720999:SA721008 ABW720999:ABW721008 ALS720999:ALS721008 AVO720999:AVO721008 BFK720999:BFK721008 BPG720999:BPG721008 BZC720999:BZC721008 CIY720999:CIY721008 CSU720999:CSU721008 DCQ720999:DCQ721008 DMM720999:DMM721008 DWI720999:DWI721008 EGE720999:EGE721008 EQA720999:EQA721008 EZW720999:EZW721008 FJS720999:FJS721008 FTO720999:FTO721008 GDK720999:GDK721008 GNG720999:GNG721008 GXC720999:GXC721008 HGY720999:HGY721008 HQU720999:HQU721008 IAQ720999:IAQ721008 IKM720999:IKM721008 IUI720999:IUI721008 JEE720999:JEE721008 JOA720999:JOA721008 JXW720999:JXW721008 KHS720999:KHS721008 KRO720999:KRO721008 LBK720999:LBK721008 LLG720999:LLG721008 LVC720999:LVC721008 MEY720999:MEY721008 MOU720999:MOU721008 MYQ720999:MYQ721008 NIM720999:NIM721008 NSI720999:NSI721008 OCE720999:OCE721008 OMA720999:OMA721008 OVW720999:OVW721008 PFS720999:PFS721008 PPO720999:PPO721008 PZK720999:PZK721008 QJG720999:QJG721008 QTC720999:QTC721008 RCY720999:RCY721008 RMU720999:RMU721008 RWQ720999:RWQ721008 SGM720999:SGM721008 SQI720999:SQI721008 TAE720999:TAE721008 TKA720999:TKA721008 TTW720999:TTW721008 UDS720999:UDS721008 UNO720999:UNO721008 UXK720999:UXK721008 VHG720999:VHG721008 VRC720999:VRC721008 WAY720999:WAY721008 WKU720999:WKU721008 WUQ720999:WUQ721008 D786535:D786544 IE786535:IE786544 SA786535:SA786544 ABW786535:ABW786544 ALS786535:ALS786544 AVO786535:AVO786544 BFK786535:BFK786544 BPG786535:BPG786544 BZC786535:BZC786544 CIY786535:CIY786544 CSU786535:CSU786544 DCQ786535:DCQ786544 DMM786535:DMM786544 DWI786535:DWI786544 EGE786535:EGE786544 EQA786535:EQA786544 EZW786535:EZW786544 FJS786535:FJS786544 FTO786535:FTO786544 GDK786535:GDK786544 GNG786535:GNG786544 GXC786535:GXC786544 HGY786535:HGY786544 HQU786535:HQU786544 IAQ786535:IAQ786544 IKM786535:IKM786544 IUI786535:IUI786544 JEE786535:JEE786544 JOA786535:JOA786544 JXW786535:JXW786544 KHS786535:KHS786544 KRO786535:KRO786544 LBK786535:LBK786544 LLG786535:LLG786544 LVC786535:LVC786544 MEY786535:MEY786544 MOU786535:MOU786544 MYQ786535:MYQ786544 NIM786535:NIM786544 NSI786535:NSI786544 OCE786535:OCE786544 OMA786535:OMA786544 OVW786535:OVW786544 PFS786535:PFS786544 PPO786535:PPO786544 PZK786535:PZK786544 QJG786535:QJG786544 QTC786535:QTC786544 RCY786535:RCY786544 RMU786535:RMU786544 RWQ786535:RWQ786544 SGM786535:SGM786544 SQI786535:SQI786544 TAE786535:TAE786544 TKA786535:TKA786544 TTW786535:TTW786544 UDS786535:UDS786544 UNO786535:UNO786544 UXK786535:UXK786544 VHG786535:VHG786544 VRC786535:VRC786544 WAY786535:WAY786544 WKU786535:WKU786544 WUQ786535:WUQ786544 D852071:D852080 IE852071:IE852080 SA852071:SA852080 ABW852071:ABW852080 ALS852071:ALS852080 AVO852071:AVO852080 BFK852071:BFK852080 BPG852071:BPG852080 BZC852071:BZC852080 CIY852071:CIY852080 CSU852071:CSU852080 DCQ852071:DCQ852080 DMM852071:DMM852080 DWI852071:DWI852080 EGE852071:EGE852080 EQA852071:EQA852080 EZW852071:EZW852080 FJS852071:FJS852080 FTO852071:FTO852080 GDK852071:GDK852080 GNG852071:GNG852080 GXC852071:GXC852080 HGY852071:HGY852080 HQU852071:HQU852080 IAQ852071:IAQ852080 IKM852071:IKM852080 IUI852071:IUI852080 JEE852071:JEE852080 JOA852071:JOA852080 JXW852071:JXW852080 KHS852071:KHS852080 KRO852071:KRO852080 LBK852071:LBK852080 LLG852071:LLG852080 LVC852071:LVC852080 MEY852071:MEY852080 MOU852071:MOU852080 MYQ852071:MYQ852080 NIM852071:NIM852080 NSI852071:NSI852080 OCE852071:OCE852080 OMA852071:OMA852080 OVW852071:OVW852080 PFS852071:PFS852080 PPO852071:PPO852080 PZK852071:PZK852080 QJG852071:QJG852080 QTC852071:QTC852080 RCY852071:RCY852080 RMU852071:RMU852080 RWQ852071:RWQ852080 SGM852071:SGM852080 SQI852071:SQI852080 TAE852071:TAE852080 TKA852071:TKA852080 TTW852071:TTW852080 UDS852071:UDS852080 UNO852071:UNO852080 UXK852071:UXK852080 VHG852071:VHG852080 VRC852071:VRC852080 WAY852071:WAY852080 WKU852071:WKU852080 WUQ852071:WUQ852080 D917607:D917616 IE917607:IE917616 SA917607:SA917616 ABW917607:ABW917616 ALS917607:ALS917616 AVO917607:AVO917616 BFK917607:BFK917616 BPG917607:BPG917616 BZC917607:BZC917616 CIY917607:CIY917616 CSU917607:CSU917616 DCQ917607:DCQ917616 DMM917607:DMM917616 DWI917607:DWI917616 EGE917607:EGE917616 EQA917607:EQA917616 EZW917607:EZW917616 FJS917607:FJS917616 FTO917607:FTO917616 GDK917607:GDK917616 GNG917607:GNG917616 GXC917607:GXC917616 HGY917607:HGY917616 HQU917607:HQU917616 IAQ917607:IAQ917616 IKM917607:IKM917616 IUI917607:IUI917616 JEE917607:JEE917616 JOA917607:JOA917616 JXW917607:JXW917616 KHS917607:KHS917616 KRO917607:KRO917616 LBK917607:LBK917616 LLG917607:LLG917616 LVC917607:LVC917616 MEY917607:MEY917616 MOU917607:MOU917616 MYQ917607:MYQ917616 NIM917607:NIM917616 NSI917607:NSI917616 OCE917607:OCE917616 OMA917607:OMA917616 OVW917607:OVW917616 PFS917607:PFS917616 PPO917607:PPO917616 PZK917607:PZK917616 QJG917607:QJG917616 QTC917607:QTC917616 RCY917607:RCY917616 RMU917607:RMU917616 RWQ917607:RWQ917616 SGM917607:SGM917616 SQI917607:SQI917616 TAE917607:TAE917616 TKA917607:TKA917616 TTW917607:TTW917616 UDS917607:UDS917616 UNO917607:UNO917616 UXK917607:UXK917616 VHG917607:VHG917616 VRC917607:VRC917616 WAY917607:WAY917616 WKU917607:WKU917616 WUQ917607:WUQ917616 D983143:D983152 IE983143:IE983152 SA983143:SA983152 ABW983143:ABW983152 ALS983143:ALS983152 AVO983143:AVO983152 BFK983143:BFK983152 BPG983143:BPG983152 BZC983143:BZC983152 CIY983143:CIY983152 CSU983143:CSU983152 DCQ983143:DCQ983152 DMM983143:DMM983152 DWI983143:DWI983152 EGE983143:EGE983152 EQA983143:EQA983152 EZW983143:EZW983152 FJS983143:FJS983152 FTO983143:FTO983152 GDK983143:GDK983152 GNG983143:GNG983152 GXC983143:GXC983152 HGY983143:HGY983152 HQU983143:HQU983152 IAQ983143:IAQ983152 IKM983143:IKM983152 IUI983143:IUI983152 JEE983143:JEE983152 JOA983143:JOA983152 JXW983143:JXW983152 KHS983143:KHS983152 KRO983143:KRO983152 LBK983143:LBK983152 LLG983143:LLG983152 LVC983143:LVC983152 MEY983143:MEY983152 MOU983143:MOU983152 MYQ983143:MYQ983152 NIM983143:NIM983152 NSI983143:NSI983152 OCE983143:OCE983152 OMA983143:OMA983152 OVW983143:OVW983152 PFS983143:PFS983152 PPO983143:PPO983152 PZK983143:PZK983152 QJG983143:QJG983152 QTC983143:QTC983152 RCY983143:RCY983152 RMU983143:RMU983152 RWQ983143:RWQ983152 SGM983143:SGM983152 SQI983143:SQI983152 TAE983143:TAE983152 TKA983143:TKA983152 TTW983143:TTW983152 UDS983143:UDS983152 UNO983143:UNO983152 UXK983143:UXK983152 VHG983143:VHG983152 VRC983143:VRC983152 WAY983143:WAY983152 WKU983143:WKU983152 WUQ983143:WUQ983152" xr:uid="{0B5BC858-B7E3-489E-9B70-EF11CEB5C7B4}">
      <formula1>"000s,m,US$m,$m,US$/t,$/t,%,US$/bbl,US$/mmbtu,$/GJ,A$/US$,USc/lb,US$/oz"</formula1>
    </dataValidation>
    <dataValidation type="list" allowBlank="1" showInputMessage="1" showErrorMessage="1" sqref="D10 IE10 SA10 ABW10 ALS10 AVO10 BFK10 BPG10 BZC10 CIY10 CSU10 DCQ10 DMM10 DWI10 EGE10 EQA10 EZW10 FJS10 FTO10 GDK10 GNG10 GXC10 HGY10 HQU10 IAQ10 IKM10 IUI10 JEE10 JOA10 JXW10 KHS10 KRO10 LBK10 LLG10 LVC10 MEY10 MOU10 MYQ10 NIM10 NSI10 OCE10 OMA10 OVW10 PFS10 PPO10 PZK10 QJG10 QTC10 RCY10 RMU10 RWQ10 SGM10 SQI10 TAE10 TKA10 TTW10 UDS10 UNO10 UXK10 VHG10 VRC10 WAY10 WKU10 WUQ10 D65566 IE65566 SA65566 ABW65566 ALS65566 AVO65566 BFK65566 BPG65566 BZC65566 CIY65566 CSU65566 DCQ65566 DMM65566 DWI65566 EGE65566 EQA65566 EZW65566 FJS65566 FTO65566 GDK65566 GNG65566 GXC65566 HGY65566 HQU65566 IAQ65566 IKM65566 IUI65566 JEE65566 JOA65566 JXW65566 KHS65566 KRO65566 LBK65566 LLG65566 LVC65566 MEY65566 MOU65566 MYQ65566 NIM65566 NSI65566 OCE65566 OMA65566 OVW65566 PFS65566 PPO65566 PZK65566 QJG65566 QTC65566 RCY65566 RMU65566 RWQ65566 SGM65566 SQI65566 TAE65566 TKA65566 TTW65566 UDS65566 UNO65566 UXK65566 VHG65566 VRC65566 WAY65566 WKU65566 WUQ65566 D131102 IE131102 SA131102 ABW131102 ALS131102 AVO131102 BFK131102 BPG131102 BZC131102 CIY131102 CSU131102 DCQ131102 DMM131102 DWI131102 EGE131102 EQA131102 EZW131102 FJS131102 FTO131102 GDK131102 GNG131102 GXC131102 HGY131102 HQU131102 IAQ131102 IKM131102 IUI131102 JEE131102 JOA131102 JXW131102 KHS131102 KRO131102 LBK131102 LLG131102 LVC131102 MEY131102 MOU131102 MYQ131102 NIM131102 NSI131102 OCE131102 OMA131102 OVW131102 PFS131102 PPO131102 PZK131102 QJG131102 QTC131102 RCY131102 RMU131102 RWQ131102 SGM131102 SQI131102 TAE131102 TKA131102 TTW131102 UDS131102 UNO131102 UXK131102 VHG131102 VRC131102 WAY131102 WKU131102 WUQ131102 D196638 IE196638 SA196638 ABW196638 ALS196638 AVO196638 BFK196638 BPG196638 BZC196638 CIY196638 CSU196638 DCQ196638 DMM196638 DWI196638 EGE196638 EQA196638 EZW196638 FJS196638 FTO196638 GDK196638 GNG196638 GXC196638 HGY196638 HQU196638 IAQ196638 IKM196638 IUI196638 JEE196638 JOA196638 JXW196638 KHS196638 KRO196638 LBK196638 LLG196638 LVC196638 MEY196638 MOU196638 MYQ196638 NIM196638 NSI196638 OCE196638 OMA196638 OVW196638 PFS196638 PPO196638 PZK196638 QJG196638 QTC196638 RCY196638 RMU196638 RWQ196638 SGM196638 SQI196638 TAE196638 TKA196638 TTW196638 UDS196638 UNO196638 UXK196638 VHG196638 VRC196638 WAY196638 WKU196638 WUQ196638 D262174 IE262174 SA262174 ABW262174 ALS262174 AVO262174 BFK262174 BPG262174 BZC262174 CIY262174 CSU262174 DCQ262174 DMM262174 DWI262174 EGE262174 EQA262174 EZW262174 FJS262174 FTO262174 GDK262174 GNG262174 GXC262174 HGY262174 HQU262174 IAQ262174 IKM262174 IUI262174 JEE262174 JOA262174 JXW262174 KHS262174 KRO262174 LBK262174 LLG262174 LVC262174 MEY262174 MOU262174 MYQ262174 NIM262174 NSI262174 OCE262174 OMA262174 OVW262174 PFS262174 PPO262174 PZK262174 QJG262174 QTC262174 RCY262174 RMU262174 RWQ262174 SGM262174 SQI262174 TAE262174 TKA262174 TTW262174 UDS262174 UNO262174 UXK262174 VHG262174 VRC262174 WAY262174 WKU262174 WUQ262174 D327710 IE327710 SA327710 ABW327710 ALS327710 AVO327710 BFK327710 BPG327710 BZC327710 CIY327710 CSU327710 DCQ327710 DMM327710 DWI327710 EGE327710 EQA327710 EZW327710 FJS327710 FTO327710 GDK327710 GNG327710 GXC327710 HGY327710 HQU327710 IAQ327710 IKM327710 IUI327710 JEE327710 JOA327710 JXW327710 KHS327710 KRO327710 LBK327710 LLG327710 LVC327710 MEY327710 MOU327710 MYQ327710 NIM327710 NSI327710 OCE327710 OMA327710 OVW327710 PFS327710 PPO327710 PZK327710 QJG327710 QTC327710 RCY327710 RMU327710 RWQ327710 SGM327710 SQI327710 TAE327710 TKA327710 TTW327710 UDS327710 UNO327710 UXK327710 VHG327710 VRC327710 WAY327710 WKU327710 WUQ327710 D393246 IE393246 SA393246 ABW393246 ALS393246 AVO393246 BFK393246 BPG393246 BZC393246 CIY393246 CSU393246 DCQ393246 DMM393246 DWI393246 EGE393246 EQA393246 EZW393246 FJS393246 FTO393246 GDK393246 GNG393246 GXC393246 HGY393246 HQU393246 IAQ393246 IKM393246 IUI393246 JEE393246 JOA393246 JXW393246 KHS393246 KRO393246 LBK393246 LLG393246 LVC393246 MEY393246 MOU393246 MYQ393246 NIM393246 NSI393246 OCE393246 OMA393246 OVW393246 PFS393246 PPO393246 PZK393246 QJG393246 QTC393246 RCY393246 RMU393246 RWQ393246 SGM393246 SQI393246 TAE393246 TKA393246 TTW393246 UDS393246 UNO393246 UXK393246 VHG393246 VRC393246 WAY393246 WKU393246 WUQ393246 D458782 IE458782 SA458782 ABW458782 ALS458782 AVO458782 BFK458782 BPG458782 BZC458782 CIY458782 CSU458782 DCQ458782 DMM458782 DWI458782 EGE458782 EQA458782 EZW458782 FJS458782 FTO458782 GDK458782 GNG458782 GXC458782 HGY458782 HQU458782 IAQ458782 IKM458782 IUI458782 JEE458782 JOA458782 JXW458782 KHS458782 KRO458782 LBK458782 LLG458782 LVC458782 MEY458782 MOU458782 MYQ458782 NIM458782 NSI458782 OCE458782 OMA458782 OVW458782 PFS458782 PPO458782 PZK458782 QJG458782 QTC458782 RCY458782 RMU458782 RWQ458782 SGM458782 SQI458782 TAE458782 TKA458782 TTW458782 UDS458782 UNO458782 UXK458782 VHG458782 VRC458782 WAY458782 WKU458782 WUQ458782 D524318 IE524318 SA524318 ABW524318 ALS524318 AVO524318 BFK524318 BPG524318 BZC524318 CIY524318 CSU524318 DCQ524318 DMM524318 DWI524318 EGE524318 EQA524318 EZW524318 FJS524318 FTO524318 GDK524318 GNG524318 GXC524318 HGY524318 HQU524318 IAQ524318 IKM524318 IUI524318 JEE524318 JOA524318 JXW524318 KHS524318 KRO524318 LBK524318 LLG524318 LVC524318 MEY524318 MOU524318 MYQ524318 NIM524318 NSI524318 OCE524318 OMA524318 OVW524318 PFS524318 PPO524318 PZK524318 QJG524318 QTC524318 RCY524318 RMU524318 RWQ524318 SGM524318 SQI524318 TAE524318 TKA524318 TTW524318 UDS524318 UNO524318 UXK524318 VHG524318 VRC524318 WAY524318 WKU524318 WUQ524318 D589854 IE589854 SA589854 ABW589854 ALS589854 AVO589854 BFK589854 BPG589854 BZC589854 CIY589854 CSU589854 DCQ589854 DMM589854 DWI589854 EGE589854 EQA589854 EZW589854 FJS589854 FTO589854 GDK589854 GNG589854 GXC589854 HGY589854 HQU589854 IAQ589854 IKM589854 IUI589854 JEE589854 JOA589854 JXW589854 KHS589854 KRO589854 LBK589854 LLG589854 LVC589854 MEY589854 MOU589854 MYQ589854 NIM589854 NSI589854 OCE589854 OMA589854 OVW589854 PFS589854 PPO589854 PZK589854 QJG589854 QTC589854 RCY589854 RMU589854 RWQ589854 SGM589854 SQI589854 TAE589854 TKA589854 TTW589854 UDS589854 UNO589854 UXK589854 VHG589854 VRC589854 WAY589854 WKU589854 WUQ589854 D655390 IE655390 SA655390 ABW655390 ALS655390 AVO655390 BFK655390 BPG655390 BZC655390 CIY655390 CSU655390 DCQ655390 DMM655390 DWI655390 EGE655390 EQA655390 EZW655390 FJS655390 FTO655390 GDK655390 GNG655390 GXC655390 HGY655390 HQU655390 IAQ655390 IKM655390 IUI655390 JEE655390 JOA655390 JXW655390 KHS655390 KRO655390 LBK655390 LLG655390 LVC655390 MEY655390 MOU655390 MYQ655390 NIM655390 NSI655390 OCE655390 OMA655390 OVW655390 PFS655390 PPO655390 PZK655390 QJG655390 QTC655390 RCY655390 RMU655390 RWQ655390 SGM655390 SQI655390 TAE655390 TKA655390 TTW655390 UDS655390 UNO655390 UXK655390 VHG655390 VRC655390 WAY655390 WKU655390 WUQ655390 D720926 IE720926 SA720926 ABW720926 ALS720926 AVO720926 BFK720926 BPG720926 BZC720926 CIY720926 CSU720926 DCQ720926 DMM720926 DWI720926 EGE720926 EQA720926 EZW720926 FJS720926 FTO720926 GDK720926 GNG720926 GXC720926 HGY720926 HQU720926 IAQ720926 IKM720926 IUI720926 JEE720926 JOA720926 JXW720926 KHS720926 KRO720926 LBK720926 LLG720926 LVC720926 MEY720926 MOU720926 MYQ720926 NIM720926 NSI720926 OCE720926 OMA720926 OVW720926 PFS720926 PPO720926 PZK720926 QJG720926 QTC720926 RCY720926 RMU720926 RWQ720926 SGM720926 SQI720926 TAE720926 TKA720926 TTW720926 UDS720926 UNO720926 UXK720926 VHG720926 VRC720926 WAY720926 WKU720926 WUQ720926 D786462 IE786462 SA786462 ABW786462 ALS786462 AVO786462 BFK786462 BPG786462 BZC786462 CIY786462 CSU786462 DCQ786462 DMM786462 DWI786462 EGE786462 EQA786462 EZW786462 FJS786462 FTO786462 GDK786462 GNG786462 GXC786462 HGY786462 HQU786462 IAQ786462 IKM786462 IUI786462 JEE786462 JOA786462 JXW786462 KHS786462 KRO786462 LBK786462 LLG786462 LVC786462 MEY786462 MOU786462 MYQ786462 NIM786462 NSI786462 OCE786462 OMA786462 OVW786462 PFS786462 PPO786462 PZK786462 QJG786462 QTC786462 RCY786462 RMU786462 RWQ786462 SGM786462 SQI786462 TAE786462 TKA786462 TTW786462 UDS786462 UNO786462 UXK786462 VHG786462 VRC786462 WAY786462 WKU786462 WUQ786462 D851998 IE851998 SA851998 ABW851998 ALS851998 AVO851998 BFK851998 BPG851998 BZC851998 CIY851998 CSU851998 DCQ851998 DMM851998 DWI851998 EGE851998 EQA851998 EZW851998 FJS851998 FTO851998 GDK851998 GNG851998 GXC851998 HGY851998 HQU851998 IAQ851998 IKM851998 IUI851998 JEE851998 JOA851998 JXW851998 KHS851998 KRO851998 LBK851998 LLG851998 LVC851998 MEY851998 MOU851998 MYQ851998 NIM851998 NSI851998 OCE851998 OMA851998 OVW851998 PFS851998 PPO851998 PZK851998 QJG851998 QTC851998 RCY851998 RMU851998 RWQ851998 SGM851998 SQI851998 TAE851998 TKA851998 TTW851998 UDS851998 UNO851998 UXK851998 VHG851998 VRC851998 WAY851998 WKU851998 WUQ851998 D917534 IE917534 SA917534 ABW917534 ALS917534 AVO917534 BFK917534 BPG917534 BZC917534 CIY917534 CSU917534 DCQ917534 DMM917534 DWI917534 EGE917534 EQA917534 EZW917534 FJS917534 FTO917534 GDK917534 GNG917534 GXC917534 HGY917534 HQU917534 IAQ917534 IKM917534 IUI917534 JEE917534 JOA917534 JXW917534 KHS917534 KRO917534 LBK917534 LLG917534 LVC917534 MEY917534 MOU917534 MYQ917534 NIM917534 NSI917534 OCE917534 OMA917534 OVW917534 PFS917534 PPO917534 PZK917534 QJG917534 QTC917534 RCY917534 RMU917534 RWQ917534 SGM917534 SQI917534 TAE917534 TKA917534 TTW917534 UDS917534 UNO917534 UXK917534 VHG917534 VRC917534 WAY917534 WKU917534 WUQ917534 D983070 IE983070 SA983070 ABW983070 ALS983070 AVO983070 BFK983070 BPG983070 BZC983070 CIY983070 CSU983070 DCQ983070 DMM983070 DWI983070 EGE983070 EQA983070 EZW983070 FJS983070 FTO983070 GDK983070 GNG983070 GXC983070 HGY983070 HQU983070 IAQ983070 IKM983070 IUI983070 JEE983070 JOA983070 JXW983070 KHS983070 KRO983070 LBK983070 LLG983070 LVC983070 MEY983070 MOU983070 MYQ983070 NIM983070 NSI983070 OCE983070 OMA983070 OVW983070 PFS983070 PPO983070 PZK983070 QJG983070 QTC983070 RCY983070 RMU983070 RWQ983070 SGM983070 SQI983070 TAE983070 TKA983070 TTW983070 UDS983070 UNO983070 UXK983070 VHG983070 VRC983070 WAY983070 WKU983070 WUQ983070" xr:uid="{BBC98AE7-7E85-4C6C-B476-0C4F385A6FD1}">
      <formula1>"$,C$,Euro,GBP,NZD,US$"</formula1>
    </dataValidation>
    <dataValidation type="list" allowBlank="1" showInputMessage="1" showErrorMessage="1" sqref="D9 IE9 SA9 ABW9 ALS9 AVO9 BFK9 BPG9 BZC9 CIY9 CSU9 DCQ9 DMM9 DWI9 EGE9 EQA9 EZW9 FJS9 FTO9 GDK9 GNG9 GXC9 HGY9 HQU9 IAQ9 IKM9 IUI9 JEE9 JOA9 JXW9 KHS9 KRO9 LBK9 LLG9 LVC9 MEY9 MOU9 MYQ9 NIM9 NSI9 OCE9 OMA9 OVW9 PFS9 PPO9 PZK9 QJG9 QTC9 RCY9 RMU9 RWQ9 SGM9 SQI9 TAE9 TKA9 TTW9 UDS9 UNO9 UXK9 VHG9 VRC9 WAY9 WKU9 WUQ9 D65565 IE65565 SA65565 ABW65565 ALS65565 AVO65565 BFK65565 BPG65565 BZC65565 CIY65565 CSU65565 DCQ65565 DMM65565 DWI65565 EGE65565 EQA65565 EZW65565 FJS65565 FTO65565 GDK65565 GNG65565 GXC65565 HGY65565 HQU65565 IAQ65565 IKM65565 IUI65565 JEE65565 JOA65565 JXW65565 KHS65565 KRO65565 LBK65565 LLG65565 LVC65565 MEY65565 MOU65565 MYQ65565 NIM65565 NSI65565 OCE65565 OMA65565 OVW65565 PFS65565 PPO65565 PZK65565 QJG65565 QTC65565 RCY65565 RMU65565 RWQ65565 SGM65565 SQI65565 TAE65565 TKA65565 TTW65565 UDS65565 UNO65565 UXK65565 VHG65565 VRC65565 WAY65565 WKU65565 WUQ65565 D131101 IE131101 SA131101 ABW131101 ALS131101 AVO131101 BFK131101 BPG131101 BZC131101 CIY131101 CSU131101 DCQ131101 DMM131101 DWI131101 EGE131101 EQA131101 EZW131101 FJS131101 FTO131101 GDK131101 GNG131101 GXC131101 HGY131101 HQU131101 IAQ131101 IKM131101 IUI131101 JEE131101 JOA131101 JXW131101 KHS131101 KRO131101 LBK131101 LLG131101 LVC131101 MEY131101 MOU131101 MYQ131101 NIM131101 NSI131101 OCE131101 OMA131101 OVW131101 PFS131101 PPO131101 PZK131101 QJG131101 QTC131101 RCY131101 RMU131101 RWQ131101 SGM131101 SQI131101 TAE131101 TKA131101 TTW131101 UDS131101 UNO131101 UXK131101 VHG131101 VRC131101 WAY131101 WKU131101 WUQ131101 D196637 IE196637 SA196637 ABW196637 ALS196637 AVO196637 BFK196637 BPG196637 BZC196637 CIY196637 CSU196637 DCQ196637 DMM196637 DWI196637 EGE196637 EQA196637 EZW196637 FJS196637 FTO196637 GDK196637 GNG196637 GXC196637 HGY196637 HQU196637 IAQ196637 IKM196637 IUI196637 JEE196637 JOA196637 JXW196637 KHS196637 KRO196637 LBK196637 LLG196637 LVC196637 MEY196637 MOU196637 MYQ196637 NIM196637 NSI196637 OCE196637 OMA196637 OVW196637 PFS196637 PPO196637 PZK196637 QJG196637 QTC196637 RCY196637 RMU196637 RWQ196637 SGM196637 SQI196637 TAE196637 TKA196637 TTW196637 UDS196637 UNO196637 UXK196637 VHG196637 VRC196637 WAY196637 WKU196637 WUQ196637 D262173 IE262173 SA262173 ABW262173 ALS262173 AVO262173 BFK262173 BPG262173 BZC262173 CIY262173 CSU262173 DCQ262173 DMM262173 DWI262173 EGE262173 EQA262173 EZW262173 FJS262173 FTO262173 GDK262173 GNG262173 GXC262173 HGY262173 HQU262173 IAQ262173 IKM262173 IUI262173 JEE262173 JOA262173 JXW262173 KHS262173 KRO262173 LBK262173 LLG262173 LVC262173 MEY262173 MOU262173 MYQ262173 NIM262173 NSI262173 OCE262173 OMA262173 OVW262173 PFS262173 PPO262173 PZK262173 QJG262173 QTC262173 RCY262173 RMU262173 RWQ262173 SGM262173 SQI262173 TAE262173 TKA262173 TTW262173 UDS262173 UNO262173 UXK262173 VHG262173 VRC262173 WAY262173 WKU262173 WUQ262173 D327709 IE327709 SA327709 ABW327709 ALS327709 AVO327709 BFK327709 BPG327709 BZC327709 CIY327709 CSU327709 DCQ327709 DMM327709 DWI327709 EGE327709 EQA327709 EZW327709 FJS327709 FTO327709 GDK327709 GNG327709 GXC327709 HGY327709 HQU327709 IAQ327709 IKM327709 IUI327709 JEE327709 JOA327709 JXW327709 KHS327709 KRO327709 LBK327709 LLG327709 LVC327709 MEY327709 MOU327709 MYQ327709 NIM327709 NSI327709 OCE327709 OMA327709 OVW327709 PFS327709 PPO327709 PZK327709 QJG327709 QTC327709 RCY327709 RMU327709 RWQ327709 SGM327709 SQI327709 TAE327709 TKA327709 TTW327709 UDS327709 UNO327709 UXK327709 VHG327709 VRC327709 WAY327709 WKU327709 WUQ327709 D393245 IE393245 SA393245 ABW393245 ALS393245 AVO393245 BFK393245 BPG393245 BZC393245 CIY393245 CSU393245 DCQ393245 DMM393245 DWI393245 EGE393245 EQA393245 EZW393245 FJS393245 FTO393245 GDK393245 GNG393245 GXC393245 HGY393245 HQU393245 IAQ393245 IKM393245 IUI393245 JEE393245 JOA393245 JXW393245 KHS393245 KRO393245 LBK393245 LLG393245 LVC393245 MEY393245 MOU393245 MYQ393245 NIM393245 NSI393245 OCE393245 OMA393245 OVW393245 PFS393245 PPO393245 PZK393245 QJG393245 QTC393245 RCY393245 RMU393245 RWQ393245 SGM393245 SQI393245 TAE393245 TKA393245 TTW393245 UDS393245 UNO393245 UXK393245 VHG393245 VRC393245 WAY393245 WKU393245 WUQ393245 D458781 IE458781 SA458781 ABW458781 ALS458781 AVO458781 BFK458781 BPG458781 BZC458781 CIY458781 CSU458781 DCQ458781 DMM458781 DWI458781 EGE458781 EQA458781 EZW458781 FJS458781 FTO458781 GDK458781 GNG458781 GXC458781 HGY458781 HQU458781 IAQ458781 IKM458781 IUI458781 JEE458781 JOA458781 JXW458781 KHS458781 KRO458781 LBK458781 LLG458781 LVC458781 MEY458781 MOU458781 MYQ458781 NIM458781 NSI458781 OCE458781 OMA458781 OVW458781 PFS458781 PPO458781 PZK458781 QJG458781 QTC458781 RCY458781 RMU458781 RWQ458781 SGM458781 SQI458781 TAE458781 TKA458781 TTW458781 UDS458781 UNO458781 UXK458781 VHG458781 VRC458781 WAY458781 WKU458781 WUQ458781 D524317 IE524317 SA524317 ABW524317 ALS524317 AVO524317 BFK524317 BPG524317 BZC524317 CIY524317 CSU524317 DCQ524317 DMM524317 DWI524317 EGE524317 EQA524317 EZW524317 FJS524317 FTO524317 GDK524317 GNG524317 GXC524317 HGY524317 HQU524317 IAQ524317 IKM524317 IUI524317 JEE524317 JOA524317 JXW524317 KHS524317 KRO524317 LBK524317 LLG524317 LVC524317 MEY524317 MOU524317 MYQ524317 NIM524317 NSI524317 OCE524317 OMA524317 OVW524317 PFS524317 PPO524317 PZK524317 QJG524317 QTC524317 RCY524317 RMU524317 RWQ524317 SGM524317 SQI524317 TAE524317 TKA524317 TTW524317 UDS524317 UNO524317 UXK524317 VHG524317 VRC524317 WAY524317 WKU524317 WUQ524317 D589853 IE589853 SA589853 ABW589853 ALS589853 AVO589853 BFK589853 BPG589853 BZC589853 CIY589853 CSU589853 DCQ589853 DMM589853 DWI589853 EGE589853 EQA589853 EZW589853 FJS589853 FTO589853 GDK589853 GNG589853 GXC589853 HGY589853 HQU589853 IAQ589853 IKM589853 IUI589853 JEE589853 JOA589853 JXW589853 KHS589853 KRO589853 LBK589853 LLG589853 LVC589853 MEY589853 MOU589853 MYQ589853 NIM589853 NSI589853 OCE589853 OMA589853 OVW589853 PFS589853 PPO589853 PZK589853 QJG589853 QTC589853 RCY589853 RMU589853 RWQ589853 SGM589853 SQI589853 TAE589853 TKA589853 TTW589853 UDS589853 UNO589853 UXK589853 VHG589853 VRC589853 WAY589853 WKU589853 WUQ589853 D655389 IE655389 SA655389 ABW655389 ALS655389 AVO655389 BFK655389 BPG655389 BZC655389 CIY655389 CSU655389 DCQ655389 DMM655389 DWI655389 EGE655389 EQA655389 EZW655389 FJS655389 FTO655389 GDK655389 GNG655389 GXC655389 HGY655389 HQU655389 IAQ655389 IKM655389 IUI655389 JEE655389 JOA655389 JXW655389 KHS655389 KRO655389 LBK655389 LLG655389 LVC655389 MEY655389 MOU655389 MYQ655389 NIM655389 NSI655389 OCE655389 OMA655389 OVW655389 PFS655389 PPO655389 PZK655389 QJG655389 QTC655389 RCY655389 RMU655389 RWQ655389 SGM655389 SQI655389 TAE655389 TKA655389 TTW655389 UDS655389 UNO655389 UXK655389 VHG655389 VRC655389 WAY655389 WKU655389 WUQ655389 D720925 IE720925 SA720925 ABW720925 ALS720925 AVO720925 BFK720925 BPG720925 BZC720925 CIY720925 CSU720925 DCQ720925 DMM720925 DWI720925 EGE720925 EQA720925 EZW720925 FJS720925 FTO720925 GDK720925 GNG720925 GXC720925 HGY720925 HQU720925 IAQ720925 IKM720925 IUI720925 JEE720925 JOA720925 JXW720925 KHS720925 KRO720925 LBK720925 LLG720925 LVC720925 MEY720925 MOU720925 MYQ720925 NIM720925 NSI720925 OCE720925 OMA720925 OVW720925 PFS720925 PPO720925 PZK720925 QJG720925 QTC720925 RCY720925 RMU720925 RWQ720925 SGM720925 SQI720925 TAE720925 TKA720925 TTW720925 UDS720925 UNO720925 UXK720925 VHG720925 VRC720925 WAY720925 WKU720925 WUQ720925 D786461 IE786461 SA786461 ABW786461 ALS786461 AVO786461 BFK786461 BPG786461 BZC786461 CIY786461 CSU786461 DCQ786461 DMM786461 DWI786461 EGE786461 EQA786461 EZW786461 FJS786461 FTO786461 GDK786461 GNG786461 GXC786461 HGY786461 HQU786461 IAQ786461 IKM786461 IUI786461 JEE786461 JOA786461 JXW786461 KHS786461 KRO786461 LBK786461 LLG786461 LVC786461 MEY786461 MOU786461 MYQ786461 NIM786461 NSI786461 OCE786461 OMA786461 OVW786461 PFS786461 PPO786461 PZK786461 QJG786461 QTC786461 RCY786461 RMU786461 RWQ786461 SGM786461 SQI786461 TAE786461 TKA786461 TTW786461 UDS786461 UNO786461 UXK786461 VHG786461 VRC786461 WAY786461 WKU786461 WUQ786461 D851997 IE851997 SA851997 ABW851997 ALS851997 AVO851997 BFK851997 BPG851997 BZC851997 CIY851997 CSU851997 DCQ851997 DMM851997 DWI851997 EGE851997 EQA851997 EZW851997 FJS851997 FTO851997 GDK851997 GNG851997 GXC851997 HGY851997 HQU851997 IAQ851997 IKM851997 IUI851997 JEE851997 JOA851997 JXW851997 KHS851997 KRO851997 LBK851997 LLG851997 LVC851997 MEY851997 MOU851997 MYQ851997 NIM851997 NSI851997 OCE851997 OMA851997 OVW851997 PFS851997 PPO851997 PZK851997 QJG851997 QTC851997 RCY851997 RMU851997 RWQ851997 SGM851997 SQI851997 TAE851997 TKA851997 TTW851997 UDS851997 UNO851997 UXK851997 VHG851997 VRC851997 WAY851997 WKU851997 WUQ851997 D917533 IE917533 SA917533 ABW917533 ALS917533 AVO917533 BFK917533 BPG917533 BZC917533 CIY917533 CSU917533 DCQ917533 DMM917533 DWI917533 EGE917533 EQA917533 EZW917533 FJS917533 FTO917533 GDK917533 GNG917533 GXC917533 HGY917533 HQU917533 IAQ917533 IKM917533 IUI917533 JEE917533 JOA917533 JXW917533 KHS917533 KRO917533 LBK917533 LLG917533 LVC917533 MEY917533 MOU917533 MYQ917533 NIM917533 NSI917533 OCE917533 OMA917533 OVW917533 PFS917533 PPO917533 PZK917533 QJG917533 QTC917533 RCY917533 RMU917533 RWQ917533 SGM917533 SQI917533 TAE917533 TKA917533 TTW917533 UDS917533 UNO917533 UXK917533 VHG917533 VRC917533 WAY917533 WKU917533 WUQ917533 D983069 IE983069 SA983069 ABW983069 ALS983069 AVO983069 BFK983069 BPG983069 BZC983069 CIY983069 CSU983069 DCQ983069 DMM983069 DWI983069 EGE983069 EQA983069 EZW983069 FJS983069 FTO983069 GDK983069 GNG983069 GXC983069 HGY983069 HQU983069 IAQ983069 IKM983069 IUI983069 JEE983069 JOA983069 JXW983069 KHS983069 KRO983069 LBK983069 LLG983069 LVC983069 MEY983069 MOU983069 MYQ983069 NIM983069 NSI983069 OCE983069 OMA983069 OVW983069 PFS983069 PPO983069 PZK983069 QJG983069 QTC983069 RCY983069 RMU983069 RWQ983069 SGM983069 SQI983069 TAE983069 TKA983069 TTW983069 UDS983069 UNO983069 UXK983069 VHG983069 VRC983069 WAY983069 WKU983069 WUQ983069" xr:uid="{487E6260-E005-4A27-ABE2-2406DEF83B72}">
      <formula1>"1000,1000000,1000000000"</formula1>
    </dataValidation>
    <dataValidation type="list" allowBlank="1" showInputMessage="1" showErrorMessage="1" sqref="D14 IE14 SA14 ABW14 ALS14 AVO14 BFK14 BPG14 BZC14 CIY14 CSU14 DCQ14 DMM14 DWI14 EGE14 EQA14 EZW14 FJS14 FTO14 GDK14 GNG14 GXC14 HGY14 HQU14 IAQ14 IKM14 IUI14 JEE14 JOA14 JXW14 KHS14 KRO14 LBK14 LLG14 LVC14 MEY14 MOU14 MYQ14 NIM14 NSI14 OCE14 OMA14 OVW14 PFS14 PPO14 PZK14 QJG14 QTC14 RCY14 RMU14 RWQ14 SGM14 SQI14 TAE14 TKA14 TTW14 UDS14 UNO14 UXK14 VHG14 VRC14 WAY14 WKU14 WUQ14 D65570 IE65570 SA65570 ABW65570 ALS65570 AVO65570 BFK65570 BPG65570 BZC65570 CIY65570 CSU65570 DCQ65570 DMM65570 DWI65570 EGE65570 EQA65570 EZW65570 FJS65570 FTO65570 GDK65570 GNG65570 GXC65570 HGY65570 HQU65570 IAQ65570 IKM65570 IUI65570 JEE65570 JOA65570 JXW65570 KHS65570 KRO65570 LBK65570 LLG65570 LVC65570 MEY65570 MOU65570 MYQ65570 NIM65570 NSI65570 OCE65570 OMA65570 OVW65570 PFS65570 PPO65570 PZK65570 QJG65570 QTC65570 RCY65570 RMU65570 RWQ65570 SGM65570 SQI65570 TAE65570 TKA65570 TTW65570 UDS65570 UNO65570 UXK65570 VHG65570 VRC65570 WAY65570 WKU65570 WUQ65570 D131106 IE131106 SA131106 ABW131106 ALS131106 AVO131106 BFK131106 BPG131106 BZC131106 CIY131106 CSU131106 DCQ131106 DMM131106 DWI131106 EGE131106 EQA131106 EZW131106 FJS131106 FTO131106 GDK131106 GNG131106 GXC131106 HGY131106 HQU131106 IAQ131106 IKM131106 IUI131106 JEE131106 JOA131106 JXW131106 KHS131106 KRO131106 LBK131106 LLG131106 LVC131106 MEY131106 MOU131106 MYQ131106 NIM131106 NSI131106 OCE131106 OMA131106 OVW131106 PFS131106 PPO131106 PZK131106 QJG131106 QTC131106 RCY131106 RMU131106 RWQ131106 SGM131106 SQI131106 TAE131106 TKA131106 TTW131106 UDS131106 UNO131106 UXK131106 VHG131106 VRC131106 WAY131106 WKU131106 WUQ131106 D196642 IE196642 SA196642 ABW196642 ALS196642 AVO196642 BFK196642 BPG196642 BZC196642 CIY196642 CSU196642 DCQ196642 DMM196642 DWI196642 EGE196642 EQA196642 EZW196642 FJS196642 FTO196642 GDK196642 GNG196642 GXC196642 HGY196642 HQU196642 IAQ196642 IKM196642 IUI196642 JEE196642 JOA196642 JXW196642 KHS196642 KRO196642 LBK196642 LLG196642 LVC196642 MEY196642 MOU196642 MYQ196642 NIM196642 NSI196642 OCE196642 OMA196642 OVW196642 PFS196642 PPO196642 PZK196642 QJG196642 QTC196642 RCY196642 RMU196642 RWQ196642 SGM196642 SQI196642 TAE196642 TKA196642 TTW196642 UDS196642 UNO196642 UXK196642 VHG196642 VRC196642 WAY196642 WKU196642 WUQ196642 D262178 IE262178 SA262178 ABW262178 ALS262178 AVO262178 BFK262178 BPG262178 BZC262178 CIY262178 CSU262178 DCQ262178 DMM262178 DWI262178 EGE262178 EQA262178 EZW262178 FJS262178 FTO262178 GDK262178 GNG262178 GXC262178 HGY262178 HQU262178 IAQ262178 IKM262178 IUI262178 JEE262178 JOA262178 JXW262178 KHS262178 KRO262178 LBK262178 LLG262178 LVC262178 MEY262178 MOU262178 MYQ262178 NIM262178 NSI262178 OCE262178 OMA262178 OVW262178 PFS262178 PPO262178 PZK262178 QJG262178 QTC262178 RCY262178 RMU262178 RWQ262178 SGM262178 SQI262178 TAE262178 TKA262178 TTW262178 UDS262178 UNO262178 UXK262178 VHG262178 VRC262178 WAY262178 WKU262178 WUQ262178 D327714 IE327714 SA327714 ABW327714 ALS327714 AVO327714 BFK327714 BPG327714 BZC327714 CIY327714 CSU327714 DCQ327714 DMM327714 DWI327714 EGE327714 EQA327714 EZW327714 FJS327714 FTO327714 GDK327714 GNG327714 GXC327714 HGY327714 HQU327714 IAQ327714 IKM327714 IUI327714 JEE327714 JOA327714 JXW327714 KHS327714 KRO327714 LBK327714 LLG327714 LVC327714 MEY327714 MOU327714 MYQ327714 NIM327714 NSI327714 OCE327714 OMA327714 OVW327714 PFS327714 PPO327714 PZK327714 QJG327714 QTC327714 RCY327714 RMU327714 RWQ327714 SGM327714 SQI327714 TAE327714 TKA327714 TTW327714 UDS327714 UNO327714 UXK327714 VHG327714 VRC327714 WAY327714 WKU327714 WUQ327714 D393250 IE393250 SA393250 ABW393250 ALS393250 AVO393250 BFK393250 BPG393250 BZC393250 CIY393250 CSU393250 DCQ393250 DMM393250 DWI393250 EGE393250 EQA393250 EZW393250 FJS393250 FTO393250 GDK393250 GNG393250 GXC393250 HGY393250 HQU393250 IAQ393250 IKM393250 IUI393250 JEE393250 JOA393250 JXW393250 KHS393250 KRO393250 LBK393250 LLG393250 LVC393250 MEY393250 MOU393250 MYQ393250 NIM393250 NSI393250 OCE393250 OMA393250 OVW393250 PFS393250 PPO393250 PZK393250 QJG393250 QTC393250 RCY393250 RMU393250 RWQ393250 SGM393250 SQI393250 TAE393250 TKA393250 TTW393250 UDS393250 UNO393250 UXK393250 VHG393250 VRC393250 WAY393250 WKU393250 WUQ393250 D458786 IE458786 SA458786 ABW458786 ALS458786 AVO458786 BFK458786 BPG458786 BZC458786 CIY458786 CSU458786 DCQ458786 DMM458786 DWI458786 EGE458786 EQA458786 EZW458786 FJS458786 FTO458786 GDK458786 GNG458786 GXC458786 HGY458786 HQU458786 IAQ458786 IKM458786 IUI458786 JEE458786 JOA458786 JXW458786 KHS458786 KRO458786 LBK458786 LLG458786 LVC458786 MEY458786 MOU458786 MYQ458786 NIM458786 NSI458786 OCE458786 OMA458786 OVW458786 PFS458786 PPO458786 PZK458786 QJG458786 QTC458786 RCY458786 RMU458786 RWQ458786 SGM458786 SQI458786 TAE458786 TKA458786 TTW458786 UDS458786 UNO458786 UXK458786 VHG458786 VRC458786 WAY458786 WKU458786 WUQ458786 D524322 IE524322 SA524322 ABW524322 ALS524322 AVO524322 BFK524322 BPG524322 BZC524322 CIY524322 CSU524322 DCQ524322 DMM524322 DWI524322 EGE524322 EQA524322 EZW524322 FJS524322 FTO524322 GDK524322 GNG524322 GXC524322 HGY524322 HQU524322 IAQ524322 IKM524322 IUI524322 JEE524322 JOA524322 JXW524322 KHS524322 KRO524322 LBK524322 LLG524322 LVC524322 MEY524322 MOU524322 MYQ524322 NIM524322 NSI524322 OCE524322 OMA524322 OVW524322 PFS524322 PPO524322 PZK524322 QJG524322 QTC524322 RCY524322 RMU524322 RWQ524322 SGM524322 SQI524322 TAE524322 TKA524322 TTW524322 UDS524322 UNO524322 UXK524322 VHG524322 VRC524322 WAY524322 WKU524322 WUQ524322 D589858 IE589858 SA589858 ABW589858 ALS589858 AVO589858 BFK589858 BPG589858 BZC589858 CIY589858 CSU589858 DCQ589858 DMM589858 DWI589858 EGE589858 EQA589858 EZW589858 FJS589858 FTO589858 GDK589858 GNG589858 GXC589858 HGY589858 HQU589858 IAQ589858 IKM589858 IUI589858 JEE589858 JOA589858 JXW589858 KHS589858 KRO589858 LBK589858 LLG589858 LVC589858 MEY589858 MOU589858 MYQ589858 NIM589858 NSI589858 OCE589858 OMA589858 OVW589858 PFS589858 PPO589858 PZK589858 QJG589858 QTC589858 RCY589858 RMU589858 RWQ589858 SGM589858 SQI589858 TAE589858 TKA589858 TTW589858 UDS589858 UNO589858 UXK589858 VHG589858 VRC589858 WAY589858 WKU589858 WUQ589858 D655394 IE655394 SA655394 ABW655394 ALS655394 AVO655394 BFK655394 BPG655394 BZC655394 CIY655394 CSU655394 DCQ655394 DMM655394 DWI655394 EGE655394 EQA655394 EZW655394 FJS655394 FTO655394 GDK655394 GNG655394 GXC655394 HGY655394 HQU655394 IAQ655394 IKM655394 IUI655394 JEE655394 JOA655394 JXW655394 KHS655394 KRO655394 LBK655394 LLG655394 LVC655394 MEY655394 MOU655394 MYQ655394 NIM655394 NSI655394 OCE655394 OMA655394 OVW655394 PFS655394 PPO655394 PZK655394 QJG655394 QTC655394 RCY655394 RMU655394 RWQ655394 SGM655394 SQI655394 TAE655394 TKA655394 TTW655394 UDS655394 UNO655394 UXK655394 VHG655394 VRC655394 WAY655394 WKU655394 WUQ655394 D720930 IE720930 SA720930 ABW720930 ALS720930 AVO720930 BFK720930 BPG720930 BZC720930 CIY720930 CSU720930 DCQ720930 DMM720930 DWI720930 EGE720930 EQA720930 EZW720930 FJS720930 FTO720930 GDK720930 GNG720930 GXC720930 HGY720930 HQU720930 IAQ720930 IKM720930 IUI720930 JEE720930 JOA720930 JXW720930 KHS720930 KRO720930 LBK720930 LLG720930 LVC720930 MEY720930 MOU720930 MYQ720930 NIM720930 NSI720930 OCE720930 OMA720930 OVW720930 PFS720930 PPO720930 PZK720930 QJG720930 QTC720930 RCY720930 RMU720930 RWQ720930 SGM720930 SQI720930 TAE720930 TKA720930 TTW720930 UDS720930 UNO720930 UXK720930 VHG720930 VRC720930 WAY720930 WKU720930 WUQ720930 D786466 IE786466 SA786466 ABW786466 ALS786466 AVO786466 BFK786466 BPG786466 BZC786466 CIY786466 CSU786466 DCQ786466 DMM786466 DWI786466 EGE786466 EQA786466 EZW786466 FJS786466 FTO786466 GDK786466 GNG786466 GXC786466 HGY786466 HQU786466 IAQ786466 IKM786466 IUI786466 JEE786466 JOA786466 JXW786466 KHS786466 KRO786466 LBK786466 LLG786466 LVC786466 MEY786466 MOU786466 MYQ786466 NIM786466 NSI786466 OCE786466 OMA786466 OVW786466 PFS786466 PPO786466 PZK786466 QJG786466 QTC786466 RCY786466 RMU786466 RWQ786466 SGM786466 SQI786466 TAE786466 TKA786466 TTW786466 UDS786466 UNO786466 UXK786466 VHG786466 VRC786466 WAY786466 WKU786466 WUQ786466 D852002 IE852002 SA852002 ABW852002 ALS852002 AVO852002 BFK852002 BPG852002 BZC852002 CIY852002 CSU852002 DCQ852002 DMM852002 DWI852002 EGE852002 EQA852002 EZW852002 FJS852002 FTO852002 GDK852002 GNG852002 GXC852002 HGY852002 HQU852002 IAQ852002 IKM852002 IUI852002 JEE852002 JOA852002 JXW852002 KHS852002 KRO852002 LBK852002 LLG852002 LVC852002 MEY852002 MOU852002 MYQ852002 NIM852002 NSI852002 OCE852002 OMA852002 OVW852002 PFS852002 PPO852002 PZK852002 QJG852002 QTC852002 RCY852002 RMU852002 RWQ852002 SGM852002 SQI852002 TAE852002 TKA852002 TTW852002 UDS852002 UNO852002 UXK852002 VHG852002 VRC852002 WAY852002 WKU852002 WUQ852002 D917538 IE917538 SA917538 ABW917538 ALS917538 AVO917538 BFK917538 BPG917538 BZC917538 CIY917538 CSU917538 DCQ917538 DMM917538 DWI917538 EGE917538 EQA917538 EZW917538 FJS917538 FTO917538 GDK917538 GNG917538 GXC917538 HGY917538 HQU917538 IAQ917538 IKM917538 IUI917538 JEE917538 JOA917538 JXW917538 KHS917538 KRO917538 LBK917538 LLG917538 LVC917538 MEY917538 MOU917538 MYQ917538 NIM917538 NSI917538 OCE917538 OMA917538 OVW917538 PFS917538 PPO917538 PZK917538 QJG917538 QTC917538 RCY917538 RMU917538 RWQ917538 SGM917538 SQI917538 TAE917538 TKA917538 TTW917538 UDS917538 UNO917538 UXK917538 VHG917538 VRC917538 WAY917538 WKU917538 WUQ917538 D983074 IE983074 SA983074 ABW983074 ALS983074 AVO983074 BFK983074 BPG983074 BZC983074 CIY983074 CSU983074 DCQ983074 DMM983074 DWI983074 EGE983074 EQA983074 EZW983074 FJS983074 FTO983074 GDK983074 GNG983074 GXC983074 HGY983074 HQU983074 IAQ983074 IKM983074 IUI983074 JEE983074 JOA983074 JXW983074 KHS983074 KRO983074 LBK983074 LLG983074 LVC983074 MEY983074 MOU983074 MYQ983074 NIM983074 NSI983074 OCE983074 OMA983074 OVW983074 PFS983074 PPO983074 PZK983074 QJG983074 QTC983074 RCY983074 RMU983074 RWQ983074 SGM983074 SQI983074 TAE983074 TKA983074 TTW983074 UDS983074 UNO983074 UXK983074 VHG983074 VRC983074 WAY983074 WKU983074 WUQ983074" xr:uid="{6B0F9EB0-4D54-45FA-A89C-75A7024B1251}">
      <formula1>"Positive,Neutral,Negative,Speculative Buy,Suspended,Not Rated"</formula1>
    </dataValidation>
    <dataValidation type="list" allowBlank="1" showInputMessage="1" showErrorMessage="1" sqref="WKU983119 IE57 SA57 ABW57 ALS57 AVO57 BFK57 BPG57 BZC57 CIY57 CSU57 DCQ57 DMM57 DWI57 EGE57 EQA57 EZW57 FJS57 FTO57 GDK57 GNG57 GXC57 HGY57 HQU57 IAQ57 IKM57 IUI57 JEE57 JOA57 JXW57 KHS57 KRO57 LBK57 LLG57 LVC57 MEY57 MOU57 MYQ57 NIM57 NSI57 OCE57 OMA57 OVW57 PFS57 PPO57 PZK57 QJG57 QTC57 RCY57 RMU57 RWQ57 SGM57 SQI57 TAE57 TKA57 TTW57 UDS57 UNO57 UXK57 VHG57 VRC57 WAY57 WKU57 WUQ57 D65613 IE65613 SA65613 ABW65613 ALS65613 AVO65613 BFK65613 BPG65613 BZC65613 CIY65613 CSU65613 DCQ65613 DMM65613 DWI65613 EGE65613 EQA65613 EZW65613 FJS65613 FTO65613 GDK65613 GNG65613 GXC65613 HGY65613 HQU65613 IAQ65613 IKM65613 IUI65613 JEE65613 JOA65613 JXW65613 KHS65613 KRO65613 LBK65613 LLG65613 LVC65613 MEY65613 MOU65613 MYQ65613 NIM65613 NSI65613 OCE65613 OMA65613 OVW65613 PFS65613 PPO65613 PZK65613 QJG65613 QTC65613 RCY65613 RMU65613 RWQ65613 SGM65613 SQI65613 TAE65613 TKA65613 TTW65613 UDS65613 UNO65613 UXK65613 VHG65613 VRC65613 WAY65613 WKU65613 WUQ65613 D131149 IE131149 SA131149 ABW131149 ALS131149 AVO131149 BFK131149 BPG131149 BZC131149 CIY131149 CSU131149 DCQ131149 DMM131149 DWI131149 EGE131149 EQA131149 EZW131149 FJS131149 FTO131149 GDK131149 GNG131149 GXC131149 HGY131149 HQU131149 IAQ131149 IKM131149 IUI131149 JEE131149 JOA131149 JXW131149 KHS131149 KRO131149 LBK131149 LLG131149 LVC131149 MEY131149 MOU131149 MYQ131149 NIM131149 NSI131149 OCE131149 OMA131149 OVW131149 PFS131149 PPO131149 PZK131149 QJG131149 QTC131149 RCY131149 RMU131149 RWQ131149 SGM131149 SQI131149 TAE131149 TKA131149 TTW131149 UDS131149 UNO131149 UXK131149 VHG131149 VRC131149 WAY131149 WKU131149 WUQ131149 D196685 IE196685 SA196685 ABW196685 ALS196685 AVO196685 BFK196685 BPG196685 BZC196685 CIY196685 CSU196685 DCQ196685 DMM196685 DWI196685 EGE196685 EQA196685 EZW196685 FJS196685 FTO196685 GDK196685 GNG196685 GXC196685 HGY196685 HQU196685 IAQ196685 IKM196685 IUI196685 JEE196685 JOA196685 JXW196685 KHS196685 KRO196685 LBK196685 LLG196685 LVC196685 MEY196685 MOU196685 MYQ196685 NIM196685 NSI196685 OCE196685 OMA196685 OVW196685 PFS196685 PPO196685 PZK196685 QJG196685 QTC196685 RCY196685 RMU196685 RWQ196685 SGM196685 SQI196685 TAE196685 TKA196685 TTW196685 UDS196685 UNO196685 UXK196685 VHG196685 VRC196685 WAY196685 WKU196685 WUQ196685 D262221 IE262221 SA262221 ABW262221 ALS262221 AVO262221 BFK262221 BPG262221 BZC262221 CIY262221 CSU262221 DCQ262221 DMM262221 DWI262221 EGE262221 EQA262221 EZW262221 FJS262221 FTO262221 GDK262221 GNG262221 GXC262221 HGY262221 HQU262221 IAQ262221 IKM262221 IUI262221 JEE262221 JOA262221 JXW262221 KHS262221 KRO262221 LBK262221 LLG262221 LVC262221 MEY262221 MOU262221 MYQ262221 NIM262221 NSI262221 OCE262221 OMA262221 OVW262221 PFS262221 PPO262221 PZK262221 QJG262221 QTC262221 RCY262221 RMU262221 RWQ262221 SGM262221 SQI262221 TAE262221 TKA262221 TTW262221 UDS262221 UNO262221 UXK262221 VHG262221 VRC262221 WAY262221 WKU262221 WUQ262221 D327757 IE327757 SA327757 ABW327757 ALS327757 AVO327757 BFK327757 BPG327757 BZC327757 CIY327757 CSU327757 DCQ327757 DMM327757 DWI327757 EGE327757 EQA327757 EZW327757 FJS327757 FTO327757 GDK327757 GNG327757 GXC327757 HGY327757 HQU327757 IAQ327757 IKM327757 IUI327757 JEE327757 JOA327757 JXW327757 KHS327757 KRO327757 LBK327757 LLG327757 LVC327757 MEY327757 MOU327757 MYQ327757 NIM327757 NSI327757 OCE327757 OMA327757 OVW327757 PFS327757 PPO327757 PZK327757 QJG327757 QTC327757 RCY327757 RMU327757 RWQ327757 SGM327757 SQI327757 TAE327757 TKA327757 TTW327757 UDS327757 UNO327757 UXK327757 VHG327757 VRC327757 WAY327757 WKU327757 WUQ327757 D393293 IE393293 SA393293 ABW393293 ALS393293 AVO393293 BFK393293 BPG393293 BZC393293 CIY393293 CSU393293 DCQ393293 DMM393293 DWI393293 EGE393293 EQA393293 EZW393293 FJS393293 FTO393293 GDK393293 GNG393293 GXC393293 HGY393293 HQU393293 IAQ393293 IKM393293 IUI393293 JEE393293 JOA393293 JXW393293 KHS393293 KRO393293 LBK393293 LLG393293 LVC393293 MEY393293 MOU393293 MYQ393293 NIM393293 NSI393293 OCE393293 OMA393293 OVW393293 PFS393293 PPO393293 PZK393293 QJG393293 QTC393293 RCY393293 RMU393293 RWQ393293 SGM393293 SQI393293 TAE393293 TKA393293 TTW393293 UDS393293 UNO393293 UXK393293 VHG393293 VRC393293 WAY393293 WKU393293 WUQ393293 D458829 IE458829 SA458829 ABW458829 ALS458829 AVO458829 BFK458829 BPG458829 BZC458829 CIY458829 CSU458829 DCQ458829 DMM458829 DWI458829 EGE458829 EQA458829 EZW458829 FJS458829 FTO458829 GDK458829 GNG458829 GXC458829 HGY458829 HQU458829 IAQ458829 IKM458829 IUI458829 JEE458829 JOA458829 JXW458829 KHS458829 KRO458829 LBK458829 LLG458829 LVC458829 MEY458829 MOU458829 MYQ458829 NIM458829 NSI458829 OCE458829 OMA458829 OVW458829 PFS458829 PPO458829 PZK458829 QJG458829 QTC458829 RCY458829 RMU458829 RWQ458829 SGM458829 SQI458829 TAE458829 TKA458829 TTW458829 UDS458829 UNO458829 UXK458829 VHG458829 VRC458829 WAY458829 WKU458829 WUQ458829 D524365 IE524365 SA524365 ABW524365 ALS524365 AVO524365 BFK524365 BPG524365 BZC524365 CIY524365 CSU524365 DCQ524365 DMM524365 DWI524365 EGE524365 EQA524365 EZW524365 FJS524365 FTO524365 GDK524365 GNG524365 GXC524365 HGY524365 HQU524365 IAQ524365 IKM524365 IUI524365 JEE524365 JOA524365 JXW524365 KHS524365 KRO524365 LBK524365 LLG524365 LVC524365 MEY524365 MOU524365 MYQ524365 NIM524365 NSI524365 OCE524365 OMA524365 OVW524365 PFS524365 PPO524365 PZK524365 QJG524365 QTC524365 RCY524365 RMU524365 RWQ524365 SGM524365 SQI524365 TAE524365 TKA524365 TTW524365 UDS524365 UNO524365 UXK524365 VHG524365 VRC524365 WAY524365 WKU524365 WUQ524365 D589901 IE589901 SA589901 ABW589901 ALS589901 AVO589901 BFK589901 BPG589901 BZC589901 CIY589901 CSU589901 DCQ589901 DMM589901 DWI589901 EGE589901 EQA589901 EZW589901 FJS589901 FTO589901 GDK589901 GNG589901 GXC589901 HGY589901 HQU589901 IAQ589901 IKM589901 IUI589901 JEE589901 JOA589901 JXW589901 KHS589901 KRO589901 LBK589901 LLG589901 LVC589901 MEY589901 MOU589901 MYQ589901 NIM589901 NSI589901 OCE589901 OMA589901 OVW589901 PFS589901 PPO589901 PZK589901 QJG589901 QTC589901 RCY589901 RMU589901 RWQ589901 SGM589901 SQI589901 TAE589901 TKA589901 TTW589901 UDS589901 UNO589901 UXK589901 VHG589901 VRC589901 WAY589901 WKU589901 WUQ589901 D655437 IE655437 SA655437 ABW655437 ALS655437 AVO655437 BFK655437 BPG655437 BZC655437 CIY655437 CSU655437 DCQ655437 DMM655437 DWI655437 EGE655437 EQA655437 EZW655437 FJS655437 FTO655437 GDK655437 GNG655437 GXC655437 HGY655437 HQU655437 IAQ655437 IKM655437 IUI655437 JEE655437 JOA655437 JXW655437 KHS655437 KRO655437 LBK655437 LLG655437 LVC655437 MEY655437 MOU655437 MYQ655437 NIM655437 NSI655437 OCE655437 OMA655437 OVW655437 PFS655437 PPO655437 PZK655437 QJG655437 QTC655437 RCY655437 RMU655437 RWQ655437 SGM655437 SQI655437 TAE655437 TKA655437 TTW655437 UDS655437 UNO655437 UXK655437 VHG655437 VRC655437 WAY655437 WKU655437 WUQ655437 D720973 IE720973 SA720973 ABW720973 ALS720973 AVO720973 BFK720973 BPG720973 BZC720973 CIY720973 CSU720973 DCQ720973 DMM720973 DWI720973 EGE720973 EQA720973 EZW720973 FJS720973 FTO720973 GDK720973 GNG720973 GXC720973 HGY720973 HQU720973 IAQ720973 IKM720973 IUI720973 JEE720973 JOA720973 JXW720973 KHS720973 KRO720973 LBK720973 LLG720973 LVC720973 MEY720973 MOU720973 MYQ720973 NIM720973 NSI720973 OCE720973 OMA720973 OVW720973 PFS720973 PPO720973 PZK720973 QJG720973 QTC720973 RCY720973 RMU720973 RWQ720973 SGM720973 SQI720973 TAE720973 TKA720973 TTW720973 UDS720973 UNO720973 UXK720973 VHG720973 VRC720973 WAY720973 WKU720973 WUQ720973 D786509 IE786509 SA786509 ABW786509 ALS786509 AVO786509 BFK786509 BPG786509 BZC786509 CIY786509 CSU786509 DCQ786509 DMM786509 DWI786509 EGE786509 EQA786509 EZW786509 FJS786509 FTO786509 GDK786509 GNG786509 GXC786509 HGY786509 HQU786509 IAQ786509 IKM786509 IUI786509 JEE786509 JOA786509 JXW786509 KHS786509 KRO786509 LBK786509 LLG786509 LVC786509 MEY786509 MOU786509 MYQ786509 NIM786509 NSI786509 OCE786509 OMA786509 OVW786509 PFS786509 PPO786509 PZK786509 QJG786509 QTC786509 RCY786509 RMU786509 RWQ786509 SGM786509 SQI786509 TAE786509 TKA786509 TTW786509 UDS786509 UNO786509 UXK786509 VHG786509 VRC786509 WAY786509 WKU786509 WUQ786509 D852045 IE852045 SA852045 ABW852045 ALS852045 AVO852045 BFK852045 BPG852045 BZC852045 CIY852045 CSU852045 DCQ852045 DMM852045 DWI852045 EGE852045 EQA852045 EZW852045 FJS852045 FTO852045 GDK852045 GNG852045 GXC852045 HGY852045 HQU852045 IAQ852045 IKM852045 IUI852045 JEE852045 JOA852045 JXW852045 KHS852045 KRO852045 LBK852045 LLG852045 LVC852045 MEY852045 MOU852045 MYQ852045 NIM852045 NSI852045 OCE852045 OMA852045 OVW852045 PFS852045 PPO852045 PZK852045 QJG852045 QTC852045 RCY852045 RMU852045 RWQ852045 SGM852045 SQI852045 TAE852045 TKA852045 TTW852045 UDS852045 UNO852045 UXK852045 VHG852045 VRC852045 WAY852045 WKU852045 WUQ852045 D917581 IE917581 SA917581 ABW917581 ALS917581 AVO917581 BFK917581 BPG917581 BZC917581 CIY917581 CSU917581 DCQ917581 DMM917581 DWI917581 EGE917581 EQA917581 EZW917581 FJS917581 FTO917581 GDK917581 GNG917581 GXC917581 HGY917581 HQU917581 IAQ917581 IKM917581 IUI917581 JEE917581 JOA917581 JXW917581 KHS917581 KRO917581 LBK917581 LLG917581 LVC917581 MEY917581 MOU917581 MYQ917581 NIM917581 NSI917581 OCE917581 OMA917581 OVW917581 PFS917581 PPO917581 PZK917581 QJG917581 QTC917581 RCY917581 RMU917581 RWQ917581 SGM917581 SQI917581 TAE917581 TKA917581 TTW917581 UDS917581 UNO917581 UXK917581 VHG917581 VRC917581 WAY917581 WKU917581 WUQ917581 D983117 IE983117 SA983117 ABW983117 ALS983117 AVO983117 BFK983117 BPG983117 BZC983117 CIY983117 CSU983117 DCQ983117 DMM983117 DWI983117 EGE983117 EQA983117 EZW983117 FJS983117 FTO983117 GDK983117 GNG983117 GXC983117 HGY983117 HQU983117 IAQ983117 IKM983117 IUI983117 JEE983117 JOA983117 JXW983117 KHS983117 KRO983117 LBK983117 LLG983117 LVC983117 MEY983117 MOU983117 MYQ983117 NIM983117 NSI983117 OCE983117 OMA983117 OVW983117 PFS983117 PPO983117 PZK983117 QJG983117 QTC983117 RCY983117 RMU983117 RWQ983117 SGM983117 SQI983117 TAE983117 TKA983117 TTW983117 UDS983117 UNO983117 UXK983117 VHG983117 VRC983117 WAY983117 WKU983117 WUQ983117 WUQ983119 IE59 SA59 ABW59 ALS59 AVO59 BFK59 BPG59 BZC59 CIY59 CSU59 DCQ59 DMM59 DWI59 EGE59 EQA59 EZW59 FJS59 FTO59 GDK59 GNG59 GXC59 HGY59 HQU59 IAQ59 IKM59 IUI59 JEE59 JOA59 JXW59 KHS59 KRO59 LBK59 LLG59 LVC59 MEY59 MOU59 MYQ59 NIM59 NSI59 OCE59 OMA59 OVW59 PFS59 PPO59 PZK59 QJG59 QTC59 RCY59 RMU59 RWQ59 SGM59 SQI59 TAE59 TKA59 TTW59 UDS59 UNO59 UXK59 VHG59 VRC59 WAY59 WKU59 WUQ59 D65615 IE65615 SA65615 ABW65615 ALS65615 AVO65615 BFK65615 BPG65615 BZC65615 CIY65615 CSU65615 DCQ65615 DMM65615 DWI65615 EGE65615 EQA65615 EZW65615 FJS65615 FTO65615 GDK65615 GNG65615 GXC65615 HGY65615 HQU65615 IAQ65615 IKM65615 IUI65615 JEE65615 JOA65615 JXW65615 KHS65615 KRO65615 LBK65615 LLG65615 LVC65615 MEY65615 MOU65615 MYQ65615 NIM65615 NSI65615 OCE65615 OMA65615 OVW65615 PFS65615 PPO65615 PZK65615 QJG65615 QTC65615 RCY65615 RMU65615 RWQ65615 SGM65615 SQI65615 TAE65615 TKA65615 TTW65615 UDS65615 UNO65615 UXK65615 VHG65615 VRC65615 WAY65615 WKU65615 WUQ65615 D131151 IE131151 SA131151 ABW131151 ALS131151 AVO131151 BFK131151 BPG131151 BZC131151 CIY131151 CSU131151 DCQ131151 DMM131151 DWI131151 EGE131151 EQA131151 EZW131151 FJS131151 FTO131151 GDK131151 GNG131151 GXC131151 HGY131151 HQU131151 IAQ131151 IKM131151 IUI131151 JEE131151 JOA131151 JXW131151 KHS131151 KRO131151 LBK131151 LLG131151 LVC131151 MEY131151 MOU131151 MYQ131151 NIM131151 NSI131151 OCE131151 OMA131151 OVW131151 PFS131151 PPO131151 PZK131151 QJG131151 QTC131151 RCY131151 RMU131151 RWQ131151 SGM131151 SQI131151 TAE131151 TKA131151 TTW131151 UDS131151 UNO131151 UXK131151 VHG131151 VRC131151 WAY131151 WKU131151 WUQ131151 D196687 IE196687 SA196687 ABW196687 ALS196687 AVO196687 BFK196687 BPG196687 BZC196687 CIY196687 CSU196687 DCQ196687 DMM196687 DWI196687 EGE196687 EQA196687 EZW196687 FJS196687 FTO196687 GDK196687 GNG196687 GXC196687 HGY196687 HQU196687 IAQ196687 IKM196687 IUI196687 JEE196687 JOA196687 JXW196687 KHS196687 KRO196687 LBK196687 LLG196687 LVC196687 MEY196687 MOU196687 MYQ196687 NIM196687 NSI196687 OCE196687 OMA196687 OVW196687 PFS196687 PPO196687 PZK196687 QJG196687 QTC196687 RCY196687 RMU196687 RWQ196687 SGM196687 SQI196687 TAE196687 TKA196687 TTW196687 UDS196687 UNO196687 UXK196687 VHG196687 VRC196687 WAY196687 WKU196687 WUQ196687 D262223 IE262223 SA262223 ABW262223 ALS262223 AVO262223 BFK262223 BPG262223 BZC262223 CIY262223 CSU262223 DCQ262223 DMM262223 DWI262223 EGE262223 EQA262223 EZW262223 FJS262223 FTO262223 GDK262223 GNG262223 GXC262223 HGY262223 HQU262223 IAQ262223 IKM262223 IUI262223 JEE262223 JOA262223 JXW262223 KHS262223 KRO262223 LBK262223 LLG262223 LVC262223 MEY262223 MOU262223 MYQ262223 NIM262223 NSI262223 OCE262223 OMA262223 OVW262223 PFS262223 PPO262223 PZK262223 QJG262223 QTC262223 RCY262223 RMU262223 RWQ262223 SGM262223 SQI262223 TAE262223 TKA262223 TTW262223 UDS262223 UNO262223 UXK262223 VHG262223 VRC262223 WAY262223 WKU262223 WUQ262223 D327759 IE327759 SA327759 ABW327759 ALS327759 AVO327759 BFK327759 BPG327759 BZC327759 CIY327759 CSU327759 DCQ327759 DMM327759 DWI327759 EGE327759 EQA327759 EZW327759 FJS327759 FTO327759 GDK327759 GNG327759 GXC327759 HGY327759 HQU327759 IAQ327759 IKM327759 IUI327759 JEE327759 JOA327759 JXW327759 KHS327759 KRO327759 LBK327759 LLG327759 LVC327759 MEY327759 MOU327759 MYQ327759 NIM327759 NSI327759 OCE327759 OMA327759 OVW327759 PFS327759 PPO327759 PZK327759 QJG327759 QTC327759 RCY327759 RMU327759 RWQ327759 SGM327759 SQI327759 TAE327759 TKA327759 TTW327759 UDS327759 UNO327759 UXK327759 VHG327759 VRC327759 WAY327759 WKU327759 WUQ327759 D393295 IE393295 SA393295 ABW393295 ALS393295 AVO393295 BFK393295 BPG393295 BZC393295 CIY393295 CSU393295 DCQ393295 DMM393295 DWI393295 EGE393295 EQA393295 EZW393295 FJS393295 FTO393295 GDK393295 GNG393295 GXC393295 HGY393295 HQU393295 IAQ393295 IKM393295 IUI393295 JEE393295 JOA393295 JXW393295 KHS393295 KRO393295 LBK393295 LLG393295 LVC393295 MEY393295 MOU393295 MYQ393295 NIM393295 NSI393295 OCE393295 OMA393295 OVW393295 PFS393295 PPO393295 PZK393295 QJG393295 QTC393295 RCY393295 RMU393295 RWQ393295 SGM393295 SQI393295 TAE393295 TKA393295 TTW393295 UDS393295 UNO393295 UXK393295 VHG393295 VRC393295 WAY393295 WKU393295 WUQ393295 D458831 IE458831 SA458831 ABW458831 ALS458831 AVO458831 BFK458831 BPG458831 BZC458831 CIY458831 CSU458831 DCQ458831 DMM458831 DWI458831 EGE458831 EQA458831 EZW458831 FJS458831 FTO458831 GDK458831 GNG458831 GXC458831 HGY458831 HQU458831 IAQ458831 IKM458831 IUI458831 JEE458831 JOA458831 JXW458831 KHS458831 KRO458831 LBK458831 LLG458831 LVC458831 MEY458831 MOU458831 MYQ458831 NIM458831 NSI458831 OCE458831 OMA458831 OVW458831 PFS458831 PPO458831 PZK458831 QJG458831 QTC458831 RCY458831 RMU458831 RWQ458831 SGM458831 SQI458831 TAE458831 TKA458831 TTW458831 UDS458831 UNO458831 UXK458831 VHG458831 VRC458831 WAY458831 WKU458831 WUQ458831 D524367 IE524367 SA524367 ABW524367 ALS524367 AVO524367 BFK524367 BPG524367 BZC524367 CIY524367 CSU524367 DCQ524367 DMM524367 DWI524367 EGE524367 EQA524367 EZW524367 FJS524367 FTO524367 GDK524367 GNG524367 GXC524367 HGY524367 HQU524367 IAQ524367 IKM524367 IUI524367 JEE524367 JOA524367 JXW524367 KHS524367 KRO524367 LBK524367 LLG524367 LVC524367 MEY524367 MOU524367 MYQ524367 NIM524367 NSI524367 OCE524367 OMA524367 OVW524367 PFS524367 PPO524367 PZK524367 QJG524367 QTC524367 RCY524367 RMU524367 RWQ524367 SGM524367 SQI524367 TAE524367 TKA524367 TTW524367 UDS524367 UNO524367 UXK524367 VHG524367 VRC524367 WAY524367 WKU524367 WUQ524367 D589903 IE589903 SA589903 ABW589903 ALS589903 AVO589903 BFK589903 BPG589903 BZC589903 CIY589903 CSU589903 DCQ589903 DMM589903 DWI589903 EGE589903 EQA589903 EZW589903 FJS589903 FTO589903 GDK589903 GNG589903 GXC589903 HGY589903 HQU589903 IAQ589903 IKM589903 IUI589903 JEE589903 JOA589903 JXW589903 KHS589903 KRO589903 LBK589903 LLG589903 LVC589903 MEY589903 MOU589903 MYQ589903 NIM589903 NSI589903 OCE589903 OMA589903 OVW589903 PFS589903 PPO589903 PZK589903 QJG589903 QTC589903 RCY589903 RMU589903 RWQ589903 SGM589903 SQI589903 TAE589903 TKA589903 TTW589903 UDS589903 UNO589903 UXK589903 VHG589903 VRC589903 WAY589903 WKU589903 WUQ589903 D655439 IE655439 SA655439 ABW655439 ALS655439 AVO655439 BFK655439 BPG655439 BZC655439 CIY655439 CSU655439 DCQ655439 DMM655439 DWI655439 EGE655439 EQA655439 EZW655439 FJS655439 FTO655439 GDK655439 GNG655439 GXC655439 HGY655439 HQU655439 IAQ655439 IKM655439 IUI655439 JEE655439 JOA655439 JXW655439 KHS655439 KRO655439 LBK655439 LLG655439 LVC655439 MEY655439 MOU655439 MYQ655439 NIM655439 NSI655439 OCE655439 OMA655439 OVW655439 PFS655439 PPO655439 PZK655439 QJG655439 QTC655439 RCY655439 RMU655439 RWQ655439 SGM655439 SQI655439 TAE655439 TKA655439 TTW655439 UDS655439 UNO655439 UXK655439 VHG655439 VRC655439 WAY655439 WKU655439 WUQ655439 D720975 IE720975 SA720975 ABW720975 ALS720975 AVO720975 BFK720975 BPG720975 BZC720975 CIY720975 CSU720975 DCQ720975 DMM720975 DWI720975 EGE720975 EQA720975 EZW720975 FJS720975 FTO720975 GDK720975 GNG720975 GXC720975 HGY720975 HQU720975 IAQ720975 IKM720975 IUI720975 JEE720975 JOA720975 JXW720975 KHS720975 KRO720975 LBK720975 LLG720975 LVC720975 MEY720975 MOU720975 MYQ720975 NIM720975 NSI720975 OCE720975 OMA720975 OVW720975 PFS720975 PPO720975 PZK720975 QJG720975 QTC720975 RCY720975 RMU720975 RWQ720975 SGM720975 SQI720975 TAE720975 TKA720975 TTW720975 UDS720975 UNO720975 UXK720975 VHG720975 VRC720975 WAY720975 WKU720975 WUQ720975 D786511 IE786511 SA786511 ABW786511 ALS786511 AVO786511 BFK786511 BPG786511 BZC786511 CIY786511 CSU786511 DCQ786511 DMM786511 DWI786511 EGE786511 EQA786511 EZW786511 FJS786511 FTO786511 GDK786511 GNG786511 GXC786511 HGY786511 HQU786511 IAQ786511 IKM786511 IUI786511 JEE786511 JOA786511 JXW786511 KHS786511 KRO786511 LBK786511 LLG786511 LVC786511 MEY786511 MOU786511 MYQ786511 NIM786511 NSI786511 OCE786511 OMA786511 OVW786511 PFS786511 PPO786511 PZK786511 QJG786511 QTC786511 RCY786511 RMU786511 RWQ786511 SGM786511 SQI786511 TAE786511 TKA786511 TTW786511 UDS786511 UNO786511 UXK786511 VHG786511 VRC786511 WAY786511 WKU786511 WUQ786511 D852047 IE852047 SA852047 ABW852047 ALS852047 AVO852047 BFK852047 BPG852047 BZC852047 CIY852047 CSU852047 DCQ852047 DMM852047 DWI852047 EGE852047 EQA852047 EZW852047 FJS852047 FTO852047 GDK852047 GNG852047 GXC852047 HGY852047 HQU852047 IAQ852047 IKM852047 IUI852047 JEE852047 JOA852047 JXW852047 KHS852047 KRO852047 LBK852047 LLG852047 LVC852047 MEY852047 MOU852047 MYQ852047 NIM852047 NSI852047 OCE852047 OMA852047 OVW852047 PFS852047 PPO852047 PZK852047 QJG852047 QTC852047 RCY852047 RMU852047 RWQ852047 SGM852047 SQI852047 TAE852047 TKA852047 TTW852047 UDS852047 UNO852047 UXK852047 VHG852047 VRC852047 WAY852047 WKU852047 WUQ852047 D917583 IE917583 SA917583 ABW917583 ALS917583 AVO917583 BFK917583 BPG917583 BZC917583 CIY917583 CSU917583 DCQ917583 DMM917583 DWI917583 EGE917583 EQA917583 EZW917583 FJS917583 FTO917583 GDK917583 GNG917583 GXC917583 HGY917583 HQU917583 IAQ917583 IKM917583 IUI917583 JEE917583 JOA917583 JXW917583 KHS917583 KRO917583 LBK917583 LLG917583 LVC917583 MEY917583 MOU917583 MYQ917583 NIM917583 NSI917583 OCE917583 OMA917583 OVW917583 PFS917583 PPO917583 PZK917583 QJG917583 QTC917583 RCY917583 RMU917583 RWQ917583 SGM917583 SQI917583 TAE917583 TKA917583 TTW917583 UDS917583 UNO917583 UXK917583 VHG917583 VRC917583 WAY917583 WKU917583 WUQ917583 D983119 IE983119 SA983119 ABW983119 ALS983119 AVO983119 BFK983119 BPG983119 BZC983119 CIY983119 CSU983119 DCQ983119 DMM983119 DWI983119 EGE983119 EQA983119 EZW983119 FJS983119 FTO983119 GDK983119 GNG983119 GXC983119 HGY983119 HQU983119 IAQ983119 IKM983119 IUI983119 JEE983119 JOA983119 JXW983119 KHS983119 KRO983119 LBK983119 LLG983119 LVC983119 MEY983119 MOU983119 MYQ983119 NIM983119 NSI983119 OCE983119 OMA983119 OVW983119 PFS983119 PPO983119 PZK983119 QJG983119 QTC983119 RCY983119 RMU983119 RWQ983119 SGM983119 SQI983119 TAE983119 TKA983119 TTW983119 UDS983119 UNO983119 UXK983119 VHG983119 VRC983119 WAY983119" xr:uid="{90D86DAF-8104-4072-BCE6-5C0273C1F0CF}">
      <formula1>"EBITDA,EBITA,EBIT,PBT,NPAT"</formula1>
    </dataValidation>
    <dataValidation type="list" allowBlank="1" showInputMessage="1" showErrorMessage="1" sqref="D57 D59" xr:uid="{0CF47692-D0B5-4C63-A2FB-9FBA1D3B433A}">
      <formula1>"Gross Profit,EBITDA,EBITA,EBIT,Operating Profit,PBT,NPAT,Revenue"</formula1>
    </dataValidation>
  </dataValidations>
  <pageMargins left="0.7" right="0.7" top="0.75" bottom="0.75" header="0.3" footer="0.3"/>
  <pageSetup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346E9-0035-4925-93D0-0912EDC07E8A}">
  <sheetPr codeName="Sheet4">
    <tabColor theme="1"/>
  </sheetPr>
  <dimension ref="A1"/>
  <sheetViews>
    <sheetView workbookViewId="0">
      <selection activeCell="M32" sqref="M32"/>
    </sheetView>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theme="3" tint="0.79998168889431442"/>
    <pageSetUpPr autoPageBreaks="0"/>
  </sheetPr>
  <dimension ref="A1:XFD751"/>
  <sheetViews>
    <sheetView showGridLines="0" zoomScale="85" zoomScaleNormal="85" workbookViewId="0">
      <pane xSplit="12" ySplit="9" topLeftCell="M720" activePane="bottomRight" state="frozen"/>
      <selection pane="topRight" activeCell="M1" sqref="M1"/>
      <selection pane="bottomLeft" activeCell="A10" sqref="A10"/>
      <selection pane="bottomRight" activeCell="D749" sqref="D749"/>
    </sheetView>
  </sheetViews>
  <sheetFormatPr defaultColWidth="0" defaultRowHeight="11.25" outlineLevelRow="1" outlineLevelCol="1"/>
  <cols>
    <col min="1" max="1" width="7.85546875" style="1" customWidth="1"/>
    <col min="2" max="2" width="44.140625" style="1" customWidth="1"/>
    <col min="3" max="3" width="7.140625" style="82" bestFit="1" customWidth="1"/>
    <col min="4" max="4" width="9" style="1" bestFit="1" customWidth="1"/>
    <col min="5" max="12" width="8.7109375" style="1" hidden="1" customWidth="1" outlineLevel="1"/>
    <col min="13" max="13" width="8.7109375" style="1" customWidth="1" collapsed="1"/>
    <col min="14" max="39" width="8.7109375" style="1" customWidth="1"/>
    <col min="40" max="40" width="7.7109375" style="1" bestFit="1" customWidth="1"/>
    <col min="41" max="41" width="9.140625" style="1" hidden="1" customWidth="1"/>
    <col min="42" max="16384" width="9.140625" style="1" hidden="1"/>
  </cols>
  <sheetData>
    <row r="1" spans="1:40">
      <c r="C1" s="82" t="s">
        <v>1677</v>
      </c>
      <c r="R1" s="132">
        <f>R117+Q117</f>
        <v>821.8</v>
      </c>
      <c r="T1" s="132">
        <f>T117+S117</f>
        <v>965.7</v>
      </c>
      <c r="U1" s="317" t="s">
        <v>1674</v>
      </c>
      <c r="V1" s="132">
        <f>V117+U117</f>
        <v>981.2</v>
      </c>
      <c r="X1" s="132">
        <f>X117+W117</f>
        <v>1015.2482690000001</v>
      </c>
      <c r="Z1" s="132">
        <f>Z117+Y117</f>
        <v>1001.4025449650001</v>
      </c>
      <c r="AB1" s="132">
        <f>AB117+AA117</f>
        <v>988.67399290657954</v>
      </c>
      <c r="AD1" s="132">
        <f>AD117+AC117</f>
        <v>998.56073283564547</v>
      </c>
      <c r="AF1" s="132">
        <f>AF117+AE117</f>
        <v>988.57512550728882</v>
      </c>
    </row>
    <row r="2" spans="1:40">
      <c r="R2" s="132"/>
      <c r="T2" s="132">
        <f>T1-R1</f>
        <v>143.90000000000009</v>
      </c>
      <c r="U2" s="317" t="s">
        <v>1675</v>
      </c>
      <c r="V2" s="132">
        <f>V1-T1</f>
        <v>15.5</v>
      </c>
      <c r="X2" s="132">
        <f>X1-V1</f>
        <v>34.048269000000005</v>
      </c>
      <c r="Z2" s="132">
        <f>Z1-X1</f>
        <v>-13.845724034999989</v>
      </c>
      <c r="AB2" s="132">
        <f>AB1-Z1</f>
        <v>-12.728552058420519</v>
      </c>
      <c r="AD2" s="132">
        <f>AD1-AB1</f>
        <v>9.886739929065925</v>
      </c>
      <c r="AF2" s="132">
        <f>AF1-AD1</f>
        <v>-9.9856073283566502</v>
      </c>
    </row>
    <row r="3" spans="1:40">
      <c r="C3" s="82" t="s">
        <v>1673</v>
      </c>
      <c r="R3" s="132">
        <f>R279+Q279</f>
        <v>758.2</v>
      </c>
      <c r="T3" s="132">
        <f>T279+S279</f>
        <v>915.9</v>
      </c>
      <c r="U3" s="317"/>
      <c r="V3" s="132">
        <f>V279+U279</f>
        <v>953.2</v>
      </c>
      <c r="X3" s="132">
        <f>X279+W279</f>
        <v>1001.5534349977501</v>
      </c>
      <c r="Z3" s="132">
        <f>Z279+Y279</f>
        <v>1008.6637980323751</v>
      </c>
      <c r="AB3" s="132">
        <f>AB279+AA279</f>
        <v>1017.492277824723</v>
      </c>
      <c r="AD3" s="132">
        <f>AD279+AC279</f>
        <v>1040.083281615503</v>
      </c>
      <c r="AF3" s="132">
        <f>AF279+AE279</f>
        <v>1055.3852804851645</v>
      </c>
    </row>
    <row r="4" spans="1:40">
      <c r="R4" s="132"/>
      <c r="T4" s="132">
        <f>T3-R3</f>
        <v>157.69999999999993</v>
      </c>
      <c r="U4" s="317" t="s">
        <v>1676</v>
      </c>
      <c r="V4" s="132">
        <f>V3-T3</f>
        <v>37.300000000000068</v>
      </c>
      <c r="X4" s="132">
        <f>X3-V3</f>
        <v>48.353434997750014</v>
      </c>
      <c r="Z4" s="132">
        <f>Z3-X3</f>
        <v>7.1103630346250384</v>
      </c>
      <c r="AB4" s="132">
        <f>AB3-Z3</f>
        <v>8.8284797923479346</v>
      </c>
      <c r="AD4" s="132">
        <f>AD3-AB3</f>
        <v>22.591003790779951</v>
      </c>
      <c r="AF4" s="132">
        <f>AF3-AD3</f>
        <v>15.301998869661475</v>
      </c>
    </row>
    <row r="5" spans="1:40">
      <c r="C5" s="82" t="s">
        <v>1669</v>
      </c>
      <c r="R5" s="132">
        <f>R292+Q292</f>
        <v>251.2</v>
      </c>
      <c r="T5" s="132">
        <f>T292+S292</f>
        <v>329.1</v>
      </c>
      <c r="U5" s="317"/>
      <c r="V5" s="132">
        <f>V292+U292</f>
        <v>361.8</v>
      </c>
      <c r="X5" s="132">
        <f>X292+W292</f>
        <v>390.48893499775005</v>
      </c>
      <c r="Z5" s="132">
        <f>Z292+Y292</f>
        <v>379.2673630323751</v>
      </c>
      <c r="AB5" s="132">
        <f>AB292+AA292</f>
        <v>369.21394977472295</v>
      </c>
      <c r="AD5" s="132">
        <f>AD292+AC292</f>
        <v>372.35660372400287</v>
      </c>
      <c r="AF5" s="132">
        <f>AF292+AE292</f>
        <v>374.30406903583457</v>
      </c>
    </row>
    <row r="6" spans="1:40">
      <c r="R6" s="132"/>
      <c r="T6" s="132">
        <f>T5-R5</f>
        <v>77.900000000000034</v>
      </c>
      <c r="U6" s="317" t="s">
        <v>1676</v>
      </c>
      <c r="V6" s="132">
        <f>V5-T5</f>
        <v>32.699999999999989</v>
      </c>
      <c r="X6" s="132">
        <f>X5-V5</f>
        <v>28.688934997750039</v>
      </c>
      <c r="Z6" s="132">
        <f>Z5-X5</f>
        <v>-11.221571965374949</v>
      </c>
      <c r="AB6" s="132">
        <f>AB5-Z5</f>
        <v>-10.053413257652153</v>
      </c>
      <c r="AD6" s="132">
        <f>AD5-AB5</f>
        <v>3.1426539492799179</v>
      </c>
      <c r="AF6" s="132">
        <f>AF5-AD5</f>
        <v>1.9474653118317065</v>
      </c>
    </row>
    <row r="8" spans="1:40" s="167" customFormat="1">
      <c r="B8" s="167" t="s">
        <v>909</v>
      </c>
      <c r="C8" s="181">
        <f>SUM(M8:AL8)</f>
        <v>0</v>
      </c>
      <c r="E8" s="181">
        <f t="shared" ref="E8:K8" si="0">E710</f>
        <v>0</v>
      </c>
      <c r="F8" s="181">
        <f t="shared" si="0"/>
        <v>0</v>
      </c>
      <c r="G8" s="181">
        <f t="shared" si="0"/>
        <v>0</v>
      </c>
      <c r="H8" s="181">
        <f t="shared" si="0"/>
        <v>0</v>
      </c>
      <c r="I8" s="181">
        <f t="shared" si="0"/>
        <v>0</v>
      </c>
      <c r="J8" s="181">
        <f>J710</f>
        <v>0</v>
      </c>
      <c r="K8" s="181">
        <f t="shared" si="0"/>
        <v>0</v>
      </c>
      <c r="L8" s="181">
        <f>L710</f>
        <v>73.699999999998909</v>
      </c>
      <c r="M8" s="181">
        <f>M710</f>
        <v>0</v>
      </c>
      <c r="N8" s="181">
        <f>N710</f>
        <v>0</v>
      </c>
      <c r="O8" s="181">
        <f>O710</f>
        <v>0</v>
      </c>
      <c r="P8" s="181">
        <f>P710</f>
        <v>0</v>
      </c>
      <c r="Q8" s="521">
        <f t="shared" ref="Q8:AL8" si="1">Q710</f>
        <v>0</v>
      </c>
      <c r="R8" s="181">
        <f t="shared" si="1"/>
        <v>0</v>
      </c>
      <c r="S8" s="181">
        <f t="shared" si="1"/>
        <v>0</v>
      </c>
      <c r="T8" s="181">
        <f t="shared" si="1"/>
        <v>0</v>
      </c>
      <c r="U8" s="181">
        <f t="shared" si="1"/>
        <v>0</v>
      </c>
      <c r="V8" s="181">
        <f t="shared" si="1"/>
        <v>0</v>
      </c>
      <c r="W8" s="181">
        <f t="shared" si="1"/>
        <v>0</v>
      </c>
      <c r="X8" s="181">
        <f t="shared" si="1"/>
        <v>0</v>
      </c>
      <c r="Y8" s="181">
        <f t="shared" si="1"/>
        <v>0</v>
      </c>
      <c r="Z8" s="181">
        <f t="shared" si="1"/>
        <v>0</v>
      </c>
      <c r="AA8" s="181">
        <f t="shared" si="1"/>
        <v>0</v>
      </c>
      <c r="AB8" s="181">
        <f t="shared" si="1"/>
        <v>0</v>
      </c>
      <c r="AC8" s="181">
        <f t="shared" si="1"/>
        <v>0</v>
      </c>
      <c r="AD8" s="181">
        <f t="shared" si="1"/>
        <v>0</v>
      </c>
      <c r="AE8" s="181">
        <f t="shared" si="1"/>
        <v>0</v>
      </c>
      <c r="AF8" s="181">
        <f t="shared" si="1"/>
        <v>0</v>
      </c>
      <c r="AG8" s="181">
        <f t="shared" si="1"/>
        <v>0</v>
      </c>
      <c r="AH8" s="181">
        <f t="shared" si="1"/>
        <v>0</v>
      </c>
      <c r="AI8" s="181">
        <f t="shared" si="1"/>
        <v>0</v>
      </c>
      <c r="AJ8" s="181">
        <f t="shared" si="1"/>
        <v>0</v>
      </c>
      <c r="AK8" s="181">
        <f t="shared" si="1"/>
        <v>0</v>
      </c>
      <c r="AL8" s="181">
        <f t="shared" si="1"/>
        <v>0</v>
      </c>
      <c r="AM8" s="181">
        <f>AM710</f>
        <v>0</v>
      </c>
      <c r="AN8" s="181">
        <f>AN710</f>
        <v>0</v>
      </c>
    </row>
    <row r="9" spans="1:40" s="174" customFormat="1">
      <c r="A9" s="176" t="s">
        <v>971</v>
      </c>
      <c r="B9" s="175" t="s">
        <v>94</v>
      </c>
      <c r="C9" s="229">
        <f>D740</f>
        <v>0.89457632937266562</v>
      </c>
      <c r="D9" s="244" t="s">
        <v>1084</v>
      </c>
      <c r="E9" s="246" t="str">
        <f t="shared" ref="E9:AL9" si="2">E14&amp;E16</f>
        <v>1H18A</v>
      </c>
      <c r="F9" s="245" t="str">
        <f t="shared" si="2"/>
        <v>2H18A</v>
      </c>
      <c r="G9" s="246" t="str">
        <f t="shared" si="2"/>
        <v>1H19A</v>
      </c>
      <c r="H9" s="245" t="str">
        <f t="shared" si="2"/>
        <v>2H19A</v>
      </c>
      <c r="I9" s="246" t="str">
        <f t="shared" si="2"/>
        <v>1H20A</v>
      </c>
      <c r="J9" s="245" t="str">
        <f t="shared" si="2"/>
        <v>2H20A</v>
      </c>
      <c r="K9" s="246" t="str">
        <f t="shared" si="2"/>
        <v>1H21A</v>
      </c>
      <c r="L9" s="245" t="str">
        <f t="shared" si="2"/>
        <v>2H21A</v>
      </c>
      <c r="M9" s="246" t="str">
        <f t="shared" si="2"/>
        <v>1H22A</v>
      </c>
      <c r="N9" s="245" t="str">
        <f t="shared" si="2"/>
        <v>2H22A</v>
      </c>
      <c r="O9" s="246" t="str">
        <f t="shared" si="2"/>
        <v>1H23A</v>
      </c>
      <c r="P9" s="245" t="str">
        <f t="shared" si="2"/>
        <v>2H23A</v>
      </c>
      <c r="Q9" s="246" t="str">
        <f t="shared" si="2"/>
        <v>1H24A</v>
      </c>
      <c r="R9" s="245" t="str">
        <f t="shared" si="2"/>
        <v>2H24A</v>
      </c>
      <c r="S9" s="246" t="str">
        <f t="shared" si="2"/>
        <v>1H25A</v>
      </c>
      <c r="T9" s="245" t="str">
        <f t="shared" si="2"/>
        <v>2H25A</v>
      </c>
      <c r="U9" s="246" t="str">
        <f t="shared" si="2"/>
        <v>1H26A</v>
      </c>
      <c r="V9" s="245" t="str">
        <f t="shared" si="2"/>
        <v>2H26A</v>
      </c>
      <c r="W9" s="246" t="str">
        <f t="shared" si="2"/>
        <v>1H27E</v>
      </c>
      <c r="X9" s="245" t="str">
        <f t="shared" si="2"/>
        <v>2H27E</v>
      </c>
      <c r="Y9" s="246" t="str">
        <f t="shared" si="2"/>
        <v>1H28E</v>
      </c>
      <c r="Z9" s="245" t="str">
        <f t="shared" si="2"/>
        <v>2H28E</v>
      </c>
      <c r="AA9" s="246" t="str">
        <f t="shared" si="2"/>
        <v>1H29E</v>
      </c>
      <c r="AB9" s="245" t="str">
        <f t="shared" si="2"/>
        <v>2H29E</v>
      </c>
      <c r="AC9" s="246" t="str">
        <f t="shared" si="2"/>
        <v>1H30E</v>
      </c>
      <c r="AD9" s="245" t="str">
        <f t="shared" si="2"/>
        <v>2H30E</v>
      </c>
      <c r="AE9" s="246" t="str">
        <f t="shared" si="2"/>
        <v>1H31E</v>
      </c>
      <c r="AF9" s="245" t="str">
        <f t="shared" si="2"/>
        <v>2H31E</v>
      </c>
      <c r="AG9" s="246" t="str">
        <f t="shared" si="2"/>
        <v>1H32E</v>
      </c>
      <c r="AH9" s="245" t="str">
        <f t="shared" si="2"/>
        <v>2H32E</v>
      </c>
      <c r="AI9" s="246" t="str">
        <f t="shared" si="2"/>
        <v>1H33E</v>
      </c>
      <c r="AJ9" s="245" t="str">
        <f t="shared" si="2"/>
        <v>2H33E</v>
      </c>
      <c r="AK9" s="246" t="str">
        <f t="shared" si="2"/>
        <v>1H34E</v>
      </c>
      <c r="AL9" s="245" t="str">
        <f t="shared" si="2"/>
        <v>2H34E</v>
      </c>
      <c r="AM9" s="246" t="str">
        <f>AM14&amp;AM16</f>
        <v>1H35E</v>
      </c>
      <c r="AN9" s="245" t="str">
        <f>AN14&amp;AN16</f>
        <v>2H35E</v>
      </c>
    </row>
    <row r="10" spans="1:40" s="82" customFormat="1">
      <c r="B10" s="169" t="s">
        <v>972</v>
      </c>
      <c r="C10" s="140"/>
      <c r="D10" s="83"/>
      <c r="E10" s="247">
        <v>43100</v>
      </c>
      <c r="F10" s="248">
        <f t="shared" ref="F10:AJ10" si="3">EOMONTH(E10,6)</f>
        <v>43281</v>
      </c>
      <c r="G10" s="247">
        <f t="shared" si="3"/>
        <v>43465</v>
      </c>
      <c r="H10" s="248">
        <f t="shared" si="3"/>
        <v>43646</v>
      </c>
      <c r="I10" s="247">
        <f t="shared" si="3"/>
        <v>43830</v>
      </c>
      <c r="J10" s="248">
        <f t="shared" si="3"/>
        <v>44012</v>
      </c>
      <c r="K10" s="247">
        <f t="shared" si="3"/>
        <v>44196</v>
      </c>
      <c r="L10" s="248">
        <f t="shared" si="3"/>
        <v>44377</v>
      </c>
      <c r="M10" s="247">
        <f t="shared" si="3"/>
        <v>44561</v>
      </c>
      <c r="N10" s="248">
        <f t="shared" si="3"/>
        <v>44742</v>
      </c>
      <c r="O10" s="247">
        <f t="shared" si="3"/>
        <v>44926</v>
      </c>
      <c r="P10" s="248">
        <f t="shared" si="3"/>
        <v>45107</v>
      </c>
      <c r="Q10" s="247">
        <f t="shared" si="3"/>
        <v>45291</v>
      </c>
      <c r="R10" s="248">
        <f t="shared" si="3"/>
        <v>45473</v>
      </c>
      <c r="S10" s="247">
        <f t="shared" si="3"/>
        <v>45657</v>
      </c>
      <c r="T10" s="248">
        <f t="shared" si="3"/>
        <v>45838</v>
      </c>
      <c r="U10" s="247">
        <f t="shared" si="3"/>
        <v>46022</v>
      </c>
      <c r="V10" s="248">
        <f t="shared" si="3"/>
        <v>46203</v>
      </c>
      <c r="W10" s="247">
        <f t="shared" si="3"/>
        <v>46387</v>
      </c>
      <c r="X10" s="248">
        <f t="shared" si="3"/>
        <v>46568</v>
      </c>
      <c r="Y10" s="247">
        <f t="shared" si="3"/>
        <v>46752</v>
      </c>
      <c r="Z10" s="248">
        <f t="shared" si="3"/>
        <v>46934</v>
      </c>
      <c r="AA10" s="247">
        <f t="shared" si="3"/>
        <v>47118</v>
      </c>
      <c r="AB10" s="248">
        <f t="shared" si="3"/>
        <v>47299</v>
      </c>
      <c r="AC10" s="247">
        <f t="shared" si="3"/>
        <v>47483</v>
      </c>
      <c r="AD10" s="248">
        <f t="shared" si="3"/>
        <v>47664</v>
      </c>
      <c r="AE10" s="247">
        <f t="shared" si="3"/>
        <v>47848</v>
      </c>
      <c r="AF10" s="248">
        <f t="shared" si="3"/>
        <v>48029</v>
      </c>
      <c r="AG10" s="247">
        <f t="shared" si="3"/>
        <v>48213</v>
      </c>
      <c r="AH10" s="248">
        <f t="shared" si="3"/>
        <v>48395</v>
      </c>
      <c r="AI10" s="247">
        <f t="shared" si="3"/>
        <v>48579</v>
      </c>
      <c r="AJ10" s="248">
        <f t="shared" si="3"/>
        <v>48760</v>
      </c>
      <c r="AK10" s="247">
        <f>EOMONTH(AJ10,6)</f>
        <v>48944</v>
      </c>
      <c r="AL10" s="248">
        <f>EOMONTH(AK10,6)</f>
        <v>49125</v>
      </c>
      <c r="AM10" s="247">
        <f>EOMONTH(AL10,6)</f>
        <v>49309</v>
      </c>
      <c r="AN10" s="248">
        <f>EOMONTH(AM10,6)</f>
        <v>49490</v>
      </c>
    </row>
    <row r="12" spans="1:40" s="82" customFormat="1">
      <c r="A12" s="169"/>
      <c r="B12" s="182" t="s">
        <v>974</v>
      </c>
      <c r="C12" s="170"/>
      <c r="D12" s="179"/>
      <c r="E12" s="173" t="str" cm="1">
        <f t="array" ref="E12">_xlfn.IFS(AND(MONTH(E$10)&gt;=7,MONTH(E$10)&lt;=12),"1H",AND(MONTH(E$10)&gt;=1,MONTH(E$10)&lt;=6),"2H")</f>
        <v>1H</v>
      </c>
      <c r="F12" s="173" t="str" cm="1">
        <f t="array" ref="F12">_xlfn.IFS(AND(MONTH(F$10)&gt;=7,MONTH(F$10)&lt;=12),"1H",AND(MONTH(F$10)&gt;=1,MONTH(F$10)&lt;=6),"2H")</f>
        <v>2H</v>
      </c>
      <c r="G12" s="173" t="str" cm="1">
        <f t="array" ref="G12">_xlfn.IFS(AND(MONTH(G$10)&gt;=7,MONTH(G$10)&lt;=12),"1H",AND(MONTH(G$10)&gt;=1,MONTH(G$10)&lt;=6),"2H")</f>
        <v>1H</v>
      </c>
      <c r="H12" s="173" t="str" cm="1">
        <f t="array" ref="H12">_xlfn.IFS(AND(MONTH(H$10)&gt;=7,MONTH(H$10)&lt;=12),"1H",AND(MONTH(H$10)&gt;=1,MONTH(H$10)&lt;=6),"2H")</f>
        <v>2H</v>
      </c>
      <c r="I12" s="173" t="str" cm="1">
        <f t="array" ref="I12">_xlfn.IFS(AND(MONTH(I$10)&gt;=7,MONTH(I$10)&lt;=12),"1H",AND(MONTH(I$10)&gt;=1,MONTH(I$10)&lt;=6),"2H")</f>
        <v>1H</v>
      </c>
      <c r="J12" s="173" t="str" cm="1">
        <f t="array" ref="J12">_xlfn.IFS(AND(MONTH(J$10)&gt;=7,MONTH(J$10)&lt;=12),"1H",AND(MONTH(J$10)&gt;=1,MONTH(J$10)&lt;=6),"2H")</f>
        <v>2H</v>
      </c>
      <c r="K12" s="173" t="str" cm="1">
        <f t="array" ref="K12">_xlfn.IFS(AND(MONTH(K$10)&gt;=7,MONTH(K$10)&lt;=12),"1H",AND(MONTH(K$10)&gt;=1,MONTH(K$10)&lt;=6),"2H")</f>
        <v>1H</v>
      </c>
      <c r="L12" s="173" t="str" cm="1">
        <f t="array" ref="L12">_xlfn.IFS(AND(MONTH(L$10)&gt;=7,MONTH(L$10)&lt;=12),"1H",AND(MONTH(L$10)&gt;=1,MONTH(L$10)&lt;=6),"2H")</f>
        <v>2H</v>
      </c>
      <c r="M12" s="173" t="str" cm="1">
        <f t="array" ref="M12">_xlfn.IFS(AND(MONTH(M$10)&gt;=7,MONTH(M$10)&lt;=12),"1H",AND(MONTH(M$10)&gt;=1,MONTH(M$10)&lt;=6),"2H")</f>
        <v>1H</v>
      </c>
      <c r="N12" s="173" t="str" cm="1">
        <f t="array" ref="N12">_xlfn.IFS(AND(MONTH(N$10)&gt;=7,MONTH(N$10)&lt;=12),"1H",AND(MONTH(N$10)&gt;=1,MONTH(N$10)&lt;=6),"2H")</f>
        <v>2H</v>
      </c>
      <c r="O12" s="173" t="str" cm="1">
        <f t="array" ref="O12">_xlfn.IFS(AND(MONTH(O$10)&gt;=7,MONTH(O$10)&lt;=12),"1H",AND(MONTH(O$10)&gt;=1,MONTH(O$10)&lt;=6),"2H")</f>
        <v>1H</v>
      </c>
      <c r="P12" s="173" t="str" cm="1">
        <f t="array" ref="P12">_xlfn.IFS(AND(MONTH(P$10)&gt;=7,MONTH(P$10)&lt;=12),"1H",AND(MONTH(P$10)&gt;=1,MONTH(P$10)&lt;=6),"2H")</f>
        <v>2H</v>
      </c>
      <c r="Q12" s="173" t="str" cm="1">
        <f t="array" ref="Q12">_xlfn.IFS(AND(MONTH(Q$10)&gt;=7,MONTH(Q$10)&lt;=12),"1H",AND(MONTH(Q$10)&gt;=1,MONTH(Q$10)&lt;=6),"2H")</f>
        <v>1H</v>
      </c>
      <c r="R12" s="173" t="str" cm="1">
        <f t="array" ref="R12">_xlfn.IFS(AND(MONTH(R$10)&gt;=7,MONTH(R$10)&lt;=12),"1H",AND(MONTH(R$10)&gt;=1,MONTH(R$10)&lt;=6),"2H")</f>
        <v>2H</v>
      </c>
      <c r="S12" s="173" t="str" cm="1">
        <f t="array" ref="S12">_xlfn.IFS(AND(MONTH(S$10)&gt;=7,MONTH(S$10)&lt;=12),"1H",AND(MONTH(S$10)&gt;=1,MONTH(S$10)&lt;=6),"2H")</f>
        <v>1H</v>
      </c>
      <c r="T12" s="173" t="str" cm="1">
        <f t="array" ref="T12">_xlfn.IFS(AND(MONTH(T$10)&gt;=7,MONTH(T$10)&lt;=12),"1H",AND(MONTH(T$10)&gt;=1,MONTH(T$10)&lt;=6),"2H")</f>
        <v>2H</v>
      </c>
      <c r="U12" s="173" t="str" cm="1">
        <f t="array" ref="U12">_xlfn.IFS(AND(MONTH(U$10)&gt;=7,MONTH(U$10)&lt;=12),"1H",AND(MONTH(U$10)&gt;=1,MONTH(U$10)&lt;=6),"2H")</f>
        <v>1H</v>
      </c>
      <c r="V12" s="173" t="str" cm="1">
        <f t="array" ref="V12">_xlfn.IFS(AND(MONTH(V$10)&gt;=7,MONTH(V$10)&lt;=12),"1H",AND(MONTH(V$10)&gt;=1,MONTH(V$10)&lt;=6),"2H")</f>
        <v>2H</v>
      </c>
      <c r="W12" s="173" t="str" cm="1">
        <f t="array" ref="W12">_xlfn.IFS(AND(MONTH(W$10)&gt;=7,MONTH(W$10)&lt;=12),"1H",AND(MONTH(W$10)&gt;=1,MONTH(W$10)&lt;=6),"2H")</f>
        <v>1H</v>
      </c>
      <c r="X12" s="173" t="str" cm="1">
        <f t="array" ref="X12">_xlfn.IFS(AND(MONTH(X$10)&gt;=7,MONTH(X$10)&lt;=12),"1H",AND(MONTH(X$10)&gt;=1,MONTH(X$10)&lt;=6),"2H")</f>
        <v>2H</v>
      </c>
      <c r="Y12" s="173" t="str" cm="1">
        <f t="array" ref="Y12">_xlfn.IFS(AND(MONTH(Y$10)&gt;=7,MONTH(Y$10)&lt;=12),"1H",AND(MONTH(Y$10)&gt;=1,MONTH(Y$10)&lt;=6),"2H")</f>
        <v>1H</v>
      </c>
      <c r="Z12" s="173" t="str" cm="1">
        <f t="array" ref="Z12">_xlfn.IFS(AND(MONTH(Z$10)&gt;=7,MONTH(Z$10)&lt;=12),"1H",AND(MONTH(Z$10)&gt;=1,MONTH(Z$10)&lt;=6),"2H")</f>
        <v>2H</v>
      </c>
      <c r="AA12" s="173" t="str" cm="1">
        <f t="array" ref="AA12">_xlfn.IFS(AND(MONTH(AA$10)&gt;=7,MONTH(AA$10)&lt;=12),"1H",AND(MONTH(AA$10)&gt;=1,MONTH(AA$10)&lt;=6),"2H")</f>
        <v>1H</v>
      </c>
      <c r="AB12" s="173" t="str" cm="1">
        <f t="array" ref="AB12">_xlfn.IFS(AND(MONTH(AB$10)&gt;=7,MONTH(AB$10)&lt;=12),"1H",AND(MONTH(AB$10)&gt;=1,MONTH(AB$10)&lt;=6),"2H")</f>
        <v>2H</v>
      </c>
      <c r="AC12" s="173" t="str" cm="1">
        <f t="array" ref="AC12">_xlfn.IFS(AND(MONTH(AC$10)&gt;=7,MONTH(AC$10)&lt;=12),"1H",AND(MONTH(AC$10)&gt;=1,MONTH(AC$10)&lt;=6),"2H")</f>
        <v>1H</v>
      </c>
      <c r="AD12" s="173" t="str" cm="1">
        <f t="array" ref="AD12">_xlfn.IFS(AND(MONTH(AD$10)&gt;=7,MONTH(AD$10)&lt;=12),"1H",AND(MONTH(AD$10)&gt;=1,MONTH(AD$10)&lt;=6),"2H")</f>
        <v>2H</v>
      </c>
      <c r="AE12" s="173" t="str" cm="1">
        <f t="array" ref="AE12">_xlfn.IFS(AND(MONTH(AE$10)&gt;=7,MONTH(AE$10)&lt;=12),"1H",AND(MONTH(AE$10)&gt;=1,MONTH(AE$10)&lt;=6),"2H")</f>
        <v>1H</v>
      </c>
      <c r="AF12" s="173" t="str" cm="1">
        <f t="array" ref="AF12">_xlfn.IFS(AND(MONTH(AF$10)&gt;=7,MONTH(AF$10)&lt;=12),"1H",AND(MONTH(AF$10)&gt;=1,MONTH(AF$10)&lt;=6),"2H")</f>
        <v>2H</v>
      </c>
      <c r="AG12" s="173" t="str" cm="1">
        <f t="array" ref="AG12">_xlfn.IFS(AND(MONTH(AG$10)&gt;=7,MONTH(AG$10)&lt;=12),"1H",AND(MONTH(AG$10)&gt;=1,MONTH(AG$10)&lt;=6),"2H")</f>
        <v>1H</v>
      </c>
      <c r="AH12" s="173" t="str" cm="1">
        <f t="array" ref="AH12">_xlfn.IFS(AND(MONTH(AH$10)&gt;=7,MONTH(AH$10)&lt;=12),"1H",AND(MONTH(AH$10)&gt;=1,MONTH(AH$10)&lt;=6),"2H")</f>
        <v>2H</v>
      </c>
      <c r="AI12" s="173" t="str" cm="1">
        <f t="array" ref="AI12">_xlfn.IFS(AND(MONTH(AI$10)&gt;=7,MONTH(AI$10)&lt;=12),"1H",AND(MONTH(AI$10)&gt;=1,MONTH(AI$10)&lt;=6),"2H")</f>
        <v>1H</v>
      </c>
      <c r="AJ12" s="173" t="str" cm="1">
        <f t="array" ref="AJ12">_xlfn.IFS(AND(MONTH(AJ$10)&gt;=7,MONTH(AJ$10)&lt;=12),"1H",AND(MONTH(AJ$10)&gt;=1,MONTH(AJ$10)&lt;=6),"2H")</f>
        <v>2H</v>
      </c>
      <c r="AK12" s="173" t="str" cm="1">
        <f t="array" ref="AK12">_xlfn.IFS(AND(MONTH(AK$10)&gt;=7,MONTH(AK$10)&lt;=12),"1H",AND(MONTH(AK$10)&gt;=1,MONTH(AK$10)&lt;=6),"2H")</f>
        <v>1H</v>
      </c>
      <c r="AL12" s="173" t="str" cm="1">
        <f t="array" ref="AL12">_xlfn.IFS(AND(MONTH(AL$10)&gt;=7,MONTH(AL$10)&lt;=12),"1H",AND(MONTH(AL$10)&gt;=1,MONTH(AL$10)&lt;=6),"2H")</f>
        <v>2H</v>
      </c>
      <c r="AM12" s="173" t="str" cm="1">
        <f t="array" ref="AM12">_xlfn.IFS(AND(MONTH(AM$10)&gt;=7,MONTH(AM$10)&lt;=12),"1H",AND(MONTH(AM$10)&gt;=1,MONTH(AM$10)&lt;=6),"2H")</f>
        <v>1H</v>
      </c>
      <c r="AN12" s="173" t="str" cm="1">
        <f t="array" ref="AN12">_xlfn.IFS(AND(MONTH(AN$10)&gt;=7,MONTH(AN$10)&lt;=12),"1H",AND(MONTH(AN$10)&gt;=1,MONTH(AN$10)&lt;=6),"2H")</f>
        <v>2H</v>
      </c>
    </row>
    <row r="13" spans="1:40" s="82" customFormat="1">
      <c r="A13" s="169"/>
      <c r="B13" s="182" t="s">
        <v>281</v>
      </c>
      <c r="C13" s="170"/>
      <c r="D13" s="180"/>
      <c r="E13" s="173">
        <f t="shared" ref="E13:AL13" si="4">IF(MONTH(E10)&gt;6,RIGHT(YEAR(E10),2)+1,RIGHT(YEAR(E10),2))</f>
        <v>18</v>
      </c>
      <c r="F13" s="173" t="str">
        <f t="shared" si="4"/>
        <v>18</v>
      </c>
      <c r="G13" s="173">
        <f t="shared" si="4"/>
        <v>19</v>
      </c>
      <c r="H13" s="173" t="str">
        <f t="shared" si="4"/>
        <v>19</v>
      </c>
      <c r="I13" s="173">
        <f t="shared" si="4"/>
        <v>20</v>
      </c>
      <c r="J13" s="173" t="str">
        <f t="shared" si="4"/>
        <v>20</v>
      </c>
      <c r="K13" s="173">
        <f t="shared" si="4"/>
        <v>21</v>
      </c>
      <c r="L13" s="173" t="str">
        <f t="shared" si="4"/>
        <v>21</v>
      </c>
      <c r="M13" s="173">
        <f t="shared" si="4"/>
        <v>22</v>
      </c>
      <c r="N13" s="173" t="str">
        <f t="shared" si="4"/>
        <v>22</v>
      </c>
      <c r="O13" s="173">
        <f t="shared" si="4"/>
        <v>23</v>
      </c>
      <c r="P13" s="173" t="str">
        <f t="shared" si="4"/>
        <v>23</v>
      </c>
      <c r="Q13" s="173">
        <f t="shared" si="4"/>
        <v>24</v>
      </c>
      <c r="R13" s="173" t="str">
        <f t="shared" si="4"/>
        <v>24</v>
      </c>
      <c r="S13" s="173">
        <f t="shared" si="4"/>
        <v>25</v>
      </c>
      <c r="T13" s="173" t="str">
        <f t="shared" si="4"/>
        <v>25</v>
      </c>
      <c r="U13" s="173">
        <f t="shared" si="4"/>
        <v>26</v>
      </c>
      <c r="V13" s="173" t="str">
        <f t="shared" si="4"/>
        <v>26</v>
      </c>
      <c r="W13" s="173">
        <f t="shared" si="4"/>
        <v>27</v>
      </c>
      <c r="X13" s="173" t="str">
        <f t="shared" si="4"/>
        <v>27</v>
      </c>
      <c r="Y13" s="173">
        <f t="shared" si="4"/>
        <v>28</v>
      </c>
      <c r="Z13" s="173" t="str">
        <f t="shared" si="4"/>
        <v>28</v>
      </c>
      <c r="AA13" s="173">
        <f t="shared" si="4"/>
        <v>29</v>
      </c>
      <c r="AB13" s="173" t="str">
        <f t="shared" si="4"/>
        <v>29</v>
      </c>
      <c r="AC13" s="173">
        <f t="shared" si="4"/>
        <v>30</v>
      </c>
      <c r="AD13" s="173" t="str">
        <f t="shared" si="4"/>
        <v>30</v>
      </c>
      <c r="AE13" s="173">
        <f t="shared" si="4"/>
        <v>31</v>
      </c>
      <c r="AF13" s="173" t="str">
        <f t="shared" si="4"/>
        <v>31</v>
      </c>
      <c r="AG13" s="173">
        <f t="shared" si="4"/>
        <v>32</v>
      </c>
      <c r="AH13" s="173" t="str">
        <f t="shared" si="4"/>
        <v>32</v>
      </c>
      <c r="AI13" s="173">
        <f t="shared" si="4"/>
        <v>33</v>
      </c>
      <c r="AJ13" s="173" t="str">
        <f t="shared" si="4"/>
        <v>33</v>
      </c>
      <c r="AK13" s="173">
        <f t="shared" si="4"/>
        <v>34</v>
      </c>
      <c r="AL13" s="173" t="str">
        <f t="shared" si="4"/>
        <v>34</v>
      </c>
      <c r="AM13" s="173">
        <f>IF(MONTH(AM10)&gt;6,RIGHT(YEAR(AM10),2)+1,RIGHT(YEAR(AM10),2))</f>
        <v>35</v>
      </c>
      <c r="AN13" s="173" t="str">
        <f>IF(MONTH(AN10)&gt;6,RIGHT(YEAR(AN10),2)+1,RIGHT(YEAR(AN10),2))</f>
        <v>35</v>
      </c>
    </row>
    <row r="14" spans="1:40" s="82" customFormat="1">
      <c r="A14" s="169"/>
      <c r="B14" s="182" t="s">
        <v>975</v>
      </c>
      <c r="C14" s="170"/>
      <c r="D14" s="180"/>
      <c r="E14" s="173" t="str">
        <f>E$12&amp;TEXT(E$13,"00")</f>
        <v>1H18</v>
      </c>
      <c r="F14" s="173" t="str">
        <f t="shared" ref="F14:AN14" si="5">F$12&amp;TEXT(F$13,"00")</f>
        <v>2H18</v>
      </c>
      <c r="G14" s="173" t="str">
        <f t="shared" si="5"/>
        <v>1H19</v>
      </c>
      <c r="H14" s="173" t="str">
        <f t="shared" si="5"/>
        <v>2H19</v>
      </c>
      <c r="I14" s="173" t="str">
        <f t="shared" si="5"/>
        <v>1H20</v>
      </c>
      <c r="J14" s="173" t="str">
        <f t="shared" si="5"/>
        <v>2H20</v>
      </c>
      <c r="K14" s="173" t="str">
        <f t="shared" si="5"/>
        <v>1H21</v>
      </c>
      <c r="L14" s="173" t="str">
        <f t="shared" si="5"/>
        <v>2H21</v>
      </c>
      <c r="M14" s="173" t="str">
        <f t="shared" si="5"/>
        <v>1H22</v>
      </c>
      <c r="N14" s="173" t="str">
        <f t="shared" si="5"/>
        <v>2H22</v>
      </c>
      <c r="O14" s="173" t="str">
        <f t="shared" si="5"/>
        <v>1H23</v>
      </c>
      <c r="P14" s="173" t="str">
        <f t="shared" si="5"/>
        <v>2H23</v>
      </c>
      <c r="Q14" s="173" t="str">
        <f t="shared" si="5"/>
        <v>1H24</v>
      </c>
      <c r="R14" s="173" t="str">
        <f t="shared" si="5"/>
        <v>2H24</v>
      </c>
      <c r="S14" s="173" t="str">
        <f t="shared" si="5"/>
        <v>1H25</v>
      </c>
      <c r="T14" s="173" t="str">
        <f t="shared" si="5"/>
        <v>2H25</v>
      </c>
      <c r="U14" s="173" t="str">
        <f t="shared" si="5"/>
        <v>1H26</v>
      </c>
      <c r="V14" s="173" t="str">
        <f t="shared" si="5"/>
        <v>2H26</v>
      </c>
      <c r="W14" s="173" t="str">
        <f t="shared" si="5"/>
        <v>1H27</v>
      </c>
      <c r="X14" s="173" t="str">
        <f t="shared" si="5"/>
        <v>2H27</v>
      </c>
      <c r="Y14" s="173" t="str">
        <f t="shared" si="5"/>
        <v>1H28</v>
      </c>
      <c r="Z14" s="173" t="str">
        <f t="shared" si="5"/>
        <v>2H28</v>
      </c>
      <c r="AA14" s="173" t="str">
        <f t="shared" si="5"/>
        <v>1H29</v>
      </c>
      <c r="AB14" s="173" t="str">
        <f t="shared" si="5"/>
        <v>2H29</v>
      </c>
      <c r="AC14" s="173" t="str">
        <f t="shared" si="5"/>
        <v>1H30</v>
      </c>
      <c r="AD14" s="173" t="str">
        <f t="shared" si="5"/>
        <v>2H30</v>
      </c>
      <c r="AE14" s="173" t="str">
        <f t="shared" si="5"/>
        <v>1H31</v>
      </c>
      <c r="AF14" s="173" t="str">
        <f t="shared" si="5"/>
        <v>2H31</v>
      </c>
      <c r="AG14" s="173" t="str">
        <f t="shared" si="5"/>
        <v>1H32</v>
      </c>
      <c r="AH14" s="173" t="str">
        <f t="shared" si="5"/>
        <v>2H32</v>
      </c>
      <c r="AI14" s="173" t="str">
        <f t="shared" si="5"/>
        <v>1H33</v>
      </c>
      <c r="AJ14" s="173" t="str">
        <f t="shared" si="5"/>
        <v>2H33</v>
      </c>
      <c r="AK14" s="173" t="str">
        <f t="shared" si="5"/>
        <v>1H34</v>
      </c>
      <c r="AL14" s="173" t="str">
        <f t="shared" si="5"/>
        <v>2H34</v>
      </c>
      <c r="AM14" s="173" t="str">
        <f t="shared" si="5"/>
        <v>1H35</v>
      </c>
      <c r="AN14" s="173" t="str">
        <f t="shared" si="5"/>
        <v>2H35</v>
      </c>
    </row>
    <row r="15" spans="1:40" s="171" customFormat="1">
      <c r="B15" s="182" t="s">
        <v>973</v>
      </c>
      <c r="C15" s="172"/>
      <c r="E15" s="173" cm="1">
        <f t="array" ref="E15">_xlfn.IFS(MONTH(E$10)=12,YEAR(E$10)+1,MONTH(E$10)=6,YEAR(E$10))</f>
        <v>2018</v>
      </c>
      <c r="F15" s="173" cm="1">
        <f t="array" ref="F15">_xlfn.IFS(MONTH(F$10)=12,YEAR(F$10)+1,MONTH(F$10)=6,YEAR(F$10))</f>
        <v>2018</v>
      </c>
      <c r="G15" s="173" cm="1">
        <f t="array" ref="G15">_xlfn.IFS(MONTH(G$10)=12,YEAR(G$10)+1,MONTH(G$10)=6,YEAR(G$10))</f>
        <v>2019</v>
      </c>
      <c r="H15" s="173" cm="1">
        <f t="array" ref="H15">_xlfn.IFS(MONTH(H$10)=12,YEAR(H$10)+1,MONTH(H$10)=6,YEAR(H$10))</f>
        <v>2019</v>
      </c>
      <c r="I15" s="173" cm="1">
        <f t="array" ref="I15">_xlfn.IFS(MONTH(I$10)=12,YEAR(I$10)+1,MONTH(I$10)=6,YEAR(I$10))</f>
        <v>2020</v>
      </c>
      <c r="J15" s="173" cm="1">
        <f t="array" ref="J15">_xlfn.IFS(MONTH(J$10)=12,YEAR(J$10)+1,MONTH(J$10)=6,YEAR(J$10))</f>
        <v>2020</v>
      </c>
      <c r="K15" s="173" cm="1">
        <f t="array" ref="K15">_xlfn.IFS(MONTH(K$10)=12,YEAR(K$10)+1,MONTH(K$10)=6,YEAR(K$10))</f>
        <v>2021</v>
      </c>
      <c r="L15" s="173" cm="1">
        <f t="array" ref="L15">_xlfn.IFS(MONTH(L$10)=12,YEAR(L$10)+1,MONTH(L$10)=6,YEAR(L$10))</f>
        <v>2021</v>
      </c>
      <c r="M15" s="173" cm="1">
        <f t="array" ref="M15">_xlfn.IFS(MONTH(M$10)=12,YEAR(M$10)+1,MONTH(M$10)=6,YEAR(M$10))</f>
        <v>2022</v>
      </c>
      <c r="N15" s="173" cm="1">
        <f t="array" ref="N15">_xlfn.IFS(MONTH(N$10)=12,YEAR(N$10)+1,MONTH(N$10)=6,YEAR(N$10))</f>
        <v>2022</v>
      </c>
      <c r="O15" s="173" cm="1">
        <f t="array" ref="O15">_xlfn.IFS(MONTH(O$10)=12,YEAR(O$10)+1,MONTH(O$10)=6,YEAR(O$10))</f>
        <v>2023</v>
      </c>
      <c r="P15" s="173" cm="1">
        <f t="array" ref="P15">_xlfn.IFS(MONTH(P$10)=12,YEAR(P$10)+1,MONTH(P$10)=6,YEAR(P$10))</f>
        <v>2023</v>
      </c>
      <c r="Q15" s="173" cm="1">
        <f t="array" ref="Q15">_xlfn.IFS(MONTH(Q$10)=12,YEAR(Q$10)+1,MONTH(Q$10)=6,YEAR(Q$10))</f>
        <v>2024</v>
      </c>
      <c r="R15" s="173" cm="1">
        <f t="array" ref="R15">_xlfn.IFS(MONTH(R$10)=12,YEAR(R$10)+1,MONTH(R$10)=6,YEAR(R$10))</f>
        <v>2024</v>
      </c>
      <c r="S15" s="173" cm="1">
        <f t="array" ref="S15">_xlfn.IFS(MONTH(S$10)=12,YEAR(S$10)+1,MONTH(S$10)=6,YEAR(S$10))</f>
        <v>2025</v>
      </c>
      <c r="T15" s="173" cm="1">
        <f t="array" ref="T15">_xlfn.IFS(MONTH(T$10)=12,YEAR(T$10)+1,MONTH(T$10)=6,YEAR(T$10))</f>
        <v>2025</v>
      </c>
      <c r="U15" s="173" cm="1">
        <f t="array" ref="U15">_xlfn.IFS(MONTH(U$10)=12,YEAR(U$10)+1,MONTH(U$10)=6,YEAR(U$10))</f>
        <v>2026</v>
      </c>
      <c r="V15" s="173" cm="1">
        <f t="array" ref="V15">_xlfn.IFS(MONTH(V$10)=12,YEAR(V$10)+1,MONTH(V$10)=6,YEAR(V$10))</f>
        <v>2026</v>
      </c>
      <c r="W15" s="173" cm="1">
        <f t="array" ref="W15">_xlfn.IFS(MONTH(W$10)=12,YEAR(W$10)+1,MONTH(W$10)=6,YEAR(W$10))</f>
        <v>2027</v>
      </c>
      <c r="X15" s="173" cm="1">
        <f t="array" ref="X15">_xlfn.IFS(MONTH(X$10)=12,YEAR(X$10)+1,MONTH(X$10)=6,YEAR(X$10))</f>
        <v>2027</v>
      </c>
      <c r="Y15" s="173" cm="1">
        <f t="array" ref="Y15">_xlfn.IFS(MONTH(Y$10)=12,YEAR(Y$10)+1,MONTH(Y$10)=6,YEAR(Y$10))</f>
        <v>2028</v>
      </c>
      <c r="Z15" s="173" cm="1">
        <f t="array" ref="Z15">_xlfn.IFS(MONTH(Z$10)=12,YEAR(Z$10)+1,MONTH(Z$10)=6,YEAR(Z$10))</f>
        <v>2028</v>
      </c>
      <c r="AA15" s="173" cm="1">
        <f t="array" ref="AA15">_xlfn.IFS(MONTH(AA$10)=12,YEAR(AA$10)+1,MONTH(AA$10)=6,YEAR(AA$10))</f>
        <v>2029</v>
      </c>
      <c r="AB15" s="173" cm="1">
        <f t="array" ref="AB15">_xlfn.IFS(MONTH(AB$10)=12,YEAR(AB$10)+1,MONTH(AB$10)=6,YEAR(AB$10))</f>
        <v>2029</v>
      </c>
      <c r="AC15" s="173" cm="1">
        <f t="array" ref="AC15">_xlfn.IFS(MONTH(AC$10)=12,YEAR(AC$10)+1,MONTH(AC$10)=6,YEAR(AC$10))</f>
        <v>2030</v>
      </c>
      <c r="AD15" s="173" cm="1">
        <f t="array" ref="AD15">_xlfn.IFS(MONTH(AD$10)=12,YEAR(AD$10)+1,MONTH(AD$10)=6,YEAR(AD$10))</f>
        <v>2030</v>
      </c>
      <c r="AE15" s="173" cm="1">
        <f t="array" ref="AE15">_xlfn.IFS(MONTH(AE$10)=12,YEAR(AE$10)+1,MONTH(AE$10)=6,YEAR(AE$10))</f>
        <v>2031</v>
      </c>
      <c r="AF15" s="173" cm="1">
        <f t="array" ref="AF15">_xlfn.IFS(MONTH(AF$10)=12,YEAR(AF$10)+1,MONTH(AF$10)=6,YEAR(AF$10))</f>
        <v>2031</v>
      </c>
      <c r="AG15" s="173" cm="1">
        <f t="array" ref="AG15">_xlfn.IFS(MONTH(AG$10)=12,YEAR(AG$10)+1,MONTH(AG$10)=6,YEAR(AG$10))</f>
        <v>2032</v>
      </c>
      <c r="AH15" s="173" cm="1">
        <f t="array" ref="AH15">_xlfn.IFS(MONTH(AH$10)=12,YEAR(AH$10)+1,MONTH(AH$10)=6,YEAR(AH$10))</f>
        <v>2032</v>
      </c>
      <c r="AI15" s="173" cm="1">
        <f t="array" ref="AI15">_xlfn.IFS(MONTH(AI$10)=12,YEAR(AI$10)+1,MONTH(AI$10)=6,YEAR(AI$10))</f>
        <v>2033</v>
      </c>
      <c r="AJ15" s="173" cm="1">
        <f t="array" ref="AJ15">_xlfn.IFS(MONTH(AJ$10)=12,YEAR(AJ$10)+1,MONTH(AJ$10)=6,YEAR(AJ$10))</f>
        <v>2033</v>
      </c>
      <c r="AK15" s="173" cm="1">
        <f t="array" ref="AK15">_xlfn.IFS(MONTH(AK$10)=12,YEAR(AK$10)+1,MONTH(AK$10)=6,YEAR(AK$10))</f>
        <v>2034</v>
      </c>
      <c r="AL15" s="173" cm="1">
        <f t="array" ref="AL15">_xlfn.IFS(MONTH(AL$10)=12,YEAR(AL$10)+1,MONTH(AL$10)=6,YEAR(AL$10))</f>
        <v>2034</v>
      </c>
      <c r="AM15" s="173" cm="1">
        <f t="array" ref="AM15">_xlfn.IFS(MONTH(AM$10)=12,YEAR(AM$10)+1,MONTH(AM$10)=6,YEAR(AM$10))</f>
        <v>2035</v>
      </c>
      <c r="AN15" s="173" cm="1">
        <f t="array" ref="AN15">_xlfn.IFS(MONTH(AN$10)=12,YEAR(AN$10)+1,MONTH(AN$10)=6,YEAR(AN$10))</f>
        <v>2035</v>
      </c>
    </row>
    <row r="16" spans="1:40">
      <c r="B16" s="138" t="s">
        <v>976</v>
      </c>
      <c r="E16" s="82" t="str">
        <f>IF(ISNUMBER(E$260),"A","E")</f>
        <v>A</v>
      </c>
      <c r="F16" s="82" t="str">
        <f t="shared" ref="F16:L16" si="6">IF(ISNUMBER(F$260),"A","E")</f>
        <v>A</v>
      </c>
      <c r="G16" s="82" t="str">
        <f t="shared" si="6"/>
        <v>A</v>
      </c>
      <c r="H16" s="82" t="str">
        <f t="shared" si="6"/>
        <v>A</v>
      </c>
      <c r="I16" s="82" t="str">
        <f t="shared" si="6"/>
        <v>A</v>
      </c>
      <c r="J16" s="82" t="str">
        <f t="shared" si="6"/>
        <v>A</v>
      </c>
      <c r="K16" s="82" t="str">
        <f t="shared" si="6"/>
        <v>A</v>
      </c>
      <c r="L16" s="82" t="str">
        <f t="shared" si="6"/>
        <v>A</v>
      </c>
      <c r="M16" s="82" t="str">
        <f>IF(ISNUMBER(M$217),"A","E")</f>
        <v>A</v>
      </c>
      <c r="N16" s="82" t="str">
        <f t="shared" ref="N16:AN16" si="7">IF(ISNUMBER(N$217),"A","E")</f>
        <v>A</v>
      </c>
      <c r="O16" s="82" t="str">
        <f t="shared" si="7"/>
        <v>A</v>
      </c>
      <c r="P16" s="82" t="str">
        <f t="shared" si="7"/>
        <v>A</v>
      </c>
      <c r="Q16" s="82" t="str">
        <f t="shared" si="7"/>
        <v>A</v>
      </c>
      <c r="R16" s="82" t="str">
        <f t="shared" si="7"/>
        <v>A</v>
      </c>
      <c r="S16" s="82" t="str">
        <f t="shared" si="7"/>
        <v>A</v>
      </c>
      <c r="T16" s="82" t="str">
        <f t="shared" si="7"/>
        <v>A</v>
      </c>
      <c r="U16" s="82" t="str">
        <f t="shared" si="7"/>
        <v>A</v>
      </c>
      <c r="V16" s="82" t="str">
        <f t="shared" si="7"/>
        <v>A</v>
      </c>
      <c r="W16" s="82" t="str">
        <f t="shared" si="7"/>
        <v>E</v>
      </c>
      <c r="X16" s="82" t="str">
        <f t="shared" si="7"/>
        <v>E</v>
      </c>
      <c r="Y16" s="82" t="str">
        <f t="shared" si="7"/>
        <v>E</v>
      </c>
      <c r="Z16" s="82" t="str">
        <f t="shared" si="7"/>
        <v>E</v>
      </c>
      <c r="AA16" s="82" t="str">
        <f t="shared" si="7"/>
        <v>E</v>
      </c>
      <c r="AB16" s="82" t="str">
        <f t="shared" si="7"/>
        <v>E</v>
      </c>
      <c r="AC16" s="82" t="str">
        <f t="shared" si="7"/>
        <v>E</v>
      </c>
      <c r="AD16" s="82" t="str">
        <f t="shared" si="7"/>
        <v>E</v>
      </c>
      <c r="AE16" s="82" t="str">
        <f t="shared" si="7"/>
        <v>E</v>
      </c>
      <c r="AF16" s="82" t="str">
        <f t="shared" si="7"/>
        <v>E</v>
      </c>
      <c r="AG16" s="82" t="str">
        <f t="shared" si="7"/>
        <v>E</v>
      </c>
      <c r="AH16" s="82" t="str">
        <f t="shared" si="7"/>
        <v>E</v>
      </c>
      <c r="AI16" s="82" t="str">
        <f t="shared" si="7"/>
        <v>E</v>
      </c>
      <c r="AJ16" s="82" t="str">
        <f t="shared" si="7"/>
        <v>E</v>
      </c>
      <c r="AK16" s="82" t="str">
        <f t="shared" si="7"/>
        <v>E</v>
      </c>
      <c r="AL16" s="82" t="str">
        <f t="shared" si="7"/>
        <v>E</v>
      </c>
      <c r="AM16" s="82" t="str">
        <f t="shared" si="7"/>
        <v>E</v>
      </c>
      <c r="AN16" s="82" t="str">
        <f t="shared" si="7"/>
        <v>E</v>
      </c>
    </row>
    <row r="17" spans="1:40" s="139" customFormat="1">
      <c r="A17" s="1"/>
      <c r="B17" s="138" t="s">
        <v>953</v>
      </c>
      <c r="C17" s="82"/>
      <c r="D17" s="1"/>
      <c r="E17" s="82">
        <f>E10-EOMONTH(E10,-6)</f>
        <v>184</v>
      </c>
      <c r="F17" s="82">
        <f t="shared" ref="F17:AK17" si="8">F10-E10</f>
        <v>181</v>
      </c>
      <c r="G17" s="82">
        <f t="shared" si="8"/>
        <v>184</v>
      </c>
      <c r="H17" s="82">
        <f t="shared" si="8"/>
        <v>181</v>
      </c>
      <c r="I17" s="82">
        <f t="shared" si="8"/>
        <v>184</v>
      </c>
      <c r="J17" s="82">
        <f t="shared" si="8"/>
        <v>182</v>
      </c>
      <c r="K17" s="82">
        <f t="shared" si="8"/>
        <v>184</v>
      </c>
      <c r="L17" s="82">
        <f t="shared" si="8"/>
        <v>181</v>
      </c>
      <c r="M17" s="82">
        <f t="shared" si="8"/>
        <v>184</v>
      </c>
      <c r="N17" s="82">
        <f t="shared" si="8"/>
        <v>181</v>
      </c>
      <c r="O17" s="82">
        <f t="shared" si="8"/>
        <v>184</v>
      </c>
      <c r="P17" s="82">
        <f t="shared" si="8"/>
        <v>181</v>
      </c>
      <c r="Q17" s="82">
        <f t="shared" si="8"/>
        <v>184</v>
      </c>
      <c r="R17" s="82">
        <f t="shared" si="8"/>
        <v>182</v>
      </c>
      <c r="S17" s="82">
        <f t="shared" si="8"/>
        <v>184</v>
      </c>
      <c r="T17" s="82">
        <f t="shared" si="8"/>
        <v>181</v>
      </c>
      <c r="U17" s="82">
        <f t="shared" si="8"/>
        <v>184</v>
      </c>
      <c r="V17" s="82">
        <f t="shared" si="8"/>
        <v>181</v>
      </c>
      <c r="W17" s="82">
        <f t="shared" si="8"/>
        <v>184</v>
      </c>
      <c r="X17" s="82">
        <f t="shared" si="8"/>
        <v>181</v>
      </c>
      <c r="Y17" s="82">
        <f t="shared" si="8"/>
        <v>184</v>
      </c>
      <c r="Z17" s="82">
        <f t="shared" si="8"/>
        <v>182</v>
      </c>
      <c r="AA17" s="82">
        <f t="shared" si="8"/>
        <v>184</v>
      </c>
      <c r="AB17" s="82">
        <f t="shared" si="8"/>
        <v>181</v>
      </c>
      <c r="AC17" s="82">
        <f t="shared" si="8"/>
        <v>184</v>
      </c>
      <c r="AD17" s="82">
        <f t="shared" si="8"/>
        <v>181</v>
      </c>
      <c r="AE17" s="82">
        <f t="shared" si="8"/>
        <v>184</v>
      </c>
      <c r="AF17" s="82">
        <f t="shared" si="8"/>
        <v>181</v>
      </c>
      <c r="AG17" s="82">
        <f t="shared" si="8"/>
        <v>184</v>
      </c>
      <c r="AH17" s="82">
        <f t="shared" si="8"/>
        <v>182</v>
      </c>
      <c r="AI17" s="82">
        <f t="shared" si="8"/>
        <v>184</v>
      </c>
      <c r="AJ17" s="82">
        <f t="shared" si="8"/>
        <v>181</v>
      </c>
      <c r="AK17" s="82">
        <f t="shared" si="8"/>
        <v>184</v>
      </c>
      <c r="AL17" s="82">
        <f>AL10-AK10</f>
        <v>181</v>
      </c>
      <c r="AM17" s="82">
        <f>AM10-AL10</f>
        <v>184</v>
      </c>
      <c r="AN17" s="82">
        <f>AN10-AM10</f>
        <v>181</v>
      </c>
    </row>
    <row r="19" spans="1:40">
      <c r="A19" s="177" t="s">
        <v>971</v>
      </c>
      <c r="B19" s="178" t="s">
        <v>1154</v>
      </c>
      <c r="C19" s="164"/>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row>
    <row r="20" spans="1:40">
      <c r="B20" s="161"/>
      <c r="C20" s="165"/>
      <c r="E20" s="142"/>
      <c r="F20" s="142"/>
      <c r="G20" s="142"/>
      <c r="H20" s="142"/>
      <c r="I20" s="142"/>
      <c r="J20" s="142"/>
      <c r="K20" s="142"/>
      <c r="L20" s="142"/>
      <c r="M20" s="142"/>
      <c r="N20" s="142"/>
      <c r="O20" s="142"/>
      <c r="P20" s="142"/>
      <c r="Q20" s="142"/>
      <c r="R20" s="142"/>
      <c r="S20" s="142"/>
      <c r="T20" s="142"/>
      <c r="U20" s="142"/>
      <c r="V20" s="142"/>
      <c r="W20" s="142"/>
      <c r="X20" s="142"/>
      <c r="Y20" s="142"/>
      <c r="Z20" s="142"/>
      <c r="AA20" s="142"/>
      <c r="AB20" s="142"/>
      <c r="AC20" s="142"/>
      <c r="AD20" s="142"/>
      <c r="AE20" s="142"/>
      <c r="AF20" s="142"/>
      <c r="AG20" s="142"/>
      <c r="AH20" s="142"/>
      <c r="AI20" s="142"/>
      <c r="AJ20" s="142"/>
      <c r="AK20" s="142"/>
      <c r="AL20" s="142"/>
      <c r="AM20" s="142"/>
      <c r="AN20" s="142"/>
    </row>
    <row r="21" spans="1:40">
      <c r="B21" s="185" t="s">
        <v>1662</v>
      </c>
      <c r="C21" s="165"/>
      <c r="F21" s="142"/>
      <c r="G21" s="142"/>
      <c r="H21" s="142"/>
      <c r="I21" s="490"/>
      <c r="J21" s="142"/>
      <c r="K21" s="142"/>
      <c r="M21" s="142"/>
      <c r="N21" s="222"/>
      <c r="O21" s="142"/>
      <c r="P21" s="222"/>
      <c r="Q21" s="142"/>
      <c r="R21" s="142"/>
      <c r="S21" s="142"/>
      <c r="T21" s="222"/>
      <c r="U21" s="142"/>
      <c r="V21" s="142"/>
      <c r="W21" s="142"/>
      <c r="X21" s="142"/>
      <c r="Y21" s="142"/>
      <c r="Z21" s="142"/>
      <c r="AA21" s="142"/>
      <c r="AB21" s="142"/>
      <c r="AC21" s="142"/>
      <c r="AD21" s="142"/>
      <c r="AE21" s="142"/>
      <c r="AF21" s="142"/>
      <c r="AG21" s="142"/>
      <c r="AH21" s="142"/>
      <c r="AI21" s="142"/>
      <c r="AJ21" s="142"/>
      <c r="AK21" s="142"/>
      <c r="AL21" s="142"/>
      <c r="AM21" s="142"/>
      <c r="AN21" s="142"/>
    </row>
    <row r="22" spans="1:40">
      <c r="B22" s="209" t="s">
        <v>1655</v>
      </c>
      <c r="C22" s="165"/>
      <c r="F22" s="142"/>
      <c r="G22" s="142"/>
      <c r="H22" s="142"/>
      <c r="I22" s="490"/>
      <c r="J22" s="142"/>
      <c r="K22" s="142"/>
      <c r="M22" s="142"/>
      <c r="N22" s="222"/>
      <c r="O22" s="142"/>
      <c r="P22" s="222"/>
      <c r="Q22" s="142"/>
      <c r="R22" s="142"/>
      <c r="S22" s="142"/>
      <c r="T22" s="222"/>
      <c r="U22" s="142"/>
      <c r="V22" s="142"/>
      <c r="W22" s="142"/>
      <c r="X22" s="142"/>
      <c r="Y22" s="142"/>
      <c r="Z22" s="142"/>
      <c r="AA22" s="142"/>
      <c r="AB22" s="142"/>
      <c r="AC22" s="142"/>
      <c r="AD22" s="142"/>
      <c r="AE22" s="142"/>
      <c r="AF22" s="142"/>
      <c r="AG22" s="142"/>
      <c r="AH22" s="142"/>
      <c r="AI22" s="142"/>
      <c r="AJ22" s="142"/>
      <c r="AK22" s="142"/>
      <c r="AL22" s="142"/>
      <c r="AM22" s="142"/>
      <c r="AN22" s="142"/>
    </row>
    <row r="23" spans="1:40">
      <c r="B23" s="209" t="s">
        <v>1656</v>
      </c>
      <c r="C23" s="165"/>
      <c r="F23" s="142"/>
      <c r="G23" s="142"/>
      <c r="H23" s="142"/>
      <c r="I23" s="490"/>
      <c r="J23" s="142"/>
      <c r="K23" s="142"/>
      <c r="M23" s="142"/>
      <c r="N23" s="222"/>
      <c r="O23" s="142"/>
      <c r="P23" s="222"/>
      <c r="Q23" s="142"/>
      <c r="R23" s="142"/>
      <c r="S23" s="142"/>
      <c r="T23" s="222"/>
      <c r="U23" s="142"/>
      <c r="V23" s="142"/>
      <c r="W23" s="142"/>
      <c r="X23" s="142"/>
      <c r="Y23" s="142"/>
      <c r="Z23" s="142"/>
      <c r="AA23" s="142"/>
      <c r="AB23" s="142"/>
      <c r="AC23" s="142"/>
      <c r="AD23" s="142"/>
      <c r="AE23" s="142"/>
      <c r="AF23" s="142"/>
      <c r="AG23" s="142"/>
      <c r="AH23" s="142"/>
      <c r="AI23" s="142"/>
      <c r="AJ23" s="142"/>
      <c r="AK23" s="142"/>
      <c r="AL23" s="142"/>
      <c r="AM23" s="142"/>
      <c r="AN23" s="142"/>
    </row>
    <row r="24" spans="1:40">
      <c r="B24" s="209" t="s">
        <v>1657</v>
      </c>
      <c r="C24" s="165"/>
      <c r="F24" s="142"/>
      <c r="G24" s="142"/>
      <c r="H24" s="142"/>
      <c r="I24" s="490"/>
      <c r="J24" s="142"/>
      <c r="K24" s="142"/>
      <c r="M24" s="142"/>
      <c r="N24" s="222"/>
      <c r="O24" s="142"/>
      <c r="P24" s="222"/>
      <c r="Q24" s="142"/>
      <c r="R24" s="142"/>
      <c r="S24" s="142"/>
      <c r="T24" s="222"/>
      <c r="U24" s="142"/>
      <c r="V24" s="142"/>
      <c r="W24" s="142"/>
      <c r="X24" s="142"/>
      <c r="Y24" s="142"/>
      <c r="Z24" s="142"/>
      <c r="AA24" s="142"/>
      <c r="AB24" s="142"/>
      <c r="AC24" s="142"/>
      <c r="AD24" s="142"/>
      <c r="AE24" s="142"/>
      <c r="AF24" s="142"/>
      <c r="AG24" s="142"/>
      <c r="AH24" s="142"/>
      <c r="AI24" s="142"/>
      <c r="AJ24" s="142"/>
      <c r="AK24" s="142"/>
      <c r="AL24" s="142"/>
      <c r="AM24" s="142"/>
      <c r="AN24" s="142"/>
    </row>
    <row r="25" spans="1:40">
      <c r="B25" s="209" t="s">
        <v>1658</v>
      </c>
      <c r="C25" s="165"/>
      <c r="F25" s="142"/>
      <c r="G25" s="142"/>
      <c r="H25" s="142"/>
      <c r="I25" s="490"/>
      <c r="J25" s="142"/>
      <c r="K25" s="142"/>
      <c r="M25" s="142"/>
      <c r="N25" s="222"/>
      <c r="O25" s="142"/>
      <c r="P25" s="222"/>
      <c r="Q25" s="142"/>
      <c r="R25" s="142"/>
      <c r="S25" s="142"/>
      <c r="T25" s="222"/>
      <c r="U25" s="142"/>
      <c r="V25" s="142"/>
      <c r="W25" s="142"/>
      <c r="X25" s="142"/>
      <c r="Y25" s="142"/>
      <c r="Z25" s="142"/>
      <c r="AA25" s="142"/>
      <c r="AB25" s="142"/>
      <c r="AC25" s="142"/>
      <c r="AD25" s="142"/>
      <c r="AE25" s="142"/>
      <c r="AF25" s="142"/>
      <c r="AG25" s="142"/>
      <c r="AH25" s="142"/>
      <c r="AI25" s="142"/>
      <c r="AJ25" s="142"/>
      <c r="AK25" s="142"/>
      <c r="AL25" s="142"/>
      <c r="AM25" s="142"/>
      <c r="AN25" s="142"/>
    </row>
    <row r="26" spans="1:40">
      <c r="B26" s="209" t="s">
        <v>1659</v>
      </c>
      <c r="C26" s="165"/>
      <c r="F26" s="142"/>
      <c r="G26" s="142"/>
      <c r="H26" s="142"/>
      <c r="I26" s="490"/>
      <c r="J26" s="142"/>
      <c r="K26" s="142"/>
      <c r="M26" s="142"/>
      <c r="N26" s="222"/>
      <c r="O26" s="142"/>
      <c r="P26" s="222"/>
      <c r="Q26" s="142"/>
      <c r="R26" s="142"/>
      <c r="S26" s="142"/>
      <c r="T26" s="222"/>
      <c r="U26" s="142"/>
      <c r="V26" s="142"/>
      <c r="W26" s="142"/>
      <c r="X26" s="142"/>
      <c r="Y26" s="142"/>
      <c r="Z26" s="142"/>
      <c r="AA26" s="142"/>
      <c r="AB26" s="142"/>
      <c r="AC26" s="142"/>
      <c r="AD26" s="142"/>
      <c r="AE26" s="142"/>
      <c r="AF26" s="142"/>
      <c r="AG26" s="142"/>
      <c r="AH26" s="142"/>
      <c r="AI26" s="142"/>
      <c r="AJ26" s="142"/>
      <c r="AK26" s="142"/>
      <c r="AL26" s="142"/>
      <c r="AM26" s="142"/>
      <c r="AN26" s="142"/>
    </row>
    <row r="27" spans="1:40">
      <c r="B27" s="209" t="s">
        <v>1660</v>
      </c>
      <c r="C27" s="165"/>
      <c r="F27" s="142"/>
      <c r="G27" s="142"/>
      <c r="H27" s="142"/>
      <c r="I27" s="490"/>
      <c r="J27" s="142"/>
      <c r="K27" s="142"/>
      <c r="M27" s="142"/>
      <c r="N27" s="222"/>
      <c r="O27" s="142"/>
      <c r="P27" s="222"/>
      <c r="Q27" s="142"/>
      <c r="R27" s="142"/>
      <c r="S27" s="142"/>
      <c r="T27" s="222"/>
      <c r="U27" s="142"/>
      <c r="V27" s="142"/>
      <c r="W27" s="142"/>
      <c r="X27" s="142"/>
      <c r="Y27" s="142"/>
      <c r="Z27" s="142"/>
      <c r="AA27" s="142"/>
      <c r="AB27" s="142"/>
      <c r="AC27" s="142"/>
      <c r="AD27" s="142"/>
      <c r="AE27" s="142"/>
      <c r="AF27" s="142"/>
      <c r="AG27" s="142"/>
      <c r="AH27" s="142"/>
      <c r="AI27" s="142"/>
      <c r="AJ27" s="142"/>
      <c r="AK27" s="142"/>
      <c r="AL27" s="142"/>
      <c r="AM27" s="142"/>
      <c r="AN27" s="142"/>
    </row>
    <row r="28" spans="1:40">
      <c r="B28" s="209" t="s">
        <v>1661</v>
      </c>
      <c r="C28" s="165"/>
      <c r="F28" s="142"/>
      <c r="G28" s="142"/>
      <c r="H28" s="142"/>
      <c r="I28" s="490"/>
      <c r="J28" s="142"/>
      <c r="K28" s="142"/>
      <c r="M28" s="142"/>
      <c r="N28" s="222"/>
      <c r="O28" s="142"/>
      <c r="P28" s="222"/>
      <c r="Q28" s="142"/>
      <c r="R28" s="142"/>
      <c r="S28" s="142"/>
      <c r="T28" s="222"/>
      <c r="U28" s="142"/>
      <c r="V28" s="142"/>
      <c r="W28" s="142"/>
      <c r="X28" s="142"/>
      <c r="Y28" s="142"/>
      <c r="Z28" s="142"/>
      <c r="AA28" s="142"/>
      <c r="AB28" s="142"/>
      <c r="AC28" s="142"/>
      <c r="AD28" s="142"/>
      <c r="AE28" s="142"/>
      <c r="AF28" s="142"/>
      <c r="AG28" s="142"/>
      <c r="AH28" s="142"/>
      <c r="AI28" s="142"/>
      <c r="AJ28" s="142"/>
      <c r="AK28" s="142"/>
      <c r="AL28" s="142"/>
      <c r="AM28" s="142"/>
      <c r="AN28" s="142"/>
    </row>
    <row r="29" spans="1:40">
      <c r="B29" s="216" t="s">
        <v>1663</v>
      </c>
      <c r="C29" s="165"/>
      <c r="F29" s="142"/>
      <c r="G29" s="142"/>
      <c r="H29" s="142"/>
      <c r="I29" s="490"/>
      <c r="J29" s="142"/>
      <c r="K29" s="142"/>
      <c r="M29" s="142"/>
      <c r="N29" s="222"/>
      <c r="O29" s="142"/>
      <c r="P29" s="222"/>
      <c r="Q29" s="142"/>
      <c r="R29" s="142"/>
      <c r="S29" s="142"/>
      <c r="T29" s="222"/>
      <c r="U29" s="142"/>
      <c r="V29" s="142"/>
      <c r="W29" s="142"/>
      <c r="X29" s="142"/>
      <c r="Y29" s="142"/>
      <c r="Z29" s="142"/>
      <c r="AA29" s="142"/>
      <c r="AB29" s="142"/>
      <c r="AC29" s="142"/>
      <c r="AD29" s="142"/>
      <c r="AE29" s="142"/>
      <c r="AF29" s="142"/>
      <c r="AG29" s="142"/>
      <c r="AH29" s="142"/>
      <c r="AI29" s="142"/>
      <c r="AJ29" s="142"/>
      <c r="AK29" s="142"/>
      <c r="AL29" s="142"/>
      <c r="AM29" s="142"/>
      <c r="AN29" s="142"/>
    </row>
    <row r="30" spans="1:40">
      <c r="B30" s="216" t="s">
        <v>1664</v>
      </c>
      <c r="C30" s="165"/>
      <c r="F30" s="142"/>
      <c r="G30" s="142"/>
      <c r="H30" s="142"/>
      <c r="I30" s="490"/>
      <c r="J30" s="142"/>
      <c r="K30" s="142"/>
      <c r="M30" s="142"/>
      <c r="N30" s="222"/>
      <c r="O30" s="142"/>
      <c r="P30" s="222"/>
      <c r="Q30" s="142"/>
      <c r="R30" s="142"/>
      <c r="S30" s="142"/>
      <c r="T30" s="222"/>
      <c r="U30" s="142"/>
      <c r="V30" s="142"/>
      <c r="W30" s="142"/>
      <c r="X30" s="142"/>
      <c r="Y30" s="142"/>
      <c r="Z30" s="142"/>
      <c r="AA30" s="142"/>
      <c r="AB30" s="142"/>
      <c r="AC30" s="142"/>
      <c r="AD30" s="142"/>
      <c r="AE30" s="142"/>
      <c r="AF30" s="142"/>
      <c r="AG30" s="142"/>
      <c r="AH30" s="142"/>
      <c r="AI30" s="142"/>
      <c r="AJ30" s="142"/>
      <c r="AK30" s="142"/>
      <c r="AL30" s="142"/>
      <c r="AM30" s="142"/>
      <c r="AN30" s="142"/>
    </row>
    <row r="31" spans="1:40">
      <c r="B31" s="209" t="s">
        <v>1665</v>
      </c>
      <c r="C31" s="165"/>
      <c r="F31" s="142"/>
      <c r="G31" s="142"/>
      <c r="H31" s="142"/>
      <c r="I31" s="490"/>
      <c r="J31" s="142"/>
      <c r="K31" s="142"/>
      <c r="M31" s="142"/>
      <c r="N31" s="222"/>
      <c r="O31" s="142"/>
      <c r="P31" s="222"/>
      <c r="Q31" s="142"/>
      <c r="R31" s="142"/>
      <c r="S31" s="142"/>
      <c r="T31" s="222"/>
      <c r="U31" s="142"/>
      <c r="V31" s="142"/>
      <c r="W31" s="142"/>
      <c r="X31" s="142"/>
      <c r="Y31" s="142"/>
      <c r="Z31" s="142"/>
      <c r="AA31" s="142"/>
      <c r="AB31" s="142"/>
      <c r="AC31" s="142"/>
      <c r="AD31" s="142"/>
      <c r="AE31" s="142"/>
      <c r="AF31" s="142"/>
      <c r="AG31" s="142"/>
      <c r="AH31" s="142"/>
      <c r="AI31" s="142"/>
      <c r="AJ31" s="142"/>
      <c r="AK31" s="142"/>
      <c r="AL31" s="142"/>
      <c r="AM31" s="142"/>
      <c r="AN31" s="142"/>
    </row>
    <row r="32" spans="1:40">
      <c r="B32" s="209" t="s">
        <v>1666</v>
      </c>
      <c r="C32" s="165"/>
      <c r="F32" s="142"/>
      <c r="G32" s="142"/>
      <c r="H32" s="142"/>
      <c r="I32" s="490"/>
      <c r="J32" s="142"/>
      <c r="K32" s="142"/>
      <c r="M32" s="142"/>
      <c r="N32" s="222"/>
      <c r="O32" s="142"/>
      <c r="P32" s="222"/>
      <c r="Q32" s="142"/>
      <c r="R32" s="142"/>
      <c r="S32" s="142"/>
      <c r="T32" s="222"/>
      <c r="U32" s="142"/>
      <c r="V32" s="142"/>
      <c r="W32" s="142"/>
      <c r="X32" s="142"/>
      <c r="Y32" s="142"/>
      <c r="Z32" s="142"/>
      <c r="AA32" s="142"/>
      <c r="AB32" s="142"/>
      <c r="AC32" s="142"/>
      <c r="AD32" s="142"/>
      <c r="AE32" s="142"/>
      <c r="AF32" s="142"/>
      <c r="AG32" s="142"/>
      <c r="AH32" s="142"/>
      <c r="AI32" s="142"/>
      <c r="AJ32" s="142"/>
      <c r="AK32" s="142"/>
      <c r="AL32" s="142"/>
      <c r="AM32" s="142"/>
      <c r="AN32" s="142"/>
    </row>
    <row r="33" spans="2:40">
      <c r="B33" s="209" t="s">
        <v>1667</v>
      </c>
      <c r="C33" s="165"/>
      <c r="F33" s="142"/>
      <c r="G33" s="142"/>
      <c r="H33" s="142"/>
      <c r="I33" s="490"/>
      <c r="J33" s="142"/>
      <c r="K33" s="142"/>
      <c r="M33" s="142"/>
      <c r="N33" s="222"/>
      <c r="O33" s="142"/>
      <c r="P33" s="222"/>
      <c r="Q33" s="142"/>
      <c r="R33" s="142"/>
      <c r="S33" s="142"/>
      <c r="T33" s="222"/>
      <c r="U33" s="142"/>
      <c r="V33" s="142"/>
      <c r="W33" s="142"/>
      <c r="X33" s="142"/>
      <c r="Y33" s="142"/>
      <c r="Z33" s="142"/>
      <c r="AA33" s="142"/>
      <c r="AB33" s="142"/>
      <c r="AC33" s="142"/>
      <c r="AD33" s="142"/>
      <c r="AE33" s="142"/>
      <c r="AF33" s="142"/>
      <c r="AG33" s="142"/>
      <c r="AH33" s="142"/>
      <c r="AI33" s="142"/>
      <c r="AJ33" s="142"/>
      <c r="AK33" s="142"/>
      <c r="AL33" s="142"/>
      <c r="AM33" s="142"/>
      <c r="AN33" s="142"/>
    </row>
    <row r="34" spans="2:40">
      <c r="B34" s="209" t="s">
        <v>1668</v>
      </c>
      <c r="C34" s="165"/>
      <c r="F34" s="142"/>
      <c r="G34" s="142"/>
      <c r="H34" s="142"/>
      <c r="I34" s="490"/>
      <c r="J34" s="142"/>
      <c r="K34" s="142"/>
      <c r="M34" s="142"/>
      <c r="N34" s="222"/>
      <c r="O34" s="142"/>
      <c r="P34" s="222"/>
      <c r="Q34" s="142"/>
      <c r="R34" s="142"/>
      <c r="S34" s="142"/>
      <c r="T34" s="222"/>
      <c r="U34" s="142"/>
      <c r="V34" s="142"/>
      <c r="W34" s="142"/>
      <c r="X34" s="142"/>
      <c r="Y34" s="142"/>
      <c r="Z34" s="142"/>
      <c r="AA34" s="142"/>
      <c r="AB34" s="142"/>
      <c r="AC34" s="142"/>
      <c r="AD34" s="142"/>
      <c r="AE34" s="142"/>
      <c r="AF34" s="142"/>
      <c r="AG34" s="142"/>
      <c r="AH34" s="142"/>
      <c r="AI34" s="142"/>
      <c r="AJ34" s="142"/>
      <c r="AK34" s="142"/>
      <c r="AL34" s="142"/>
      <c r="AM34" s="142"/>
      <c r="AN34" s="142"/>
    </row>
    <row r="35" spans="2:40">
      <c r="B35" s="209"/>
      <c r="C35" s="165"/>
      <c r="F35" s="142"/>
      <c r="G35" s="142"/>
      <c r="H35" s="142"/>
      <c r="I35" s="490"/>
      <c r="J35" s="142"/>
      <c r="K35" s="142"/>
      <c r="M35" s="142"/>
      <c r="N35" s="222"/>
      <c r="O35" s="142"/>
      <c r="P35" s="222"/>
      <c r="Q35" s="142"/>
      <c r="R35" s="142"/>
      <c r="S35" s="142"/>
      <c r="T35" s="222"/>
      <c r="U35" s="142"/>
      <c r="V35" s="142"/>
      <c r="W35" s="142"/>
      <c r="X35" s="142"/>
      <c r="Y35" s="142"/>
      <c r="Z35" s="142"/>
      <c r="AA35" s="142"/>
      <c r="AB35" s="142"/>
      <c r="AC35" s="142"/>
      <c r="AD35" s="142"/>
      <c r="AE35" s="142"/>
      <c r="AF35" s="142"/>
      <c r="AG35" s="142"/>
      <c r="AH35" s="142"/>
      <c r="AI35" s="142"/>
      <c r="AJ35" s="142"/>
      <c r="AK35" s="142"/>
      <c r="AL35" s="142"/>
      <c r="AM35" s="142"/>
      <c r="AN35" s="142"/>
    </row>
    <row r="36" spans="2:40">
      <c r="B36" s="848" t="s">
        <v>1671</v>
      </c>
      <c r="C36" s="165"/>
      <c r="F36" s="142"/>
      <c r="G36" s="142"/>
      <c r="H36" s="142"/>
      <c r="I36" s="490"/>
      <c r="J36" s="142"/>
      <c r="K36" s="142"/>
      <c r="M36" s="142"/>
      <c r="N36" s="222"/>
      <c r="O36" s="142"/>
      <c r="P36" s="222"/>
      <c r="Q36" s="142"/>
      <c r="R36" s="142"/>
      <c r="S36" s="142"/>
      <c r="T36" s="222"/>
      <c r="U36" s="142"/>
      <c r="V36" s="142"/>
      <c r="W36" s="142"/>
      <c r="X36" s="142"/>
      <c r="Y36" s="142"/>
      <c r="Z36" s="142"/>
      <c r="AA36" s="142"/>
      <c r="AB36" s="142"/>
      <c r="AC36" s="142"/>
      <c r="AD36" s="142"/>
      <c r="AE36" s="142"/>
      <c r="AF36" s="142"/>
      <c r="AG36" s="142"/>
      <c r="AH36" s="142"/>
      <c r="AI36" s="142"/>
      <c r="AJ36" s="142"/>
      <c r="AK36" s="142"/>
      <c r="AL36" s="142"/>
      <c r="AM36" s="142"/>
      <c r="AN36" s="142"/>
    </row>
    <row r="37" spans="2:40">
      <c r="B37" s="848" t="s">
        <v>1672</v>
      </c>
      <c r="C37" s="165"/>
      <c r="F37" s="142"/>
      <c r="G37" s="142"/>
      <c r="H37" s="142"/>
      <c r="I37" s="490"/>
      <c r="J37" s="142"/>
      <c r="K37" s="142"/>
      <c r="M37" s="142"/>
      <c r="N37" s="222"/>
      <c r="O37" s="142"/>
      <c r="P37" s="222"/>
      <c r="Q37" s="142"/>
      <c r="R37" s="142"/>
      <c r="S37" s="142"/>
      <c r="T37" s="222"/>
      <c r="U37" s="142"/>
      <c r="V37" s="142"/>
      <c r="W37" s="142"/>
      <c r="X37" s="142"/>
      <c r="Y37" s="142"/>
      <c r="Z37" s="142"/>
      <c r="AA37" s="142"/>
      <c r="AB37" s="142"/>
      <c r="AC37" s="142"/>
      <c r="AD37" s="142"/>
      <c r="AE37" s="142"/>
      <c r="AF37" s="142"/>
      <c r="AG37" s="142"/>
      <c r="AH37" s="142"/>
      <c r="AI37" s="142"/>
      <c r="AJ37" s="142"/>
      <c r="AK37" s="142"/>
      <c r="AL37" s="142"/>
      <c r="AM37" s="142"/>
      <c r="AN37" s="142"/>
    </row>
    <row r="38" spans="2:40">
      <c r="B38" s="209"/>
      <c r="C38" s="165"/>
      <c r="F38" s="142"/>
      <c r="G38" s="142"/>
      <c r="H38" s="142"/>
      <c r="I38" s="490"/>
      <c r="J38" s="142"/>
      <c r="K38" s="142"/>
      <c r="M38" s="142"/>
      <c r="N38" s="222"/>
      <c r="O38" s="142"/>
      <c r="P38" s="222"/>
      <c r="Q38" s="142"/>
      <c r="R38" s="142"/>
      <c r="S38" s="142"/>
      <c r="T38" s="222"/>
      <c r="U38" s="142"/>
      <c r="V38" s="142"/>
      <c r="W38" s="142"/>
      <c r="X38" s="142"/>
      <c r="Y38" s="142"/>
      <c r="Z38" s="142"/>
      <c r="AA38" s="142"/>
      <c r="AB38" s="142"/>
      <c r="AC38" s="142"/>
      <c r="AD38" s="142"/>
      <c r="AE38" s="142"/>
      <c r="AF38" s="142"/>
      <c r="AG38" s="142"/>
      <c r="AH38" s="142"/>
      <c r="AI38" s="142"/>
      <c r="AJ38" s="142"/>
      <c r="AK38" s="142"/>
      <c r="AL38" s="142"/>
      <c r="AM38" s="142"/>
      <c r="AN38" s="142"/>
    </row>
    <row r="39" spans="2:40">
      <c r="B39" s="209"/>
      <c r="C39" s="165"/>
      <c r="F39" s="142"/>
      <c r="G39" s="142"/>
      <c r="H39" s="142"/>
      <c r="I39" s="490"/>
      <c r="J39" s="142"/>
      <c r="K39" s="142"/>
      <c r="M39" s="142"/>
      <c r="N39" s="222"/>
      <c r="O39" s="142"/>
      <c r="P39" s="222"/>
      <c r="Q39" s="142"/>
      <c r="R39" s="142"/>
      <c r="S39" s="142"/>
      <c r="T39" s="222"/>
      <c r="U39" s="142"/>
      <c r="V39" s="142"/>
      <c r="W39" s="142"/>
      <c r="X39" s="142"/>
      <c r="Y39" s="142"/>
      <c r="Z39" s="142"/>
      <c r="AA39" s="142"/>
      <c r="AB39" s="142"/>
      <c r="AC39" s="142"/>
      <c r="AD39" s="142"/>
      <c r="AE39" s="142"/>
      <c r="AF39" s="142"/>
      <c r="AG39" s="142"/>
      <c r="AH39" s="142"/>
      <c r="AI39" s="142"/>
      <c r="AJ39" s="142"/>
      <c r="AK39" s="142"/>
      <c r="AL39" s="142"/>
      <c r="AM39" s="142"/>
      <c r="AN39" s="142"/>
    </row>
    <row r="40" spans="2:40">
      <c r="C40" s="165"/>
      <c r="F40" s="142"/>
      <c r="G40" s="142"/>
      <c r="H40" s="142"/>
      <c r="I40" s="490"/>
      <c r="J40" s="142"/>
      <c r="K40" s="142"/>
      <c r="M40" s="142"/>
      <c r="N40" s="222"/>
      <c r="O40" s="142"/>
      <c r="P40" s="222"/>
      <c r="Q40" s="142"/>
      <c r="R40" s="142"/>
      <c r="S40" s="142"/>
      <c r="T40" s="222"/>
      <c r="U40" s="142"/>
      <c r="V40" s="142"/>
      <c r="W40" s="142"/>
      <c r="X40" s="142"/>
      <c r="Y40" s="142"/>
      <c r="Z40" s="142"/>
      <c r="AA40" s="142"/>
      <c r="AB40" s="142"/>
      <c r="AC40" s="142"/>
      <c r="AD40" s="142"/>
      <c r="AE40" s="142"/>
      <c r="AF40" s="142"/>
      <c r="AG40" s="142"/>
      <c r="AH40" s="142"/>
      <c r="AI40" s="142"/>
      <c r="AJ40" s="142"/>
      <c r="AK40" s="142"/>
      <c r="AL40" s="142"/>
      <c r="AM40" s="142"/>
      <c r="AN40" s="142"/>
    </row>
    <row r="41" spans="2:40" hidden="1" outlineLevel="1">
      <c r="B41" s="185" t="s">
        <v>1587</v>
      </c>
      <c r="C41" s="165"/>
      <c r="F41" s="142"/>
      <c r="G41" s="142"/>
      <c r="H41" s="142"/>
      <c r="I41" s="490"/>
      <c r="J41" s="142"/>
      <c r="K41" s="142"/>
      <c r="M41" s="142"/>
      <c r="N41" s="222"/>
      <c r="O41" s="142"/>
      <c r="P41" s="222"/>
      <c r="Q41" s="142"/>
      <c r="R41" s="142"/>
      <c r="S41" s="142"/>
      <c r="T41" s="222"/>
      <c r="U41" s="142"/>
      <c r="V41" s="142"/>
      <c r="W41" s="142"/>
      <c r="X41" s="142"/>
      <c r="Y41" s="142"/>
      <c r="Z41" s="142"/>
      <c r="AA41" s="142"/>
      <c r="AB41" s="142"/>
      <c r="AC41" s="142"/>
      <c r="AD41" s="142"/>
      <c r="AE41" s="142"/>
      <c r="AF41" s="142"/>
      <c r="AG41" s="142"/>
      <c r="AH41" s="142"/>
      <c r="AI41" s="142"/>
      <c r="AJ41" s="142"/>
      <c r="AK41" s="142"/>
      <c r="AL41" s="142"/>
      <c r="AM41" s="142"/>
      <c r="AN41" s="142"/>
    </row>
    <row r="42" spans="2:40" hidden="1" outlineLevel="1">
      <c r="B42" s="209" t="s">
        <v>1637</v>
      </c>
      <c r="C42" s="165"/>
      <c r="F42" s="142"/>
      <c r="G42" s="142"/>
      <c r="H42" s="142"/>
      <c r="I42" s="490"/>
      <c r="J42" s="142"/>
      <c r="K42" s="142"/>
      <c r="M42" s="142"/>
      <c r="N42" s="222"/>
      <c r="O42" s="142"/>
      <c r="P42" s="222"/>
      <c r="Q42" s="142"/>
      <c r="R42" s="142"/>
      <c r="S42" s="142"/>
      <c r="T42" s="222"/>
      <c r="U42" s="142"/>
      <c r="V42" s="142"/>
      <c r="W42" s="142"/>
      <c r="X42" s="142"/>
      <c r="Y42" s="142"/>
      <c r="Z42" s="142"/>
      <c r="AA42" s="142"/>
      <c r="AB42" s="142"/>
      <c r="AC42" s="142"/>
      <c r="AD42" s="142"/>
      <c r="AE42" s="142"/>
      <c r="AF42" s="142"/>
      <c r="AG42" s="142"/>
      <c r="AH42" s="142"/>
      <c r="AI42" s="142"/>
      <c r="AJ42" s="142"/>
      <c r="AK42" s="142"/>
      <c r="AL42" s="142"/>
      <c r="AM42" s="142"/>
      <c r="AN42" s="142"/>
    </row>
    <row r="43" spans="2:40" hidden="1" outlineLevel="1">
      <c r="B43" s="209" t="s">
        <v>1610</v>
      </c>
      <c r="C43" s="165"/>
      <c r="F43" s="142"/>
      <c r="G43" s="142"/>
      <c r="H43" s="142"/>
      <c r="I43" s="490"/>
      <c r="J43" s="142"/>
      <c r="K43" s="142"/>
      <c r="M43" s="142"/>
      <c r="N43" s="222"/>
      <c r="O43" s="142"/>
      <c r="P43" s="222"/>
      <c r="Q43" s="142"/>
      <c r="R43" s="142"/>
      <c r="S43" s="142"/>
      <c r="T43" s="222"/>
      <c r="U43" s="142"/>
      <c r="V43" s="142"/>
      <c r="W43" s="142"/>
      <c r="X43" s="142"/>
      <c r="Y43" s="142"/>
      <c r="Z43" s="142"/>
      <c r="AA43" s="142"/>
      <c r="AB43" s="142"/>
      <c r="AC43" s="142"/>
      <c r="AD43" s="142"/>
      <c r="AE43" s="142"/>
      <c r="AF43" s="142"/>
      <c r="AG43" s="142"/>
      <c r="AH43" s="142"/>
      <c r="AI43" s="142"/>
      <c r="AJ43" s="142"/>
      <c r="AK43" s="142"/>
      <c r="AL43" s="142"/>
      <c r="AM43" s="142"/>
      <c r="AN43" s="142"/>
    </row>
    <row r="44" spans="2:40" hidden="1" outlineLevel="1">
      <c r="B44" s="209" t="s">
        <v>1585</v>
      </c>
      <c r="C44" s="165"/>
      <c r="F44" s="142"/>
      <c r="G44" s="142"/>
      <c r="H44" s="142"/>
      <c r="I44" s="490"/>
      <c r="J44" s="142"/>
      <c r="K44" s="142"/>
      <c r="M44" s="142"/>
      <c r="N44" s="222"/>
      <c r="O44" s="142"/>
      <c r="P44" s="222"/>
      <c r="Q44" s="142"/>
      <c r="R44" s="142"/>
      <c r="S44" s="142"/>
      <c r="T44" s="222"/>
      <c r="U44" s="142"/>
      <c r="V44" s="142"/>
      <c r="W44" s="142"/>
      <c r="X44" s="142"/>
      <c r="Y44" s="142"/>
      <c r="Z44" s="142"/>
      <c r="AA44" s="142"/>
      <c r="AB44" s="142"/>
      <c r="AC44" s="142"/>
      <c r="AD44" s="142"/>
      <c r="AE44" s="142"/>
      <c r="AF44" s="142"/>
      <c r="AG44" s="142"/>
      <c r="AH44" s="142"/>
      <c r="AI44" s="142"/>
      <c r="AJ44" s="142"/>
      <c r="AK44" s="142"/>
      <c r="AL44" s="142"/>
      <c r="AM44" s="142"/>
      <c r="AN44" s="142"/>
    </row>
    <row r="45" spans="2:40" hidden="1" outlineLevel="1">
      <c r="B45" s="209"/>
      <c r="C45" s="165"/>
      <c r="F45" s="142"/>
      <c r="G45" s="142"/>
      <c r="H45" s="142"/>
      <c r="I45" s="490"/>
      <c r="J45" s="142"/>
      <c r="K45" s="142"/>
      <c r="M45" s="142"/>
      <c r="N45" s="222"/>
      <c r="O45" s="142"/>
      <c r="P45" s="222"/>
      <c r="Q45" s="142"/>
      <c r="R45" s="142"/>
      <c r="S45" s="142"/>
      <c r="T45" s="222"/>
      <c r="U45" s="142"/>
      <c r="V45" s="142"/>
      <c r="W45" s="142"/>
      <c r="X45" s="142"/>
      <c r="Y45" s="142"/>
      <c r="Z45" s="142"/>
      <c r="AA45" s="142"/>
      <c r="AB45" s="142"/>
      <c r="AC45" s="142"/>
      <c r="AD45" s="142"/>
      <c r="AE45" s="142"/>
      <c r="AF45" s="142"/>
      <c r="AG45" s="142"/>
      <c r="AH45" s="142"/>
      <c r="AI45" s="142"/>
      <c r="AJ45" s="142"/>
      <c r="AK45" s="142"/>
      <c r="AL45" s="142"/>
      <c r="AM45" s="142"/>
      <c r="AN45" s="142"/>
    </row>
    <row r="46" spans="2:40" hidden="1" outlineLevel="1">
      <c r="B46" s="185" t="s">
        <v>1563</v>
      </c>
      <c r="C46" s="165"/>
      <c r="F46" s="142"/>
      <c r="G46" s="142"/>
      <c r="H46" s="142"/>
      <c r="I46" s="490"/>
      <c r="J46" s="142"/>
      <c r="K46" s="142"/>
      <c r="M46" s="142"/>
      <c r="N46" s="222"/>
      <c r="O46" s="142"/>
      <c r="P46" s="222"/>
      <c r="Q46" s="142"/>
      <c r="R46" s="142"/>
      <c r="S46" s="142"/>
      <c r="T46" s="222"/>
      <c r="U46" s="142"/>
      <c r="V46" s="142"/>
      <c r="W46" s="142"/>
      <c r="X46" s="142"/>
      <c r="Y46" s="142"/>
      <c r="Z46" s="142"/>
      <c r="AA46" s="142"/>
      <c r="AB46" s="142"/>
      <c r="AC46" s="142"/>
      <c r="AD46" s="142"/>
      <c r="AE46" s="142"/>
      <c r="AF46" s="142"/>
      <c r="AG46" s="142"/>
      <c r="AH46" s="142"/>
      <c r="AI46" s="142"/>
      <c r="AJ46" s="142"/>
      <c r="AK46" s="142"/>
      <c r="AL46" s="142"/>
      <c r="AM46" s="142"/>
      <c r="AN46" s="142"/>
    </row>
    <row r="47" spans="2:40" hidden="1" outlineLevel="1">
      <c r="B47" s="209" t="s">
        <v>1221</v>
      </c>
      <c r="C47" s="165"/>
      <c r="F47" s="142"/>
      <c r="G47" s="142"/>
      <c r="H47" s="142"/>
      <c r="I47" s="490"/>
      <c r="J47" s="142"/>
      <c r="K47" s="142"/>
      <c r="M47" s="142"/>
      <c r="N47" s="222"/>
      <c r="O47" s="142"/>
      <c r="P47" s="222"/>
      <c r="Q47" s="142"/>
      <c r="R47" s="142"/>
      <c r="S47" s="142"/>
      <c r="T47" s="222"/>
      <c r="U47" s="142"/>
      <c r="V47" s="142"/>
      <c r="W47" s="142"/>
      <c r="X47" s="142"/>
      <c r="Y47" s="142"/>
      <c r="Z47" s="142"/>
      <c r="AA47" s="142"/>
      <c r="AB47" s="142"/>
      <c r="AC47" s="142"/>
      <c r="AD47" s="142"/>
      <c r="AE47" s="142"/>
      <c r="AF47" s="142"/>
      <c r="AG47" s="142"/>
      <c r="AH47" s="142"/>
      <c r="AI47" s="142"/>
      <c r="AJ47" s="142"/>
      <c r="AK47" s="142"/>
      <c r="AL47" s="142"/>
      <c r="AM47" s="142"/>
      <c r="AN47" s="142"/>
    </row>
    <row r="48" spans="2:40" hidden="1" outlineLevel="1">
      <c r="B48" s="209" t="s">
        <v>1222</v>
      </c>
      <c r="C48" s="165"/>
      <c r="F48" s="142"/>
      <c r="G48" s="142"/>
      <c r="H48" s="142"/>
      <c r="I48" s="490"/>
      <c r="J48" s="142"/>
      <c r="K48" s="142"/>
      <c r="M48" s="142"/>
      <c r="N48" s="222"/>
      <c r="O48" s="142"/>
      <c r="P48" s="222"/>
      <c r="Q48" s="142"/>
      <c r="R48" s="142"/>
      <c r="S48" s="142"/>
      <c r="T48" s="222"/>
      <c r="U48" s="142"/>
      <c r="V48" s="142"/>
      <c r="W48" s="142"/>
      <c r="X48" s="142"/>
      <c r="Y48" s="142"/>
      <c r="Z48" s="142"/>
      <c r="AA48" s="142"/>
      <c r="AB48" s="142"/>
      <c r="AC48" s="142"/>
      <c r="AD48" s="142"/>
      <c r="AE48" s="142"/>
      <c r="AF48" s="142"/>
      <c r="AG48" s="142"/>
      <c r="AH48" s="142"/>
      <c r="AI48" s="142"/>
      <c r="AJ48" s="142"/>
      <c r="AK48" s="142"/>
      <c r="AL48" s="142"/>
      <c r="AM48" s="142"/>
      <c r="AN48" s="142"/>
    </row>
    <row r="49" spans="1:40" hidden="1" outlineLevel="1">
      <c r="B49" s="209" t="s">
        <v>1223</v>
      </c>
      <c r="C49" s="165"/>
      <c r="F49" s="142"/>
      <c r="G49" s="142"/>
      <c r="H49" s="142"/>
      <c r="I49" s="490"/>
      <c r="J49" s="142"/>
      <c r="K49" s="142"/>
      <c r="M49" s="142"/>
      <c r="N49" s="222"/>
      <c r="O49" s="142"/>
      <c r="P49" s="222"/>
      <c r="Q49" s="142"/>
      <c r="R49" s="142"/>
      <c r="S49" s="142"/>
      <c r="T49" s="222"/>
      <c r="U49" s="142"/>
      <c r="V49" s="142"/>
      <c r="W49" s="142"/>
      <c r="X49" s="142"/>
      <c r="Y49" s="142"/>
      <c r="Z49" s="142"/>
      <c r="AA49" s="142"/>
      <c r="AB49" s="142"/>
      <c r="AC49" s="142"/>
      <c r="AD49" s="142"/>
      <c r="AE49" s="142"/>
      <c r="AF49" s="142"/>
      <c r="AG49" s="142"/>
      <c r="AH49" s="142"/>
      <c r="AI49" s="142"/>
      <c r="AJ49" s="142"/>
      <c r="AK49" s="142"/>
      <c r="AL49" s="142"/>
      <c r="AM49" s="142"/>
      <c r="AN49" s="142"/>
    </row>
    <row r="50" spans="1:40" hidden="1" outlineLevel="1">
      <c r="B50" s="209" t="s">
        <v>1224</v>
      </c>
      <c r="C50" s="165"/>
      <c r="F50" s="142"/>
      <c r="G50" s="142"/>
      <c r="H50" s="142"/>
      <c r="I50" s="490"/>
      <c r="J50" s="142"/>
      <c r="K50" s="142"/>
      <c r="M50" s="142"/>
      <c r="N50" s="222"/>
      <c r="O50" s="142"/>
      <c r="P50" s="222"/>
      <c r="Q50" s="142"/>
      <c r="R50" s="142"/>
      <c r="S50" s="142"/>
      <c r="T50" s="222"/>
      <c r="U50" s="142"/>
      <c r="V50" s="142"/>
      <c r="W50" s="142"/>
      <c r="X50" s="142"/>
      <c r="Y50" s="142"/>
      <c r="Z50" s="142"/>
      <c r="AA50" s="142"/>
      <c r="AB50" s="142"/>
      <c r="AC50" s="142"/>
      <c r="AD50" s="142"/>
      <c r="AE50" s="142"/>
      <c r="AF50" s="142"/>
      <c r="AG50" s="142"/>
      <c r="AH50" s="142"/>
      <c r="AI50" s="142"/>
      <c r="AJ50" s="142"/>
      <c r="AK50" s="142"/>
      <c r="AL50" s="142"/>
      <c r="AM50" s="142"/>
      <c r="AN50" s="142"/>
    </row>
    <row r="51" spans="1:40" hidden="1" outlineLevel="1">
      <c r="B51" s="209" t="s">
        <v>1225</v>
      </c>
      <c r="C51" s="165"/>
      <c r="F51" s="142"/>
      <c r="G51" s="142"/>
      <c r="H51" s="142"/>
      <c r="I51" s="490"/>
      <c r="J51" s="142"/>
      <c r="K51" s="142"/>
      <c r="M51" s="142"/>
      <c r="N51" s="222"/>
      <c r="O51" s="142"/>
      <c r="P51" s="222"/>
      <c r="Q51" s="142"/>
      <c r="R51" s="142"/>
      <c r="S51" s="142"/>
      <c r="T51" s="222"/>
      <c r="U51" s="142"/>
      <c r="V51" s="142"/>
      <c r="W51" s="142"/>
      <c r="X51" s="142"/>
      <c r="Y51" s="142"/>
      <c r="Z51" s="142"/>
      <c r="AA51" s="142"/>
      <c r="AB51" s="142"/>
      <c r="AC51" s="142"/>
      <c r="AD51" s="142"/>
      <c r="AE51" s="142"/>
      <c r="AF51" s="142"/>
      <c r="AG51" s="142"/>
      <c r="AH51" s="142"/>
      <c r="AI51" s="142"/>
      <c r="AJ51" s="142"/>
      <c r="AK51" s="142"/>
      <c r="AL51" s="142"/>
      <c r="AM51" s="142"/>
      <c r="AN51" s="142"/>
    </row>
    <row r="52" spans="1:40" hidden="1" outlineLevel="1">
      <c r="B52" s="209" t="s">
        <v>1586</v>
      </c>
      <c r="C52" s="165"/>
      <c r="F52" s="142"/>
      <c r="G52" s="142"/>
      <c r="H52" s="142"/>
      <c r="I52" s="490"/>
      <c r="J52" s="142"/>
      <c r="K52" s="142"/>
      <c r="M52" s="142"/>
      <c r="N52" s="222"/>
      <c r="O52" s="142"/>
      <c r="P52" s="222"/>
      <c r="Q52" s="142"/>
      <c r="R52" s="142"/>
      <c r="S52" s="142"/>
      <c r="T52" s="222"/>
      <c r="U52" s="142"/>
      <c r="V52" s="142"/>
      <c r="W52" s="142"/>
      <c r="X52" s="142"/>
      <c r="Y52" s="142"/>
      <c r="Z52" s="142"/>
      <c r="AA52" s="142"/>
      <c r="AB52" s="142"/>
      <c r="AC52" s="142"/>
      <c r="AD52" s="142"/>
      <c r="AE52" s="142"/>
      <c r="AF52" s="142"/>
      <c r="AG52" s="142"/>
      <c r="AH52" s="142"/>
      <c r="AI52" s="142"/>
      <c r="AJ52" s="142"/>
      <c r="AK52" s="142"/>
      <c r="AL52" s="142"/>
      <c r="AM52" s="142"/>
      <c r="AN52" s="142"/>
    </row>
    <row r="53" spans="1:40" hidden="1" outlineLevel="1">
      <c r="B53" s="209" t="s">
        <v>1524</v>
      </c>
      <c r="C53" s="165"/>
      <c r="F53" s="142"/>
      <c r="G53" s="142"/>
      <c r="H53" s="142"/>
      <c r="I53" s="490"/>
      <c r="J53" s="142"/>
      <c r="K53" s="142"/>
      <c r="M53" s="142"/>
      <c r="N53" s="222"/>
      <c r="O53" s="142"/>
      <c r="P53" s="222"/>
      <c r="Q53" s="142"/>
      <c r="R53" s="142"/>
      <c r="S53" s="142"/>
      <c r="T53" s="222"/>
      <c r="U53" s="142"/>
      <c r="V53" s="142"/>
      <c r="W53" s="142"/>
      <c r="X53" s="142"/>
      <c r="Y53" s="142"/>
      <c r="Z53" s="142"/>
      <c r="AA53" s="142"/>
      <c r="AB53" s="142"/>
      <c r="AC53" s="142"/>
      <c r="AD53" s="142"/>
      <c r="AE53" s="142"/>
      <c r="AF53" s="142"/>
      <c r="AG53" s="142"/>
      <c r="AH53" s="142"/>
      <c r="AI53" s="142"/>
      <c r="AJ53" s="142"/>
      <c r="AK53" s="142"/>
      <c r="AL53" s="142"/>
      <c r="AM53" s="142"/>
      <c r="AN53" s="142"/>
    </row>
    <row r="54" spans="1:40" hidden="1" outlineLevel="1">
      <c r="B54" s="209" t="s">
        <v>1220</v>
      </c>
      <c r="C54" s="165"/>
      <c r="F54" s="142"/>
      <c r="G54" s="142"/>
      <c r="H54" s="142"/>
      <c r="I54" s="490"/>
      <c r="J54" s="142"/>
      <c r="K54" s="142"/>
      <c r="M54" s="142"/>
      <c r="N54" s="222"/>
      <c r="O54" s="142"/>
      <c r="P54" s="222"/>
      <c r="Q54" s="142"/>
      <c r="R54" s="142"/>
      <c r="S54" s="142"/>
      <c r="T54" s="222"/>
      <c r="U54" s="142"/>
      <c r="V54" s="142"/>
      <c r="W54" s="142"/>
      <c r="X54" s="142"/>
      <c r="Y54" s="142"/>
      <c r="Z54" s="142"/>
      <c r="AA54" s="142"/>
      <c r="AB54" s="142"/>
      <c r="AC54" s="142"/>
      <c r="AD54" s="142"/>
      <c r="AE54" s="142"/>
      <c r="AF54" s="142"/>
      <c r="AG54" s="142"/>
      <c r="AH54" s="142"/>
      <c r="AI54" s="142"/>
      <c r="AJ54" s="142"/>
      <c r="AK54" s="142"/>
      <c r="AL54" s="142"/>
      <c r="AM54" s="142"/>
      <c r="AN54" s="142"/>
    </row>
    <row r="55" spans="1:40" hidden="1" outlineLevel="1">
      <c r="B55" s="209"/>
      <c r="C55" s="165"/>
      <c r="F55" s="142"/>
      <c r="G55" s="142"/>
      <c r="H55" s="142"/>
      <c r="I55" s="490"/>
      <c r="J55" s="142"/>
      <c r="K55" s="142"/>
      <c r="M55" s="142"/>
      <c r="N55" s="222"/>
      <c r="O55" s="142"/>
      <c r="P55" s="222"/>
      <c r="Q55" s="142"/>
      <c r="R55" s="142"/>
      <c r="S55" s="142"/>
      <c r="T55" s="222"/>
      <c r="U55" s="142"/>
      <c r="V55" s="142"/>
      <c r="W55" s="142"/>
      <c r="X55" s="142"/>
      <c r="Y55" s="142"/>
      <c r="Z55" s="142"/>
      <c r="AA55" s="142"/>
      <c r="AB55" s="142"/>
      <c r="AC55" s="142"/>
      <c r="AD55" s="142"/>
      <c r="AE55" s="142"/>
      <c r="AF55" s="142"/>
      <c r="AG55" s="142"/>
      <c r="AH55" s="142"/>
      <c r="AI55" s="142"/>
      <c r="AJ55" s="142"/>
      <c r="AK55" s="142"/>
      <c r="AL55" s="142"/>
      <c r="AM55" s="142"/>
      <c r="AN55" s="142"/>
    </row>
    <row r="56" spans="1:40" collapsed="1">
      <c r="B56" s="161"/>
      <c r="C56" s="165"/>
      <c r="F56" s="142"/>
      <c r="G56" s="142"/>
      <c r="H56" s="142"/>
      <c r="I56" s="490"/>
      <c r="J56" s="142"/>
      <c r="K56" s="142"/>
      <c r="M56" s="142"/>
      <c r="N56" s="222"/>
      <c r="O56" s="142"/>
      <c r="P56" s="222"/>
      <c r="Q56" s="142"/>
      <c r="R56" s="142"/>
      <c r="S56" s="142"/>
      <c r="T56" s="222"/>
      <c r="U56" s="142"/>
      <c r="V56" s="142"/>
      <c r="W56" s="142"/>
      <c r="X56" s="142"/>
      <c r="Y56" s="142"/>
      <c r="Z56" s="142"/>
      <c r="AA56" s="142"/>
      <c r="AB56" s="142"/>
      <c r="AC56" s="142"/>
      <c r="AD56" s="142"/>
      <c r="AE56" s="142"/>
      <c r="AF56" s="142"/>
      <c r="AG56" s="142"/>
      <c r="AH56" s="142"/>
      <c r="AI56" s="142"/>
      <c r="AJ56" s="142"/>
      <c r="AK56" s="142"/>
      <c r="AL56" s="142"/>
      <c r="AM56" s="142"/>
      <c r="AN56" s="142"/>
    </row>
    <row r="57" spans="1:40">
      <c r="A57" s="177" t="s">
        <v>971</v>
      </c>
      <c r="B57" s="178" t="s">
        <v>1155</v>
      </c>
      <c r="C57" s="164"/>
      <c r="D57" s="130"/>
      <c r="E57" s="130"/>
      <c r="F57" s="130"/>
      <c r="G57" s="130"/>
      <c r="H57" s="130"/>
      <c r="I57" s="130"/>
      <c r="J57" s="130"/>
      <c r="K57" s="130"/>
      <c r="L57" s="130"/>
      <c r="M57" s="130"/>
      <c r="N57" s="130"/>
      <c r="O57" s="130"/>
      <c r="P57" s="130"/>
      <c r="Q57" s="130"/>
      <c r="R57" s="130"/>
      <c r="S57" s="130"/>
      <c r="T57" s="130"/>
      <c r="U57" s="130"/>
      <c r="V57" s="130"/>
      <c r="W57" s="130"/>
      <c r="X57" s="130"/>
      <c r="Y57" s="130"/>
      <c r="Z57" s="130"/>
      <c r="AA57" s="130"/>
      <c r="AB57" s="130"/>
      <c r="AC57" s="130"/>
      <c r="AD57" s="130"/>
      <c r="AE57" s="130"/>
      <c r="AF57" s="130"/>
      <c r="AG57" s="130"/>
      <c r="AH57" s="130"/>
      <c r="AI57" s="130"/>
      <c r="AJ57" s="130"/>
      <c r="AK57" s="130"/>
      <c r="AL57" s="130"/>
      <c r="AM57" s="130"/>
      <c r="AN57" s="130"/>
    </row>
    <row r="58" spans="1:40">
      <c r="B58" s="161"/>
      <c r="C58" s="131"/>
      <c r="E58" s="135"/>
      <c r="F58" s="135"/>
      <c r="G58" s="135"/>
      <c r="H58" s="135"/>
      <c r="I58" s="135"/>
      <c r="J58" s="135"/>
      <c r="K58" s="135"/>
      <c r="L58" s="135"/>
      <c r="M58" s="135"/>
      <c r="N58" s="135"/>
      <c r="O58" s="135"/>
      <c r="P58" s="135"/>
      <c r="Q58" s="136"/>
      <c r="R58" s="136"/>
      <c r="S58" s="136"/>
      <c r="T58" s="136"/>
      <c r="U58" s="136"/>
      <c r="V58" s="136"/>
      <c r="W58" s="136"/>
      <c r="X58" s="136"/>
      <c r="Y58" s="136"/>
      <c r="Z58" s="136"/>
      <c r="AA58" s="136"/>
      <c r="AB58" s="136"/>
      <c r="AC58" s="136"/>
      <c r="AD58" s="136"/>
      <c r="AE58" s="136"/>
      <c r="AF58" s="136"/>
      <c r="AG58" s="136"/>
      <c r="AH58" s="136"/>
      <c r="AI58" s="136"/>
      <c r="AJ58" s="136"/>
      <c r="AK58" s="136"/>
      <c r="AL58" s="136"/>
      <c r="AM58" s="136"/>
      <c r="AN58" s="136"/>
    </row>
    <row r="59" spans="1:40">
      <c r="B59" s="185" t="s">
        <v>1217</v>
      </c>
      <c r="C59" s="131"/>
      <c r="E59" s="135"/>
      <c r="F59" s="135"/>
      <c r="G59" s="135"/>
      <c r="H59" s="135"/>
      <c r="I59" s="135"/>
      <c r="J59" s="135"/>
      <c r="K59" s="135"/>
      <c r="L59" s="135"/>
      <c r="M59" s="135"/>
      <c r="N59" s="135"/>
      <c r="O59" s="135"/>
      <c r="P59" s="135"/>
      <c r="Q59" s="136"/>
      <c r="R59" s="136"/>
      <c r="S59" s="136"/>
      <c r="T59" s="136"/>
      <c r="U59" s="136"/>
      <c r="V59" s="136"/>
      <c r="W59" s="136"/>
      <c r="X59" s="136"/>
      <c r="Y59" s="136"/>
      <c r="Z59" s="136"/>
      <c r="AA59" s="136"/>
      <c r="AB59" s="136"/>
      <c r="AC59" s="136"/>
      <c r="AD59" s="136"/>
      <c r="AE59" s="136"/>
      <c r="AF59" s="136"/>
      <c r="AG59" s="136"/>
      <c r="AH59" s="136"/>
      <c r="AI59" s="136"/>
      <c r="AJ59" s="136"/>
      <c r="AK59" s="136"/>
      <c r="AL59" s="136"/>
      <c r="AM59" s="136"/>
      <c r="AN59" s="136"/>
    </row>
    <row r="60" spans="1:40">
      <c r="B60" s="185"/>
      <c r="C60" s="131"/>
      <c r="E60" s="135"/>
      <c r="F60" s="135"/>
      <c r="G60" s="135"/>
      <c r="H60" s="135"/>
      <c r="I60" s="135"/>
      <c r="J60" s="135"/>
      <c r="K60" s="135"/>
      <c r="L60" s="135"/>
      <c r="M60" s="135"/>
      <c r="N60" s="135"/>
      <c r="O60" s="135"/>
      <c r="P60" s="135"/>
      <c r="Q60" s="136"/>
      <c r="R60" s="136"/>
      <c r="S60" s="136"/>
      <c r="T60" s="136"/>
      <c r="U60" s="136"/>
      <c r="V60" s="136"/>
      <c r="W60" s="136"/>
      <c r="X60" s="136"/>
      <c r="Y60" s="136"/>
      <c r="Z60" s="136"/>
      <c r="AA60" s="136"/>
      <c r="AB60" s="136"/>
      <c r="AC60" s="136"/>
      <c r="AD60" s="136"/>
      <c r="AE60" s="136"/>
      <c r="AF60" s="136"/>
      <c r="AG60" s="136"/>
      <c r="AH60" s="136"/>
      <c r="AI60" s="136"/>
      <c r="AJ60" s="136"/>
      <c r="AK60" s="136"/>
      <c r="AL60" s="136"/>
      <c r="AM60" s="136"/>
      <c r="AN60" s="136"/>
    </row>
    <row r="61" spans="1:40">
      <c r="B61" s="186" t="s">
        <v>1196</v>
      </c>
      <c r="C61" s="134"/>
      <c r="E61" s="135"/>
      <c r="F61" s="135"/>
      <c r="G61" s="135"/>
      <c r="H61" s="135"/>
      <c r="I61" s="135"/>
      <c r="J61" s="135"/>
      <c r="K61" s="135"/>
      <c r="L61" s="135"/>
      <c r="M61" s="194"/>
      <c r="N61" s="135"/>
      <c r="O61" s="194"/>
      <c r="P61" s="135"/>
      <c r="Q61" s="136"/>
      <c r="R61" s="136"/>
      <c r="S61" s="136"/>
      <c r="T61" s="136"/>
      <c r="U61" s="136"/>
      <c r="V61" s="136"/>
      <c r="W61" s="136"/>
      <c r="X61" s="136"/>
      <c r="Y61" s="136"/>
      <c r="Z61" s="136"/>
      <c r="AA61" s="136"/>
      <c r="AB61" s="136"/>
      <c r="AC61" s="136"/>
      <c r="AD61" s="136"/>
      <c r="AE61" s="136"/>
      <c r="AF61" s="136"/>
      <c r="AG61" s="136"/>
      <c r="AH61" s="136"/>
      <c r="AI61" s="136"/>
      <c r="AJ61" s="136"/>
      <c r="AK61" s="136"/>
      <c r="AL61" s="136"/>
      <c r="AM61" s="136"/>
      <c r="AN61" s="136"/>
    </row>
    <row r="62" spans="1:40">
      <c r="B62" s="162" t="s">
        <v>1187</v>
      </c>
      <c r="C62" s="131" t="s">
        <v>1212</v>
      </c>
      <c r="E62" s="135"/>
      <c r="F62" s="135"/>
      <c r="G62" s="135"/>
      <c r="H62" s="135"/>
      <c r="I62" s="135">
        <v>688</v>
      </c>
      <c r="J62" s="135">
        <v>715</v>
      </c>
      <c r="K62" s="135">
        <v>777</v>
      </c>
      <c r="L62" s="135">
        <v>784</v>
      </c>
      <c r="M62" s="133">
        <v>780</v>
      </c>
      <c r="N62" s="133">
        <v>783</v>
      </c>
      <c r="O62" s="133">
        <v>797</v>
      </c>
      <c r="P62" s="133">
        <v>805</v>
      </c>
      <c r="Q62" s="133">
        <v>786</v>
      </c>
      <c r="R62" s="133">
        <v>798</v>
      </c>
      <c r="S62" s="133">
        <v>801</v>
      </c>
      <c r="T62" s="133">
        <v>792</v>
      </c>
      <c r="U62" s="133">
        <v>766</v>
      </c>
      <c r="V62" s="133">
        <v>786</v>
      </c>
      <c r="W62" s="136"/>
      <c r="X62" s="136"/>
      <c r="Y62" s="136"/>
      <c r="Z62" s="136"/>
      <c r="AA62" s="136"/>
      <c r="AB62" s="136"/>
      <c r="AC62" s="136"/>
      <c r="AD62" s="136"/>
      <c r="AE62" s="136"/>
      <c r="AF62" s="136"/>
      <c r="AG62" s="136"/>
      <c r="AH62" s="136"/>
      <c r="AI62" s="136"/>
      <c r="AJ62" s="136"/>
      <c r="AK62" s="136"/>
      <c r="AL62" s="136"/>
      <c r="AM62" s="136"/>
      <c r="AN62" s="136"/>
    </row>
    <row r="63" spans="1:40">
      <c r="B63" s="183" t="s">
        <v>981</v>
      </c>
      <c r="C63" s="131" t="s">
        <v>848</v>
      </c>
      <c r="E63" s="136"/>
      <c r="F63" s="136"/>
      <c r="G63" s="136"/>
      <c r="H63" s="136"/>
      <c r="I63" s="136">
        <f t="shared" ref="I63:V63" si="9">I84/AVERAGE(I$62,G$62)*1000</f>
        <v>5255.8139534883712</v>
      </c>
      <c r="J63" s="136">
        <f t="shared" si="9"/>
        <v>5373.4265734265728</v>
      </c>
      <c r="K63" s="136">
        <f t="shared" si="9"/>
        <v>7053.9249146757684</v>
      </c>
      <c r="L63" s="136">
        <f t="shared" si="9"/>
        <v>5755.8372248165442</v>
      </c>
      <c r="M63" s="136">
        <f t="shared" si="9"/>
        <v>6755.2986512524085</v>
      </c>
      <c r="N63" s="136">
        <f t="shared" si="9"/>
        <v>5664.3267389917046</v>
      </c>
      <c r="O63" s="136">
        <f t="shared" si="9"/>
        <v>6240.3297400126821</v>
      </c>
      <c r="P63" s="136">
        <f t="shared" si="9"/>
        <v>5473.8035264483633</v>
      </c>
      <c r="Q63" s="136">
        <f t="shared" si="9"/>
        <v>5977.511054958939</v>
      </c>
      <c r="R63" s="136">
        <f t="shared" si="9"/>
        <v>5087.8353087960086</v>
      </c>
      <c r="S63" s="136">
        <f t="shared" si="9"/>
        <v>5486.95652173913</v>
      </c>
      <c r="T63" s="136">
        <f t="shared" si="9"/>
        <v>5066.6666666666661</v>
      </c>
      <c r="U63" s="136">
        <f t="shared" si="9"/>
        <v>5543.5864709636244</v>
      </c>
      <c r="V63" s="136">
        <f t="shared" si="9"/>
        <v>5200.1267427122939</v>
      </c>
      <c r="W63" s="136"/>
      <c r="X63" s="136"/>
      <c r="Y63" s="136"/>
      <c r="Z63" s="136"/>
      <c r="AA63" s="136"/>
      <c r="AB63" s="136"/>
      <c r="AC63" s="136"/>
      <c r="AD63" s="136"/>
      <c r="AE63" s="136"/>
      <c r="AF63" s="136"/>
      <c r="AG63" s="136"/>
      <c r="AH63" s="136"/>
      <c r="AI63" s="136"/>
      <c r="AJ63" s="136"/>
      <c r="AK63" s="136"/>
      <c r="AL63" s="136"/>
      <c r="AM63" s="136"/>
      <c r="AN63" s="136"/>
    </row>
    <row r="64" spans="1:40">
      <c r="B64" s="183" t="s">
        <v>1197</v>
      </c>
      <c r="C64" s="131" t="s">
        <v>848</v>
      </c>
      <c r="E64" s="136"/>
      <c r="F64" s="136"/>
      <c r="G64" s="136"/>
      <c r="H64" s="136"/>
      <c r="I64" s="136"/>
      <c r="J64" s="136"/>
      <c r="K64" s="136"/>
      <c r="L64" s="136"/>
      <c r="M64" s="136">
        <f t="shared" ref="M64:V66" si="10">M93/AVERAGE(M$62,K$62)*1000</f>
        <v>1148.4007707129097</v>
      </c>
      <c r="N64" s="136">
        <f t="shared" si="10"/>
        <v>950.55902999361842</v>
      </c>
      <c r="O64" s="136">
        <f t="shared" si="10"/>
        <v>1023.4140773620799</v>
      </c>
      <c r="P64" s="136">
        <f t="shared" si="10"/>
        <v>897.70377833753162</v>
      </c>
      <c r="Q64" s="136">
        <f t="shared" si="10"/>
        <v>986.28932406822491</v>
      </c>
      <c r="R64" s="136">
        <f t="shared" si="10"/>
        <v>875.1076731129134</v>
      </c>
      <c r="S64" s="136">
        <f t="shared" si="10"/>
        <v>932.78260869565224</v>
      </c>
      <c r="T64" s="136">
        <f t="shared" si="10"/>
        <v>856.26666666666677</v>
      </c>
      <c r="U64" s="136">
        <f t="shared" si="10"/>
        <v>903.60459476707081</v>
      </c>
      <c r="V64" s="136">
        <f t="shared" si="10"/>
        <v>873.62129277566532</v>
      </c>
      <c r="W64" s="136"/>
      <c r="X64" s="136"/>
      <c r="Y64" s="136"/>
      <c r="Z64" s="136"/>
      <c r="AA64" s="136"/>
      <c r="AB64" s="136"/>
      <c r="AC64" s="136"/>
      <c r="AD64" s="136"/>
      <c r="AE64" s="136"/>
      <c r="AF64" s="136"/>
      <c r="AG64" s="136"/>
      <c r="AH64" s="136"/>
      <c r="AI64" s="136"/>
      <c r="AJ64" s="136"/>
      <c r="AK64" s="136"/>
      <c r="AL64" s="136"/>
      <c r="AM64" s="136"/>
      <c r="AN64" s="136"/>
    </row>
    <row r="65" spans="1:40">
      <c r="B65" s="183" t="s">
        <v>1192</v>
      </c>
      <c r="C65" s="131" t="s">
        <v>848</v>
      </c>
      <c r="E65" s="136"/>
      <c r="F65" s="136"/>
      <c r="G65" s="136"/>
      <c r="H65" s="136"/>
      <c r="I65" s="136"/>
      <c r="J65" s="136"/>
      <c r="K65" s="136"/>
      <c r="L65" s="136"/>
      <c r="M65" s="136">
        <f t="shared" si="10"/>
        <v>-246.28131021194622</v>
      </c>
      <c r="N65" s="136">
        <f t="shared" si="10"/>
        <v>-185.01978302488843</v>
      </c>
      <c r="O65" s="136">
        <f t="shared" si="10"/>
        <v>-263.49017121116037</v>
      </c>
      <c r="P65" s="136">
        <f t="shared" si="10"/>
        <v>-213.9506297229222</v>
      </c>
      <c r="Q65" s="136">
        <f t="shared" si="10"/>
        <v>-262.47378395451682</v>
      </c>
      <c r="R65" s="136">
        <f t="shared" si="10"/>
        <v>-197.00411728009973</v>
      </c>
      <c r="S65" s="136">
        <f t="shared" si="10"/>
        <v>-229.69502205419033</v>
      </c>
      <c r="T65" s="136">
        <f t="shared" si="10"/>
        <v>-198.02767295597488</v>
      </c>
      <c r="U65" s="136">
        <f t="shared" si="10"/>
        <v>-223.45143586470968</v>
      </c>
      <c r="V65" s="136">
        <f t="shared" si="10"/>
        <v>-200.99771863117877</v>
      </c>
      <c r="W65" s="136"/>
      <c r="X65" s="136"/>
      <c r="Y65" s="136"/>
      <c r="Z65" s="136"/>
      <c r="AA65" s="136"/>
      <c r="AB65" s="136"/>
      <c r="AC65" s="136"/>
      <c r="AD65" s="136"/>
      <c r="AE65" s="136"/>
      <c r="AF65" s="136"/>
      <c r="AG65" s="136"/>
      <c r="AH65" s="136"/>
      <c r="AI65" s="136"/>
      <c r="AJ65" s="136"/>
      <c r="AK65" s="136"/>
      <c r="AL65" s="136"/>
      <c r="AM65" s="136"/>
      <c r="AN65" s="136"/>
    </row>
    <row r="66" spans="1:40">
      <c r="B66" s="183" t="s">
        <v>1193</v>
      </c>
      <c r="C66" s="131" t="s">
        <v>848</v>
      </c>
      <c r="E66" s="136"/>
      <c r="F66" s="136"/>
      <c r="G66" s="136"/>
      <c r="H66" s="136"/>
      <c r="I66" s="136"/>
      <c r="J66" s="136"/>
      <c r="K66" s="136"/>
      <c r="L66" s="136"/>
      <c r="M66" s="136">
        <f t="shared" si="10"/>
        <v>902.11946050096333</v>
      </c>
      <c r="N66" s="136">
        <f t="shared" si="10"/>
        <v>765.53924696873003</v>
      </c>
      <c r="O66" s="136">
        <f t="shared" si="10"/>
        <v>759.92390615091949</v>
      </c>
      <c r="P66" s="136">
        <f t="shared" si="10"/>
        <v>683.75314861460947</v>
      </c>
      <c r="Q66" s="136">
        <f t="shared" si="10"/>
        <v>723.81554011370804</v>
      </c>
      <c r="R66" s="136">
        <f t="shared" si="10"/>
        <v>678.10355583281353</v>
      </c>
      <c r="S66" s="136">
        <f t="shared" si="10"/>
        <v>703.08758664146183</v>
      </c>
      <c r="T66" s="136">
        <f t="shared" si="10"/>
        <v>658.23899371069194</v>
      </c>
      <c r="U66" s="136">
        <f t="shared" si="10"/>
        <v>680.15315890236116</v>
      </c>
      <c r="V66" s="136">
        <f t="shared" si="10"/>
        <v>672.62357414448661</v>
      </c>
      <c r="W66" s="136"/>
      <c r="X66" s="136"/>
      <c r="Y66" s="136"/>
      <c r="Z66" s="136"/>
      <c r="AA66" s="136"/>
      <c r="AB66" s="136"/>
      <c r="AC66" s="136"/>
      <c r="AD66" s="136"/>
      <c r="AE66" s="136"/>
      <c r="AF66" s="136"/>
      <c r="AG66" s="136"/>
      <c r="AH66" s="136"/>
      <c r="AI66" s="136"/>
      <c r="AJ66" s="136"/>
      <c r="AK66" s="136"/>
      <c r="AL66" s="136"/>
      <c r="AM66" s="136"/>
      <c r="AN66" s="136"/>
    </row>
    <row r="67" spans="1:40">
      <c r="B67" s="161"/>
      <c r="C67" s="131"/>
      <c r="E67" s="135"/>
      <c r="F67" s="135"/>
      <c r="G67" s="135"/>
      <c r="H67" s="135"/>
      <c r="I67" s="135"/>
      <c r="J67" s="135"/>
      <c r="K67" s="135"/>
      <c r="L67" s="135"/>
      <c r="M67" s="194"/>
      <c r="N67" s="135"/>
      <c r="O67" s="194"/>
      <c r="P67" s="135"/>
      <c r="Q67" s="136"/>
      <c r="R67" s="136"/>
      <c r="S67" s="136"/>
      <c r="T67" s="136"/>
      <c r="U67" s="136"/>
      <c r="V67" s="136"/>
      <c r="W67" s="136"/>
      <c r="X67" s="136"/>
      <c r="Y67" s="136"/>
      <c r="Z67" s="136"/>
      <c r="AA67" s="136"/>
      <c r="AB67" s="136"/>
      <c r="AC67" s="136"/>
      <c r="AD67" s="136"/>
      <c r="AE67" s="136"/>
      <c r="AF67" s="136"/>
      <c r="AG67" s="136"/>
      <c r="AH67" s="136"/>
      <c r="AI67" s="136"/>
      <c r="AJ67" s="136"/>
      <c r="AK67" s="136"/>
      <c r="AL67" s="136"/>
      <c r="AM67" s="136"/>
      <c r="AN67" s="136"/>
    </row>
    <row r="68" spans="1:40">
      <c r="B68" s="184" t="s">
        <v>1214</v>
      </c>
      <c r="C68" s="131"/>
      <c r="E68" s="135"/>
      <c r="F68" s="135"/>
      <c r="G68" s="135"/>
      <c r="H68" s="135"/>
      <c r="I68" s="135"/>
      <c r="J68" s="135"/>
      <c r="K68" s="135"/>
      <c r="L68" s="135"/>
      <c r="M68" s="194"/>
      <c r="N68" s="135"/>
      <c r="O68" s="194"/>
      <c r="P68" s="135"/>
      <c r="Q68" s="136"/>
      <c r="R68" s="136"/>
      <c r="S68" s="136"/>
      <c r="T68" s="136"/>
      <c r="U68" s="136"/>
      <c r="V68" s="136"/>
      <c r="W68" s="136"/>
      <c r="X68" s="136"/>
      <c r="Y68" s="136"/>
      <c r="Z68" s="136"/>
      <c r="AA68" s="136"/>
      <c r="AB68" s="136"/>
      <c r="AC68" s="136"/>
      <c r="AD68" s="136"/>
      <c r="AE68" s="136"/>
      <c r="AF68" s="136"/>
      <c r="AG68" s="136"/>
      <c r="AH68" s="136"/>
      <c r="AI68" s="136"/>
      <c r="AJ68" s="136"/>
      <c r="AK68" s="136"/>
      <c r="AL68" s="136"/>
      <c r="AM68" s="136"/>
      <c r="AN68" s="136"/>
    </row>
    <row r="69" spans="1:40">
      <c r="B69" s="162" t="s">
        <v>1199</v>
      </c>
      <c r="C69" s="82" t="s">
        <v>900</v>
      </c>
      <c r="E69" s="135"/>
      <c r="F69" s="135"/>
      <c r="G69" s="135"/>
      <c r="H69" s="135"/>
      <c r="I69" s="135"/>
      <c r="J69" s="135"/>
      <c r="K69" s="135"/>
      <c r="L69" s="135"/>
      <c r="M69" s="135">
        <v>6032.2</v>
      </c>
      <c r="N69" s="135">
        <f>11769.7-M69</f>
        <v>5737.5000000000009</v>
      </c>
      <c r="O69" s="135">
        <v>6500.8</v>
      </c>
      <c r="P69" s="135">
        <f>11946.5-O69</f>
        <v>5445.7</v>
      </c>
      <c r="Q69" s="135">
        <v>6120.1</v>
      </c>
      <c r="R69" s="135">
        <f>11361.2-Q69</f>
        <v>5241.1000000000004</v>
      </c>
      <c r="S69" s="135">
        <v>5798.3</v>
      </c>
      <c r="T69" s="135">
        <f>10903-S69</f>
        <v>5104.7</v>
      </c>
      <c r="U69" s="135">
        <v>5728.3</v>
      </c>
      <c r="V69" s="135">
        <f>10785-U69</f>
        <v>5056.7</v>
      </c>
      <c r="W69" s="136"/>
      <c r="X69" s="136"/>
      <c r="Y69" s="136"/>
      <c r="Z69" s="136"/>
      <c r="AA69" s="136"/>
      <c r="AB69" s="136"/>
      <c r="AC69" s="136"/>
      <c r="AD69" s="136"/>
      <c r="AE69" s="136"/>
      <c r="AF69" s="136"/>
      <c r="AG69" s="136"/>
      <c r="AH69" s="136"/>
      <c r="AI69" s="136"/>
      <c r="AJ69" s="136"/>
      <c r="AK69" s="136"/>
      <c r="AL69" s="136"/>
      <c r="AM69" s="136"/>
      <c r="AN69" s="136"/>
    </row>
    <row r="70" spans="1:40">
      <c r="B70" s="162" t="s">
        <v>1205</v>
      </c>
      <c r="C70" s="82" t="s">
        <v>900</v>
      </c>
      <c r="E70" s="135"/>
      <c r="F70" s="135"/>
      <c r="G70" s="135"/>
      <c r="H70" s="135"/>
      <c r="I70" s="135"/>
      <c r="J70" s="135"/>
      <c r="K70" s="135"/>
      <c r="L70" s="135"/>
      <c r="M70" s="135">
        <v>947.3</v>
      </c>
      <c r="N70" s="135">
        <f>2124-M70</f>
        <v>1176.7</v>
      </c>
      <c r="O70" s="135">
        <v>1258.7</v>
      </c>
      <c r="P70" s="135">
        <f>2604.3-O70</f>
        <v>1345.6000000000001</v>
      </c>
      <c r="Q70" s="135">
        <v>1343.5</v>
      </c>
      <c r="R70" s="135">
        <f>2696.5-Q70</f>
        <v>1353</v>
      </c>
      <c r="S70" s="135">
        <v>1347.4</v>
      </c>
      <c r="T70" s="135">
        <f>2840-S70</f>
        <v>1492.6</v>
      </c>
      <c r="U70" s="135">
        <v>1440.2</v>
      </c>
      <c r="V70" s="135">
        <f>3076-U70</f>
        <v>1635.8</v>
      </c>
      <c r="W70" s="136"/>
      <c r="X70" s="136"/>
      <c r="Y70" s="136"/>
      <c r="Z70" s="136"/>
      <c r="AA70" s="136"/>
      <c r="AB70" s="136"/>
      <c r="AC70" s="136"/>
      <c r="AD70" s="136"/>
      <c r="AE70" s="136"/>
      <c r="AF70" s="136"/>
      <c r="AG70" s="136"/>
      <c r="AH70" s="136"/>
      <c r="AI70" s="136"/>
      <c r="AJ70" s="136"/>
      <c r="AK70" s="136"/>
      <c r="AL70" s="136"/>
      <c r="AM70" s="136"/>
      <c r="AN70" s="136"/>
    </row>
    <row r="71" spans="1:40" s="3" customFormat="1">
      <c r="B71" s="482" t="s">
        <v>1198</v>
      </c>
      <c r="C71" s="163" t="s">
        <v>900</v>
      </c>
      <c r="E71" s="485"/>
      <c r="F71" s="485"/>
      <c r="G71" s="485"/>
      <c r="H71" s="485"/>
      <c r="I71" s="485"/>
      <c r="J71" s="485"/>
      <c r="K71" s="485"/>
      <c r="L71" s="485"/>
      <c r="M71" s="222">
        <f t="shared" ref="M71:R71" si="11">SUM(M69:M70)</f>
        <v>6979.5</v>
      </c>
      <c r="N71" s="222">
        <f t="shared" si="11"/>
        <v>6914.2000000000007</v>
      </c>
      <c r="O71" s="222">
        <f t="shared" si="11"/>
        <v>7759.5</v>
      </c>
      <c r="P71" s="222">
        <f t="shared" si="11"/>
        <v>6791.3</v>
      </c>
      <c r="Q71" s="222">
        <f t="shared" si="11"/>
        <v>7463.6</v>
      </c>
      <c r="R71" s="222">
        <f t="shared" si="11"/>
        <v>6594.1</v>
      </c>
      <c r="S71" s="222">
        <f>SUM(S69:S70)</f>
        <v>7145.7000000000007</v>
      </c>
      <c r="T71" s="222">
        <f>SUM(T69:T70)</f>
        <v>6597.2999999999993</v>
      </c>
      <c r="U71" s="222">
        <f>SUM(U69:U70)</f>
        <v>7168.5</v>
      </c>
      <c r="V71" s="222">
        <f>SUM(V69:V70)</f>
        <v>6692.5</v>
      </c>
      <c r="W71" s="222"/>
      <c r="X71" s="222"/>
      <c r="Y71" s="222"/>
      <c r="Z71" s="222"/>
      <c r="AA71" s="222"/>
      <c r="AB71" s="222"/>
      <c r="AC71" s="222"/>
      <c r="AD71" s="222"/>
      <c r="AE71" s="222"/>
      <c r="AF71" s="222"/>
      <c r="AG71" s="222"/>
      <c r="AH71" s="222"/>
      <c r="AI71" s="222"/>
      <c r="AJ71" s="222"/>
      <c r="AK71" s="222"/>
      <c r="AL71" s="222"/>
      <c r="AM71" s="222"/>
      <c r="AN71" s="222"/>
    </row>
    <row r="72" spans="1:40" s="3" customFormat="1">
      <c r="B72" s="482"/>
      <c r="C72" s="163"/>
      <c r="E72" s="485"/>
      <c r="F72" s="485"/>
      <c r="G72" s="485"/>
      <c r="H72" s="485"/>
      <c r="I72" s="485"/>
      <c r="J72" s="485"/>
      <c r="K72" s="485"/>
      <c r="L72" s="485"/>
      <c r="M72" s="222"/>
      <c r="N72" s="222"/>
      <c r="O72" s="222"/>
      <c r="P72" s="222"/>
      <c r="Q72" s="222"/>
      <c r="R72" s="222"/>
      <c r="S72" s="222"/>
      <c r="T72" s="222"/>
      <c r="U72" s="222"/>
      <c r="V72" s="222"/>
      <c r="W72" s="222"/>
      <c r="X72" s="222"/>
      <c r="Y72" s="222"/>
      <c r="Z72" s="222"/>
      <c r="AA72" s="222"/>
      <c r="AB72" s="222"/>
      <c r="AC72" s="222"/>
      <c r="AD72" s="222"/>
      <c r="AE72" s="222"/>
      <c r="AF72" s="222"/>
      <c r="AG72" s="222"/>
      <c r="AH72" s="222"/>
      <c r="AI72" s="222"/>
      <c r="AJ72" s="222"/>
      <c r="AK72" s="222"/>
      <c r="AL72" s="222"/>
      <c r="AM72" s="222"/>
      <c r="AN72" s="222"/>
    </row>
    <row r="73" spans="1:40" s="3" customFormat="1">
      <c r="B73" s="769" t="s">
        <v>1504</v>
      </c>
      <c r="C73" s="163"/>
      <c r="E73" s="485"/>
      <c r="F73" s="485"/>
      <c r="G73" s="485"/>
      <c r="H73" s="485"/>
      <c r="I73" s="485"/>
      <c r="J73" s="485"/>
      <c r="K73" s="485"/>
      <c r="L73" s="485"/>
      <c r="M73" s="222"/>
      <c r="N73" s="222"/>
      <c r="O73" s="222"/>
      <c r="P73" s="222"/>
      <c r="Q73" s="222"/>
      <c r="R73" s="222"/>
      <c r="S73" s="222"/>
      <c r="T73" s="222"/>
      <c r="U73" s="222"/>
      <c r="V73" s="222"/>
      <c r="W73" s="222" t="s">
        <v>1670</v>
      </c>
      <c r="X73" s="222"/>
      <c r="Y73" s="222"/>
      <c r="Z73" s="222"/>
      <c r="AA73" s="222"/>
      <c r="AB73" s="222"/>
      <c r="AC73" s="222"/>
      <c r="AD73" s="222"/>
      <c r="AE73" s="222"/>
      <c r="AF73" s="222"/>
      <c r="AG73" s="222"/>
      <c r="AH73" s="222"/>
      <c r="AI73" s="222"/>
      <c r="AJ73" s="222"/>
      <c r="AK73" s="222"/>
      <c r="AL73" s="222"/>
      <c r="AM73" s="222"/>
      <c r="AN73" s="222"/>
    </row>
    <row r="74" spans="1:40">
      <c r="A74" s="3"/>
      <c r="B74" s="183" t="s">
        <v>901</v>
      </c>
      <c r="C74" s="131" t="s">
        <v>842</v>
      </c>
      <c r="E74" s="159"/>
      <c r="F74" s="159"/>
      <c r="G74" s="159">
        <f t="shared" ref="G74:P76" si="12">G78/E78-1</f>
        <v>9.4661167439995531E-2</v>
      </c>
      <c r="H74" s="159">
        <f t="shared" si="12"/>
        <v>2.5772275459793992E-2</v>
      </c>
      <c r="I74" s="159">
        <f t="shared" si="12"/>
        <v>-5.3873727727046905E-2</v>
      </c>
      <c r="J74" s="159">
        <f t="shared" si="12"/>
        <v>0.11465707322734131</v>
      </c>
      <c r="K74" s="159">
        <f t="shared" si="12"/>
        <v>0.42892699115044253</v>
      </c>
      <c r="L74" s="159">
        <f t="shared" si="12"/>
        <v>0.12285268089536694</v>
      </c>
      <c r="M74" s="159">
        <f t="shared" si="12"/>
        <v>1.780530288368487E-2</v>
      </c>
      <c r="N74" s="159">
        <f t="shared" si="12"/>
        <v>2.8743625405656115E-2</v>
      </c>
      <c r="O74" s="159">
        <f t="shared" si="12"/>
        <v>-6.4365849020726396E-2</v>
      </c>
      <c r="P74" s="159">
        <f t="shared" si="12"/>
        <v>-2.0684993240198124E-2</v>
      </c>
      <c r="Q74" s="159">
        <f t="shared" ref="Q74:V76" si="13">Q78/O78-1</f>
        <v>-3.8471700030484723E-2</v>
      </c>
      <c r="R74" s="159">
        <f t="shared" si="13"/>
        <v>-6.1732087800837498E-2</v>
      </c>
      <c r="S74" s="159">
        <f t="shared" si="13"/>
        <v>-7.9747210010145508E-2</v>
      </c>
      <c r="T74" s="159">
        <f t="shared" si="13"/>
        <v>-1.2236690453419796E-2</v>
      </c>
      <c r="U74" s="159">
        <f t="shared" si="13"/>
        <v>-2.4116309515607171E-3</v>
      </c>
      <c r="V74" s="159">
        <f t="shared" si="13"/>
        <v>1.8594836146971216E-2</v>
      </c>
      <c r="W74" s="158">
        <v>1.7999999999999999E-2</v>
      </c>
      <c r="X74" s="158">
        <v>8.9999999999999993E-3</v>
      </c>
      <c r="Y74" s="158">
        <v>0.01</v>
      </c>
      <c r="Z74" s="158">
        <v>0.03</v>
      </c>
      <c r="AA74" s="158">
        <v>0.02</v>
      </c>
      <c r="AB74" s="158">
        <v>0.02</v>
      </c>
      <c r="AC74" s="158">
        <v>0.03</v>
      </c>
      <c r="AD74" s="158">
        <v>0.03</v>
      </c>
      <c r="AE74" s="158">
        <v>0.03</v>
      </c>
      <c r="AF74" s="158">
        <v>0.03</v>
      </c>
      <c r="AG74" s="158">
        <v>0.03</v>
      </c>
      <c r="AH74" s="158">
        <v>0.03</v>
      </c>
      <c r="AI74" s="158">
        <v>0.03</v>
      </c>
      <c r="AJ74" s="158">
        <v>0.03</v>
      </c>
      <c r="AK74" s="158">
        <v>0.03</v>
      </c>
      <c r="AL74" s="158">
        <v>0.03</v>
      </c>
      <c r="AM74" s="158">
        <v>0.03</v>
      </c>
      <c r="AN74" s="158">
        <v>0.03</v>
      </c>
    </row>
    <row r="75" spans="1:40">
      <c r="B75" s="183" t="s">
        <v>1202</v>
      </c>
      <c r="C75" s="131" t="s">
        <v>842</v>
      </c>
      <c r="E75" s="159"/>
      <c r="F75" s="159"/>
      <c r="G75" s="159">
        <f t="shared" si="12"/>
        <v>-6.6831217677480015E-2</v>
      </c>
      <c r="H75" s="159">
        <f t="shared" si="12"/>
        <v>-8.1425612152759341E-2</v>
      </c>
      <c r="I75" s="159">
        <f t="shared" si="12"/>
        <v>-9.0107564803385554E-2</v>
      </c>
      <c r="J75" s="159">
        <f t="shared" si="12"/>
        <v>-0.49635711807563321</v>
      </c>
      <c r="K75" s="159">
        <f t="shared" si="12"/>
        <v>-0.28156146179401997</v>
      </c>
      <c r="L75" s="159">
        <f t="shared" si="12"/>
        <v>0.55568312284730204</v>
      </c>
      <c r="M75" s="159">
        <f t="shared" si="12"/>
        <v>-0.33699421965317922</v>
      </c>
      <c r="N75" s="159">
        <f t="shared" si="12"/>
        <v>-8.6273062730627403E-2</v>
      </c>
      <c r="O75" s="159">
        <f t="shared" si="12"/>
        <v>0.65010171461784361</v>
      </c>
      <c r="P75" s="159">
        <f t="shared" si="12"/>
        <v>-1.2559567078587963E-2</v>
      </c>
      <c r="Q75" s="159">
        <f t="shared" si="13"/>
        <v>-3.7548432546671284E-2</v>
      </c>
      <c r="R75" s="159">
        <f t="shared" si="13"/>
        <v>2.9078565293852998E-2</v>
      </c>
      <c r="S75" s="159">
        <f t="shared" si="13"/>
        <v>2.1739130434782705E-2</v>
      </c>
      <c r="T75" s="159">
        <f t="shared" si="13"/>
        <v>2.1063508465145597E-2</v>
      </c>
      <c r="U75" s="159">
        <f t="shared" si="13"/>
        <v>1.1927788523533156E-2</v>
      </c>
      <c r="V75" s="159">
        <f t="shared" si="13"/>
        <v>8.0959053401838954E-3</v>
      </c>
      <c r="W75" s="158">
        <v>7.0000000000000001E-3</v>
      </c>
      <c r="X75" s="505">
        <v>-2E-3</v>
      </c>
      <c r="Y75" s="505">
        <v>-1.4999999999999999E-2</v>
      </c>
      <c r="Z75" s="505">
        <v>-1.4999999999999999E-2</v>
      </c>
      <c r="AA75" s="505">
        <v>-1.4999999999999999E-2</v>
      </c>
      <c r="AB75" s="505">
        <v>-1.4999999999999999E-2</v>
      </c>
      <c r="AC75" s="158">
        <v>0.01</v>
      </c>
      <c r="AD75" s="158">
        <v>0.01</v>
      </c>
      <c r="AE75" s="158">
        <v>-0.01</v>
      </c>
      <c r="AF75" s="158">
        <v>-0.01</v>
      </c>
      <c r="AG75" s="505">
        <v>-0.01</v>
      </c>
      <c r="AH75" s="505">
        <v>-0.01</v>
      </c>
      <c r="AI75" s="505">
        <v>-0.01</v>
      </c>
      <c r="AJ75" s="505">
        <v>-0.01</v>
      </c>
      <c r="AK75" s="505">
        <v>-0.01</v>
      </c>
      <c r="AL75" s="505">
        <v>-0.01</v>
      </c>
      <c r="AM75" s="505">
        <v>-0.01</v>
      </c>
      <c r="AN75" s="505">
        <v>-0.01</v>
      </c>
    </row>
    <row r="76" spans="1:40" s="3" customFormat="1">
      <c r="B76" s="483" t="s">
        <v>979</v>
      </c>
      <c r="C76" s="484" t="s">
        <v>842</v>
      </c>
      <c r="E76" s="204"/>
      <c r="F76" s="204"/>
      <c r="G76" s="204">
        <f t="shared" si="12"/>
        <v>5.9648307382447197E-3</v>
      </c>
      <c r="H76" s="204">
        <f t="shared" si="12"/>
        <v>-3.0874593016728458E-2</v>
      </c>
      <c r="I76" s="204">
        <f t="shared" si="12"/>
        <v>-7.2334308742748599E-2</v>
      </c>
      <c r="J76" s="204">
        <f t="shared" si="12"/>
        <v>-0.19138090824837817</v>
      </c>
      <c r="K76" s="204">
        <f t="shared" si="12"/>
        <v>7.3879358052019839E-2</v>
      </c>
      <c r="L76" s="204">
        <f t="shared" si="12"/>
        <v>0.25787965616045838</v>
      </c>
      <c r="M76" s="204">
        <f t="shared" si="12"/>
        <v>-0.10081164648286522</v>
      </c>
      <c r="N76" s="204">
        <f t="shared" si="12"/>
        <v>-1.5632118451025079E-2</v>
      </c>
      <c r="O76" s="204">
        <f t="shared" si="12"/>
        <v>0.1117558564367076</v>
      </c>
      <c r="P76" s="204">
        <f t="shared" si="12"/>
        <v>-1.7775013739839585E-2</v>
      </c>
      <c r="Q76" s="204">
        <f t="shared" si="13"/>
        <v>-3.8133900380179053E-2</v>
      </c>
      <c r="R76" s="204">
        <f t="shared" si="13"/>
        <v>-2.9037150471927453E-2</v>
      </c>
      <c r="S76" s="204">
        <f t="shared" si="13"/>
        <v>-4.2593386569483971E-2</v>
      </c>
      <c r="T76" s="204">
        <f t="shared" si="13"/>
        <v>4.701172260048736E-4</v>
      </c>
      <c r="U76" s="204">
        <f t="shared" si="13"/>
        <v>3.1907300894244983E-3</v>
      </c>
      <c r="V76" s="204">
        <f t="shared" si="13"/>
        <v>1.4506154125992765E-2</v>
      </c>
      <c r="W76" s="204">
        <f t="shared" ref="W76:AK76" si="14">W80/U80-1</f>
        <v>1.3664908976773305E-2</v>
      </c>
      <c r="X76" s="204">
        <f t="shared" si="14"/>
        <v>4.7432503100299783E-3</v>
      </c>
      <c r="Y76" s="204">
        <f t="shared" si="14"/>
        <v>2.1230105968150781E-4</v>
      </c>
      <c r="Z76" s="204">
        <f t="shared" si="14"/>
        <v>1.2702896439412692E-2</v>
      </c>
      <c r="AA76" s="204">
        <f t="shared" si="14"/>
        <v>6.5056280307695946E-3</v>
      </c>
      <c r="AB76" s="204">
        <f t="shared" si="14"/>
        <v>6.9147177574024887E-3</v>
      </c>
      <c r="AC76" s="204">
        <f t="shared" si="14"/>
        <v>2.2453689835681301E-2</v>
      </c>
      <c r="AD76" s="204">
        <f t="shared" si="14"/>
        <v>2.2685433585724946E-2</v>
      </c>
      <c r="AE76" s="204">
        <f t="shared" si="14"/>
        <v>1.5091210796673415E-2</v>
      </c>
      <c r="AF76" s="204">
        <f t="shared" si="14"/>
        <v>1.5552327556841661E-2</v>
      </c>
      <c r="AG76" s="204">
        <f t="shared" si="14"/>
        <v>1.5459728983654886E-2</v>
      </c>
      <c r="AH76" s="204">
        <f t="shared" si="14"/>
        <v>1.5915845662885175E-2</v>
      </c>
      <c r="AI76" s="204">
        <f t="shared" si="14"/>
        <v>1.5824284414913237E-2</v>
      </c>
      <c r="AJ76" s="204">
        <f t="shared" si="14"/>
        <v>1.6275130117056502E-2</v>
      </c>
      <c r="AK76" s="204">
        <f t="shared" si="14"/>
        <v>1.6184659448933214E-2</v>
      </c>
      <c r="AL76" s="204">
        <f>AL80/AJ80-1</f>
        <v>1.6629977668991103E-2</v>
      </c>
      <c r="AM76" s="204">
        <f>AM80/AK80-1</f>
        <v>1.6540647884831117E-2</v>
      </c>
      <c r="AN76" s="204">
        <f>AN80/AL80-1</f>
        <v>1.6980196926665414E-2</v>
      </c>
    </row>
    <row r="77" spans="1:40">
      <c r="B77" s="161"/>
      <c r="C77" s="131"/>
      <c r="E77" s="135"/>
      <c r="F77" s="135"/>
      <c r="G77" s="135"/>
      <c r="H77" s="135"/>
      <c r="I77" s="135"/>
      <c r="J77" s="135"/>
      <c r="K77" s="135"/>
      <c r="L77" s="135"/>
      <c r="M77" s="194"/>
      <c r="N77" s="135"/>
      <c r="O77" s="194"/>
      <c r="P77" s="135"/>
      <c r="Q77" s="136"/>
      <c r="R77" s="136"/>
      <c r="S77" s="136"/>
      <c r="T77" s="136"/>
      <c r="U77" s="136"/>
      <c r="V77" s="136"/>
      <c r="W77" s="136"/>
      <c r="X77" s="136"/>
      <c r="Y77" s="136"/>
      <c r="Z77" s="136"/>
      <c r="AA77" s="136"/>
      <c r="AB77" s="136"/>
      <c r="AC77" s="136"/>
      <c r="AD77" s="136"/>
      <c r="AE77" s="136"/>
      <c r="AF77" s="136"/>
      <c r="AG77" s="136"/>
      <c r="AH77" s="136"/>
      <c r="AI77" s="136"/>
      <c r="AJ77" s="136"/>
      <c r="AK77" s="136"/>
      <c r="AL77" s="136"/>
      <c r="AM77" s="136"/>
      <c r="AN77" s="136"/>
    </row>
    <row r="78" spans="1:40">
      <c r="B78" s="162" t="s">
        <v>901</v>
      </c>
      <c r="C78" s="82" t="s">
        <v>900</v>
      </c>
      <c r="E78" s="525">
        <v>3491.4</v>
      </c>
      <c r="F78" s="525">
        <v>3360.2000000000003</v>
      </c>
      <c r="G78" s="525">
        <v>3821.9000000000005</v>
      </c>
      <c r="H78" s="525">
        <v>3446.8</v>
      </c>
      <c r="I78" s="525">
        <v>3616</v>
      </c>
      <c r="J78" s="525">
        <v>3842</v>
      </c>
      <c r="K78" s="525">
        <v>5167</v>
      </c>
      <c r="L78" s="525">
        <v>4314</v>
      </c>
      <c r="M78" s="135">
        <v>5259</v>
      </c>
      <c r="N78" s="135">
        <v>4438</v>
      </c>
      <c r="O78" s="135">
        <v>4920.5</v>
      </c>
      <c r="P78" s="135">
        <v>4346.2000000000007</v>
      </c>
      <c r="Q78" s="135">
        <v>4731.2</v>
      </c>
      <c r="R78" s="135">
        <f>8809.1-Q78</f>
        <v>4077.9000000000005</v>
      </c>
      <c r="S78" s="135">
        <v>4353.8999999999996</v>
      </c>
      <c r="T78" s="135">
        <f>8381.9-S78</f>
        <v>4028</v>
      </c>
      <c r="U78" s="135">
        <v>4343.3999999999996</v>
      </c>
      <c r="V78" s="135">
        <f>8446.3-U78</f>
        <v>4102.8999999999996</v>
      </c>
      <c r="W78" s="136">
        <f t="shared" ref="W78:Z79" si="15">U78*(1+W74)</f>
        <v>4421.5811999999996</v>
      </c>
      <c r="X78" s="136">
        <f t="shared" si="15"/>
        <v>4139.8260999999993</v>
      </c>
      <c r="Y78" s="136">
        <f t="shared" si="15"/>
        <v>4465.797012</v>
      </c>
      <c r="Z78" s="136">
        <f t="shared" si="15"/>
        <v>4264.0208829999992</v>
      </c>
      <c r="AA78" s="136">
        <f t="shared" ref="AA78:AJ79" si="16">Y78*(1+AA74)</f>
        <v>4555.1129522399997</v>
      </c>
      <c r="AB78" s="136">
        <f t="shared" si="16"/>
        <v>4349.3013006599995</v>
      </c>
      <c r="AC78" s="136">
        <f t="shared" si="16"/>
        <v>4691.7663408071994</v>
      </c>
      <c r="AD78" s="136">
        <f t="shared" si="16"/>
        <v>4479.7803396797999</v>
      </c>
      <c r="AE78" s="136">
        <f t="shared" si="16"/>
        <v>4832.5193310314153</v>
      </c>
      <c r="AF78" s="136">
        <f t="shared" si="16"/>
        <v>4614.1737498701941</v>
      </c>
      <c r="AG78" s="136">
        <f t="shared" si="16"/>
        <v>4977.4949109623576</v>
      </c>
      <c r="AH78" s="136">
        <f t="shared" si="16"/>
        <v>4752.5989623662999</v>
      </c>
      <c r="AI78" s="136">
        <f t="shared" si="16"/>
        <v>5126.819758291228</v>
      </c>
      <c r="AJ78" s="136">
        <f t="shared" si="16"/>
        <v>4895.176931237289</v>
      </c>
      <c r="AK78" s="136">
        <f t="shared" ref="AK78:AN79" si="17">AI78*(1+AK74)</f>
        <v>5280.6243510399654</v>
      </c>
      <c r="AL78" s="136">
        <f t="shared" si="17"/>
        <v>5042.0322391744076</v>
      </c>
      <c r="AM78" s="136">
        <f t="shared" si="17"/>
        <v>5439.0430815711643</v>
      </c>
      <c r="AN78" s="136">
        <f t="shared" si="17"/>
        <v>5193.2932063496401</v>
      </c>
    </row>
    <row r="79" spans="1:40">
      <c r="B79" s="162" t="s">
        <v>1202</v>
      </c>
      <c r="C79" s="82" t="s">
        <v>900</v>
      </c>
      <c r="E79" s="525">
        <v>4254</v>
      </c>
      <c r="F79" s="525">
        <v>3765.4</v>
      </c>
      <c r="G79" s="525">
        <v>3969.7</v>
      </c>
      <c r="H79" s="525">
        <v>3458.8</v>
      </c>
      <c r="I79" s="525">
        <v>3612</v>
      </c>
      <c r="J79" s="525">
        <v>1742</v>
      </c>
      <c r="K79" s="525">
        <v>2595</v>
      </c>
      <c r="L79" s="525">
        <v>2710</v>
      </c>
      <c r="M79" s="135">
        <v>1720.5</v>
      </c>
      <c r="N79" s="135">
        <v>2476.1999999999998</v>
      </c>
      <c r="O79" s="135">
        <v>2839</v>
      </c>
      <c r="P79" s="135">
        <v>2445.1000000000004</v>
      </c>
      <c r="Q79" s="135">
        <v>2732.4</v>
      </c>
      <c r="R79" s="135">
        <f>5248.6-Q79</f>
        <v>2516.2000000000003</v>
      </c>
      <c r="S79" s="135">
        <v>2791.8</v>
      </c>
      <c r="T79" s="135">
        <f>5361-S79</f>
        <v>2569.1999999999998</v>
      </c>
      <c r="U79" s="135">
        <v>2825.1</v>
      </c>
      <c r="V79" s="135">
        <f>5415.1-U79</f>
        <v>2590.0000000000005</v>
      </c>
      <c r="W79" s="136">
        <f t="shared" si="15"/>
        <v>2844.8756999999996</v>
      </c>
      <c r="X79" s="136">
        <f t="shared" si="15"/>
        <v>2584.8200000000006</v>
      </c>
      <c r="Y79" s="136">
        <f t="shared" si="15"/>
        <v>2802.2025644999994</v>
      </c>
      <c r="Z79" s="136">
        <f t="shared" si="15"/>
        <v>2546.0477000000005</v>
      </c>
      <c r="AA79" s="136">
        <f t="shared" si="16"/>
        <v>2760.1695260324996</v>
      </c>
      <c r="AB79" s="136">
        <f t="shared" si="16"/>
        <v>2507.8569845000006</v>
      </c>
      <c r="AC79" s="136">
        <f t="shared" si="16"/>
        <v>2787.7712212928245</v>
      </c>
      <c r="AD79" s="136">
        <f t="shared" si="16"/>
        <v>2532.9355543450006</v>
      </c>
      <c r="AE79" s="136">
        <f t="shared" si="16"/>
        <v>2759.8935090798964</v>
      </c>
      <c r="AF79" s="136">
        <f t="shared" si="16"/>
        <v>2507.6061988015504</v>
      </c>
      <c r="AG79" s="136">
        <f t="shared" si="16"/>
        <v>2732.2945739890974</v>
      </c>
      <c r="AH79" s="136">
        <f t="shared" si="16"/>
        <v>2482.5301368135347</v>
      </c>
      <c r="AI79" s="136">
        <f t="shared" si="16"/>
        <v>2704.9716282492063</v>
      </c>
      <c r="AJ79" s="136">
        <f t="shared" si="16"/>
        <v>2457.7048354453991</v>
      </c>
      <c r="AK79" s="136">
        <f t="shared" si="17"/>
        <v>2677.9219119667141</v>
      </c>
      <c r="AL79" s="136">
        <f t="shared" si="17"/>
        <v>2433.1277870909453</v>
      </c>
      <c r="AM79" s="136">
        <f t="shared" si="17"/>
        <v>2651.1426928470469</v>
      </c>
      <c r="AN79" s="136">
        <f t="shared" si="17"/>
        <v>2408.7965092200357</v>
      </c>
    </row>
    <row r="80" spans="1:40" s="3" customFormat="1">
      <c r="B80" s="482" t="s">
        <v>1198</v>
      </c>
      <c r="C80" s="163" t="s">
        <v>900</v>
      </c>
      <c r="E80" s="485">
        <v>7745.4</v>
      </c>
      <c r="F80" s="485">
        <v>7125.6</v>
      </c>
      <c r="G80" s="485">
        <v>7791.6</v>
      </c>
      <c r="H80" s="485">
        <v>6905.6</v>
      </c>
      <c r="I80" s="485">
        <v>7228</v>
      </c>
      <c r="J80" s="485">
        <v>5584</v>
      </c>
      <c r="K80" s="485">
        <v>7762</v>
      </c>
      <c r="L80" s="485">
        <v>7024</v>
      </c>
      <c r="M80" s="485">
        <v>6979.5</v>
      </c>
      <c r="N80" s="485">
        <v>6914.2</v>
      </c>
      <c r="O80" s="485">
        <v>7759.5</v>
      </c>
      <c r="P80" s="485">
        <v>6791.3000000000011</v>
      </c>
      <c r="Q80" s="485">
        <v>7463.6</v>
      </c>
      <c r="R80" s="485">
        <f>14057.7-Q80</f>
        <v>6594.1</v>
      </c>
      <c r="S80" s="485">
        <v>7145.7</v>
      </c>
      <c r="T80" s="485">
        <f>13742.9-S80</f>
        <v>6597.2</v>
      </c>
      <c r="U80" s="485">
        <v>7168.5</v>
      </c>
      <c r="V80" s="485">
        <f>13861.4-U80</f>
        <v>6692.9</v>
      </c>
      <c r="W80" s="222">
        <f t="shared" ref="W80:AL80" si="18">SUM(W78:W79)</f>
        <v>7266.4568999999992</v>
      </c>
      <c r="X80" s="222">
        <f t="shared" si="18"/>
        <v>6724.6460999999999</v>
      </c>
      <c r="Y80" s="222">
        <f t="shared" si="18"/>
        <v>7267.9995764999994</v>
      </c>
      <c r="Z80" s="222">
        <f t="shared" si="18"/>
        <v>6810.0685830000002</v>
      </c>
      <c r="AA80" s="222">
        <f t="shared" si="18"/>
        <v>7315.2824782724992</v>
      </c>
      <c r="AB80" s="222">
        <f t="shared" si="18"/>
        <v>6857.1582851599997</v>
      </c>
      <c r="AC80" s="222">
        <f t="shared" si="18"/>
        <v>7479.5375621000239</v>
      </c>
      <c r="AD80" s="222">
        <f t="shared" si="18"/>
        <v>7012.7158940248009</v>
      </c>
      <c r="AE80" s="222">
        <f t="shared" si="18"/>
        <v>7592.4128401113121</v>
      </c>
      <c r="AF80" s="222">
        <f t="shared" si="18"/>
        <v>7121.7799486717449</v>
      </c>
      <c r="AG80" s="222">
        <f t="shared" si="18"/>
        <v>7709.7894849514551</v>
      </c>
      <c r="AH80" s="222">
        <f t="shared" si="18"/>
        <v>7235.1290991798342</v>
      </c>
      <c r="AI80" s="222">
        <f t="shared" si="18"/>
        <v>7831.7913865404344</v>
      </c>
      <c r="AJ80" s="222">
        <f t="shared" si="18"/>
        <v>7352.8817666826881</v>
      </c>
      <c r="AK80" s="222">
        <f t="shared" si="18"/>
        <v>7958.5462630066795</v>
      </c>
      <c r="AL80" s="222">
        <f t="shared" si="18"/>
        <v>7475.1600262653528</v>
      </c>
      <c r="AM80" s="222">
        <f>SUM(AM78:AM79)</f>
        <v>8090.1857744182107</v>
      </c>
      <c r="AN80" s="222">
        <f>SUM(AN78:AN79)</f>
        <v>7602.0897155696757</v>
      </c>
    </row>
    <row r="81" spans="2:40" s="199" customFormat="1">
      <c r="B81" s="226" t="s">
        <v>886</v>
      </c>
      <c r="C81" s="201"/>
      <c r="E81" s="217"/>
      <c r="F81" s="217"/>
      <c r="G81" s="217"/>
      <c r="H81" s="217"/>
      <c r="I81" s="217"/>
      <c r="J81" s="217"/>
      <c r="K81" s="217"/>
      <c r="L81" s="217"/>
      <c r="M81" s="217">
        <f t="shared" ref="M81:S81" si="19">M71-M80</f>
        <v>0</v>
      </c>
      <c r="N81" s="217">
        <f t="shared" si="19"/>
        <v>0</v>
      </c>
      <c r="O81" s="217">
        <f t="shared" si="19"/>
        <v>0</v>
      </c>
      <c r="P81" s="217">
        <f t="shared" si="19"/>
        <v>0</v>
      </c>
      <c r="Q81" s="217">
        <f t="shared" si="19"/>
        <v>0</v>
      </c>
      <c r="R81" s="217">
        <f t="shared" si="19"/>
        <v>0</v>
      </c>
      <c r="S81" s="217">
        <f t="shared" si="19"/>
        <v>0</v>
      </c>
      <c r="T81" s="217">
        <f>T71-T80</f>
        <v>9.9999999999454303E-2</v>
      </c>
      <c r="U81" s="217">
        <f>U71-U80</f>
        <v>0</v>
      </c>
      <c r="V81" s="217">
        <f>V71-V80</f>
        <v>-0.3999999999996362</v>
      </c>
      <c r="W81" s="217"/>
      <c r="X81" s="217"/>
      <c r="Y81" s="217"/>
      <c r="Z81" s="217"/>
      <c r="AA81" s="217"/>
      <c r="AB81" s="217"/>
      <c r="AC81" s="217"/>
      <c r="AD81" s="217"/>
      <c r="AE81" s="217"/>
      <c r="AF81" s="217"/>
      <c r="AG81" s="217"/>
      <c r="AH81" s="217"/>
      <c r="AI81" s="217"/>
      <c r="AJ81" s="217"/>
      <c r="AK81" s="217"/>
      <c r="AL81" s="217"/>
      <c r="AM81" s="217"/>
      <c r="AN81" s="217"/>
    </row>
    <row r="82" spans="2:40">
      <c r="B82" s="161"/>
      <c r="C82" s="131"/>
      <c r="E82" s="135"/>
      <c r="F82" s="135"/>
      <c r="G82" s="135"/>
      <c r="H82" s="135"/>
      <c r="I82" s="135"/>
      <c r="J82" s="135"/>
      <c r="K82" s="135"/>
      <c r="L82" s="135"/>
      <c r="M82" s="194"/>
      <c r="N82" s="194"/>
      <c r="O82" s="194"/>
      <c r="P82" s="194"/>
      <c r="Q82" s="136"/>
      <c r="R82" s="136"/>
      <c r="S82" s="136"/>
      <c r="T82" s="136"/>
      <c r="U82" s="136"/>
      <c r="V82" s="136"/>
      <c r="W82" s="136"/>
      <c r="X82" s="136"/>
      <c r="Y82" s="136"/>
      <c r="Z82" s="136"/>
      <c r="AA82" s="136"/>
      <c r="AB82" s="136"/>
      <c r="AC82" s="136"/>
      <c r="AD82" s="136"/>
      <c r="AE82" s="136"/>
      <c r="AF82" s="136"/>
      <c r="AG82" s="136"/>
      <c r="AH82" s="136"/>
      <c r="AI82" s="136"/>
      <c r="AJ82" s="136"/>
      <c r="AK82" s="136"/>
      <c r="AL82" s="136"/>
      <c r="AM82" s="136"/>
      <c r="AN82" s="136"/>
    </row>
    <row r="83" spans="2:40">
      <c r="B83" s="184" t="s">
        <v>1215</v>
      </c>
      <c r="C83" s="131"/>
      <c r="E83" s="135"/>
      <c r="F83" s="135"/>
      <c r="G83" s="135"/>
      <c r="H83" s="135"/>
      <c r="I83" s="135"/>
      <c r="J83" s="135"/>
      <c r="K83" s="135"/>
      <c r="L83" s="135"/>
      <c r="M83" s="135"/>
      <c r="N83" s="135"/>
      <c r="O83" s="135"/>
      <c r="P83" s="135"/>
      <c r="Q83" s="136"/>
      <c r="R83" s="136"/>
      <c r="S83" s="136"/>
      <c r="T83" s="136"/>
      <c r="U83" s="136"/>
      <c r="V83" s="136"/>
      <c r="W83" s="136"/>
      <c r="X83" s="136"/>
      <c r="Y83" s="136"/>
      <c r="Z83" s="136"/>
      <c r="AA83" s="136"/>
      <c r="AB83" s="136"/>
      <c r="AC83" s="136"/>
      <c r="AD83" s="136"/>
      <c r="AE83" s="136"/>
      <c r="AF83" s="136"/>
      <c r="AG83" s="136"/>
      <c r="AH83" s="136"/>
      <c r="AI83" s="136"/>
      <c r="AJ83" s="136"/>
      <c r="AK83" s="136"/>
      <c r="AL83" s="136"/>
      <c r="AM83" s="136"/>
      <c r="AN83" s="136"/>
    </row>
    <row r="84" spans="2:40">
      <c r="B84" s="161" t="s">
        <v>1188</v>
      </c>
      <c r="C84" s="82" t="s">
        <v>900</v>
      </c>
      <c r="E84" s="136">
        <f t="shared" ref="E84:AN84" si="20">E78</f>
        <v>3491.4</v>
      </c>
      <c r="F84" s="136">
        <f t="shared" si="20"/>
        <v>3360.2000000000003</v>
      </c>
      <c r="G84" s="136">
        <f t="shared" si="20"/>
        <v>3821.9000000000005</v>
      </c>
      <c r="H84" s="136">
        <f t="shared" si="20"/>
        <v>3446.8</v>
      </c>
      <c r="I84" s="136">
        <f t="shared" si="20"/>
        <v>3616</v>
      </c>
      <c r="J84" s="136">
        <f t="shared" si="20"/>
        <v>3842</v>
      </c>
      <c r="K84" s="136">
        <f t="shared" si="20"/>
        <v>5167</v>
      </c>
      <c r="L84" s="136">
        <f t="shared" si="20"/>
        <v>4314</v>
      </c>
      <c r="M84" s="136">
        <f t="shared" si="20"/>
        <v>5259</v>
      </c>
      <c r="N84" s="136">
        <f t="shared" si="20"/>
        <v>4438</v>
      </c>
      <c r="O84" s="136">
        <f t="shared" si="20"/>
        <v>4920.5</v>
      </c>
      <c r="P84" s="136">
        <f t="shared" si="20"/>
        <v>4346.2000000000007</v>
      </c>
      <c r="Q84" s="136">
        <f t="shared" si="20"/>
        <v>4731.2</v>
      </c>
      <c r="R84" s="136">
        <f t="shared" si="20"/>
        <v>4077.9000000000005</v>
      </c>
      <c r="S84" s="136">
        <f t="shared" si="20"/>
        <v>4353.8999999999996</v>
      </c>
      <c r="T84" s="136">
        <f>T78</f>
        <v>4028</v>
      </c>
      <c r="U84" s="136">
        <f t="shared" si="20"/>
        <v>4343.3999999999996</v>
      </c>
      <c r="V84" s="136">
        <f t="shared" si="20"/>
        <v>4102.8999999999996</v>
      </c>
      <c r="W84" s="136">
        <f t="shared" si="20"/>
        <v>4421.5811999999996</v>
      </c>
      <c r="X84" s="136">
        <f t="shared" si="20"/>
        <v>4139.8260999999993</v>
      </c>
      <c r="Y84" s="136">
        <f t="shared" si="20"/>
        <v>4465.797012</v>
      </c>
      <c r="Z84" s="136">
        <f t="shared" si="20"/>
        <v>4264.0208829999992</v>
      </c>
      <c r="AA84" s="136">
        <f t="shared" si="20"/>
        <v>4555.1129522399997</v>
      </c>
      <c r="AB84" s="136">
        <f t="shared" si="20"/>
        <v>4349.3013006599995</v>
      </c>
      <c r="AC84" s="136">
        <f t="shared" si="20"/>
        <v>4691.7663408071994</v>
      </c>
      <c r="AD84" s="136">
        <f t="shared" si="20"/>
        <v>4479.7803396797999</v>
      </c>
      <c r="AE84" s="136">
        <f t="shared" si="20"/>
        <v>4832.5193310314153</v>
      </c>
      <c r="AF84" s="136">
        <f t="shared" si="20"/>
        <v>4614.1737498701941</v>
      </c>
      <c r="AG84" s="136">
        <f t="shared" si="20"/>
        <v>4977.4949109623576</v>
      </c>
      <c r="AH84" s="136">
        <f t="shared" si="20"/>
        <v>4752.5989623662999</v>
      </c>
      <c r="AI84" s="136">
        <f t="shared" si="20"/>
        <v>5126.819758291228</v>
      </c>
      <c r="AJ84" s="136">
        <f t="shared" si="20"/>
        <v>4895.176931237289</v>
      </c>
      <c r="AK84" s="136">
        <f t="shared" si="20"/>
        <v>5280.6243510399654</v>
      </c>
      <c r="AL84" s="136">
        <f t="shared" si="20"/>
        <v>5042.0322391744076</v>
      </c>
      <c r="AM84" s="136">
        <f t="shared" si="20"/>
        <v>5439.0430815711643</v>
      </c>
      <c r="AN84" s="136">
        <f t="shared" si="20"/>
        <v>5193.2932063496401</v>
      </c>
    </row>
    <row r="85" spans="2:40">
      <c r="B85" s="161"/>
      <c r="C85" s="131"/>
      <c r="E85" s="135"/>
      <c r="F85" s="135"/>
      <c r="G85" s="135"/>
      <c r="H85" s="135"/>
      <c r="I85" s="135"/>
      <c r="J85" s="135"/>
      <c r="K85" s="135"/>
      <c r="L85" s="135"/>
      <c r="M85" s="194"/>
      <c r="N85" s="135"/>
      <c r="O85" s="194"/>
      <c r="P85" s="135"/>
      <c r="Q85" s="136"/>
      <c r="R85" s="136"/>
      <c r="S85" s="136"/>
      <c r="T85" s="136"/>
      <c r="U85" s="136"/>
      <c r="V85" s="136"/>
      <c r="W85" s="136"/>
      <c r="X85" s="136"/>
      <c r="Y85" s="136"/>
      <c r="Z85" s="136"/>
      <c r="AA85" s="136"/>
      <c r="AB85" s="136"/>
      <c r="AC85" s="136"/>
      <c r="AD85" s="136"/>
      <c r="AE85" s="136"/>
      <c r="AF85" s="136"/>
      <c r="AG85" s="136"/>
      <c r="AH85" s="136"/>
      <c r="AI85" s="136"/>
      <c r="AJ85" s="136"/>
      <c r="AK85" s="136"/>
      <c r="AL85" s="136"/>
      <c r="AM85" s="136"/>
      <c r="AN85" s="136"/>
    </row>
    <row r="86" spans="2:40">
      <c r="B86" s="161" t="s">
        <v>1190</v>
      </c>
      <c r="C86" s="131" t="s">
        <v>842</v>
      </c>
      <c r="E86" s="135"/>
      <c r="F86" s="135"/>
      <c r="G86" s="135"/>
      <c r="H86" s="135"/>
      <c r="I86" s="135"/>
      <c r="J86" s="135"/>
      <c r="K86" s="135"/>
      <c r="L86" s="135"/>
      <c r="M86" s="194">
        <v>0.17</v>
      </c>
      <c r="N86" s="159">
        <f>N93/N84</f>
        <v>0.16781500675980171</v>
      </c>
      <c r="O86" s="194">
        <v>0.16400000000000001</v>
      </c>
      <c r="P86" s="194">
        <v>0.16400000000000001</v>
      </c>
      <c r="Q86" s="194">
        <v>0.16500000000000001</v>
      </c>
      <c r="R86" s="194">
        <v>0.17199999999999999</v>
      </c>
      <c r="S86" s="194">
        <v>0.17</v>
      </c>
      <c r="T86" s="194">
        <v>0.16900000000000001</v>
      </c>
      <c r="U86" s="194">
        <v>0.16300000000000001</v>
      </c>
      <c r="V86" s="194">
        <v>0.16800000000000001</v>
      </c>
      <c r="W86" s="158">
        <v>0.16800000000000001</v>
      </c>
      <c r="X86" s="158">
        <v>0.16800000000000001</v>
      </c>
      <c r="Y86" s="158">
        <v>0.16800000000000001</v>
      </c>
      <c r="Z86" s="158">
        <v>0.16800000000000001</v>
      </c>
      <c r="AA86" s="158">
        <v>0.16800000000000001</v>
      </c>
      <c r="AB86" s="158">
        <v>0.16800000000000001</v>
      </c>
      <c r="AC86" s="158">
        <v>0.16800000000000001</v>
      </c>
      <c r="AD86" s="158">
        <v>0.16800000000000001</v>
      </c>
      <c r="AE86" s="158">
        <v>0.16800000000000001</v>
      </c>
      <c r="AF86" s="158">
        <v>0.16800000000000001</v>
      </c>
      <c r="AG86" s="158">
        <v>0.16800000000000001</v>
      </c>
      <c r="AH86" s="158">
        <v>0.16800000000000001</v>
      </c>
      <c r="AI86" s="158">
        <v>0.16800000000000001</v>
      </c>
      <c r="AJ86" s="158">
        <v>0.16800000000000001</v>
      </c>
      <c r="AK86" s="158">
        <v>0.16800000000000001</v>
      </c>
      <c r="AL86" s="158">
        <v>0.16800000000000001</v>
      </c>
      <c r="AM86" s="158">
        <v>0.16800000000000001</v>
      </c>
      <c r="AN86" s="158">
        <v>0.16800000000000001</v>
      </c>
    </row>
    <row r="87" spans="2:40">
      <c r="B87" s="161" t="s">
        <v>1189</v>
      </c>
      <c r="C87" s="131" t="s">
        <v>842</v>
      </c>
      <c r="E87" s="135"/>
      <c r="F87" s="135"/>
      <c r="G87" s="135"/>
      <c r="H87" s="135"/>
      <c r="I87" s="135"/>
      <c r="J87" s="135"/>
      <c r="K87" s="135"/>
      <c r="L87" s="135"/>
      <c r="M87" s="194">
        <v>0.13400000000000001</v>
      </c>
      <c r="N87" s="159">
        <f>N95/N84</f>
        <v>0.1351509689049121</v>
      </c>
      <c r="O87" s="194">
        <v>0.122</v>
      </c>
      <c r="P87" s="194">
        <v>0.124</v>
      </c>
      <c r="Q87" s="194">
        <v>0.121</v>
      </c>
      <c r="R87" s="194">
        <v>0.13300000000000001</v>
      </c>
      <c r="S87" s="194">
        <v>0.128</v>
      </c>
      <c r="T87" s="194">
        <v>0.13</v>
      </c>
      <c r="U87" s="194">
        <v>0.123</v>
      </c>
      <c r="V87" s="194">
        <v>0.129</v>
      </c>
      <c r="W87" s="159">
        <f t="shared" ref="W87:AL87" si="21">W86+W88</f>
        <v>0.128</v>
      </c>
      <c r="X87" s="159">
        <f t="shared" si="21"/>
        <v>0.1285</v>
      </c>
      <c r="Y87" s="159">
        <f t="shared" si="21"/>
        <v>0.128</v>
      </c>
      <c r="Z87" s="159">
        <f t="shared" si="21"/>
        <v>0.128</v>
      </c>
      <c r="AA87" s="159">
        <f t="shared" si="21"/>
        <v>0.128</v>
      </c>
      <c r="AB87" s="159">
        <f t="shared" si="21"/>
        <v>0.128</v>
      </c>
      <c r="AC87" s="159">
        <f t="shared" si="21"/>
        <v>0.128</v>
      </c>
      <c r="AD87" s="159">
        <f t="shared" si="21"/>
        <v>0.128</v>
      </c>
      <c r="AE87" s="159">
        <f t="shared" si="21"/>
        <v>0.128</v>
      </c>
      <c r="AF87" s="159">
        <f t="shared" si="21"/>
        <v>0.128</v>
      </c>
      <c r="AG87" s="159">
        <f t="shared" si="21"/>
        <v>0.128</v>
      </c>
      <c r="AH87" s="159">
        <f t="shared" si="21"/>
        <v>0.128</v>
      </c>
      <c r="AI87" s="159">
        <f t="shared" si="21"/>
        <v>0.128</v>
      </c>
      <c r="AJ87" s="159">
        <f t="shared" si="21"/>
        <v>0.128</v>
      </c>
      <c r="AK87" s="159">
        <f t="shared" si="21"/>
        <v>0.128</v>
      </c>
      <c r="AL87" s="159">
        <f t="shared" si="21"/>
        <v>0.128</v>
      </c>
      <c r="AM87" s="159">
        <f>AM86+AM88</f>
        <v>0.128</v>
      </c>
      <c r="AN87" s="159">
        <f>AN86+AN88</f>
        <v>0.128</v>
      </c>
    </row>
    <row r="88" spans="2:40">
      <c r="B88" s="161" t="s">
        <v>1206</v>
      </c>
      <c r="C88" s="131" t="s">
        <v>842</v>
      </c>
      <c r="E88" s="135"/>
      <c r="F88" s="135"/>
      <c r="G88" s="135"/>
      <c r="H88" s="135"/>
      <c r="I88" s="135"/>
      <c r="J88" s="135"/>
      <c r="K88" s="135"/>
      <c r="L88" s="135"/>
      <c r="M88" s="159">
        <f>M94/M84</f>
        <v>-3.6457501426126665E-2</v>
      </c>
      <c r="N88" s="159">
        <f>N94/N84</f>
        <v>-3.266403785488961E-2</v>
      </c>
      <c r="O88" s="194">
        <v>-4.2000000000000003E-2</v>
      </c>
      <c r="P88" s="194">
        <v>-0.04</v>
      </c>
      <c r="Q88" s="194">
        <v>-4.3999999999999997E-2</v>
      </c>
      <c r="R88" s="194">
        <v>-3.9E-2</v>
      </c>
      <c r="S88" s="194">
        <v>-4.2000000000000003E-2</v>
      </c>
      <c r="T88" s="194">
        <v>-3.9E-2</v>
      </c>
      <c r="U88" s="194">
        <v>-0.04</v>
      </c>
      <c r="V88" s="194">
        <v>-3.9E-2</v>
      </c>
      <c r="W88" s="158">
        <v>-0.04</v>
      </c>
      <c r="X88" s="158">
        <v>-3.95E-2</v>
      </c>
      <c r="Y88" s="158">
        <v>-0.04</v>
      </c>
      <c r="Z88" s="158">
        <v>-0.04</v>
      </c>
      <c r="AA88" s="158">
        <v>-0.04</v>
      </c>
      <c r="AB88" s="158">
        <v>-0.04</v>
      </c>
      <c r="AC88" s="158">
        <v>-0.04</v>
      </c>
      <c r="AD88" s="158">
        <v>-0.04</v>
      </c>
      <c r="AE88" s="158">
        <v>-0.04</v>
      </c>
      <c r="AF88" s="158">
        <v>-0.04</v>
      </c>
      <c r="AG88" s="158">
        <v>-0.04</v>
      </c>
      <c r="AH88" s="158">
        <v>-0.04</v>
      </c>
      <c r="AI88" s="158">
        <v>-0.04</v>
      </c>
      <c r="AJ88" s="158">
        <v>-0.04</v>
      </c>
      <c r="AK88" s="158">
        <v>-0.04</v>
      </c>
      <c r="AL88" s="158">
        <v>-0.04</v>
      </c>
      <c r="AM88" s="158">
        <v>-0.04</v>
      </c>
      <c r="AN88" s="158">
        <v>-0.04</v>
      </c>
    </row>
    <row r="89" spans="2:40">
      <c r="B89" s="161"/>
      <c r="C89" s="131"/>
      <c r="E89" s="135"/>
      <c r="F89" s="135"/>
      <c r="G89" s="135"/>
      <c r="H89" s="135"/>
      <c r="I89" s="135"/>
      <c r="J89" s="135"/>
      <c r="K89" s="135"/>
      <c r="L89" s="135"/>
      <c r="M89" s="194"/>
      <c r="N89" s="135"/>
      <c r="O89" s="194"/>
      <c r="P89" s="135"/>
      <c r="Q89" s="135"/>
      <c r="R89" s="136"/>
      <c r="S89" s="136"/>
      <c r="T89" s="136"/>
      <c r="U89" s="136"/>
      <c r="V89" s="136"/>
      <c r="W89" s="136"/>
      <c r="X89" s="136"/>
      <c r="Y89" s="136"/>
      <c r="Z89" s="136"/>
      <c r="AA89" s="136"/>
      <c r="AB89" s="136"/>
      <c r="AC89" s="136"/>
      <c r="AD89" s="136"/>
      <c r="AE89" s="136"/>
      <c r="AF89" s="136"/>
      <c r="AG89" s="136"/>
      <c r="AH89" s="136"/>
      <c r="AI89" s="136"/>
      <c r="AJ89" s="136"/>
      <c r="AK89" s="136"/>
      <c r="AL89" s="136"/>
      <c r="AM89" s="136"/>
      <c r="AN89" s="136"/>
    </row>
    <row r="90" spans="2:40">
      <c r="B90" s="162" t="s">
        <v>1209</v>
      </c>
      <c r="C90" s="131" t="s">
        <v>842</v>
      </c>
      <c r="E90" s="135"/>
      <c r="F90" s="135"/>
      <c r="G90" s="135"/>
      <c r="H90" s="135"/>
      <c r="I90" s="135"/>
      <c r="J90" s="135"/>
      <c r="K90" s="493" t="s">
        <v>1213</v>
      </c>
      <c r="L90" s="194">
        <v>0.16600000000000001</v>
      </c>
      <c r="M90" s="493" t="s">
        <v>1207</v>
      </c>
      <c r="N90" s="194">
        <v>0.16900000000000001</v>
      </c>
      <c r="O90" s="493" t="s">
        <v>1208</v>
      </c>
      <c r="P90" s="194">
        <v>0.16400000000000001</v>
      </c>
      <c r="Q90" s="493" t="s">
        <v>1519</v>
      </c>
      <c r="R90" s="194">
        <v>0.16800000000000001</v>
      </c>
      <c r="S90" s="493" t="s">
        <v>1613</v>
      </c>
      <c r="T90" s="194">
        <v>0.17</v>
      </c>
      <c r="U90" s="136"/>
      <c r="V90" s="194">
        <v>0.16600000000000001</v>
      </c>
      <c r="W90" s="136"/>
      <c r="X90" s="159">
        <f>X93/X84</f>
        <v>0.16800000000000001</v>
      </c>
      <c r="Y90" s="136"/>
      <c r="Z90" s="159">
        <f>Z93/Z84</f>
        <v>0.16800000000000001</v>
      </c>
      <c r="AA90" s="136"/>
      <c r="AB90" s="159">
        <f>AB93/AB84</f>
        <v>0.16800000000000001</v>
      </c>
      <c r="AC90" s="136"/>
      <c r="AD90" s="159">
        <f>AD93/AD84</f>
        <v>0.16800000000000001</v>
      </c>
      <c r="AE90" s="136"/>
      <c r="AF90" s="159">
        <f>AF93/AF84</f>
        <v>0.16800000000000001</v>
      </c>
      <c r="AG90" s="136"/>
      <c r="AH90" s="159">
        <f>AH93/AH84</f>
        <v>0.16800000000000001</v>
      </c>
      <c r="AI90" s="136"/>
      <c r="AJ90" s="159">
        <f>AJ93/AJ84</f>
        <v>0.16800000000000001</v>
      </c>
      <c r="AK90" s="136"/>
      <c r="AL90" s="159">
        <f>AL93/AL84</f>
        <v>0.16800000000000001</v>
      </c>
      <c r="AM90" s="136"/>
      <c r="AN90" s="159">
        <f>AN93/AN84</f>
        <v>0.16800000000000001</v>
      </c>
    </row>
    <row r="91" spans="2:40">
      <c r="B91" s="162" t="s">
        <v>1210</v>
      </c>
      <c r="C91" s="131" t="s">
        <v>842</v>
      </c>
      <c r="E91" s="135"/>
      <c r="F91" s="135"/>
      <c r="G91" s="135"/>
      <c r="H91" s="135"/>
      <c r="I91" s="135"/>
      <c r="J91" s="135"/>
      <c r="K91" s="135"/>
      <c r="L91" s="194">
        <v>0.13600000000000001</v>
      </c>
      <c r="M91" s="194"/>
      <c r="N91" s="194">
        <v>0.13400000000000001</v>
      </c>
      <c r="O91" s="194"/>
      <c r="P91" s="194">
        <v>0.123</v>
      </c>
      <c r="Q91" s="136"/>
      <c r="R91" s="194">
        <v>0.127</v>
      </c>
      <c r="S91" s="136"/>
      <c r="T91" s="194">
        <v>0.129</v>
      </c>
      <c r="U91" s="136"/>
      <c r="V91" s="194">
        <v>0.126</v>
      </c>
      <c r="W91" s="136"/>
      <c r="X91" s="159">
        <f>X95/X84</f>
        <v>0.1285</v>
      </c>
      <c r="Y91" s="136"/>
      <c r="Z91" s="159">
        <f>Z95/Z84</f>
        <v>0.12799999999999997</v>
      </c>
      <c r="AA91" s="136"/>
      <c r="AB91" s="159">
        <f>AB95/AB84</f>
        <v>0.128</v>
      </c>
      <c r="AC91" s="136"/>
      <c r="AD91" s="159">
        <f>AD95/AD84</f>
        <v>0.12800000000000003</v>
      </c>
      <c r="AE91" s="136"/>
      <c r="AF91" s="159">
        <f>AF95/AF84</f>
        <v>0.12799999999999997</v>
      </c>
      <c r="AG91" s="136"/>
      <c r="AH91" s="159">
        <f>AH95/AH84</f>
        <v>0.128</v>
      </c>
      <c r="AI91" s="136"/>
      <c r="AJ91" s="159">
        <f>AJ95/AJ84</f>
        <v>0.128</v>
      </c>
      <c r="AK91" s="136"/>
      <c r="AL91" s="159">
        <f>AL95/AL84</f>
        <v>0.128</v>
      </c>
      <c r="AM91" s="136"/>
      <c r="AN91" s="159">
        <f>AN95/AN84</f>
        <v>0.12800000000000003</v>
      </c>
    </row>
    <row r="92" spans="2:40" s="199" customFormat="1">
      <c r="B92" s="226"/>
      <c r="C92" s="201"/>
      <c r="E92" s="491"/>
      <c r="F92" s="491"/>
      <c r="G92" s="491"/>
      <c r="H92" s="491"/>
      <c r="I92" s="491"/>
      <c r="J92" s="491"/>
      <c r="K92" s="491"/>
      <c r="L92" s="491"/>
      <c r="M92" s="491"/>
      <c r="N92" s="491"/>
      <c r="O92" s="491"/>
      <c r="P92" s="491"/>
      <c r="Q92" s="491"/>
      <c r="R92" s="491"/>
      <c r="S92" s="491"/>
      <c r="T92" s="491"/>
      <c r="U92" s="491"/>
      <c r="V92" s="491"/>
      <c r="W92" s="491"/>
      <c r="X92" s="491"/>
      <c r="Y92" s="491"/>
      <c r="Z92" s="491"/>
      <c r="AA92" s="491"/>
      <c r="AB92" s="491"/>
      <c r="AC92" s="491"/>
      <c r="AD92" s="491"/>
      <c r="AE92" s="491"/>
      <c r="AF92" s="491"/>
      <c r="AG92" s="491"/>
      <c r="AH92" s="491"/>
      <c r="AI92" s="491"/>
      <c r="AJ92" s="491"/>
      <c r="AK92" s="491"/>
      <c r="AL92" s="491"/>
      <c r="AM92" s="491"/>
      <c r="AN92" s="491"/>
    </row>
    <row r="93" spans="2:40" s="3" customFormat="1">
      <c r="B93" s="482" t="s">
        <v>1194</v>
      </c>
      <c r="C93" s="163" t="s">
        <v>900</v>
      </c>
      <c r="E93" s="485"/>
      <c r="F93" s="485"/>
      <c r="G93" s="485"/>
      <c r="H93" s="485"/>
      <c r="I93" s="485"/>
      <c r="J93" s="485"/>
      <c r="K93" s="485"/>
      <c r="L93" s="485"/>
      <c r="M93" s="222">
        <f>M84*M86</f>
        <v>894.03000000000009</v>
      </c>
      <c r="N93" s="798">
        <v>744.76300000000003</v>
      </c>
      <c r="O93" s="222">
        <f t="shared" ref="O93:U93" si="22">O84*O86</f>
        <v>806.96199999999999</v>
      </c>
      <c r="P93" s="222">
        <f t="shared" si="22"/>
        <v>712.77680000000009</v>
      </c>
      <c r="Q93" s="222">
        <f t="shared" si="22"/>
        <v>780.64800000000002</v>
      </c>
      <c r="R93" s="222">
        <f t="shared" si="22"/>
        <v>701.39880000000005</v>
      </c>
      <c r="S93" s="222">
        <f t="shared" si="22"/>
        <v>740.16300000000001</v>
      </c>
      <c r="T93" s="222">
        <f t="shared" si="22"/>
        <v>680.73200000000008</v>
      </c>
      <c r="U93" s="222">
        <f t="shared" si="22"/>
        <v>707.9742</v>
      </c>
      <c r="V93" s="222">
        <f>V84*V86</f>
        <v>689.28719999999998</v>
      </c>
      <c r="W93" s="222">
        <f t="shared" ref="W93:AL93" si="23">W84*W86</f>
        <v>742.82564160000004</v>
      </c>
      <c r="X93" s="222">
        <f t="shared" si="23"/>
        <v>695.49078479999991</v>
      </c>
      <c r="Y93" s="222">
        <f t="shared" si="23"/>
        <v>750.25389801599999</v>
      </c>
      <c r="Z93" s="222">
        <f t="shared" si="23"/>
        <v>716.35550834399987</v>
      </c>
      <c r="AA93" s="222">
        <f t="shared" si="23"/>
        <v>765.25897597632002</v>
      </c>
      <c r="AB93" s="222">
        <f t="shared" si="23"/>
        <v>730.68261851087993</v>
      </c>
      <c r="AC93" s="222">
        <f t="shared" si="23"/>
        <v>788.21674525560957</v>
      </c>
      <c r="AD93" s="222">
        <f t="shared" si="23"/>
        <v>752.60309706620649</v>
      </c>
      <c r="AE93" s="222">
        <f t="shared" si="23"/>
        <v>811.86324761327785</v>
      </c>
      <c r="AF93" s="222">
        <f t="shared" si="23"/>
        <v>775.18118997819261</v>
      </c>
      <c r="AG93" s="222">
        <f t="shared" si="23"/>
        <v>836.21914504167614</v>
      </c>
      <c r="AH93" s="222">
        <f t="shared" si="23"/>
        <v>798.43662567753847</v>
      </c>
      <c r="AI93" s="222">
        <f t="shared" si="23"/>
        <v>861.30571939292633</v>
      </c>
      <c r="AJ93" s="222">
        <f t="shared" si="23"/>
        <v>822.38972444786464</v>
      </c>
      <c r="AK93" s="222">
        <f t="shared" si="23"/>
        <v>887.14489097471426</v>
      </c>
      <c r="AL93" s="222">
        <f t="shared" si="23"/>
        <v>847.0614161813005</v>
      </c>
      <c r="AM93" s="222">
        <f>AM84*AM86</f>
        <v>913.75923770395571</v>
      </c>
      <c r="AN93" s="222">
        <f>AN84*AN86</f>
        <v>872.47325866673964</v>
      </c>
    </row>
    <row r="94" spans="2:40">
      <c r="B94" s="162" t="s">
        <v>1195</v>
      </c>
      <c r="C94" s="82" t="s">
        <v>900</v>
      </c>
      <c r="E94" s="135"/>
      <c r="F94" s="135"/>
      <c r="G94" s="135"/>
      <c r="H94" s="135"/>
      <c r="I94" s="135"/>
      <c r="J94" s="135"/>
      <c r="K94" s="135"/>
      <c r="L94" s="135"/>
      <c r="M94" s="136">
        <f t="shared" ref="M94:U94" si="24">M95-M93</f>
        <v>-191.73000000000013</v>
      </c>
      <c r="N94" s="136">
        <f t="shared" si="24"/>
        <v>-144.96300000000008</v>
      </c>
      <c r="O94" s="136">
        <f t="shared" si="24"/>
        <v>-207.76199999999994</v>
      </c>
      <c r="P94" s="136">
        <f t="shared" si="24"/>
        <v>-169.87680000000023</v>
      </c>
      <c r="Q94" s="136">
        <f t="shared" si="24"/>
        <v>-207.74800000000005</v>
      </c>
      <c r="R94" s="136">
        <f t="shared" si="24"/>
        <v>-157.89879999999994</v>
      </c>
      <c r="S94" s="136">
        <f t="shared" si="24"/>
        <v>-182.26300000000003</v>
      </c>
      <c r="T94" s="136">
        <f t="shared" si="24"/>
        <v>-157.43200000000002</v>
      </c>
      <c r="U94" s="136">
        <f t="shared" si="24"/>
        <v>-175.07420000000002</v>
      </c>
      <c r="V94" s="136">
        <f>V95-V93</f>
        <v>-158.58720000000005</v>
      </c>
      <c r="W94" s="488">
        <f t="shared" ref="W94:AL94" si="25">W88*W84</f>
        <v>-176.863248</v>
      </c>
      <c r="X94" s="488">
        <f t="shared" si="25"/>
        <v>-163.52313094999997</v>
      </c>
      <c r="Y94" s="488">
        <f t="shared" si="25"/>
        <v>-178.63188048000001</v>
      </c>
      <c r="Z94" s="488">
        <f t="shared" si="25"/>
        <v>-170.56083531999997</v>
      </c>
      <c r="AA94" s="488">
        <f t="shared" si="25"/>
        <v>-182.20451808959999</v>
      </c>
      <c r="AB94" s="488">
        <f t="shared" si="25"/>
        <v>-173.97205202639998</v>
      </c>
      <c r="AC94" s="488">
        <f t="shared" si="25"/>
        <v>-187.67065363228798</v>
      </c>
      <c r="AD94" s="488">
        <f t="shared" si="25"/>
        <v>-179.19121358719201</v>
      </c>
      <c r="AE94" s="488">
        <f t="shared" si="25"/>
        <v>-193.30077324125662</v>
      </c>
      <c r="AF94" s="488">
        <f t="shared" si="25"/>
        <v>-184.56694999480777</v>
      </c>
      <c r="AG94" s="488">
        <f t="shared" si="25"/>
        <v>-199.09979643849431</v>
      </c>
      <c r="AH94" s="488">
        <f t="shared" si="25"/>
        <v>-190.10395849465201</v>
      </c>
      <c r="AI94" s="488">
        <f t="shared" si="25"/>
        <v>-205.07279033164912</v>
      </c>
      <c r="AJ94" s="488">
        <f t="shared" si="25"/>
        <v>-195.80707724949156</v>
      </c>
      <c r="AK94" s="488">
        <f t="shared" si="25"/>
        <v>-211.22497404159861</v>
      </c>
      <c r="AL94" s="488">
        <f t="shared" si="25"/>
        <v>-201.68128956697632</v>
      </c>
      <c r="AM94" s="488">
        <f>AM88*AM84</f>
        <v>-217.56172326284658</v>
      </c>
      <c r="AN94" s="488">
        <f>AN88*AN84</f>
        <v>-207.73172825398561</v>
      </c>
    </row>
    <row r="95" spans="2:40" s="3" customFormat="1">
      <c r="B95" s="482" t="s">
        <v>1517</v>
      </c>
      <c r="C95" s="163" t="s">
        <v>900</v>
      </c>
      <c r="E95" s="485"/>
      <c r="F95" s="485"/>
      <c r="G95" s="485"/>
      <c r="H95" s="485"/>
      <c r="I95" s="485"/>
      <c r="J95" s="485"/>
      <c r="K95" s="485"/>
      <c r="L95" s="485"/>
      <c r="M95" s="485">
        <v>702.3</v>
      </c>
      <c r="N95" s="485">
        <f>1302.1-M95</f>
        <v>599.79999999999995</v>
      </c>
      <c r="O95" s="485">
        <v>599.20000000000005</v>
      </c>
      <c r="P95" s="485">
        <f>1142.1-O95</f>
        <v>542.89999999999986</v>
      </c>
      <c r="Q95" s="485">
        <v>572.9</v>
      </c>
      <c r="R95" s="485">
        <f>1116.4-Q95</f>
        <v>543.50000000000011</v>
      </c>
      <c r="S95" s="485">
        <v>557.9</v>
      </c>
      <c r="T95" s="485">
        <f>1081.2-S95</f>
        <v>523.30000000000007</v>
      </c>
      <c r="U95" s="485">
        <v>532.9</v>
      </c>
      <c r="V95" s="485">
        <f>1063.6-U95</f>
        <v>530.69999999999993</v>
      </c>
      <c r="W95" s="222">
        <f t="shared" ref="W95:AL95" si="26">SUM(W93:W94)</f>
        <v>565.96239360000004</v>
      </c>
      <c r="X95" s="222">
        <f t="shared" si="26"/>
        <v>531.96765384999992</v>
      </c>
      <c r="Y95" s="222">
        <f t="shared" si="26"/>
        <v>571.62201753599993</v>
      </c>
      <c r="Z95" s="222">
        <f t="shared" si="26"/>
        <v>545.79467302399985</v>
      </c>
      <c r="AA95" s="222">
        <f t="shared" si="26"/>
        <v>583.05445788672</v>
      </c>
      <c r="AB95" s="222">
        <f t="shared" si="26"/>
        <v>556.71056648447995</v>
      </c>
      <c r="AC95" s="222">
        <f t="shared" si="26"/>
        <v>600.54609162332156</v>
      </c>
      <c r="AD95" s="222">
        <f t="shared" si="26"/>
        <v>573.41188347901448</v>
      </c>
      <c r="AE95" s="222">
        <f t="shared" si="26"/>
        <v>618.56247437202126</v>
      </c>
      <c r="AF95" s="222">
        <f t="shared" si="26"/>
        <v>590.61423998338478</v>
      </c>
      <c r="AG95" s="222">
        <f t="shared" si="26"/>
        <v>637.11934860318183</v>
      </c>
      <c r="AH95" s="222">
        <f t="shared" si="26"/>
        <v>608.33266718288644</v>
      </c>
      <c r="AI95" s="222">
        <f t="shared" si="26"/>
        <v>656.23292906127722</v>
      </c>
      <c r="AJ95" s="222">
        <f t="shared" si="26"/>
        <v>626.58264719837302</v>
      </c>
      <c r="AK95" s="222">
        <f t="shared" si="26"/>
        <v>675.9199169331157</v>
      </c>
      <c r="AL95" s="222">
        <f t="shared" si="26"/>
        <v>645.38012661432413</v>
      </c>
      <c r="AM95" s="222">
        <f>SUM(AM93:AM94)</f>
        <v>696.19751444110909</v>
      </c>
      <c r="AN95" s="222">
        <f>SUM(AN93:AN94)</f>
        <v>664.74153041275406</v>
      </c>
    </row>
    <row r="96" spans="2:40" s="3" customFormat="1">
      <c r="B96" s="162" t="s">
        <v>1200</v>
      </c>
      <c r="C96" s="131" t="s">
        <v>842</v>
      </c>
      <c r="E96" s="485"/>
      <c r="F96" s="485"/>
      <c r="G96" s="485"/>
      <c r="H96" s="485"/>
      <c r="I96" s="485"/>
      <c r="J96" s="485"/>
      <c r="K96" s="485"/>
      <c r="L96" s="485"/>
      <c r="M96" s="159">
        <f t="shared" ref="M96:AL96" si="27">M94/M95</f>
        <v>-0.27300299017513902</v>
      </c>
      <c r="N96" s="159">
        <f t="shared" si="27"/>
        <v>-0.24168556185395146</v>
      </c>
      <c r="O96" s="159">
        <f t="shared" si="27"/>
        <v>-0.34673230974632829</v>
      </c>
      <c r="P96" s="159">
        <f t="shared" si="27"/>
        <v>-0.31290624424387598</v>
      </c>
      <c r="Q96" s="159">
        <f>Q94/Q95</f>
        <v>-0.3626252400069821</v>
      </c>
      <c r="R96" s="159">
        <f t="shared" si="27"/>
        <v>-0.29052217111315531</v>
      </c>
      <c r="S96" s="159">
        <f>S94/S95</f>
        <v>-0.32669474816275323</v>
      </c>
      <c r="T96" s="159">
        <f>T94/T95</f>
        <v>-0.30084463978597364</v>
      </c>
      <c r="U96" s="159">
        <f>U94/U95</f>
        <v>-0.32853105648339281</v>
      </c>
      <c r="V96" s="159">
        <f>V94/V95</f>
        <v>-0.29882645562464683</v>
      </c>
      <c r="W96" s="159">
        <f t="shared" si="27"/>
        <v>-0.3125</v>
      </c>
      <c r="X96" s="159">
        <f t="shared" si="27"/>
        <v>-0.30739299610894938</v>
      </c>
      <c r="Y96" s="159">
        <f t="shared" si="27"/>
        <v>-0.31250000000000006</v>
      </c>
      <c r="Z96" s="159">
        <f t="shared" si="27"/>
        <v>-0.3125</v>
      </c>
      <c r="AA96" s="159">
        <f t="shared" si="27"/>
        <v>-0.3125</v>
      </c>
      <c r="AB96" s="159">
        <f t="shared" si="27"/>
        <v>-0.3125</v>
      </c>
      <c r="AC96" s="159">
        <f t="shared" si="27"/>
        <v>-0.3125</v>
      </c>
      <c r="AD96" s="159">
        <f t="shared" si="27"/>
        <v>-0.3125</v>
      </c>
      <c r="AE96" s="159">
        <f t="shared" si="27"/>
        <v>-0.31249999999999994</v>
      </c>
      <c r="AF96" s="159">
        <f t="shared" si="27"/>
        <v>-0.31250000000000006</v>
      </c>
      <c r="AG96" s="159">
        <f t="shared" si="27"/>
        <v>-0.3125</v>
      </c>
      <c r="AH96" s="159">
        <f t="shared" si="27"/>
        <v>-0.3125</v>
      </c>
      <c r="AI96" s="159">
        <f t="shared" si="27"/>
        <v>-0.3125</v>
      </c>
      <c r="AJ96" s="159">
        <f t="shared" si="27"/>
        <v>-0.3125</v>
      </c>
      <c r="AK96" s="159">
        <f t="shared" si="27"/>
        <v>-0.31249999999999994</v>
      </c>
      <c r="AL96" s="159">
        <f t="shared" si="27"/>
        <v>-0.31250000000000006</v>
      </c>
      <c r="AM96" s="159">
        <f>AM94/AM95</f>
        <v>-0.3125</v>
      </c>
      <c r="AN96" s="159">
        <f>AN94/AN95</f>
        <v>-0.31249999999999994</v>
      </c>
    </row>
    <row r="97" spans="1:40" s="3" customFormat="1">
      <c r="B97" s="482"/>
      <c r="C97" s="484"/>
      <c r="E97" s="485"/>
      <c r="F97" s="485"/>
      <c r="G97" s="485"/>
      <c r="H97" s="485"/>
      <c r="I97" s="485"/>
      <c r="J97" s="485"/>
      <c r="K97" s="485"/>
      <c r="L97" s="485"/>
      <c r="M97" s="485"/>
      <c r="N97" s="485"/>
      <c r="O97" s="485"/>
      <c r="P97" s="485"/>
      <c r="Q97" s="222"/>
      <c r="R97" s="222"/>
      <c r="S97" s="222"/>
      <c r="T97" s="222"/>
      <c r="U97" s="222"/>
      <c r="V97" s="222"/>
      <c r="W97" s="222"/>
      <c r="X97" s="222"/>
      <c r="Y97" s="222"/>
      <c r="Z97" s="222"/>
      <c r="AA97" s="222"/>
      <c r="AB97" s="222"/>
      <c r="AC97" s="222"/>
      <c r="AD97" s="222"/>
      <c r="AE97" s="222"/>
      <c r="AF97" s="222"/>
      <c r="AG97" s="222"/>
      <c r="AH97" s="222"/>
      <c r="AI97" s="222"/>
      <c r="AJ97" s="222"/>
      <c r="AK97" s="222"/>
      <c r="AL97" s="222"/>
      <c r="AM97" s="222"/>
      <c r="AN97" s="222"/>
    </row>
    <row r="98" spans="1:40">
      <c r="A98" s="3"/>
      <c r="B98" s="162" t="s">
        <v>3</v>
      </c>
      <c r="C98" s="82" t="s">
        <v>900</v>
      </c>
      <c r="E98" s="135"/>
      <c r="F98" s="135"/>
      <c r="G98" s="135"/>
      <c r="H98" s="135"/>
      <c r="I98" s="135"/>
      <c r="J98" s="135"/>
      <c r="K98" s="135"/>
      <c r="L98" s="135"/>
      <c r="M98" s="135">
        <v>-122.4</v>
      </c>
      <c r="N98" s="135">
        <f>-228.6-M98</f>
        <v>-106.19999999999999</v>
      </c>
      <c r="O98" s="135">
        <v>-106.2</v>
      </c>
      <c r="P98" s="135">
        <f>-199.4-O98</f>
        <v>-93.2</v>
      </c>
      <c r="Q98" s="135">
        <v>-99.5</v>
      </c>
      <c r="R98" s="135">
        <f>-194.4-Q98</f>
        <v>-94.9</v>
      </c>
      <c r="S98" s="135">
        <v>-18.3</v>
      </c>
      <c r="T98" s="135">
        <f>-(11.5)-S98</f>
        <v>6.8000000000000007</v>
      </c>
      <c r="U98" s="135">
        <v>4</v>
      </c>
      <c r="V98" s="135">
        <f>9.2-U98</f>
        <v>5.1999999999999993</v>
      </c>
      <c r="W98" s="256">
        <f t="shared" ref="W98:AN98" si="28">V98</f>
        <v>5.1999999999999993</v>
      </c>
      <c r="X98" s="256">
        <f t="shared" si="28"/>
        <v>5.1999999999999993</v>
      </c>
      <c r="Y98" s="256">
        <f t="shared" si="28"/>
        <v>5.1999999999999993</v>
      </c>
      <c r="Z98" s="256">
        <f t="shared" si="28"/>
        <v>5.1999999999999993</v>
      </c>
      <c r="AA98" s="256">
        <f t="shared" si="28"/>
        <v>5.1999999999999993</v>
      </c>
      <c r="AB98" s="256">
        <f t="shared" si="28"/>
        <v>5.1999999999999993</v>
      </c>
      <c r="AC98" s="256">
        <f t="shared" si="28"/>
        <v>5.1999999999999993</v>
      </c>
      <c r="AD98" s="256">
        <f t="shared" si="28"/>
        <v>5.1999999999999993</v>
      </c>
      <c r="AE98" s="256">
        <f t="shared" si="28"/>
        <v>5.1999999999999993</v>
      </c>
      <c r="AF98" s="256">
        <f t="shared" si="28"/>
        <v>5.1999999999999993</v>
      </c>
      <c r="AG98" s="256">
        <f t="shared" si="28"/>
        <v>5.1999999999999993</v>
      </c>
      <c r="AH98" s="256">
        <f t="shared" si="28"/>
        <v>5.1999999999999993</v>
      </c>
      <c r="AI98" s="256">
        <f t="shared" si="28"/>
        <v>5.1999999999999993</v>
      </c>
      <c r="AJ98" s="256">
        <f t="shared" si="28"/>
        <v>5.1999999999999993</v>
      </c>
      <c r="AK98" s="256">
        <f t="shared" si="28"/>
        <v>5.1999999999999993</v>
      </c>
      <c r="AL98" s="256">
        <f t="shared" si="28"/>
        <v>5.1999999999999993</v>
      </c>
      <c r="AM98" s="256">
        <f t="shared" si="28"/>
        <v>5.1999999999999993</v>
      </c>
      <c r="AN98" s="256">
        <f t="shared" si="28"/>
        <v>5.1999999999999993</v>
      </c>
    </row>
    <row r="99" spans="1:40" s="3" customFormat="1">
      <c r="B99" s="183" t="s">
        <v>1211</v>
      </c>
      <c r="C99" s="131" t="s">
        <v>842</v>
      </c>
      <c r="E99" s="485"/>
      <c r="F99" s="485"/>
      <c r="G99" s="485"/>
      <c r="H99" s="485"/>
      <c r="I99" s="485"/>
      <c r="J99" s="485"/>
      <c r="K99" s="485"/>
      <c r="L99" s="485"/>
      <c r="M99" s="159">
        <f t="shared" ref="M99:R99" si="29">M98/M95</f>
        <v>-0.17428449380606581</v>
      </c>
      <c r="N99" s="159">
        <f t="shared" si="29"/>
        <v>-0.1770590196732244</v>
      </c>
      <c r="O99" s="159">
        <f t="shared" si="29"/>
        <v>-0.17723631508678236</v>
      </c>
      <c r="P99" s="159">
        <f t="shared" si="29"/>
        <v>-0.17167065757966482</v>
      </c>
      <c r="Q99" s="159">
        <f t="shared" si="29"/>
        <v>-0.17367777971722814</v>
      </c>
      <c r="R99" s="159">
        <f t="shared" si="29"/>
        <v>-0.17460901563937439</v>
      </c>
      <c r="S99" s="159">
        <f t="shared" ref="S99:AN99" si="30">S98/S95</f>
        <v>-3.2801577343609965E-2</v>
      </c>
      <c r="T99" s="159">
        <f t="shared" si="30"/>
        <v>1.2994458245748136E-2</v>
      </c>
      <c r="U99" s="159">
        <f>U98/U95</f>
        <v>7.5060987051979739E-3</v>
      </c>
      <c r="V99" s="159">
        <f>V98/V95</f>
        <v>9.7983794987752029E-3</v>
      </c>
      <c r="W99" s="159">
        <f t="shared" si="30"/>
        <v>9.1878896174065489E-3</v>
      </c>
      <c r="X99" s="159">
        <f t="shared" si="30"/>
        <v>9.7750304221809973E-3</v>
      </c>
      <c r="Y99" s="159">
        <f t="shared" si="30"/>
        <v>9.0969204132738124E-3</v>
      </c>
      <c r="Z99" s="159">
        <f t="shared" si="30"/>
        <v>9.5273923638520813E-3</v>
      </c>
      <c r="AA99" s="159">
        <f t="shared" si="30"/>
        <v>8.9185494247782469E-3</v>
      </c>
      <c r="AB99" s="159">
        <f t="shared" si="30"/>
        <v>9.3405807488745867E-3</v>
      </c>
      <c r="AC99" s="159">
        <f t="shared" si="30"/>
        <v>8.6587858492992702E-3</v>
      </c>
      <c r="AD99" s="159">
        <f t="shared" si="30"/>
        <v>9.0685249989073645E-3</v>
      </c>
      <c r="AE99" s="159">
        <f t="shared" si="30"/>
        <v>8.4065882032031743E-3</v>
      </c>
      <c r="AF99" s="159">
        <f t="shared" si="30"/>
        <v>8.8043932028226846E-3</v>
      </c>
      <c r="AG99" s="159">
        <f t="shared" si="30"/>
        <v>8.1617361196147323E-3</v>
      </c>
      <c r="AH99" s="159">
        <f t="shared" si="30"/>
        <v>8.5479545658472666E-3</v>
      </c>
      <c r="AI99" s="159">
        <f t="shared" si="30"/>
        <v>7.9240156501113913E-3</v>
      </c>
      <c r="AJ99" s="159">
        <f t="shared" si="30"/>
        <v>8.2989850153856945E-3</v>
      </c>
      <c r="AK99" s="159">
        <f t="shared" si="30"/>
        <v>7.6932190777780482E-3</v>
      </c>
      <c r="AL99" s="159">
        <f t="shared" si="30"/>
        <v>8.0572670052288312E-3</v>
      </c>
      <c r="AM99" s="159">
        <f t="shared" si="30"/>
        <v>7.469144735706844E-3</v>
      </c>
      <c r="AN99" s="159">
        <f t="shared" si="30"/>
        <v>7.8225893254648821E-3</v>
      </c>
    </row>
    <row r="100" spans="1:40" s="3" customFormat="1">
      <c r="B100" s="183" t="s">
        <v>978</v>
      </c>
      <c r="C100" s="131" t="s">
        <v>842</v>
      </c>
      <c r="E100" s="485"/>
      <c r="F100" s="485"/>
      <c r="G100" s="485"/>
      <c r="H100" s="485"/>
      <c r="I100" s="485"/>
      <c r="J100" s="485"/>
      <c r="K100" s="485"/>
      <c r="L100" s="485"/>
      <c r="M100" s="159"/>
      <c r="N100" s="159"/>
      <c r="O100" s="159">
        <f t="shared" ref="O100:V100" si="31">O98/M98-1</f>
        <v>-0.13235294117647056</v>
      </c>
      <c r="P100" s="159">
        <f t="shared" si="31"/>
        <v>-0.12241054613935953</v>
      </c>
      <c r="Q100" s="159">
        <f t="shared" si="31"/>
        <v>-6.3088512241054606E-2</v>
      </c>
      <c r="R100" s="159">
        <f t="shared" si="31"/>
        <v>1.8240343347639465E-2</v>
      </c>
      <c r="S100" s="159">
        <f t="shared" si="31"/>
        <v>-0.81608040201005028</v>
      </c>
      <c r="T100" s="159">
        <f t="shared" si="31"/>
        <v>-1.0716543730242361</v>
      </c>
      <c r="U100" s="159">
        <f t="shared" si="31"/>
        <v>-1.2185792349726776</v>
      </c>
      <c r="V100" s="159">
        <f t="shared" si="31"/>
        <v>-0.23529411764705899</v>
      </c>
      <c r="W100" s="159"/>
      <c r="X100" s="159"/>
      <c r="Y100" s="159"/>
      <c r="Z100" s="159"/>
      <c r="AA100" s="159"/>
      <c r="AB100" s="159"/>
      <c r="AC100" s="159"/>
      <c r="AD100" s="159"/>
      <c r="AE100" s="159"/>
      <c r="AF100" s="159"/>
      <c r="AG100" s="159"/>
      <c r="AH100" s="159"/>
      <c r="AI100" s="159"/>
      <c r="AJ100" s="159"/>
      <c r="AK100" s="159"/>
      <c r="AL100" s="159"/>
      <c r="AM100" s="159"/>
      <c r="AN100" s="159"/>
    </row>
    <row r="101" spans="1:40" s="3" customFormat="1">
      <c r="B101" s="162"/>
      <c r="C101" s="484"/>
      <c r="E101" s="485"/>
      <c r="F101" s="485"/>
      <c r="G101" s="485"/>
      <c r="H101" s="485"/>
      <c r="I101" s="485"/>
      <c r="J101" s="485"/>
      <c r="K101" s="485"/>
      <c r="L101" s="485"/>
      <c r="M101" s="159"/>
      <c r="N101" s="159"/>
      <c r="O101" s="136"/>
      <c r="P101" s="159"/>
      <c r="Q101" s="136"/>
      <c r="R101" s="159"/>
      <c r="S101" s="136"/>
      <c r="T101" s="159"/>
      <c r="U101" s="136"/>
      <c r="V101" s="159"/>
      <c r="W101" s="159"/>
      <c r="X101" s="159"/>
      <c r="Y101" s="159"/>
      <c r="Z101" s="159"/>
      <c r="AA101" s="159"/>
      <c r="AB101" s="159"/>
      <c r="AC101" s="159"/>
      <c r="AD101" s="159"/>
      <c r="AE101" s="159"/>
      <c r="AF101" s="159"/>
      <c r="AG101" s="159"/>
      <c r="AH101" s="159"/>
      <c r="AI101" s="159"/>
      <c r="AJ101" s="159"/>
      <c r="AK101" s="159"/>
      <c r="AL101" s="159"/>
      <c r="AM101" s="159"/>
      <c r="AN101" s="159"/>
    </row>
    <row r="102" spans="1:40" s="3" customFormat="1">
      <c r="B102" s="482" t="s">
        <v>1185</v>
      </c>
      <c r="C102" s="163" t="s">
        <v>900</v>
      </c>
      <c r="E102" s="485"/>
      <c r="F102" s="485"/>
      <c r="G102" s="485"/>
      <c r="H102" s="485"/>
      <c r="I102" s="485"/>
      <c r="J102" s="485"/>
      <c r="K102" s="485"/>
      <c r="L102" s="485"/>
      <c r="M102" s="485">
        <v>579.9</v>
      </c>
      <c r="N102" s="485">
        <f>1073.5-M102</f>
        <v>493.6</v>
      </c>
      <c r="O102" s="485">
        <v>493</v>
      </c>
      <c r="P102" s="485">
        <f>942.7-O102</f>
        <v>449.70000000000005</v>
      </c>
      <c r="Q102" s="485">
        <v>473.4</v>
      </c>
      <c r="R102" s="485">
        <f>922-Q102</f>
        <v>448.6</v>
      </c>
      <c r="S102" s="485">
        <v>539.6</v>
      </c>
      <c r="T102" s="485">
        <f>1069.7-S102</f>
        <v>530.1</v>
      </c>
      <c r="U102" s="485">
        <v>536.9</v>
      </c>
      <c r="V102" s="485">
        <f>1072.8-U102</f>
        <v>535.9</v>
      </c>
      <c r="W102" s="222">
        <f t="shared" ref="W102:AN102" si="32">W95+W98</f>
        <v>571.16239360000009</v>
      </c>
      <c r="X102" s="222">
        <f t="shared" si="32"/>
        <v>537.16765384999997</v>
      </c>
      <c r="Y102" s="222">
        <f t="shared" si="32"/>
        <v>576.82201753599998</v>
      </c>
      <c r="Z102" s="222">
        <f t="shared" si="32"/>
        <v>550.99467302399989</v>
      </c>
      <c r="AA102" s="222">
        <f t="shared" si="32"/>
        <v>588.25445788672005</v>
      </c>
      <c r="AB102" s="222">
        <f t="shared" si="32"/>
        <v>561.91056648448</v>
      </c>
      <c r="AC102" s="222">
        <f t="shared" si="32"/>
        <v>605.7460916233216</v>
      </c>
      <c r="AD102" s="222">
        <f t="shared" si="32"/>
        <v>578.61188347901452</v>
      </c>
      <c r="AE102" s="222">
        <f t="shared" si="32"/>
        <v>623.7624743720213</v>
      </c>
      <c r="AF102" s="222">
        <f t="shared" si="32"/>
        <v>595.81423998338482</v>
      </c>
      <c r="AG102" s="222">
        <f t="shared" si="32"/>
        <v>642.31934860318188</v>
      </c>
      <c r="AH102" s="222">
        <f t="shared" si="32"/>
        <v>613.53266718288648</v>
      </c>
      <c r="AI102" s="222">
        <f t="shared" si="32"/>
        <v>661.43292906127726</v>
      </c>
      <c r="AJ102" s="222">
        <f t="shared" si="32"/>
        <v>631.78264719837307</v>
      </c>
      <c r="AK102" s="222">
        <f t="shared" si="32"/>
        <v>681.11991693311575</v>
      </c>
      <c r="AL102" s="222">
        <f t="shared" si="32"/>
        <v>650.58012661432417</v>
      </c>
      <c r="AM102" s="222">
        <f t="shared" si="32"/>
        <v>701.39751444110914</v>
      </c>
      <c r="AN102" s="222">
        <f t="shared" si="32"/>
        <v>669.9415304127541</v>
      </c>
    </row>
    <row r="103" spans="1:40">
      <c r="B103" s="226" t="s">
        <v>886</v>
      </c>
      <c r="C103" s="131"/>
      <c r="E103" s="135"/>
      <c r="F103" s="135"/>
      <c r="G103" s="135"/>
      <c r="H103" s="135"/>
      <c r="I103" s="135"/>
      <c r="J103" s="135"/>
      <c r="K103" s="135"/>
      <c r="L103" s="135"/>
      <c r="M103" s="495">
        <f t="shared" ref="M103:AN103" si="33">SUM(M95,M98)-M102</f>
        <v>0</v>
      </c>
      <c r="N103" s="495">
        <f t="shared" si="33"/>
        <v>0</v>
      </c>
      <c r="O103" s="495">
        <f t="shared" si="33"/>
        <v>0</v>
      </c>
      <c r="P103" s="495">
        <f t="shared" si="33"/>
        <v>0</v>
      </c>
      <c r="Q103" s="495">
        <f t="shared" si="33"/>
        <v>0</v>
      </c>
      <c r="R103" s="495">
        <f t="shared" si="33"/>
        <v>0</v>
      </c>
      <c r="S103" s="495">
        <f t="shared" si="33"/>
        <v>0</v>
      </c>
      <c r="T103" s="495">
        <f t="shared" si="33"/>
        <v>0</v>
      </c>
      <c r="U103" s="495">
        <f t="shared" si="33"/>
        <v>0</v>
      </c>
      <c r="V103" s="495">
        <f>SUM(V95,V98)-V102</f>
        <v>0</v>
      </c>
      <c r="W103" s="495">
        <f t="shared" si="33"/>
        <v>0</v>
      </c>
      <c r="X103" s="495">
        <f t="shared" si="33"/>
        <v>0</v>
      </c>
      <c r="Y103" s="495">
        <f t="shared" si="33"/>
        <v>0</v>
      </c>
      <c r="Z103" s="495">
        <f t="shared" si="33"/>
        <v>0</v>
      </c>
      <c r="AA103" s="495">
        <f t="shared" si="33"/>
        <v>0</v>
      </c>
      <c r="AB103" s="495">
        <f t="shared" si="33"/>
        <v>0</v>
      </c>
      <c r="AC103" s="495">
        <f t="shared" si="33"/>
        <v>0</v>
      </c>
      <c r="AD103" s="495">
        <f t="shared" si="33"/>
        <v>0</v>
      </c>
      <c r="AE103" s="495">
        <f t="shared" si="33"/>
        <v>0</v>
      </c>
      <c r="AF103" s="495">
        <f t="shared" si="33"/>
        <v>0</v>
      </c>
      <c r="AG103" s="495">
        <f t="shared" si="33"/>
        <v>0</v>
      </c>
      <c r="AH103" s="495">
        <f t="shared" si="33"/>
        <v>0</v>
      </c>
      <c r="AI103" s="495">
        <f t="shared" si="33"/>
        <v>0</v>
      </c>
      <c r="AJ103" s="495">
        <f t="shared" si="33"/>
        <v>0</v>
      </c>
      <c r="AK103" s="495">
        <f t="shared" si="33"/>
        <v>0</v>
      </c>
      <c r="AL103" s="495">
        <f t="shared" si="33"/>
        <v>0</v>
      </c>
      <c r="AM103" s="495">
        <f t="shared" si="33"/>
        <v>0</v>
      </c>
      <c r="AN103" s="495">
        <f t="shared" si="33"/>
        <v>0</v>
      </c>
    </row>
    <row r="104" spans="1:40">
      <c r="B104" s="161"/>
      <c r="C104" s="131"/>
      <c r="E104" s="135"/>
      <c r="F104" s="135"/>
      <c r="G104" s="135"/>
      <c r="H104" s="135"/>
      <c r="I104" s="135"/>
      <c r="J104" s="135"/>
      <c r="K104" s="135"/>
      <c r="L104" s="135"/>
      <c r="M104" s="194"/>
      <c r="N104" s="135"/>
      <c r="O104" s="194"/>
      <c r="P104" s="135"/>
      <c r="Q104" s="136"/>
      <c r="R104" s="136"/>
      <c r="S104" s="136"/>
      <c r="T104" s="136"/>
      <c r="U104" s="136"/>
      <c r="V104" s="136"/>
      <c r="W104" s="136"/>
      <c r="X104" s="136"/>
      <c r="Y104" s="136"/>
      <c r="Z104" s="136"/>
      <c r="AA104" s="136"/>
      <c r="AB104" s="136"/>
      <c r="AC104" s="136"/>
      <c r="AD104" s="136"/>
      <c r="AE104" s="136"/>
      <c r="AF104" s="136"/>
      <c r="AG104" s="136"/>
      <c r="AH104" s="136"/>
      <c r="AI104" s="136"/>
      <c r="AJ104" s="136"/>
      <c r="AK104" s="136"/>
      <c r="AL104" s="136"/>
      <c r="AM104" s="136"/>
      <c r="AN104" s="136"/>
    </row>
    <row r="105" spans="1:40">
      <c r="B105" s="184" t="s">
        <v>1216</v>
      </c>
      <c r="C105" s="484"/>
      <c r="E105" s="135"/>
      <c r="F105" s="135"/>
      <c r="G105" s="135"/>
      <c r="H105" s="135"/>
      <c r="I105" s="135"/>
      <c r="J105" s="135"/>
      <c r="K105" s="135"/>
      <c r="L105" s="135"/>
      <c r="M105" s="194"/>
      <c r="N105" s="135"/>
      <c r="O105" s="194"/>
      <c r="P105" s="135"/>
      <c r="Q105" s="136"/>
      <c r="R105" s="136"/>
      <c r="S105" s="136"/>
      <c r="T105" s="136"/>
      <c r="U105" s="136"/>
      <c r="V105" s="136"/>
      <c r="W105" s="136"/>
      <c r="X105" s="136"/>
      <c r="Y105" s="136"/>
      <c r="Z105" s="136"/>
      <c r="AA105" s="136"/>
      <c r="AB105" s="136"/>
      <c r="AC105" s="136"/>
      <c r="AD105" s="136"/>
      <c r="AE105" s="136"/>
      <c r="AF105" s="136"/>
      <c r="AG105" s="136"/>
      <c r="AH105" s="136"/>
      <c r="AI105" s="136"/>
      <c r="AJ105" s="136"/>
      <c r="AK105" s="136"/>
      <c r="AL105" s="136"/>
      <c r="AM105" s="136"/>
      <c r="AN105" s="136"/>
    </row>
    <row r="106" spans="1:40">
      <c r="B106" s="162" t="s">
        <v>1201</v>
      </c>
      <c r="C106" s="82" t="s">
        <v>900</v>
      </c>
      <c r="M106" s="136">
        <f t="shared" ref="M106:AN106" si="34">M79</f>
        <v>1720.5</v>
      </c>
      <c r="N106" s="136">
        <f t="shared" si="34"/>
        <v>2476.1999999999998</v>
      </c>
      <c r="O106" s="136">
        <f t="shared" si="34"/>
        <v>2839</v>
      </c>
      <c r="P106" s="136">
        <f t="shared" si="34"/>
        <v>2445.1000000000004</v>
      </c>
      <c r="Q106" s="136">
        <f t="shared" si="34"/>
        <v>2732.4</v>
      </c>
      <c r="R106" s="136">
        <f t="shared" si="34"/>
        <v>2516.2000000000003</v>
      </c>
      <c r="S106" s="136">
        <f t="shared" si="34"/>
        <v>2791.8</v>
      </c>
      <c r="T106" s="136">
        <f t="shared" si="34"/>
        <v>2569.1999999999998</v>
      </c>
      <c r="U106" s="136">
        <f t="shared" si="34"/>
        <v>2825.1</v>
      </c>
      <c r="V106" s="136">
        <f>V79</f>
        <v>2590.0000000000005</v>
      </c>
      <c r="W106" s="136">
        <f t="shared" si="34"/>
        <v>2844.8756999999996</v>
      </c>
      <c r="X106" s="136">
        <f t="shared" si="34"/>
        <v>2584.8200000000006</v>
      </c>
      <c r="Y106" s="136">
        <f t="shared" si="34"/>
        <v>2802.2025644999994</v>
      </c>
      <c r="Z106" s="136">
        <f t="shared" si="34"/>
        <v>2546.0477000000005</v>
      </c>
      <c r="AA106" s="136">
        <f t="shared" si="34"/>
        <v>2760.1695260324996</v>
      </c>
      <c r="AB106" s="136">
        <f t="shared" si="34"/>
        <v>2507.8569845000006</v>
      </c>
      <c r="AC106" s="136">
        <f t="shared" si="34"/>
        <v>2787.7712212928245</v>
      </c>
      <c r="AD106" s="136">
        <f t="shared" si="34"/>
        <v>2532.9355543450006</v>
      </c>
      <c r="AE106" s="136">
        <f t="shared" si="34"/>
        <v>2759.8935090798964</v>
      </c>
      <c r="AF106" s="136">
        <f t="shared" si="34"/>
        <v>2507.6061988015504</v>
      </c>
      <c r="AG106" s="136">
        <f t="shared" si="34"/>
        <v>2732.2945739890974</v>
      </c>
      <c r="AH106" s="136">
        <f t="shared" si="34"/>
        <v>2482.5301368135347</v>
      </c>
      <c r="AI106" s="136">
        <f t="shared" si="34"/>
        <v>2704.9716282492063</v>
      </c>
      <c r="AJ106" s="136">
        <f t="shared" si="34"/>
        <v>2457.7048354453991</v>
      </c>
      <c r="AK106" s="136">
        <f t="shared" si="34"/>
        <v>2677.9219119667141</v>
      </c>
      <c r="AL106" s="136">
        <f t="shared" si="34"/>
        <v>2433.1277870909453</v>
      </c>
      <c r="AM106" s="136">
        <f t="shared" si="34"/>
        <v>2651.1426928470469</v>
      </c>
      <c r="AN106" s="136">
        <f t="shared" si="34"/>
        <v>2408.7965092200357</v>
      </c>
    </row>
    <row r="107" spans="1:40">
      <c r="B107" s="162" t="s">
        <v>1191</v>
      </c>
      <c r="C107" s="131" t="s">
        <v>842</v>
      </c>
      <c r="E107" s="135"/>
      <c r="F107" s="135"/>
      <c r="G107" s="135"/>
      <c r="H107" s="135"/>
      <c r="I107" s="135"/>
      <c r="J107" s="135"/>
      <c r="K107" s="135"/>
      <c r="L107" s="135"/>
      <c r="M107" s="194">
        <v>0.16700000000000001</v>
      </c>
      <c r="N107" s="159">
        <f>N111/N106</f>
        <v>0.16585897746547126</v>
      </c>
      <c r="O107" s="194">
        <v>0.16600000000000001</v>
      </c>
      <c r="P107" s="159">
        <f>P111/P106</f>
        <v>0.16772320150505091</v>
      </c>
      <c r="Q107" s="194">
        <v>0.16800000000000001</v>
      </c>
      <c r="R107" s="159">
        <f>R111/R106</f>
        <v>0.17395278594706298</v>
      </c>
      <c r="S107" s="194">
        <v>0.17199999999999999</v>
      </c>
      <c r="T107" s="159">
        <f>T111/T106</f>
        <v>0.16981939903471896</v>
      </c>
      <c r="U107" s="194">
        <v>0.17</v>
      </c>
      <c r="V107" s="159">
        <f>V111/V106</f>
        <v>0.17030888030888028</v>
      </c>
      <c r="W107" s="158">
        <v>0.17</v>
      </c>
      <c r="X107" s="158">
        <v>0.17</v>
      </c>
      <c r="Y107" s="158">
        <v>0.17</v>
      </c>
      <c r="Z107" s="158">
        <v>0.17</v>
      </c>
      <c r="AA107" s="158">
        <v>0.17</v>
      </c>
      <c r="AB107" s="158">
        <v>0.17</v>
      </c>
      <c r="AC107" s="158">
        <v>0.17</v>
      </c>
      <c r="AD107" s="158">
        <v>0.17</v>
      </c>
      <c r="AE107" s="158">
        <v>0.17</v>
      </c>
      <c r="AF107" s="158">
        <v>0.17</v>
      </c>
      <c r="AG107" s="158">
        <v>0.17</v>
      </c>
      <c r="AH107" s="158">
        <v>0.17</v>
      </c>
      <c r="AI107" s="158">
        <v>0.17</v>
      </c>
      <c r="AJ107" s="158">
        <v>0.17</v>
      </c>
      <c r="AK107" s="158">
        <v>0.17</v>
      </c>
      <c r="AL107" s="158">
        <v>0.17</v>
      </c>
      <c r="AM107" s="158">
        <v>0.17</v>
      </c>
      <c r="AN107" s="158">
        <v>0.17</v>
      </c>
    </row>
    <row r="108" spans="1:40">
      <c r="B108" s="162" t="s">
        <v>1209</v>
      </c>
      <c r="C108" s="131" t="s">
        <v>842</v>
      </c>
      <c r="E108" s="135"/>
      <c r="F108" s="135"/>
      <c r="G108" s="135"/>
      <c r="H108" s="135"/>
      <c r="I108" s="135"/>
      <c r="J108" s="135"/>
      <c r="K108" s="493" t="s">
        <v>1213</v>
      </c>
      <c r="L108" s="194">
        <v>0.16600000000000001</v>
      </c>
      <c r="M108" s="493" t="s">
        <v>1207</v>
      </c>
      <c r="N108" s="194">
        <v>0.16700000000000001</v>
      </c>
      <c r="O108" s="493" t="s">
        <v>1208</v>
      </c>
      <c r="P108" s="194">
        <v>0.16700000000000001</v>
      </c>
      <c r="Q108" s="493" t="s">
        <v>1519</v>
      </c>
      <c r="R108" s="194">
        <v>0.17100000000000001</v>
      </c>
      <c r="S108" s="493" t="s">
        <v>1608</v>
      </c>
      <c r="T108" s="194">
        <v>0.17100000000000001</v>
      </c>
      <c r="U108" s="493" t="s">
        <v>1639</v>
      </c>
      <c r="V108" s="194">
        <v>0.17</v>
      </c>
      <c r="W108" s="493" t="s">
        <v>1640</v>
      </c>
      <c r="X108" s="159">
        <f>X107</f>
        <v>0.17</v>
      </c>
      <c r="Y108" s="136"/>
      <c r="Z108" s="159">
        <f>Z107</f>
        <v>0.17</v>
      </c>
      <c r="AA108" s="136"/>
      <c r="AB108" s="159">
        <f>AB107</f>
        <v>0.17</v>
      </c>
      <c r="AC108" s="136"/>
      <c r="AD108" s="159">
        <f>AD107</f>
        <v>0.17</v>
      </c>
      <c r="AE108" s="136"/>
      <c r="AF108" s="159">
        <f>AF107</f>
        <v>0.17</v>
      </c>
      <c r="AG108" s="136"/>
      <c r="AH108" s="159">
        <f>AH107</f>
        <v>0.17</v>
      </c>
      <c r="AI108" s="136"/>
      <c r="AJ108" s="159">
        <f>AJ107</f>
        <v>0.17</v>
      </c>
      <c r="AK108" s="136"/>
      <c r="AL108" s="159">
        <f>AL107</f>
        <v>0.17</v>
      </c>
      <c r="AM108" s="136"/>
      <c r="AN108" s="159">
        <f>AN107</f>
        <v>0.17</v>
      </c>
    </row>
    <row r="109" spans="1:40">
      <c r="B109" s="162"/>
      <c r="C109" s="131"/>
      <c r="E109" s="135"/>
      <c r="F109" s="135"/>
      <c r="G109" s="135"/>
      <c r="H109" s="135"/>
      <c r="I109" s="135"/>
      <c r="J109" s="135"/>
      <c r="K109" s="493"/>
      <c r="L109" s="194"/>
      <c r="M109" s="493"/>
      <c r="N109" s="194"/>
      <c r="O109" s="493"/>
      <c r="P109" s="194"/>
      <c r="Q109" s="493"/>
      <c r="R109" s="194"/>
      <c r="S109" s="190"/>
      <c r="T109" s="190"/>
      <c r="U109" s="190"/>
      <c r="V109" s="190"/>
      <c r="W109" s="190"/>
      <c r="X109" s="190"/>
      <c r="Y109" s="190"/>
      <c r="Z109" s="190"/>
      <c r="AA109" s="190"/>
      <c r="AB109" s="190"/>
      <c r="AC109" s="190"/>
      <c r="AD109" s="190"/>
      <c r="AE109" s="190"/>
      <c r="AF109" s="190"/>
      <c r="AG109" s="190"/>
      <c r="AH109" s="190"/>
      <c r="AI109" s="190"/>
      <c r="AJ109" s="190"/>
      <c r="AK109" s="190"/>
      <c r="AL109" s="190"/>
      <c r="AM109" s="190"/>
      <c r="AN109" s="190"/>
    </row>
    <row r="110" spans="1:40">
      <c r="B110" s="162"/>
      <c r="C110" s="131"/>
      <c r="E110" s="135"/>
      <c r="F110" s="135"/>
      <c r="G110" s="135"/>
      <c r="H110" s="135"/>
      <c r="I110" s="135"/>
      <c r="J110" s="135"/>
      <c r="K110" s="493"/>
      <c r="L110" s="194"/>
      <c r="M110" s="493"/>
      <c r="N110" s="194"/>
      <c r="O110" s="493"/>
      <c r="P110" s="194"/>
      <c r="Q110" s="493"/>
      <c r="R110" s="194"/>
      <c r="S110" s="190"/>
      <c r="T110" s="190"/>
      <c r="U110" s="190"/>
      <c r="V110" s="190"/>
      <c r="W110" s="190"/>
      <c r="X110" s="190"/>
      <c r="Y110" s="190"/>
      <c r="Z110" s="190"/>
      <c r="AA110" s="190"/>
      <c r="AB110" s="190"/>
      <c r="AC110" s="190"/>
      <c r="AD110" s="190"/>
      <c r="AE110" s="190"/>
      <c r="AF110" s="190"/>
      <c r="AG110" s="190"/>
      <c r="AH110" s="190"/>
      <c r="AI110" s="190"/>
      <c r="AJ110" s="190"/>
      <c r="AK110" s="190"/>
      <c r="AL110" s="190"/>
      <c r="AM110" s="190"/>
      <c r="AN110" s="190"/>
    </row>
    <row r="111" spans="1:40" s="3" customFormat="1">
      <c r="A111" s="1"/>
      <c r="B111" s="482" t="s">
        <v>1203</v>
      </c>
      <c r="C111" s="484"/>
      <c r="E111" s="485"/>
      <c r="F111" s="485"/>
      <c r="G111" s="485"/>
      <c r="H111" s="485"/>
      <c r="I111" s="485"/>
      <c r="J111" s="485"/>
      <c r="K111" s="485"/>
      <c r="L111" s="485"/>
      <c r="M111" s="485">
        <v>288.10000000000002</v>
      </c>
      <c r="N111" s="485">
        <f>698.8-M111</f>
        <v>410.69999999999993</v>
      </c>
      <c r="O111" s="485">
        <v>471.9</v>
      </c>
      <c r="P111" s="485">
        <f>882-O111</f>
        <v>410.1</v>
      </c>
      <c r="Q111" s="485">
        <v>458.1</v>
      </c>
      <c r="R111" s="485">
        <f>895.8-Q111</f>
        <v>437.69999999999993</v>
      </c>
      <c r="S111" s="485">
        <v>481.1</v>
      </c>
      <c r="T111" s="485">
        <f>917.4-S111</f>
        <v>436.29999999999995</v>
      </c>
      <c r="U111" s="485">
        <v>479.9</v>
      </c>
      <c r="V111" s="485">
        <f>921-U111</f>
        <v>441.1</v>
      </c>
      <c r="W111" s="222">
        <f t="shared" ref="W111:AN111" si="35">W106*W107</f>
        <v>483.62886899999995</v>
      </c>
      <c r="X111" s="222">
        <f t="shared" si="35"/>
        <v>439.41940000000011</v>
      </c>
      <c r="Y111" s="222">
        <f t="shared" si="35"/>
        <v>476.37443596499992</v>
      </c>
      <c r="Z111" s="222">
        <f t="shared" si="35"/>
        <v>432.8281090000001</v>
      </c>
      <c r="AA111" s="222">
        <f t="shared" si="35"/>
        <v>469.22881942552493</v>
      </c>
      <c r="AB111" s="222">
        <f t="shared" si="35"/>
        <v>426.33568736500013</v>
      </c>
      <c r="AC111" s="222">
        <f t="shared" si="35"/>
        <v>473.92110761978023</v>
      </c>
      <c r="AD111" s="222">
        <f t="shared" si="35"/>
        <v>430.59904423865015</v>
      </c>
      <c r="AE111" s="222">
        <f t="shared" si="35"/>
        <v>469.18189654358241</v>
      </c>
      <c r="AF111" s="222">
        <f t="shared" si="35"/>
        <v>426.29305379626356</v>
      </c>
      <c r="AG111" s="222">
        <f t="shared" si="35"/>
        <v>464.49007757814661</v>
      </c>
      <c r="AH111" s="222">
        <f t="shared" si="35"/>
        <v>422.03012325830093</v>
      </c>
      <c r="AI111" s="222">
        <f t="shared" si="35"/>
        <v>459.84517680236513</v>
      </c>
      <c r="AJ111" s="222">
        <f t="shared" si="35"/>
        <v>417.80982202571789</v>
      </c>
      <c r="AK111" s="222">
        <f t="shared" si="35"/>
        <v>455.24672503434141</v>
      </c>
      <c r="AL111" s="222">
        <f t="shared" si="35"/>
        <v>413.63172380546075</v>
      </c>
      <c r="AM111" s="222">
        <f t="shared" si="35"/>
        <v>450.69425778399801</v>
      </c>
      <c r="AN111" s="222">
        <f t="shared" si="35"/>
        <v>409.49540656740606</v>
      </c>
    </row>
    <row r="112" spans="1:40" s="3" customFormat="1">
      <c r="A112" s="1"/>
      <c r="B112" s="482"/>
      <c r="C112" s="484"/>
      <c r="E112" s="485"/>
      <c r="F112" s="485"/>
      <c r="G112" s="485"/>
      <c r="H112" s="485"/>
      <c r="I112" s="485"/>
      <c r="J112" s="485"/>
      <c r="K112" s="485"/>
      <c r="L112" s="485"/>
      <c r="M112" s="485"/>
      <c r="N112" s="485"/>
      <c r="O112" s="485"/>
      <c r="P112" s="485"/>
      <c r="Q112" s="485"/>
      <c r="R112" s="222"/>
      <c r="S112" s="485"/>
      <c r="T112" s="222"/>
      <c r="U112" s="485"/>
      <c r="V112" s="222"/>
      <c r="W112" s="222"/>
      <c r="X112" s="222"/>
      <c r="Y112" s="222"/>
      <c r="Z112" s="222"/>
      <c r="AA112" s="222"/>
      <c r="AB112" s="222"/>
      <c r="AC112" s="222"/>
      <c r="AD112" s="222"/>
      <c r="AE112" s="222"/>
      <c r="AF112" s="222"/>
      <c r="AG112" s="222"/>
      <c r="AH112" s="222"/>
      <c r="AI112" s="222"/>
      <c r="AJ112" s="222"/>
      <c r="AK112" s="222"/>
      <c r="AL112" s="222"/>
      <c r="AM112" s="222"/>
      <c r="AN112" s="222"/>
    </row>
    <row r="113" spans="2:40">
      <c r="B113" s="183" t="s">
        <v>3</v>
      </c>
      <c r="C113" s="131"/>
      <c r="E113" s="135"/>
      <c r="F113" s="135"/>
      <c r="G113" s="135"/>
      <c r="H113" s="135"/>
      <c r="I113" s="135"/>
      <c r="J113" s="135"/>
      <c r="K113" s="135"/>
      <c r="L113" s="135"/>
      <c r="M113" s="135">
        <v>-11.5</v>
      </c>
      <c r="N113" s="135">
        <f>-44.8-M113</f>
        <v>-33.299999999999997</v>
      </c>
      <c r="O113" s="135">
        <v>-34.5</v>
      </c>
      <c r="P113" s="135">
        <f>-63.6-O113</f>
        <v>-29.1</v>
      </c>
      <c r="Q113" s="135">
        <v>-37.5</v>
      </c>
      <c r="R113" s="135">
        <f>-74-Q113</f>
        <v>-36.5</v>
      </c>
      <c r="S113" s="135">
        <v>16</v>
      </c>
      <c r="T113" s="135">
        <f>48.3-S113</f>
        <v>32.299999999999997</v>
      </c>
      <c r="U113" s="135">
        <v>31.2</v>
      </c>
      <c r="V113" s="135">
        <f>60.2-U113</f>
        <v>29.000000000000004</v>
      </c>
      <c r="W113" s="160">
        <f>U113+16</f>
        <v>47.2</v>
      </c>
      <c r="X113" s="160">
        <f>V113+16</f>
        <v>45</v>
      </c>
      <c r="Y113" s="160">
        <f>W113</f>
        <v>47.2</v>
      </c>
      <c r="Z113" s="160">
        <f>X113</f>
        <v>45</v>
      </c>
      <c r="AA113" s="136">
        <f t="shared" ref="AA113:AN113" si="36">AA111*AA114</f>
        <v>48.784486116054481</v>
      </c>
      <c r="AB113" s="136">
        <f t="shared" si="36"/>
        <v>44.325000000000003</v>
      </c>
      <c r="AC113" s="136">
        <f t="shared" si="36"/>
        <v>49.272330977215034</v>
      </c>
      <c r="AD113" s="136">
        <f t="shared" si="36"/>
        <v>44.768250000000002</v>
      </c>
      <c r="AE113" s="136">
        <f t="shared" si="36"/>
        <v>48.779607667442882</v>
      </c>
      <c r="AF113" s="136">
        <f t="shared" si="36"/>
        <v>44.320567499999996</v>
      </c>
      <c r="AG113" s="136">
        <f t="shared" si="36"/>
        <v>48.291811590768454</v>
      </c>
      <c r="AH113" s="136">
        <f t="shared" si="36"/>
        <v>43.877361824999994</v>
      </c>
      <c r="AI113" s="136">
        <f t="shared" si="36"/>
        <v>47.808893474860767</v>
      </c>
      <c r="AJ113" s="136">
        <f t="shared" si="36"/>
        <v>43.438588206749991</v>
      </c>
      <c r="AK113" s="136">
        <f t="shared" si="36"/>
        <v>47.330804540112155</v>
      </c>
      <c r="AL113" s="136">
        <f t="shared" si="36"/>
        <v>43.004202324682495</v>
      </c>
      <c r="AM113" s="136">
        <f t="shared" si="36"/>
        <v>46.857496494711036</v>
      </c>
      <c r="AN113" s="136">
        <f t="shared" si="36"/>
        <v>42.574160301435661</v>
      </c>
    </row>
    <row r="114" spans="2:40" s="3" customFormat="1">
      <c r="B114" s="188" t="s">
        <v>1211</v>
      </c>
      <c r="C114" s="484"/>
      <c r="E114" s="485"/>
      <c r="F114" s="485"/>
      <c r="G114" s="485"/>
      <c r="H114" s="485"/>
      <c r="I114" s="485"/>
      <c r="J114" s="485"/>
      <c r="K114" s="485"/>
      <c r="L114" s="485"/>
      <c r="M114" s="159">
        <f t="shared" ref="M114:S114" si="37">M113/M111</f>
        <v>-3.9916695591808396E-2</v>
      </c>
      <c r="N114" s="159">
        <f t="shared" si="37"/>
        <v>-8.1081081081081086E-2</v>
      </c>
      <c r="O114" s="159">
        <f t="shared" si="37"/>
        <v>-7.3108709472345837E-2</v>
      </c>
      <c r="P114" s="159">
        <f t="shared" si="37"/>
        <v>-7.0958302852962687E-2</v>
      </c>
      <c r="Q114" s="159">
        <f t="shared" si="37"/>
        <v>-8.1859855926653569E-2</v>
      </c>
      <c r="R114" s="159">
        <f t="shared" si="37"/>
        <v>-8.3390450079963457E-2</v>
      </c>
      <c r="S114" s="159">
        <f t="shared" si="37"/>
        <v>3.3257119102057781E-2</v>
      </c>
      <c r="T114" s="159">
        <f>T113/T111</f>
        <v>7.4031629612651847E-2</v>
      </c>
      <c r="U114" s="159">
        <f>U113/U111</f>
        <v>6.501354448843509E-2</v>
      </c>
      <c r="V114" s="159">
        <f>V113/V111</f>
        <v>6.5744729086374978E-2</v>
      </c>
      <c r="W114" s="159">
        <f t="shared" ref="W114:X114" si="38">W113/W111</f>
        <v>9.759549734405952E-2</v>
      </c>
      <c r="X114" s="159">
        <f t="shared" si="38"/>
        <v>0.10240785909770936</v>
      </c>
      <c r="Y114" s="159">
        <f t="shared" ref="Y114" si="39">Y113/Y111</f>
        <v>9.90817231919386E-2</v>
      </c>
      <c r="Z114" s="159">
        <f t="shared" ref="Z114" si="40">Z113/Z111</f>
        <v>0.10396736964234453</v>
      </c>
      <c r="AA114" s="190">
        <f t="shared" ref="AA114:AK114" si="41">Z114</f>
        <v>0.10396736964234453</v>
      </c>
      <c r="AB114" s="190">
        <f t="shared" si="41"/>
        <v>0.10396736964234453</v>
      </c>
      <c r="AC114" s="190">
        <f t="shared" si="41"/>
        <v>0.10396736964234453</v>
      </c>
      <c r="AD114" s="190">
        <f t="shared" si="41"/>
        <v>0.10396736964234453</v>
      </c>
      <c r="AE114" s="190">
        <f t="shared" si="41"/>
        <v>0.10396736964234453</v>
      </c>
      <c r="AF114" s="190">
        <f t="shared" si="41"/>
        <v>0.10396736964234453</v>
      </c>
      <c r="AG114" s="190">
        <f t="shared" si="41"/>
        <v>0.10396736964234453</v>
      </c>
      <c r="AH114" s="190">
        <f t="shared" si="41"/>
        <v>0.10396736964234453</v>
      </c>
      <c r="AI114" s="190">
        <f t="shared" si="41"/>
        <v>0.10396736964234453</v>
      </c>
      <c r="AJ114" s="190">
        <f t="shared" si="41"/>
        <v>0.10396736964234453</v>
      </c>
      <c r="AK114" s="190">
        <f t="shared" si="41"/>
        <v>0.10396736964234453</v>
      </c>
      <c r="AL114" s="190">
        <f>AK114</f>
        <v>0.10396736964234453</v>
      </c>
      <c r="AM114" s="190">
        <f>AL114</f>
        <v>0.10396736964234453</v>
      </c>
      <c r="AN114" s="190">
        <f>AM114</f>
        <v>0.10396736964234453</v>
      </c>
    </row>
    <row r="115" spans="2:40" s="3" customFormat="1">
      <c r="B115" s="188" t="s">
        <v>978</v>
      </c>
      <c r="C115" s="484"/>
      <c r="E115" s="485"/>
      <c r="F115" s="485"/>
      <c r="G115" s="485"/>
      <c r="H115" s="485"/>
      <c r="I115" s="485"/>
      <c r="J115" s="485"/>
      <c r="K115" s="485"/>
      <c r="L115" s="485"/>
      <c r="M115" s="159"/>
      <c r="N115" s="159"/>
      <c r="O115" s="159">
        <f t="shared" ref="O115:AN115" si="42">O113/M113-1</f>
        <v>2</v>
      </c>
      <c r="P115" s="159">
        <f t="shared" si="42"/>
        <v>-0.12612612612612606</v>
      </c>
      <c r="Q115" s="159">
        <f t="shared" si="42"/>
        <v>8.6956521739130377E-2</v>
      </c>
      <c r="R115" s="159">
        <f t="shared" si="42"/>
        <v>0.25429553264604809</v>
      </c>
      <c r="S115" s="159">
        <f t="shared" si="42"/>
        <v>-1.4266666666666667</v>
      </c>
      <c r="T115" s="159">
        <f t="shared" si="42"/>
        <v>-1.8849315068493149</v>
      </c>
      <c r="U115" s="159">
        <f t="shared" si="42"/>
        <v>0.95</v>
      </c>
      <c r="V115" s="159">
        <f t="shared" si="42"/>
        <v>-0.10216718266253855</v>
      </c>
      <c r="W115" s="159">
        <f t="shared" si="42"/>
        <v>0.512820512820513</v>
      </c>
      <c r="X115" s="159">
        <f t="shared" si="42"/>
        <v>0.55172413793103425</v>
      </c>
      <c r="Y115" s="159">
        <f t="shared" si="42"/>
        <v>0</v>
      </c>
      <c r="Z115" s="159">
        <f t="shared" si="42"/>
        <v>0</v>
      </c>
      <c r="AA115" s="159">
        <f t="shared" si="42"/>
        <v>3.3569621102849112E-2</v>
      </c>
      <c r="AB115" s="159">
        <f t="shared" si="42"/>
        <v>-1.4999999999999902E-2</v>
      </c>
      <c r="AC115" s="159">
        <f t="shared" si="42"/>
        <v>1.0000000000000231E-2</v>
      </c>
      <c r="AD115" s="159">
        <f t="shared" si="42"/>
        <v>1.0000000000000009E-2</v>
      </c>
      <c r="AE115" s="159">
        <f t="shared" si="42"/>
        <v>-1.0000000000000009E-2</v>
      </c>
      <c r="AF115" s="159">
        <f t="shared" si="42"/>
        <v>-1.000000000000012E-2</v>
      </c>
      <c r="AG115" s="159">
        <f t="shared" si="42"/>
        <v>-1.0000000000000009E-2</v>
      </c>
      <c r="AH115" s="159">
        <f t="shared" si="42"/>
        <v>-1.0000000000000009E-2</v>
      </c>
      <c r="AI115" s="159">
        <f t="shared" si="42"/>
        <v>-1.0000000000000009E-2</v>
      </c>
      <c r="AJ115" s="159">
        <f t="shared" si="42"/>
        <v>-1.000000000000012E-2</v>
      </c>
      <c r="AK115" s="159">
        <f t="shared" si="42"/>
        <v>-1.000000000000012E-2</v>
      </c>
      <c r="AL115" s="159">
        <f t="shared" si="42"/>
        <v>-9.9999999999998979E-3</v>
      </c>
      <c r="AM115" s="159">
        <f t="shared" si="42"/>
        <v>-9.9999999999998979E-3</v>
      </c>
      <c r="AN115" s="159">
        <f t="shared" si="42"/>
        <v>-1.0000000000000231E-2</v>
      </c>
    </row>
    <row r="116" spans="2:40" s="3" customFormat="1">
      <c r="B116" s="183"/>
      <c r="C116" s="484"/>
      <c r="E116" s="485"/>
      <c r="F116" s="485"/>
      <c r="G116" s="485"/>
      <c r="H116" s="485"/>
      <c r="I116" s="485"/>
      <c r="J116" s="485"/>
      <c r="K116" s="485"/>
      <c r="L116" s="485"/>
      <c r="M116" s="159"/>
      <c r="N116" s="159"/>
      <c r="O116" s="159"/>
      <c r="P116" s="159"/>
      <c r="Q116" s="159"/>
      <c r="R116" s="159"/>
      <c r="S116" s="159"/>
      <c r="T116" s="159"/>
      <c r="U116" s="159"/>
      <c r="V116" s="159"/>
      <c r="W116" s="190"/>
      <c r="X116" s="190"/>
      <c r="Y116" s="190"/>
      <c r="Z116" s="190"/>
      <c r="AA116" s="190"/>
      <c r="AB116" s="190"/>
      <c r="AC116" s="190"/>
      <c r="AD116" s="190"/>
      <c r="AE116" s="190"/>
      <c r="AF116" s="190"/>
      <c r="AG116" s="190"/>
      <c r="AH116" s="190"/>
      <c r="AI116" s="190"/>
      <c r="AJ116" s="190"/>
      <c r="AK116" s="190"/>
      <c r="AL116" s="190"/>
      <c r="AM116" s="190"/>
      <c r="AN116" s="190"/>
    </row>
    <row r="117" spans="2:40" s="3" customFormat="1">
      <c r="B117" s="482" t="s">
        <v>1204</v>
      </c>
      <c r="C117" s="163" t="s">
        <v>900</v>
      </c>
      <c r="E117" s="485"/>
      <c r="F117" s="485"/>
      <c r="G117" s="485"/>
      <c r="H117" s="485"/>
      <c r="I117" s="485"/>
      <c r="J117" s="485"/>
      <c r="K117" s="485"/>
      <c r="L117" s="485"/>
      <c r="M117" s="485">
        <v>276.60000000000002</v>
      </c>
      <c r="N117" s="485">
        <f>654-M117</f>
        <v>377.4</v>
      </c>
      <c r="O117" s="485">
        <v>437.4</v>
      </c>
      <c r="P117" s="485">
        <f>818.4-O117</f>
        <v>381</v>
      </c>
      <c r="Q117" s="485">
        <v>420.6</v>
      </c>
      <c r="R117" s="485">
        <f>821.8-Q117</f>
        <v>401.19999999999993</v>
      </c>
      <c r="S117" s="485">
        <v>497.1</v>
      </c>
      <c r="T117" s="485">
        <f>965.7-S117</f>
        <v>468.6</v>
      </c>
      <c r="U117" s="485">
        <v>511.1</v>
      </c>
      <c r="V117" s="485">
        <f>981.2-U117</f>
        <v>470.1</v>
      </c>
      <c r="W117" s="222">
        <f t="shared" ref="W117:AN117" si="43">W111+W113</f>
        <v>530.82886899999994</v>
      </c>
      <c r="X117" s="222">
        <f t="shared" si="43"/>
        <v>484.41940000000011</v>
      </c>
      <c r="Y117" s="222">
        <f t="shared" si="43"/>
        <v>523.57443596499991</v>
      </c>
      <c r="Z117" s="222">
        <f t="shared" si="43"/>
        <v>477.8281090000001</v>
      </c>
      <c r="AA117" s="222">
        <f t="shared" si="43"/>
        <v>518.01330554157937</v>
      </c>
      <c r="AB117" s="222">
        <f t="shared" si="43"/>
        <v>470.66068736500011</v>
      </c>
      <c r="AC117" s="222">
        <f t="shared" si="43"/>
        <v>523.19343859699529</v>
      </c>
      <c r="AD117" s="222">
        <f t="shared" si="43"/>
        <v>475.36729423865017</v>
      </c>
      <c r="AE117" s="222">
        <f t="shared" si="43"/>
        <v>517.96150421102527</v>
      </c>
      <c r="AF117" s="222">
        <f t="shared" si="43"/>
        <v>470.61362129626355</v>
      </c>
      <c r="AG117" s="222">
        <f t="shared" si="43"/>
        <v>512.78188916891509</v>
      </c>
      <c r="AH117" s="222">
        <f t="shared" si="43"/>
        <v>465.90748508330091</v>
      </c>
      <c r="AI117" s="222">
        <f t="shared" si="43"/>
        <v>507.65407027722591</v>
      </c>
      <c r="AJ117" s="222">
        <f t="shared" si="43"/>
        <v>461.2484102324679</v>
      </c>
      <c r="AK117" s="222">
        <f t="shared" si="43"/>
        <v>502.57752957445359</v>
      </c>
      <c r="AL117" s="222">
        <f t="shared" si="43"/>
        <v>456.63592613014328</v>
      </c>
      <c r="AM117" s="222">
        <f t="shared" si="43"/>
        <v>497.55175427870904</v>
      </c>
      <c r="AN117" s="222">
        <f t="shared" si="43"/>
        <v>452.06956686884172</v>
      </c>
    </row>
    <row r="118" spans="2:40">
      <c r="B118" s="226" t="s">
        <v>886</v>
      </c>
      <c r="C118" s="131"/>
      <c r="E118" s="135"/>
      <c r="F118" s="135"/>
      <c r="G118" s="135"/>
      <c r="H118" s="135"/>
      <c r="I118" s="135"/>
      <c r="J118" s="135"/>
      <c r="K118" s="135"/>
      <c r="L118" s="135"/>
      <c r="M118" s="495">
        <f t="shared" ref="M118:AN118" si="44">SUM(M111,M113)-M117</f>
        <v>0</v>
      </c>
      <c r="N118" s="495">
        <f t="shared" si="44"/>
        <v>0</v>
      </c>
      <c r="O118" s="495">
        <f t="shared" si="44"/>
        <v>0</v>
      </c>
      <c r="P118" s="495">
        <f t="shared" si="44"/>
        <v>0</v>
      </c>
      <c r="Q118" s="495">
        <f t="shared" si="44"/>
        <v>0</v>
      </c>
      <c r="R118" s="495">
        <f t="shared" si="44"/>
        <v>0</v>
      </c>
      <c r="S118" s="495">
        <f t="shared" si="44"/>
        <v>0</v>
      </c>
      <c r="T118" s="495">
        <f>SUM(T111,T113)-T117</f>
        <v>0</v>
      </c>
      <c r="U118" s="495">
        <f>SUM(U111,U113)-U117</f>
        <v>0</v>
      </c>
      <c r="V118" s="495">
        <f>SUM(V111,V113)-V117</f>
        <v>0</v>
      </c>
      <c r="W118" s="495">
        <f t="shared" si="44"/>
        <v>0</v>
      </c>
      <c r="X118" s="495">
        <f t="shared" si="44"/>
        <v>0</v>
      </c>
      <c r="Y118" s="495">
        <f t="shared" si="44"/>
        <v>0</v>
      </c>
      <c r="Z118" s="495">
        <f t="shared" si="44"/>
        <v>0</v>
      </c>
      <c r="AA118" s="495">
        <f t="shared" si="44"/>
        <v>0</v>
      </c>
      <c r="AB118" s="495">
        <f t="shared" si="44"/>
        <v>0</v>
      </c>
      <c r="AC118" s="495">
        <f t="shared" si="44"/>
        <v>0</v>
      </c>
      <c r="AD118" s="495">
        <f t="shared" si="44"/>
        <v>0</v>
      </c>
      <c r="AE118" s="495">
        <f t="shared" si="44"/>
        <v>0</v>
      </c>
      <c r="AF118" s="495">
        <f t="shared" si="44"/>
        <v>0</v>
      </c>
      <c r="AG118" s="495">
        <f t="shared" si="44"/>
        <v>0</v>
      </c>
      <c r="AH118" s="495">
        <f t="shared" si="44"/>
        <v>0</v>
      </c>
      <c r="AI118" s="495">
        <f t="shared" si="44"/>
        <v>0</v>
      </c>
      <c r="AJ118" s="495">
        <f t="shared" si="44"/>
        <v>0</v>
      </c>
      <c r="AK118" s="495">
        <f t="shared" si="44"/>
        <v>0</v>
      </c>
      <c r="AL118" s="495">
        <f t="shared" si="44"/>
        <v>0</v>
      </c>
      <c r="AM118" s="495">
        <f t="shared" si="44"/>
        <v>0</v>
      </c>
      <c r="AN118" s="495">
        <f t="shared" si="44"/>
        <v>0</v>
      </c>
    </row>
    <row r="119" spans="2:40">
      <c r="B119" s="226"/>
      <c r="C119" s="131"/>
      <c r="E119" s="135"/>
      <c r="F119" s="135"/>
      <c r="G119" s="135"/>
      <c r="H119" s="135"/>
      <c r="I119" s="135"/>
      <c r="J119" s="135"/>
      <c r="K119" s="135"/>
      <c r="L119" s="135"/>
      <c r="M119" s="495"/>
      <c r="N119" s="495"/>
      <c r="O119" s="495"/>
      <c r="P119" s="495"/>
      <c r="Q119" s="495"/>
      <c r="R119" s="495"/>
      <c r="S119" s="495"/>
      <c r="T119" s="495"/>
      <c r="U119" s="495"/>
      <c r="V119" s="495"/>
      <c r="W119" s="495"/>
      <c r="X119" s="495"/>
      <c r="Y119" s="495"/>
      <c r="Z119" s="495"/>
      <c r="AA119" s="495"/>
      <c r="AB119" s="495"/>
      <c r="AC119" s="495"/>
      <c r="AD119" s="495"/>
      <c r="AE119" s="495"/>
      <c r="AF119" s="495"/>
      <c r="AG119" s="495"/>
      <c r="AH119" s="495"/>
      <c r="AI119" s="495"/>
      <c r="AJ119" s="495"/>
      <c r="AK119" s="495"/>
      <c r="AL119" s="495"/>
      <c r="AM119" s="495"/>
      <c r="AN119" s="495"/>
    </row>
    <row r="120" spans="2:40" s="799" customFormat="1" ht="12" thickBot="1">
      <c r="B120" s="805" t="s">
        <v>1561</v>
      </c>
      <c r="C120" s="800"/>
      <c r="E120" s="801"/>
      <c r="F120" s="801"/>
      <c r="G120" s="801"/>
      <c r="H120" s="801"/>
      <c r="I120" s="801"/>
      <c r="J120" s="801"/>
      <c r="K120" s="801"/>
      <c r="L120" s="801"/>
      <c r="M120" s="802"/>
      <c r="N120" s="802"/>
      <c r="O120" s="802"/>
      <c r="P120" s="802"/>
      <c r="Q120" s="802"/>
      <c r="R120" s="802"/>
      <c r="S120" s="802"/>
      <c r="T120" s="802"/>
      <c r="U120" s="802"/>
      <c r="V120" s="802"/>
      <c r="W120" s="802"/>
      <c r="X120" s="802"/>
      <c r="Y120" s="802"/>
      <c r="Z120" s="802"/>
      <c r="AA120" s="802"/>
      <c r="AB120" s="802"/>
      <c r="AC120" s="802"/>
      <c r="AD120" s="802"/>
      <c r="AE120" s="802"/>
      <c r="AF120" s="802"/>
      <c r="AG120" s="802"/>
      <c r="AH120" s="802"/>
      <c r="AI120" s="802"/>
      <c r="AJ120" s="802"/>
      <c r="AK120" s="802"/>
      <c r="AL120" s="802"/>
      <c r="AM120" s="802"/>
      <c r="AN120" s="802"/>
    </row>
    <row r="121" spans="2:40" s="799" customFormat="1" ht="12" thickBot="1">
      <c r="B121" s="803" t="s">
        <v>1290</v>
      </c>
      <c r="C121" s="804">
        <v>0</v>
      </c>
      <c r="E121" s="801"/>
      <c r="F121" s="801"/>
      <c r="G121" s="801"/>
      <c r="H121" s="801"/>
      <c r="I121" s="801"/>
      <c r="J121" s="801"/>
      <c r="K121" s="801"/>
      <c r="L121" s="801"/>
      <c r="M121" s="802"/>
      <c r="N121" s="802"/>
      <c r="T121" s="802"/>
      <c r="U121" s="802"/>
      <c r="V121" s="802"/>
      <c r="W121" s="802"/>
      <c r="X121" s="802"/>
      <c r="Y121" s="802"/>
      <c r="Z121" s="802"/>
      <c r="AA121" s="802"/>
      <c r="AB121" s="802"/>
      <c r="AC121" s="802"/>
      <c r="AD121" s="802"/>
      <c r="AE121" s="802"/>
      <c r="AF121" s="802"/>
      <c r="AG121" s="802"/>
      <c r="AH121" s="802"/>
      <c r="AI121" s="802"/>
      <c r="AJ121" s="802"/>
      <c r="AK121" s="802"/>
      <c r="AL121" s="802"/>
      <c r="AM121" s="802"/>
      <c r="AN121" s="802"/>
    </row>
    <row r="122" spans="2:40" s="799" customFormat="1">
      <c r="B122" s="803"/>
      <c r="C122" s="211"/>
      <c r="E122" s="801"/>
      <c r="F122" s="801"/>
      <c r="G122" s="801"/>
      <c r="H122" s="801"/>
      <c r="I122" s="801"/>
      <c r="J122" s="801"/>
      <c r="K122" s="801"/>
      <c r="L122" s="801"/>
      <c r="M122" s="802"/>
      <c r="N122" s="802"/>
      <c r="T122" s="802"/>
      <c r="U122" s="802"/>
      <c r="V122" s="802"/>
      <c r="W122" s="802"/>
      <c r="X122" s="802"/>
      <c r="Y122" s="802"/>
      <c r="Z122" s="802"/>
      <c r="AA122" s="802"/>
      <c r="AB122" s="802"/>
      <c r="AC122" s="802"/>
      <c r="AD122" s="802"/>
      <c r="AE122" s="802"/>
      <c r="AF122" s="802"/>
      <c r="AG122" s="802"/>
      <c r="AH122" s="802"/>
      <c r="AI122" s="802"/>
      <c r="AJ122" s="802"/>
      <c r="AK122" s="802"/>
      <c r="AL122" s="802"/>
      <c r="AM122" s="802"/>
      <c r="AN122" s="802"/>
    </row>
    <row r="123" spans="2:40" s="799" customFormat="1">
      <c r="B123" s="803" t="s">
        <v>1609</v>
      </c>
      <c r="C123" s="82" t="s">
        <v>900</v>
      </c>
      <c r="E123" s="801"/>
      <c r="F123" s="801"/>
      <c r="G123" s="801"/>
      <c r="H123" s="801"/>
      <c r="I123" s="801"/>
      <c r="J123" s="801"/>
      <c r="K123" s="801"/>
      <c r="L123" s="801"/>
      <c r="M123" s="802"/>
      <c r="N123" s="802"/>
      <c r="T123" s="802"/>
      <c r="U123" s="802"/>
      <c r="V123" s="802"/>
      <c r="W123" s="160">
        <v>60</v>
      </c>
      <c r="X123" s="160">
        <v>60</v>
      </c>
      <c r="Y123" s="160">
        <v>60</v>
      </c>
      <c r="Z123" s="160">
        <v>60</v>
      </c>
      <c r="AA123" s="160">
        <v>60</v>
      </c>
      <c r="AB123" s="160">
        <v>60</v>
      </c>
      <c r="AC123" s="160">
        <v>60</v>
      </c>
      <c r="AD123" s="160">
        <v>60</v>
      </c>
      <c r="AE123" s="160">
        <v>60</v>
      </c>
      <c r="AF123" s="160">
        <v>60</v>
      </c>
      <c r="AG123" s="160">
        <v>60</v>
      </c>
      <c r="AH123" s="160">
        <v>60</v>
      </c>
      <c r="AI123" s="160">
        <v>60</v>
      </c>
      <c r="AJ123" s="160">
        <v>60</v>
      </c>
      <c r="AK123" s="160">
        <v>60</v>
      </c>
      <c r="AL123" s="160">
        <v>60</v>
      </c>
      <c r="AM123" s="160">
        <v>60</v>
      </c>
      <c r="AN123" s="160">
        <v>60</v>
      </c>
    </row>
    <row r="124" spans="2:40" s="799" customFormat="1">
      <c r="B124" s="806" t="s">
        <v>1558</v>
      </c>
      <c r="C124" s="82" t="s">
        <v>900</v>
      </c>
      <c r="E124" s="801"/>
      <c r="F124" s="801"/>
      <c r="G124" s="801"/>
      <c r="H124" s="801"/>
      <c r="I124" s="801"/>
      <c r="J124" s="801"/>
      <c r="K124" s="801"/>
      <c r="L124" s="801"/>
      <c r="M124" s="802"/>
      <c r="N124" s="802"/>
      <c r="T124" s="802"/>
      <c r="U124" s="802"/>
      <c r="V124" s="802"/>
      <c r="W124" s="581">
        <f t="shared" ref="W124:AN124" si="45">IF($C$121=1,W123,0)</f>
        <v>0</v>
      </c>
      <c r="X124" s="581">
        <f t="shared" si="45"/>
        <v>0</v>
      </c>
      <c r="Y124" s="581">
        <f t="shared" si="45"/>
        <v>0</v>
      </c>
      <c r="Z124" s="581">
        <f t="shared" si="45"/>
        <v>0</v>
      </c>
      <c r="AA124" s="581">
        <f t="shared" si="45"/>
        <v>0</v>
      </c>
      <c r="AB124" s="581">
        <f t="shared" si="45"/>
        <v>0</v>
      </c>
      <c r="AC124" s="581">
        <f t="shared" si="45"/>
        <v>0</v>
      </c>
      <c r="AD124" s="581">
        <f t="shared" si="45"/>
        <v>0</v>
      </c>
      <c r="AE124" s="581">
        <f t="shared" si="45"/>
        <v>0</v>
      </c>
      <c r="AF124" s="581">
        <f t="shared" si="45"/>
        <v>0</v>
      </c>
      <c r="AG124" s="581">
        <f t="shared" si="45"/>
        <v>0</v>
      </c>
      <c r="AH124" s="581">
        <f t="shared" si="45"/>
        <v>0</v>
      </c>
      <c r="AI124" s="581">
        <f t="shared" si="45"/>
        <v>0</v>
      </c>
      <c r="AJ124" s="581">
        <f t="shared" si="45"/>
        <v>0</v>
      </c>
      <c r="AK124" s="581">
        <f t="shared" si="45"/>
        <v>0</v>
      </c>
      <c r="AL124" s="581">
        <f t="shared" si="45"/>
        <v>0</v>
      </c>
      <c r="AM124" s="581">
        <f t="shared" si="45"/>
        <v>0</v>
      </c>
      <c r="AN124" s="581">
        <f t="shared" si="45"/>
        <v>0</v>
      </c>
    </row>
    <row r="125" spans="2:40" s="799" customFormat="1">
      <c r="B125" s="803"/>
      <c r="C125" s="800"/>
      <c r="E125" s="801"/>
      <c r="F125" s="801"/>
      <c r="G125" s="801"/>
      <c r="H125" s="801"/>
      <c r="I125" s="801"/>
      <c r="J125" s="801"/>
      <c r="K125" s="801"/>
      <c r="L125" s="801"/>
      <c r="M125" s="802"/>
      <c r="N125" s="802"/>
      <c r="T125" s="802"/>
      <c r="U125" s="802"/>
      <c r="V125" s="802"/>
      <c r="W125" s="802"/>
      <c r="X125" s="802"/>
      <c r="Y125" s="802"/>
      <c r="Z125" s="802"/>
      <c r="AA125" s="802"/>
      <c r="AB125" s="802"/>
      <c r="AC125" s="802"/>
      <c r="AD125" s="802"/>
      <c r="AE125" s="802"/>
      <c r="AF125" s="802"/>
      <c r="AG125" s="802"/>
      <c r="AH125" s="802"/>
      <c r="AI125" s="802"/>
      <c r="AJ125" s="802"/>
      <c r="AK125" s="802"/>
      <c r="AL125" s="802"/>
      <c r="AM125" s="802"/>
      <c r="AN125" s="802"/>
    </row>
    <row r="126" spans="2:40" s="799" customFormat="1">
      <c r="B126" s="803" t="s">
        <v>1576</v>
      </c>
      <c r="C126" s="800"/>
      <c r="E126" s="801"/>
      <c r="F126" s="801"/>
      <c r="G126" s="801"/>
      <c r="H126" s="801"/>
      <c r="I126" s="801"/>
      <c r="J126" s="801"/>
      <c r="K126" s="801"/>
      <c r="L126" s="801"/>
      <c r="M126" s="802"/>
      <c r="N126" s="802"/>
      <c r="T126" s="802"/>
      <c r="U126" s="802"/>
      <c r="V126" s="802"/>
      <c r="W126" s="802"/>
      <c r="X126" s="802"/>
      <c r="Y126" s="802"/>
      <c r="Z126" s="802"/>
      <c r="AA126" s="802"/>
      <c r="AB126" s="802"/>
      <c r="AC126" s="802"/>
      <c r="AD126" s="802"/>
      <c r="AE126" s="802"/>
      <c r="AF126" s="802"/>
      <c r="AG126" s="802"/>
      <c r="AH126" s="802"/>
      <c r="AI126" s="802"/>
      <c r="AJ126" s="802"/>
      <c r="AK126" s="802"/>
      <c r="AL126" s="802"/>
      <c r="AM126" s="802"/>
      <c r="AN126" s="802"/>
    </row>
    <row r="127" spans="2:40" s="799" customFormat="1">
      <c r="B127" s="803"/>
      <c r="C127" s="800"/>
      <c r="E127" s="801"/>
      <c r="F127" s="801"/>
      <c r="G127" s="801"/>
      <c r="H127" s="801"/>
      <c r="I127" s="801"/>
      <c r="J127" s="801"/>
      <c r="K127" s="801"/>
      <c r="L127" s="801"/>
      <c r="M127" s="802"/>
      <c r="N127" s="802"/>
      <c r="T127" s="802"/>
      <c r="U127" s="802"/>
      <c r="V127" s="802"/>
      <c r="W127" s="802"/>
      <c r="X127" s="802"/>
      <c r="Y127" s="802"/>
      <c r="Z127" s="802"/>
      <c r="AA127" s="802"/>
      <c r="AB127" s="802"/>
      <c r="AC127" s="802"/>
      <c r="AD127" s="802"/>
      <c r="AE127" s="802"/>
      <c r="AF127" s="802"/>
      <c r="AG127" s="802"/>
      <c r="AH127" s="802"/>
      <c r="AI127" s="802"/>
      <c r="AJ127" s="802"/>
      <c r="AK127" s="802"/>
      <c r="AL127" s="802"/>
      <c r="AM127" s="802"/>
      <c r="AN127" s="802"/>
    </row>
    <row r="128" spans="2:40" s="799" customFormat="1">
      <c r="B128" s="803" t="s">
        <v>1345</v>
      </c>
      <c r="C128" s="82" t="s">
        <v>900</v>
      </c>
      <c r="E128" s="801"/>
      <c r="F128" s="801"/>
      <c r="G128" s="801"/>
      <c r="H128" s="801"/>
      <c r="I128" s="801"/>
      <c r="J128" s="801"/>
      <c r="K128" s="801"/>
      <c r="L128" s="801"/>
      <c r="M128" s="802"/>
      <c r="N128" s="802"/>
      <c r="T128" s="802"/>
      <c r="U128" s="802"/>
      <c r="V128" s="802"/>
      <c r="W128" s="160">
        <v>15</v>
      </c>
      <c r="X128" s="160">
        <v>15</v>
      </c>
      <c r="Y128" s="160">
        <v>15</v>
      </c>
      <c r="Z128" s="160">
        <v>15</v>
      </c>
      <c r="AA128" s="160">
        <v>15</v>
      </c>
      <c r="AB128" s="160">
        <v>15</v>
      </c>
      <c r="AC128" s="160">
        <v>15</v>
      </c>
      <c r="AD128" s="160">
        <v>15</v>
      </c>
      <c r="AE128" s="160">
        <v>15</v>
      </c>
      <c r="AF128" s="160">
        <v>15</v>
      </c>
      <c r="AG128" s="160">
        <v>15</v>
      </c>
      <c r="AH128" s="160">
        <v>15</v>
      </c>
      <c r="AI128" s="160">
        <v>15</v>
      </c>
      <c r="AJ128" s="160">
        <v>15</v>
      </c>
      <c r="AK128" s="160">
        <v>15</v>
      </c>
      <c r="AL128" s="160">
        <v>15</v>
      </c>
      <c r="AM128" s="160">
        <v>15</v>
      </c>
      <c r="AN128" s="160">
        <v>15</v>
      </c>
    </row>
    <row r="129" spans="2:41" s="799" customFormat="1">
      <c r="B129" s="806" t="s">
        <v>1559</v>
      </c>
      <c r="C129" s="82" t="s">
        <v>900</v>
      </c>
      <c r="E129" s="801"/>
      <c r="F129" s="801"/>
      <c r="G129" s="801"/>
      <c r="H129" s="801"/>
      <c r="I129" s="801"/>
      <c r="J129" s="801"/>
      <c r="K129" s="801"/>
      <c r="L129" s="801"/>
      <c r="M129" s="802"/>
      <c r="N129" s="802"/>
      <c r="O129" s="802"/>
      <c r="P129" s="802"/>
      <c r="Q129" s="802"/>
      <c r="R129" s="802"/>
      <c r="S129" s="802"/>
      <c r="T129" s="802"/>
      <c r="U129" s="802"/>
      <c r="V129" s="802"/>
      <c r="W129" s="581">
        <f t="shared" ref="W129:AN129" si="46">IF($C$121=1,W128,0)</f>
        <v>0</v>
      </c>
      <c r="X129" s="581">
        <f t="shared" si="46"/>
        <v>0</v>
      </c>
      <c r="Y129" s="581">
        <f t="shared" si="46"/>
        <v>0</v>
      </c>
      <c r="Z129" s="581">
        <f t="shared" si="46"/>
        <v>0</v>
      </c>
      <c r="AA129" s="581">
        <f t="shared" si="46"/>
        <v>0</v>
      </c>
      <c r="AB129" s="581">
        <f t="shared" si="46"/>
        <v>0</v>
      </c>
      <c r="AC129" s="581">
        <f t="shared" si="46"/>
        <v>0</v>
      </c>
      <c r="AD129" s="581">
        <f t="shared" si="46"/>
        <v>0</v>
      </c>
      <c r="AE129" s="581">
        <f t="shared" si="46"/>
        <v>0</v>
      </c>
      <c r="AF129" s="581">
        <f t="shared" si="46"/>
        <v>0</v>
      </c>
      <c r="AG129" s="581">
        <f t="shared" si="46"/>
        <v>0</v>
      </c>
      <c r="AH129" s="581">
        <f t="shared" si="46"/>
        <v>0</v>
      </c>
      <c r="AI129" s="581">
        <f t="shared" si="46"/>
        <v>0</v>
      </c>
      <c r="AJ129" s="581">
        <f t="shared" si="46"/>
        <v>0</v>
      </c>
      <c r="AK129" s="581">
        <f t="shared" si="46"/>
        <v>0</v>
      </c>
      <c r="AL129" s="581">
        <f t="shared" si="46"/>
        <v>0</v>
      </c>
      <c r="AM129" s="581">
        <f t="shared" si="46"/>
        <v>0</v>
      </c>
      <c r="AN129" s="581">
        <f t="shared" si="46"/>
        <v>0</v>
      </c>
    </row>
    <row r="130" spans="2:41" s="799" customFormat="1">
      <c r="B130" s="806"/>
      <c r="C130" s="82"/>
      <c r="E130" s="801"/>
      <c r="F130" s="801"/>
      <c r="G130" s="801"/>
      <c r="H130" s="801"/>
      <c r="I130" s="801"/>
      <c r="J130" s="801"/>
      <c r="K130" s="801"/>
      <c r="L130" s="801"/>
      <c r="M130" s="802"/>
      <c r="N130" s="802"/>
      <c r="O130" s="802"/>
      <c r="P130" s="802"/>
      <c r="Q130" s="802"/>
      <c r="R130" s="802"/>
      <c r="S130" s="802"/>
      <c r="T130" s="802"/>
      <c r="U130" s="802"/>
      <c r="V130" s="802"/>
      <c r="W130" s="581"/>
      <c r="X130" s="581"/>
      <c r="Y130" s="581"/>
      <c r="Z130" s="581"/>
      <c r="AA130" s="581"/>
      <c r="AB130" s="581"/>
      <c r="AC130" s="581"/>
      <c r="AD130" s="581"/>
      <c r="AE130" s="581"/>
      <c r="AF130" s="581"/>
      <c r="AG130" s="581"/>
      <c r="AH130" s="581"/>
      <c r="AI130" s="581"/>
      <c r="AJ130" s="581"/>
      <c r="AK130" s="581"/>
      <c r="AL130" s="581"/>
      <c r="AM130" s="581"/>
      <c r="AN130" s="581"/>
    </row>
    <row r="131" spans="2:41" s="799" customFormat="1">
      <c r="B131" s="803" t="s">
        <v>1580</v>
      </c>
      <c r="C131" s="82" t="s">
        <v>900</v>
      </c>
      <c r="E131" s="801"/>
      <c r="F131" s="801"/>
      <c r="G131" s="801"/>
      <c r="H131" s="801"/>
      <c r="I131" s="801"/>
      <c r="J131" s="801"/>
      <c r="K131" s="801"/>
      <c r="L131" s="801"/>
      <c r="M131" s="802"/>
      <c r="N131" s="802"/>
      <c r="T131" s="802"/>
      <c r="U131" s="802"/>
      <c r="V131" s="802"/>
      <c r="W131" s="160">
        <v>-30</v>
      </c>
      <c r="X131" s="160">
        <v>-30</v>
      </c>
      <c r="Y131" s="160">
        <v>-30</v>
      </c>
      <c r="Z131" s="160">
        <v>-30</v>
      </c>
      <c r="AA131" s="160">
        <v>-30</v>
      </c>
      <c r="AB131" s="160">
        <v>-30</v>
      </c>
      <c r="AC131" s="160">
        <v>-30</v>
      </c>
      <c r="AD131" s="160">
        <v>-30</v>
      </c>
      <c r="AE131" s="160">
        <v>-30</v>
      </c>
      <c r="AF131" s="160">
        <v>-30</v>
      </c>
      <c r="AG131" s="160">
        <v>-30</v>
      </c>
      <c r="AH131" s="160">
        <v>-30</v>
      </c>
      <c r="AI131" s="160">
        <v>-30</v>
      </c>
      <c r="AJ131" s="160">
        <v>-30</v>
      </c>
      <c r="AK131" s="160">
        <v>-30</v>
      </c>
      <c r="AL131" s="160">
        <v>-30</v>
      </c>
      <c r="AM131" s="160">
        <v>-30</v>
      </c>
      <c r="AN131" s="160">
        <v>-30</v>
      </c>
    </row>
    <row r="132" spans="2:41" s="799" customFormat="1">
      <c r="B132" s="806" t="s">
        <v>1581</v>
      </c>
      <c r="C132" s="82" t="s">
        <v>900</v>
      </c>
      <c r="E132" s="801"/>
      <c r="F132" s="801"/>
      <c r="G132" s="801"/>
      <c r="H132" s="801"/>
      <c r="I132" s="801"/>
      <c r="J132" s="801"/>
      <c r="K132" s="801"/>
      <c r="L132" s="801"/>
      <c r="M132" s="802"/>
      <c r="N132" s="802"/>
      <c r="O132" s="802"/>
      <c r="P132" s="802"/>
      <c r="Q132" s="802"/>
      <c r="R132" s="802"/>
      <c r="S132" s="802"/>
      <c r="T132" s="802"/>
      <c r="U132" s="802"/>
      <c r="V132" s="802"/>
      <c r="W132" s="581">
        <f t="shared" ref="W132:AN132" si="47">IF($C$121=1,W131,0)</f>
        <v>0</v>
      </c>
      <c r="X132" s="581">
        <f t="shared" si="47"/>
        <v>0</v>
      </c>
      <c r="Y132" s="581">
        <f t="shared" si="47"/>
        <v>0</v>
      </c>
      <c r="Z132" s="581">
        <f t="shared" si="47"/>
        <v>0</v>
      </c>
      <c r="AA132" s="581">
        <f t="shared" si="47"/>
        <v>0</v>
      </c>
      <c r="AB132" s="581">
        <f t="shared" si="47"/>
        <v>0</v>
      </c>
      <c r="AC132" s="581">
        <f t="shared" si="47"/>
        <v>0</v>
      </c>
      <c r="AD132" s="581">
        <f t="shared" si="47"/>
        <v>0</v>
      </c>
      <c r="AE132" s="581">
        <f t="shared" si="47"/>
        <v>0</v>
      </c>
      <c r="AF132" s="581">
        <f t="shared" si="47"/>
        <v>0</v>
      </c>
      <c r="AG132" s="581">
        <f t="shared" si="47"/>
        <v>0</v>
      </c>
      <c r="AH132" s="581">
        <f t="shared" si="47"/>
        <v>0</v>
      </c>
      <c r="AI132" s="581">
        <f t="shared" si="47"/>
        <v>0</v>
      </c>
      <c r="AJ132" s="581">
        <f t="shared" si="47"/>
        <v>0</v>
      </c>
      <c r="AK132" s="581">
        <f t="shared" si="47"/>
        <v>0</v>
      </c>
      <c r="AL132" s="581">
        <f t="shared" si="47"/>
        <v>0</v>
      </c>
      <c r="AM132" s="581">
        <f t="shared" si="47"/>
        <v>0</v>
      </c>
      <c r="AN132" s="581">
        <f t="shared" si="47"/>
        <v>0</v>
      </c>
    </row>
    <row r="133" spans="2:41" s="799" customFormat="1">
      <c r="B133" s="806"/>
      <c r="C133" s="82"/>
      <c r="E133" s="801"/>
      <c r="F133" s="801"/>
      <c r="G133" s="801"/>
      <c r="H133" s="801"/>
      <c r="I133" s="801"/>
      <c r="J133" s="801"/>
      <c r="K133" s="801"/>
      <c r="L133" s="801"/>
      <c r="M133" s="802"/>
      <c r="N133" s="802"/>
      <c r="O133" s="802"/>
      <c r="P133" s="802"/>
      <c r="Q133" s="802"/>
      <c r="R133" s="802"/>
      <c r="S133" s="802"/>
      <c r="T133" s="802"/>
      <c r="U133" s="802"/>
      <c r="V133" s="802"/>
      <c r="W133" s="581"/>
      <c r="X133" s="581"/>
      <c r="Y133" s="581"/>
      <c r="Z133" s="581"/>
      <c r="AA133" s="581"/>
      <c r="AB133" s="581"/>
      <c r="AC133" s="581"/>
      <c r="AD133" s="581"/>
      <c r="AE133" s="581"/>
      <c r="AF133" s="581"/>
      <c r="AG133" s="581"/>
      <c r="AH133" s="581"/>
      <c r="AI133" s="581"/>
      <c r="AJ133" s="581"/>
      <c r="AK133" s="581"/>
      <c r="AL133" s="581"/>
      <c r="AM133" s="581"/>
      <c r="AN133" s="581"/>
    </row>
    <row r="134" spans="2:41" s="799" customFormat="1">
      <c r="B134" s="192" t="s">
        <v>522</v>
      </c>
      <c r="C134" s="82" t="s">
        <v>900</v>
      </c>
      <c r="E134" s="801"/>
      <c r="F134" s="801"/>
      <c r="G134" s="801"/>
      <c r="H134" s="801"/>
      <c r="I134" s="801"/>
      <c r="J134" s="801"/>
      <c r="K134" s="801"/>
      <c r="L134" s="801"/>
      <c r="M134" s="581"/>
      <c r="N134" s="581"/>
      <c r="O134" s="581"/>
      <c r="P134" s="581"/>
      <c r="Q134" s="581"/>
      <c r="R134" s="581">
        <f t="shared" ref="R134:AN134" si="48">R577</f>
        <v>860</v>
      </c>
      <c r="S134" s="581">
        <f t="shared" si="48"/>
        <v>753</v>
      </c>
      <c r="T134" s="581">
        <f t="shared" si="48"/>
        <v>609</v>
      </c>
      <c r="U134" s="581">
        <f>U577</f>
        <v>631</v>
      </c>
      <c r="V134" s="581">
        <f>V577</f>
        <v>533</v>
      </c>
      <c r="W134" s="581">
        <f t="shared" si="48"/>
        <v>461.44863485366449</v>
      </c>
      <c r="X134" s="581">
        <f t="shared" si="48"/>
        <v>744.66056523514158</v>
      </c>
      <c r="Y134" s="581">
        <f t="shared" si="48"/>
        <v>671.00246984686896</v>
      </c>
      <c r="Z134" s="581">
        <f t="shared" si="48"/>
        <v>661.07644946084463</v>
      </c>
      <c r="AA134" s="581">
        <f t="shared" si="48"/>
        <v>583.21996870592</v>
      </c>
      <c r="AB134" s="581">
        <f t="shared" si="48"/>
        <v>555.22770181162764</v>
      </c>
      <c r="AC134" s="581">
        <f t="shared" si="48"/>
        <v>461.64785564496776</v>
      </c>
      <c r="AD134" s="581">
        <f t="shared" si="48"/>
        <v>426.22433392532184</v>
      </c>
      <c r="AE134" s="581">
        <f t="shared" si="48"/>
        <v>337.91920255984917</v>
      </c>
      <c r="AF134" s="581">
        <f t="shared" si="48"/>
        <v>303.73140862237517</v>
      </c>
      <c r="AG134" s="581">
        <f t="shared" si="48"/>
        <v>169.03427672148928</v>
      </c>
      <c r="AH134" s="581">
        <f t="shared" si="48"/>
        <v>100.33702154016999</v>
      </c>
      <c r="AI134" s="581">
        <f t="shared" si="48"/>
        <v>-39.862587301643543</v>
      </c>
      <c r="AJ134" s="581">
        <f t="shared" si="48"/>
        <v>-113.85281884555388</v>
      </c>
      <c r="AK134" s="581">
        <f t="shared" si="48"/>
        <v>-266.67087969326462</v>
      </c>
      <c r="AL134" s="581">
        <f t="shared" si="48"/>
        <v>-356.79817324564601</v>
      </c>
      <c r="AM134" s="581">
        <f t="shared" si="48"/>
        <v>-516.28559976877818</v>
      </c>
      <c r="AN134" s="581">
        <f t="shared" si="48"/>
        <v>-610.48124261317798</v>
      </c>
    </row>
    <row r="135" spans="2:41" s="799" customFormat="1">
      <c r="B135" s="192" t="s">
        <v>980</v>
      </c>
      <c r="C135" s="82" t="s">
        <v>1079</v>
      </c>
      <c r="E135" s="801"/>
      <c r="F135" s="801"/>
      <c r="G135" s="801"/>
      <c r="H135" s="801"/>
      <c r="I135" s="801"/>
      <c r="J135" s="801"/>
      <c r="K135" s="801"/>
      <c r="L135" s="801"/>
      <c r="M135" s="241"/>
      <c r="N135" s="241"/>
      <c r="O135" s="241"/>
      <c r="P135" s="241"/>
      <c r="Q135" s="241"/>
      <c r="R135" s="241">
        <f t="shared" ref="R135:AN135" si="49">R579</f>
        <v>2.7</v>
      </c>
      <c r="S135" s="241">
        <f t="shared" si="49"/>
        <v>2.2000000000000002</v>
      </c>
      <c r="T135" s="241">
        <f t="shared" si="49"/>
        <v>1.6</v>
      </c>
      <c r="U135" s="241">
        <f>U579</f>
        <v>1.5</v>
      </c>
      <c r="V135" s="241">
        <f>V579</f>
        <v>1.2</v>
      </c>
      <c r="W135" s="241">
        <f t="shared" si="49"/>
        <v>1.0026834963301701</v>
      </c>
      <c r="X135" s="241">
        <f t="shared" si="49"/>
        <v>1.5965448786458456</v>
      </c>
      <c r="Y135" s="241">
        <f t="shared" si="49"/>
        <v>1.4183179707155738</v>
      </c>
      <c r="Z135" s="241">
        <f t="shared" si="49"/>
        <v>1.3612317645527574</v>
      </c>
      <c r="AA135" s="241">
        <f t="shared" si="49"/>
        <v>1.1820837081964171</v>
      </c>
      <c r="AB135" s="241">
        <f t="shared" si="49"/>
        <v>1.1231158171496709</v>
      </c>
      <c r="AC135" s="241">
        <f t="shared" si="49"/>
        <v>0.92696718987753091</v>
      </c>
      <c r="AD135" s="241">
        <f t="shared" si="49"/>
        <v>0.8503044441344676</v>
      </c>
      <c r="AE135" s="241">
        <f t="shared" si="49"/>
        <v>0.67021297827316295</v>
      </c>
      <c r="AF135" s="241">
        <f t="shared" si="49"/>
        <v>0.59898661827246258</v>
      </c>
      <c r="AG135" s="241">
        <f t="shared" si="49"/>
        <v>0.33127803698144265</v>
      </c>
      <c r="AH135" s="241">
        <f t="shared" si="49"/>
        <v>0.19545317679488206</v>
      </c>
      <c r="AI135" s="241">
        <f t="shared" si="49"/>
        <v>-7.7137282421974207E-2</v>
      </c>
      <c r="AJ135" s="241">
        <f t="shared" si="49"/>
        <v>-0.21889848979342347</v>
      </c>
      <c r="AK135" s="241">
        <f t="shared" si="49"/>
        <v>-0.50911896638386611</v>
      </c>
      <c r="AL135" s="241">
        <f t="shared" si="49"/>
        <v>-0.67655554353179403</v>
      </c>
      <c r="AM135" s="241">
        <f t="shared" si="49"/>
        <v>-0.97172587982926251</v>
      </c>
      <c r="AN135" s="241">
        <f t="shared" si="49"/>
        <v>-1.1407779789929056</v>
      </c>
    </row>
    <row r="136" spans="2:41" s="799" customFormat="1">
      <c r="B136" s="806"/>
      <c r="C136" s="82"/>
      <c r="E136" s="801"/>
      <c r="F136" s="801"/>
      <c r="G136" s="801"/>
      <c r="H136" s="801"/>
      <c r="I136" s="801"/>
      <c r="J136" s="801"/>
      <c r="K136" s="801"/>
      <c r="L136" s="801"/>
      <c r="M136" s="802"/>
      <c r="N136" s="802"/>
      <c r="O136" s="802"/>
      <c r="P136" s="802"/>
      <c r="Q136" s="802"/>
      <c r="R136" s="802"/>
      <c r="S136" s="802"/>
      <c r="T136" s="802"/>
      <c r="U136" s="802"/>
      <c r="V136" s="581"/>
      <c r="W136" s="581"/>
      <c r="X136" s="581"/>
      <c r="Y136" s="581"/>
      <c r="Z136" s="581"/>
      <c r="AA136" s="581"/>
      <c r="AB136" s="581"/>
      <c r="AC136" s="581"/>
      <c r="AD136" s="581"/>
      <c r="AE136" s="581"/>
      <c r="AF136" s="581"/>
      <c r="AG136" s="581"/>
      <c r="AH136" s="581"/>
      <c r="AI136" s="581"/>
      <c r="AJ136" s="581"/>
      <c r="AK136" s="581"/>
      <c r="AL136" s="581"/>
      <c r="AM136" s="581"/>
      <c r="AN136" s="581"/>
    </row>
    <row r="137" spans="2:41" s="171" customFormat="1">
      <c r="B137" s="184" t="s">
        <v>1552</v>
      </c>
      <c r="C137" s="580"/>
      <c r="E137" s="136"/>
      <c r="F137" s="136"/>
      <c r="G137" s="136"/>
      <c r="H137" s="136"/>
      <c r="I137" s="136"/>
      <c r="J137" s="136"/>
      <c r="K137" s="136"/>
      <c r="L137" s="136"/>
      <c r="M137" s="581"/>
      <c r="N137" s="581"/>
      <c r="O137" s="581"/>
      <c r="P137" s="581"/>
      <c r="Q137" s="581"/>
      <c r="R137" s="581"/>
      <c r="S137" s="581"/>
      <c r="T137" s="581"/>
      <c r="U137" s="581"/>
      <c r="V137" s="581"/>
      <c r="W137" s="581"/>
      <c r="X137" s="581"/>
      <c r="Y137" s="581"/>
      <c r="Z137" s="581"/>
      <c r="AA137" s="581"/>
      <c r="AB137" s="581"/>
      <c r="AC137" s="581"/>
      <c r="AD137" s="581"/>
      <c r="AE137" s="581"/>
      <c r="AF137" s="581"/>
      <c r="AG137" s="581"/>
      <c r="AH137" s="581"/>
      <c r="AI137" s="581"/>
      <c r="AJ137" s="581"/>
      <c r="AK137" s="581"/>
      <c r="AL137" s="581"/>
      <c r="AM137" s="581"/>
      <c r="AN137" s="581"/>
    </row>
    <row r="138" spans="2:41" s="3" customFormat="1">
      <c r="B138" s="162" t="s">
        <v>1525</v>
      </c>
      <c r="C138" s="82" t="s">
        <v>900</v>
      </c>
      <c r="E138" s="485"/>
      <c r="F138" s="485"/>
      <c r="G138" s="485"/>
      <c r="H138" s="485"/>
      <c r="I138" s="485"/>
      <c r="J138" s="485"/>
      <c r="K138" s="485"/>
      <c r="L138" s="485"/>
      <c r="M138" s="135"/>
      <c r="N138" s="135"/>
      <c r="O138" s="135">
        <v>120.9</v>
      </c>
      <c r="P138" s="135">
        <v>128.4</v>
      </c>
      <c r="Q138" s="135">
        <v>109.3</v>
      </c>
      <c r="R138" s="135">
        <f>212.3-Q138</f>
        <v>103.00000000000001</v>
      </c>
      <c r="S138" s="135">
        <v>108</v>
      </c>
      <c r="T138" s="135">
        <f>232.2-S138</f>
        <v>124.19999999999999</v>
      </c>
      <c r="U138" s="135">
        <v>115.1</v>
      </c>
      <c r="V138" s="135">
        <f>223.7-U138</f>
        <v>108.6</v>
      </c>
      <c r="W138" s="160">
        <v>107</v>
      </c>
      <c r="X138" s="160">
        <v>109</v>
      </c>
      <c r="Y138" s="136">
        <f t="shared" ref="Y138:AK138" si="50">W138*(1+Y139)</f>
        <v>110.21000000000001</v>
      </c>
      <c r="Z138" s="136">
        <f t="shared" si="50"/>
        <v>112.27</v>
      </c>
      <c r="AA138" s="136">
        <f t="shared" si="50"/>
        <v>113.51630000000002</v>
      </c>
      <c r="AB138" s="136">
        <f t="shared" si="50"/>
        <v>115.63809999999999</v>
      </c>
      <c r="AC138" s="136">
        <f t="shared" si="50"/>
        <v>116.92178900000002</v>
      </c>
      <c r="AD138" s="136">
        <f t="shared" si="50"/>
        <v>119.107243</v>
      </c>
      <c r="AE138" s="136">
        <f t="shared" si="50"/>
        <v>120.42944267000003</v>
      </c>
      <c r="AF138" s="136">
        <f t="shared" si="50"/>
        <v>122.68046029</v>
      </c>
      <c r="AG138" s="136">
        <f t="shared" si="50"/>
        <v>124.04232595010004</v>
      </c>
      <c r="AH138" s="136">
        <f t="shared" si="50"/>
        <v>126.36087409870001</v>
      </c>
      <c r="AI138" s="136">
        <f t="shared" si="50"/>
        <v>127.76359572860304</v>
      </c>
      <c r="AJ138" s="136">
        <f t="shared" si="50"/>
        <v>130.15170032166102</v>
      </c>
      <c r="AK138" s="136">
        <f t="shared" si="50"/>
        <v>131.59650360046112</v>
      </c>
      <c r="AL138" s="136">
        <f>AJ138*(1+AL139)</f>
        <v>134.05625133131085</v>
      </c>
      <c r="AM138" s="136">
        <f>AK138*(1+AM139)</f>
        <v>135.54439870847494</v>
      </c>
      <c r="AN138" s="136">
        <f>AL138*(1+AN139)</f>
        <v>138.07793887125018</v>
      </c>
    </row>
    <row r="139" spans="2:41" s="3" customFormat="1">
      <c r="B139" s="183" t="s">
        <v>978</v>
      </c>
      <c r="C139" s="82" t="s">
        <v>842</v>
      </c>
      <c r="E139" s="485"/>
      <c r="F139" s="485"/>
      <c r="G139" s="485"/>
      <c r="H139" s="485"/>
      <c r="I139" s="485"/>
      <c r="J139" s="485"/>
      <c r="K139" s="485"/>
      <c r="L139" s="485"/>
      <c r="M139" s="135"/>
      <c r="N139" s="135"/>
      <c r="O139" s="135"/>
      <c r="P139" s="135"/>
      <c r="Q139" s="159">
        <f t="shared" ref="Q139:V139" si="51">Q138/O138-1</f>
        <v>-9.594706368899919E-2</v>
      </c>
      <c r="R139" s="159">
        <f t="shared" si="51"/>
        <v>-0.19781931464174451</v>
      </c>
      <c r="S139" s="159">
        <f t="shared" si="51"/>
        <v>-1.1893870082342106E-2</v>
      </c>
      <c r="T139" s="159">
        <f t="shared" si="51"/>
        <v>0.20582524271844638</v>
      </c>
      <c r="U139" s="159">
        <f t="shared" si="51"/>
        <v>6.5740740740740655E-2</v>
      </c>
      <c r="V139" s="159">
        <f t="shared" si="51"/>
        <v>-0.12560386473429952</v>
      </c>
      <c r="W139" s="159">
        <f t="shared" ref="W139" si="52">W138/U138-1</f>
        <v>-7.0373588184187597E-2</v>
      </c>
      <c r="X139" s="159">
        <f t="shared" ref="X139" si="53">X138/V138-1</f>
        <v>3.6832412523020164E-3</v>
      </c>
      <c r="Y139" s="158">
        <v>0.03</v>
      </c>
      <c r="Z139" s="158">
        <v>0.03</v>
      </c>
      <c r="AA139" s="158">
        <v>0.03</v>
      </c>
      <c r="AB139" s="158">
        <v>0.03</v>
      </c>
      <c r="AC139" s="158">
        <v>0.03</v>
      </c>
      <c r="AD139" s="158">
        <v>0.03</v>
      </c>
      <c r="AE139" s="158">
        <v>0.03</v>
      </c>
      <c r="AF139" s="158">
        <v>0.03</v>
      </c>
      <c r="AG139" s="158">
        <v>0.03</v>
      </c>
      <c r="AH139" s="158">
        <v>0.03</v>
      </c>
      <c r="AI139" s="158">
        <v>0.03</v>
      </c>
      <c r="AJ139" s="158">
        <v>0.03</v>
      </c>
      <c r="AK139" s="158">
        <v>0.03</v>
      </c>
      <c r="AL139" s="158">
        <v>0.03</v>
      </c>
      <c r="AM139" s="158">
        <v>0.03</v>
      </c>
      <c r="AN139" s="158">
        <v>0.03</v>
      </c>
    </row>
    <row r="140" spans="2:41" s="3" customFormat="1">
      <c r="B140" s="161"/>
      <c r="C140" s="484"/>
      <c r="E140" s="485"/>
      <c r="F140" s="485"/>
      <c r="G140" s="485"/>
      <c r="H140" s="485"/>
      <c r="I140" s="485"/>
      <c r="J140" s="485"/>
      <c r="K140" s="485"/>
      <c r="L140" s="485"/>
      <c r="M140" s="135"/>
      <c r="N140" s="135"/>
      <c r="O140" s="135"/>
      <c r="P140" s="135"/>
      <c r="Q140" s="135"/>
      <c r="R140" s="135"/>
      <c r="S140" s="222"/>
      <c r="T140" s="135"/>
      <c r="U140" s="222"/>
      <c r="V140" s="135"/>
      <c r="W140" s="222"/>
      <c r="X140" s="222"/>
      <c r="Y140" s="222"/>
      <c r="Z140" s="222"/>
      <c r="AA140" s="222"/>
      <c r="AB140" s="222"/>
      <c r="AC140" s="222"/>
      <c r="AD140" s="222"/>
      <c r="AE140" s="222"/>
      <c r="AF140" s="222"/>
      <c r="AG140" s="222"/>
      <c r="AH140" s="222"/>
      <c r="AI140" s="222"/>
      <c r="AJ140" s="222"/>
      <c r="AK140" s="222"/>
      <c r="AL140" s="222"/>
      <c r="AM140" s="222"/>
      <c r="AN140" s="222"/>
    </row>
    <row r="141" spans="2:41" s="3" customFormat="1">
      <c r="B141" s="482" t="s">
        <v>1553</v>
      </c>
      <c r="C141" s="163" t="s">
        <v>900</v>
      </c>
      <c r="E141" s="485"/>
      <c r="F141" s="485"/>
      <c r="G141" s="485"/>
      <c r="H141" s="485"/>
      <c r="I141" s="485"/>
      <c r="J141" s="485"/>
      <c r="K141" s="485"/>
      <c r="L141" s="485"/>
      <c r="M141" s="135"/>
      <c r="N141" s="135"/>
      <c r="O141" s="222">
        <f t="shared" ref="O141:AN141" si="54">O102+O117+O138</f>
        <v>1051.3</v>
      </c>
      <c r="P141" s="222">
        <f t="shared" si="54"/>
        <v>959.1</v>
      </c>
      <c r="Q141" s="222">
        <f t="shared" si="54"/>
        <v>1003.3</v>
      </c>
      <c r="R141" s="222">
        <f t="shared" si="54"/>
        <v>952.8</v>
      </c>
      <c r="S141" s="222">
        <f t="shared" si="54"/>
        <v>1144.7</v>
      </c>
      <c r="T141" s="222">
        <f t="shared" si="54"/>
        <v>1122.9000000000001</v>
      </c>
      <c r="U141" s="222">
        <f t="shared" si="54"/>
        <v>1163.0999999999999</v>
      </c>
      <c r="V141" s="222">
        <f>V102+V117+V138</f>
        <v>1114.5999999999999</v>
      </c>
      <c r="W141" s="222">
        <f t="shared" si="54"/>
        <v>1208.9912626</v>
      </c>
      <c r="X141" s="222">
        <f t="shared" si="54"/>
        <v>1130.5870538500001</v>
      </c>
      <c r="Y141" s="222">
        <f t="shared" si="54"/>
        <v>1210.606453501</v>
      </c>
      <c r="Z141" s="222">
        <f t="shared" si="54"/>
        <v>1141.0927820239999</v>
      </c>
      <c r="AA141" s="222">
        <f t="shared" si="54"/>
        <v>1219.7840634282995</v>
      </c>
      <c r="AB141" s="222">
        <f t="shared" si="54"/>
        <v>1148.2093538494801</v>
      </c>
      <c r="AC141" s="222">
        <f t="shared" si="54"/>
        <v>1245.861319220317</v>
      </c>
      <c r="AD141" s="222">
        <f t="shared" si="54"/>
        <v>1173.0864207176646</v>
      </c>
      <c r="AE141" s="222">
        <f t="shared" si="54"/>
        <v>1262.1534212530466</v>
      </c>
      <c r="AF141" s="222">
        <f t="shared" si="54"/>
        <v>1189.1083215696483</v>
      </c>
      <c r="AG141" s="222">
        <f t="shared" si="54"/>
        <v>1279.1435637221971</v>
      </c>
      <c r="AH141" s="222">
        <f t="shared" si="54"/>
        <v>1205.8010263648873</v>
      </c>
      <c r="AI141" s="222">
        <f t="shared" si="54"/>
        <v>1296.850595067106</v>
      </c>
      <c r="AJ141" s="222">
        <f t="shared" si="54"/>
        <v>1223.1827577525021</v>
      </c>
      <c r="AK141" s="222">
        <f t="shared" si="54"/>
        <v>1315.2939501080305</v>
      </c>
      <c r="AL141" s="222">
        <f t="shared" si="54"/>
        <v>1241.2723040757785</v>
      </c>
      <c r="AM141" s="222">
        <f t="shared" si="54"/>
        <v>1334.4936674282931</v>
      </c>
      <c r="AN141" s="222">
        <f t="shared" si="54"/>
        <v>1260.0890361528459</v>
      </c>
      <c r="AO141" s="135"/>
    </row>
    <row r="142" spans="2:41" s="3" customFormat="1">
      <c r="B142" s="161"/>
      <c r="C142" s="484"/>
      <c r="E142" s="485"/>
      <c r="F142" s="485"/>
      <c r="G142" s="485"/>
      <c r="H142" s="485"/>
      <c r="I142" s="485"/>
      <c r="J142" s="485"/>
      <c r="K142" s="485"/>
      <c r="L142" s="485"/>
      <c r="M142" s="135"/>
      <c r="N142" s="135"/>
      <c r="O142" s="135"/>
      <c r="P142" s="135"/>
      <c r="Q142" s="135"/>
      <c r="R142" s="135"/>
      <c r="S142" s="222"/>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row>
    <row r="143" spans="2:41" s="3" customFormat="1">
      <c r="B143" s="185" t="s">
        <v>1555</v>
      </c>
      <c r="C143" s="484"/>
      <c r="E143" s="485"/>
      <c r="F143" s="485"/>
      <c r="G143" s="485"/>
      <c r="H143" s="485"/>
      <c r="I143" s="485"/>
      <c r="J143" s="485"/>
      <c r="K143" s="485"/>
      <c r="L143" s="485"/>
      <c r="M143" s="485"/>
      <c r="N143" s="485"/>
      <c r="O143" s="222"/>
      <c r="P143" s="485"/>
      <c r="Q143" s="222"/>
      <c r="R143" s="222"/>
      <c r="S143" s="222"/>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row>
    <row r="144" spans="2:41" s="3" customFormat="1">
      <c r="B144" s="482"/>
      <c r="C144" s="484"/>
      <c r="E144" s="485"/>
      <c r="F144" s="485"/>
      <c r="G144" s="485"/>
      <c r="H144" s="485"/>
      <c r="I144" s="485"/>
      <c r="J144" s="485"/>
      <c r="K144" s="485"/>
      <c r="L144" s="485"/>
      <c r="M144" s="485"/>
      <c r="N144" s="485"/>
      <c r="O144" s="222"/>
      <c r="P144" s="485"/>
      <c r="Q144" s="222"/>
      <c r="R144" s="222"/>
      <c r="S144" s="222"/>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row>
    <row r="145" spans="2:40" s="3" customFormat="1">
      <c r="B145" s="184" t="s">
        <v>1535</v>
      </c>
      <c r="C145" s="484"/>
      <c r="E145" s="485"/>
      <c r="F145" s="485"/>
      <c r="G145" s="485"/>
      <c r="H145" s="485"/>
      <c r="I145" s="485"/>
      <c r="J145" s="485"/>
      <c r="K145" s="485"/>
      <c r="L145" s="485"/>
      <c r="M145" s="135"/>
      <c r="N145" s="135"/>
      <c r="O145" s="135"/>
      <c r="P145" s="135"/>
      <c r="Q145" s="135"/>
      <c r="R145" s="135"/>
      <c r="S145" s="222"/>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row>
    <row r="146" spans="2:40" s="3" customFormat="1">
      <c r="B146" s="183" t="s">
        <v>1520</v>
      </c>
      <c r="C146" s="82" t="s">
        <v>900</v>
      </c>
      <c r="E146" s="485"/>
      <c r="F146" s="485"/>
      <c r="G146" s="485"/>
      <c r="H146" s="485"/>
      <c r="I146" s="485"/>
      <c r="J146" s="485"/>
      <c r="K146" s="485"/>
      <c r="L146" s="485"/>
      <c r="M146" s="135"/>
      <c r="N146" s="135"/>
      <c r="O146" s="135"/>
      <c r="P146" s="135"/>
      <c r="Q146" s="135"/>
      <c r="R146" s="135"/>
      <c r="S146" s="135">
        <v>44</v>
      </c>
      <c r="T146" s="135">
        <f>91-S146</f>
        <v>47</v>
      </c>
      <c r="U146" s="135">
        <v>48</v>
      </c>
      <c r="V146" s="135">
        <f>101-U146</f>
        <v>53</v>
      </c>
      <c r="W146" s="222"/>
      <c r="X146" s="222"/>
      <c r="Y146" s="222"/>
      <c r="Z146" s="222"/>
      <c r="AA146" s="222"/>
      <c r="AB146" s="222"/>
      <c r="AC146" s="222"/>
      <c r="AD146" s="222"/>
      <c r="AE146" s="222"/>
      <c r="AF146" s="222"/>
      <c r="AG146" s="222"/>
      <c r="AH146" s="222"/>
      <c r="AI146" s="222"/>
      <c r="AJ146" s="222"/>
      <c r="AK146" s="222"/>
      <c r="AL146" s="222"/>
      <c r="AM146" s="222"/>
      <c r="AN146" s="222"/>
    </row>
    <row r="147" spans="2:40" s="3" customFormat="1">
      <c r="B147" s="183" t="s">
        <v>1521</v>
      </c>
      <c r="C147" s="82" t="s">
        <v>900</v>
      </c>
      <c r="E147" s="485"/>
      <c r="F147" s="485"/>
      <c r="G147" s="485"/>
      <c r="H147" s="485"/>
      <c r="I147" s="485"/>
      <c r="J147" s="485"/>
      <c r="K147" s="485"/>
      <c r="L147" s="485"/>
      <c r="M147" s="135"/>
      <c r="N147" s="135"/>
      <c r="O147" s="135"/>
      <c r="P147" s="135"/>
      <c r="Q147" s="135"/>
      <c r="R147" s="135"/>
      <c r="S147" s="135">
        <v>40</v>
      </c>
      <c r="T147" s="135">
        <f>72-S147</f>
        <v>32</v>
      </c>
      <c r="U147" s="135">
        <v>40</v>
      </c>
      <c r="V147" s="135">
        <f>75-U147</f>
        <v>35</v>
      </c>
      <c r="W147" s="222"/>
      <c r="X147" s="222"/>
      <c r="Y147" s="222"/>
      <c r="Z147" s="222"/>
      <c r="AA147" s="222"/>
      <c r="AB147" s="222"/>
      <c r="AC147" s="222"/>
      <c r="AD147" s="222"/>
      <c r="AE147" s="222"/>
      <c r="AF147" s="222"/>
      <c r="AG147" s="222"/>
      <c r="AH147" s="222"/>
      <c r="AI147" s="222"/>
      <c r="AJ147" s="222"/>
      <c r="AK147" s="222"/>
      <c r="AL147" s="222"/>
      <c r="AM147" s="222"/>
      <c r="AN147" s="222"/>
    </row>
    <row r="148" spans="2:40" s="3" customFormat="1">
      <c r="B148" s="183" t="s">
        <v>1522</v>
      </c>
      <c r="C148" s="82" t="s">
        <v>900</v>
      </c>
      <c r="E148" s="485"/>
      <c r="F148" s="485"/>
      <c r="G148" s="485"/>
      <c r="H148" s="485"/>
      <c r="I148" s="485"/>
      <c r="J148" s="485"/>
      <c r="K148" s="485"/>
      <c r="L148" s="485"/>
      <c r="M148" s="135"/>
      <c r="N148" s="135"/>
      <c r="O148" s="135"/>
      <c r="P148" s="135"/>
      <c r="Q148" s="135"/>
      <c r="R148" s="135"/>
      <c r="S148" s="135">
        <v>12</v>
      </c>
      <c r="T148" s="135">
        <f>16-S148</f>
        <v>4</v>
      </c>
      <c r="U148" s="135">
        <v>7</v>
      </c>
      <c r="V148" s="135">
        <f>14-U148</f>
        <v>7</v>
      </c>
      <c r="W148" s="222"/>
      <c r="X148" s="222"/>
      <c r="Y148" s="222"/>
      <c r="Z148" s="222"/>
      <c r="AA148" s="222"/>
      <c r="AB148" s="222"/>
      <c r="AC148" s="222"/>
      <c r="AD148" s="222"/>
      <c r="AE148" s="222"/>
      <c r="AF148" s="222"/>
      <c r="AG148" s="222"/>
      <c r="AH148" s="222"/>
      <c r="AI148" s="222"/>
      <c r="AJ148" s="222"/>
      <c r="AK148" s="222"/>
      <c r="AL148" s="222"/>
      <c r="AM148" s="222"/>
      <c r="AN148" s="222"/>
    </row>
    <row r="149" spans="2:40" s="3" customFormat="1">
      <c r="B149" s="183" t="s">
        <v>1523</v>
      </c>
      <c r="C149" s="82" t="s">
        <v>900</v>
      </c>
      <c r="E149" s="485"/>
      <c r="F149" s="485"/>
      <c r="G149" s="485"/>
      <c r="H149" s="485"/>
      <c r="I149" s="485"/>
      <c r="J149" s="485"/>
      <c r="K149" s="485"/>
      <c r="L149" s="485"/>
      <c r="M149" s="135"/>
      <c r="N149" s="135"/>
      <c r="O149" s="135"/>
      <c r="P149" s="135"/>
      <c r="Q149" s="135"/>
      <c r="R149" s="135"/>
      <c r="S149" s="135">
        <v>2</v>
      </c>
      <c r="T149" s="135">
        <f>4-S149</f>
        <v>2</v>
      </c>
      <c r="U149" s="135">
        <v>1</v>
      </c>
      <c r="V149" s="135">
        <f>2-U149</f>
        <v>1</v>
      </c>
      <c r="W149" s="222"/>
      <c r="X149" s="222"/>
      <c r="Y149" s="222"/>
      <c r="Z149" s="222"/>
      <c r="AA149" s="222"/>
      <c r="AB149" s="222"/>
      <c r="AC149" s="222"/>
      <c r="AD149" s="222"/>
      <c r="AE149" s="222"/>
      <c r="AF149" s="222"/>
      <c r="AG149" s="222"/>
      <c r="AH149" s="222"/>
      <c r="AI149" s="222"/>
      <c r="AJ149" s="222"/>
      <c r="AK149" s="222"/>
      <c r="AL149" s="222"/>
      <c r="AM149" s="222"/>
      <c r="AN149" s="222"/>
    </row>
    <row r="150" spans="2:40" s="3" customFormat="1">
      <c r="B150" s="483" t="s">
        <v>1543</v>
      </c>
      <c r="C150" s="163" t="s">
        <v>900</v>
      </c>
      <c r="E150" s="485"/>
      <c r="F150" s="485"/>
      <c r="G150" s="485"/>
      <c r="H150" s="485"/>
      <c r="I150" s="485"/>
      <c r="J150" s="485"/>
      <c r="K150" s="485"/>
      <c r="L150" s="485"/>
      <c r="M150" s="485"/>
      <c r="N150" s="485"/>
      <c r="O150" s="485"/>
      <c r="P150" s="485"/>
      <c r="Q150" s="485"/>
      <c r="R150" s="485"/>
      <c r="S150" s="222">
        <f>SUM(S146:S149)</f>
        <v>98</v>
      </c>
      <c r="T150" s="222">
        <f>SUM(T146:T149)</f>
        <v>85</v>
      </c>
      <c r="U150" s="222">
        <f>SUM(U146:U149)</f>
        <v>96</v>
      </c>
      <c r="V150" s="222">
        <f>SUM(V146:V149)</f>
        <v>96</v>
      </c>
      <c r="W150" s="160">
        <v>98</v>
      </c>
      <c r="X150" s="160">
        <v>98</v>
      </c>
      <c r="Y150" s="222">
        <f t="shared" ref="Y150:AN150" si="55">W150*(1+Y151)</f>
        <v>100.94</v>
      </c>
      <c r="Z150" s="222">
        <f t="shared" si="55"/>
        <v>100.94</v>
      </c>
      <c r="AA150" s="222">
        <f t="shared" si="55"/>
        <v>103.9682</v>
      </c>
      <c r="AB150" s="222">
        <f t="shared" si="55"/>
        <v>103.9682</v>
      </c>
      <c r="AC150" s="222">
        <f t="shared" si="55"/>
        <v>107.08724599999999</v>
      </c>
      <c r="AD150" s="222">
        <f t="shared" si="55"/>
        <v>107.08724599999999</v>
      </c>
      <c r="AE150" s="222">
        <f t="shared" si="55"/>
        <v>110.29986337999999</v>
      </c>
      <c r="AF150" s="222">
        <f t="shared" si="55"/>
        <v>110.29986337999999</v>
      </c>
      <c r="AG150" s="222">
        <f t="shared" si="55"/>
        <v>113.60885928139999</v>
      </c>
      <c r="AH150" s="222">
        <f t="shared" si="55"/>
        <v>113.60885928139999</v>
      </c>
      <c r="AI150" s="222">
        <f t="shared" si="55"/>
        <v>117.01712505984199</v>
      </c>
      <c r="AJ150" s="222">
        <f t="shared" si="55"/>
        <v>117.01712505984199</v>
      </c>
      <c r="AK150" s="222">
        <f t="shared" si="55"/>
        <v>120.52763881163725</v>
      </c>
      <c r="AL150" s="222">
        <f t="shared" si="55"/>
        <v>120.52763881163725</v>
      </c>
      <c r="AM150" s="222">
        <f t="shared" si="55"/>
        <v>124.14346797598637</v>
      </c>
      <c r="AN150" s="222">
        <f t="shared" si="55"/>
        <v>124.14346797598637</v>
      </c>
    </row>
    <row r="151" spans="2:40" s="3" customFormat="1">
      <c r="B151" s="183" t="s">
        <v>978</v>
      </c>
      <c r="C151" s="82" t="s">
        <v>842</v>
      </c>
      <c r="E151" s="485"/>
      <c r="F151" s="485"/>
      <c r="G151" s="485"/>
      <c r="H151" s="485"/>
      <c r="I151" s="485"/>
      <c r="J151" s="485"/>
      <c r="K151" s="485"/>
      <c r="L151" s="485"/>
      <c r="M151" s="135"/>
      <c r="N151" s="135"/>
      <c r="O151" s="135"/>
      <c r="P151" s="135"/>
      <c r="Q151" s="159"/>
      <c r="R151" s="159"/>
      <c r="S151" s="159"/>
      <c r="T151" s="159"/>
      <c r="U151" s="159">
        <f t="shared" ref="U151" si="56">U150/S150-1</f>
        <v>-2.0408163265306145E-2</v>
      </c>
      <c r="V151" s="159">
        <f t="shared" ref="V151" si="57">V150/T150-1</f>
        <v>0.12941176470588234</v>
      </c>
      <c r="W151" s="159">
        <f t="shared" ref="W151" si="58">W150/U150-1</f>
        <v>2.0833333333333259E-2</v>
      </c>
      <c r="X151" s="159">
        <f t="shared" ref="X151" si="59">X150/V150-1</f>
        <v>2.0833333333333259E-2</v>
      </c>
      <c r="Y151" s="158">
        <v>0.03</v>
      </c>
      <c r="Z151" s="158">
        <v>0.03</v>
      </c>
      <c r="AA151" s="158">
        <v>0.03</v>
      </c>
      <c r="AB151" s="158">
        <v>0.03</v>
      </c>
      <c r="AC151" s="158">
        <v>0.03</v>
      </c>
      <c r="AD151" s="158">
        <v>0.03</v>
      </c>
      <c r="AE151" s="158">
        <v>0.03</v>
      </c>
      <c r="AF151" s="158">
        <v>0.03</v>
      </c>
      <c r="AG151" s="158">
        <v>0.03</v>
      </c>
      <c r="AH151" s="158">
        <v>0.03</v>
      </c>
      <c r="AI151" s="158">
        <v>0.03</v>
      </c>
      <c r="AJ151" s="158">
        <v>0.03</v>
      </c>
      <c r="AK151" s="158">
        <v>0.03</v>
      </c>
      <c r="AL151" s="158">
        <v>0.03</v>
      </c>
      <c r="AM151" s="158">
        <v>0.03</v>
      </c>
      <c r="AN151" s="158">
        <v>0.03</v>
      </c>
    </row>
    <row r="152" spans="2:40" s="3" customFormat="1">
      <c r="B152" s="162"/>
      <c r="C152" s="484"/>
      <c r="E152" s="485"/>
      <c r="F152" s="485"/>
      <c r="G152" s="485"/>
      <c r="H152" s="485"/>
      <c r="I152" s="485"/>
      <c r="J152" s="485"/>
      <c r="K152" s="485"/>
      <c r="L152" s="485"/>
      <c r="M152" s="135"/>
      <c r="N152" s="135"/>
      <c r="O152" s="135"/>
      <c r="P152" s="135"/>
      <c r="Q152" s="135"/>
      <c r="R152" s="135"/>
      <c r="S152" s="222"/>
      <c r="T152" s="222"/>
      <c r="U152" s="222"/>
      <c r="V152" s="222"/>
      <c r="W152" s="222"/>
      <c r="X152" s="222"/>
      <c r="Y152" s="222"/>
      <c r="Z152" s="222"/>
      <c r="AA152" s="222"/>
      <c r="AB152" s="222"/>
      <c r="AC152" s="222"/>
      <c r="AD152" s="222"/>
      <c r="AE152" s="222"/>
      <c r="AF152" s="222"/>
      <c r="AG152" s="222"/>
      <c r="AH152" s="222"/>
      <c r="AI152" s="222"/>
      <c r="AJ152" s="222"/>
      <c r="AK152" s="222"/>
      <c r="AL152" s="222"/>
      <c r="AM152" s="222"/>
      <c r="AN152" s="222"/>
    </row>
    <row r="153" spans="2:40" s="3" customFormat="1">
      <c r="B153" s="183" t="s">
        <v>1520</v>
      </c>
      <c r="C153" s="82" t="s">
        <v>900</v>
      </c>
      <c r="E153" s="485"/>
      <c r="F153" s="485"/>
      <c r="G153" s="485"/>
      <c r="H153" s="485"/>
      <c r="I153" s="485"/>
      <c r="J153" s="485"/>
      <c r="K153" s="485"/>
      <c r="L153" s="485"/>
      <c r="M153" s="135"/>
      <c r="N153" s="135"/>
      <c r="O153" s="135"/>
      <c r="P153" s="135"/>
      <c r="Q153" s="135"/>
      <c r="R153" s="135"/>
      <c r="S153" s="135">
        <v>18</v>
      </c>
      <c r="T153" s="135">
        <f>37-S153</f>
        <v>19</v>
      </c>
      <c r="U153" s="135">
        <v>20</v>
      </c>
      <c r="V153" s="135">
        <f>38-U153</f>
        <v>18</v>
      </c>
      <c r="W153" s="222"/>
      <c r="X153" s="222"/>
      <c r="Y153" s="222"/>
      <c r="Z153" s="222"/>
      <c r="AA153" s="222"/>
      <c r="AB153" s="222"/>
      <c r="AC153" s="222"/>
      <c r="AD153" s="222"/>
      <c r="AE153" s="222"/>
      <c r="AF153" s="222"/>
      <c r="AG153" s="222"/>
      <c r="AH153" s="222"/>
      <c r="AI153" s="222"/>
      <c r="AJ153" s="222"/>
      <c r="AK153" s="222"/>
      <c r="AL153" s="222"/>
      <c r="AM153" s="222"/>
      <c r="AN153" s="222"/>
    </row>
    <row r="154" spans="2:40" s="3" customFormat="1">
      <c r="B154" s="183" t="s">
        <v>1521</v>
      </c>
      <c r="C154" s="82" t="s">
        <v>900</v>
      </c>
      <c r="E154" s="485"/>
      <c r="F154" s="485"/>
      <c r="G154" s="485"/>
      <c r="H154" s="485"/>
      <c r="I154" s="485"/>
      <c r="J154" s="485"/>
      <c r="K154" s="485"/>
      <c r="L154" s="485"/>
      <c r="M154" s="135"/>
      <c r="N154" s="135"/>
      <c r="O154" s="135"/>
      <c r="P154" s="135"/>
      <c r="Q154" s="135"/>
      <c r="R154" s="135"/>
      <c r="S154" s="135">
        <v>26</v>
      </c>
      <c r="T154" s="135">
        <f>37-S154</f>
        <v>11</v>
      </c>
      <c r="U154" s="135">
        <v>20</v>
      </c>
      <c r="V154" s="135">
        <f>37-U154</f>
        <v>17</v>
      </c>
      <c r="W154" s="222"/>
      <c r="X154" s="222"/>
      <c r="Y154" s="222"/>
      <c r="Z154" s="222"/>
      <c r="AA154" s="222"/>
      <c r="AB154" s="222"/>
      <c r="AC154" s="222"/>
      <c r="AD154" s="222"/>
      <c r="AE154" s="222"/>
      <c r="AF154" s="222"/>
      <c r="AG154" s="222"/>
      <c r="AH154" s="222"/>
      <c r="AI154" s="222"/>
      <c r="AJ154" s="222"/>
      <c r="AK154" s="222"/>
      <c r="AL154" s="222"/>
      <c r="AM154" s="222"/>
      <c r="AN154" s="222"/>
    </row>
    <row r="155" spans="2:40" s="3" customFormat="1">
      <c r="B155" s="183" t="s">
        <v>1522</v>
      </c>
      <c r="C155" s="82" t="s">
        <v>900</v>
      </c>
      <c r="E155" s="485"/>
      <c r="F155" s="485"/>
      <c r="G155" s="485"/>
      <c r="H155" s="485"/>
      <c r="I155" s="485"/>
      <c r="J155" s="485"/>
      <c r="K155" s="485"/>
      <c r="L155" s="485"/>
      <c r="M155" s="135"/>
      <c r="N155" s="135"/>
      <c r="O155" s="135"/>
      <c r="P155" s="135"/>
      <c r="Q155" s="135"/>
      <c r="R155" s="135"/>
      <c r="S155" s="135">
        <v>30</v>
      </c>
      <c r="T155" s="135">
        <f>74-S155</f>
        <v>44</v>
      </c>
      <c r="U155" s="135">
        <v>35</v>
      </c>
      <c r="V155" s="135">
        <f>69-U155</f>
        <v>34</v>
      </c>
      <c r="W155" s="222"/>
      <c r="X155" s="222"/>
      <c r="Y155" s="222"/>
      <c r="Z155" s="222"/>
      <c r="AA155" s="222"/>
      <c r="AB155" s="222"/>
      <c r="AC155" s="222"/>
      <c r="AD155" s="222"/>
      <c r="AE155" s="222"/>
      <c r="AF155" s="222"/>
      <c r="AG155" s="222"/>
      <c r="AH155" s="222"/>
      <c r="AI155" s="222"/>
      <c r="AJ155" s="222"/>
      <c r="AK155" s="222"/>
      <c r="AL155" s="222"/>
      <c r="AM155" s="222"/>
      <c r="AN155" s="222"/>
    </row>
    <row r="156" spans="2:40" s="3" customFormat="1">
      <c r="B156" s="183" t="s">
        <v>1523</v>
      </c>
      <c r="C156" s="82" t="s">
        <v>900</v>
      </c>
      <c r="E156" s="485"/>
      <c r="F156" s="485"/>
      <c r="G156" s="485"/>
      <c r="H156" s="485"/>
      <c r="I156" s="485"/>
      <c r="J156" s="485"/>
      <c r="K156" s="485"/>
      <c r="L156" s="485"/>
      <c r="M156" s="135"/>
      <c r="N156" s="135"/>
      <c r="O156" s="135"/>
      <c r="P156" s="135"/>
      <c r="Q156" s="135"/>
      <c r="R156" s="135"/>
      <c r="S156" s="135">
        <v>20</v>
      </c>
      <c r="T156" s="135">
        <f>41-S156</f>
        <v>21</v>
      </c>
      <c r="U156" s="135">
        <v>21</v>
      </c>
      <c r="V156" s="135">
        <f>42-U156</f>
        <v>21</v>
      </c>
      <c r="W156" s="222"/>
      <c r="X156" s="222"/>
      <c r="Y156" s="222"/>
      <c r="Z156" s="222"/>
      <c r="AA156" s="222"/>
      <c r="AB156" s="222"/>
      <c r="AC156" s="222"/>
      <c r="AD156" s="222"/>
      <c r="AE156" s="222"/>
      <c r="AF156" s="222"/>
      <c r="AG156" s="222"/>
      <c r="AH156" s="222"/>
      <c r="AI156" s="222"/>
      <c r="AJ156" s="222"/>
      <c r="AK156" s="222"/>
      <c r="AL156" s="222"/>
      <c r="AM156" s="222"/>
      <c r="AN156" s="222"/>
    </row>
    <row r="157" spans="2:40" s="3" customFormat="1">
      <c r="B157" s="483" t="s">
        <v>1562</v>
      </c>
      <c r="C157" s="163" t="s">
        <v>900</v>
      </c>
      <c r="E157" s="485"/>
      <c r="F157" s="485"/>
      <c r="G157" s="485"/>
      <c r="H157" s="485"/>
      <c r="I157" s="485"/>
      <c r="J157" s="485"/>
      <c r="K157" s="485"/>
      <c r="L157" s="485"/>
      <c r="M157" s="485"/>
      <c r="N157" s="485"/>
      <c r="O157" s="485"/>
      <c r="P157" s="485"/>
      <c r="Q157" s="485"/>
      <c r="R157" s="485"/>
      <c r="S157" s="222">
        <f>SUM(S153:S156)</f>
        <v>94</v>
      </c>
      <c r="T157" s="222">
        <f>SUM(T153:T156)</f>
        <v>95</v>
      </c>
      <c r="U157" s="222">
        <f>SUM(U153:U156)</f>
        <v>96</v>
      </c>
      <c r="V157" s="222">
        <f>SUM(V153:V156)</f>
        <v>90</v>
      </c>
      <c r="W157" s="766">
        <v>90</v>
      </c>
      <c r="X157" s="766">
        <v>90</v>
      </c>
      <c r="Y157" s="222">
        <f t="shared" ref="Y157:AN157" si="60">W157*(1+Y158)</f>
        <v>91.8</v>
      </c>
      <c r="Z157" s="222">
        <f t="shared" si="60"/>
        <v>91.8</v>
      </c>
      <c r="AA157" s="222">
        <f t="shared" si="60"/>
        <v>93.635999999999996</v>
      </c>
      <c r="AB157" s="222">
        <f t="shared" si="60"/>
        <v>93.635999999999996</v>
      </c>
      <c r="AC157" s="222">
        <f t="shared" si="60"/>
        <v>95.508719999999997</v>
      </c>
      <c r="AD157" s="222">
        <f t="shared" si="60"/>
        <v>95.508719999999997</v>
      </c>
      <c r="AE157" s="222">
        <f t="shared" si="60"/>
        <v>97.418894399999999</v>
      </c>
      <c r="AF157" s="222">
        <f t="shared" si="60"/>
        <v>97.418894399999999</v>
      </c>
      <c r="AG157" s="222">
        <f t="shared" si="60"/>
        <v>99.367272287999995</v>
      </c>
      <c r="AH157" s="222">
        <f t="shared" si="60"/>
        <v>99.367272287999995</v>
      </c>
      <c r="AI157" s="222">
        <f t="shared" si="60"/>
        <v>101.35461773375999</v>
      </c>
      <c r="AJ157" s="222">
        <f t="shared" si="60"/>
        <v>101.35461773375999</v>
      </c>
      <c r="AK157" s="222">
        <f t="shared" si="60"/>
        <v>103.3817100884352</v>
      </c>
      <c r="AL157" s="222">
        <f t="shared" si="60"/>
        <v>103.3817100884352</v>
      </c>
      <c r="AM157" s="222">
        <f t="shared" si="60"/>
        <v>105.44934429020391</v>
      </c>
      <c r="AN157" s="222">
        <f t="shared" si="60"/>
        <v>105.44934429020391</v>
      </c>
    </row>
    <row r="158" spans="2:40" s="3" customFormat="1">
      <c r="B158" s="183" t="s">
        <v>978</v>
      </c>
      <c r="C158" s="82" t="s">
        <v>842</v>
      </c>
      <c r="E158" s="485"/>
      <c r="F158" s="485"/>
      <c r="G158" s="485"/>
      <c r="H158" s="485"/>
      <c r="I158" s="485"/>
      <c r="J158" s="485"/>
      <c r="K158" s="485"/>
      <c r="L158" s="485"/>
      <c r="M158" s="135"/>
      <c r="N158" s="135"/>
      <c r="O158" s="135"/>
      <c r="P158" s="135"/>
      <c r="Q158" s="159"/>
      <c r="R158" s="159"/>
      <c r="S158" s="159"/>
      <c r="T158" s="159"/>
      <c r="U158" s="159">
        <f t="shared" ref="U158" si="61">U157/S157-1</f>
        <v>2.1276595744680771E-2</v>
      </c>
      <c r="V158" s="159">
        <f t="shared" ref="V158" si="62">V157/T157-1</f>
        <v>-5.2631578947368474E-2</v>
      </c>
      <c r="W158" s="159">
        <f t="shared" ref="W158" si="63">W157/U157-1</f>
        <v>-6.25E-2</v>
      </c>
      <c r="X158" s="159">
        <f t="shared" ref="X158" si="64">X157/V157-1</f>
        <v>0</v>
      </c>
      <c r="Y158" s="158">
        <v>0.02</v>
      </c>
      <c r="Z158" s="158">
        <v>0.02</v>
      </c>
      <c r="AA158" s="158">
        <v>0.02</v>
      </c>
      <c r="AB158" s="158">
        <v>0.02</v>
      </c>
      <c r="AC158" s="158">
        <v>0.02</v>
      </c>
      <c r="AD158" s="158">
        <v>0.02</v>
      </c>
      <c r="AE158" s="158">
        <v>0.02</v>
      </c>
      <c r="AF158" s="158">
        <v>0.02</v>
      </c>
      <c r="AG158" s="158">
        <v>0.02</v>
      </c>
      <c r="AH158" s="158">
        <v>0.02</v>
      </c>
      <c r="AI158" s="158">
        <v>0.02</v>
      </c>
      <c r="AJ158" s="158">
        <v>0.02</v>
      </c>
      <c r="AK158" s="158">
        <v>0.02</v>
      </c>
      <c r="AL158" s="158">
        <v>0.02</v>
      </c>
      <c r="AM158" s="158">
        <v>0.02</v>
      </c>
      <c r="AN158" s="158">
        <v>0.02</v>
      </c>
    </row>
    <row r="159" spans="2:40" s="3" customFormat="1">
      <c r="B159" s="162"/>
      <c r="C159" s="484"/>
      <c r="E159" s="485"/>
      <c r="F159" s="485"/>
      <c r="G159" s="485"/>
      <c r="H159" s="485"/>
      <c r="I159" s="485"/>
      <c r="J159" s="485"/>
      <c r="K159" s="485"/>
      <c r="L159" s="485"/>
      <c r="M159" s="135"/>
      <c r="N159" s="135"/>
      <c r="O159" s="135"/>
      <c r="P159" s="135"/>
      <c r="Q159" s="135"/>
      <c r="R159" s="135"/>
      <c r="S159" s="222"/>
      <c r="T159" s="222"/>
      <c r="U159" s="222"/>
      <c r="V159" s="222"/>
      <c r="W159" s="222"/>
      <c r="X159" s="222"/>
      <c r="Y159" s="222"/>
      <c r="Z159" s="222"/>
      <c r="AA159" s="222"/>
      <c r="AB159" s="222"/>
      <c r="AC159" s="222"/>
      <c r="AD159" s="222"/>
      <c r="AE159" s="222"/>
      <c r="AF159" s="222"/>
      <c r="AG159" s="222"/>
      <c r="AH159" s="222"/>
      <c r="AI159" s="222"/>
      <c r="AJ159" s="222"/>
      <c r="AK159" s="222"/>
      <c r="AL159" s="222"/>
      <c r="AM159" s="222"/>
      <c r="AN159" s="222"/>
    </row>
    <row r="160" spans="2:40" s="3" customFormat="1">
      <c r="B160" s="483" t="s">
        <v>1535</v>
      </c>
      <c r="C160" s="163" t="s">
        <v>900</v>
      </c>
      <c r="E160" s="485"/>
      <c r="F160" s="485"/>
      <c r="G160" s="485"/>
      <c r="H160" s="485"/>
      <c r="I160" s="485"/>
      <c r="J160" s="485"/>
      <c r="K160" s="485"/>
      <c r="L160" s="485"/>
      <c r="M160" s="485"/>
      <c r="N160" s="485"/>
      <c r="O160" s="485"/>
      <c r="P160" s="485"/>
      <c r="Q160" s="485">
        <v>189.1</v>
      </c>
      <c r="R160" s="485">
        <f>360.9-Q160</f>
        <v>171.79999999999998</v>
      </c>
      <c r="S160" s="485">
        <v>192.1</v>
      </c>
      <c r="T160" s="485">
        <f>370.6-S160</f>
        <v>178.50000000000003</v>
      </c>
      <c r="U160" s="485">
        <v>192.4</v>
      </c>
      <c r="V160" s="485">
        <f>377.8-U160</f>
        <v>185.4</v>
      </c>
      <c r="W160" s="222">
        <f t="shared" ref="W160:AN160" si="65">W150+W157</f>
        <v>188</v>
      </c>
      <c r="X160" s="222">
        <f t="shared" si="65"/>
        <v>188</v>
      </c>
      <c r="Y160" s="222">
        <f t="shared" si="65"/>
        <v>192.74</v>
      </c>
      <c r="Z160" s="222">
        <f t="shared" si="65"/>
        <v>192.74</v>
      </c>
      <c r="AA160" s="222">
        <f t="shared" si="65"/>
        <v>197.60419999999999</v>
      </c>
      <c r="AB160" s="222">
        <f t="shared" si="65"/>
        <v>197.60419999999999</v>
      </c>
      <c r="AC160" s="222">
        <f t="shared" si="65"/>
        <v>202.59596599999998</v>
      </c>
      <c r="AD160" s="222">
        <f t="shared" si="65"/>
        <v>202.59596599999998</v>
      </c>
      <c r="AE160" s="222">
        <f t="shared" si="65"/>
        <v>207.71875777999998</v>
      </c>
      <c r="AF160" s="222">
        <f t="shared" si="65"/>
        <v>207.71875777999998</v>
      </c>
      <c r="AG160" s="222">
        <f t="shared" si="65"/>
        <v>212.97613156939997</v>
      </c>
      <c r="AH160" s="222">
        <f t="shared" si="65"/>
        <v>212.97613156939997</v>
      </c>
      <c r="AI160" s="222">
        <f t="shared" si="65"/>
        <v>218.37174279360198</v>
      </c>
      <c r="AJ160" s="222">
        <f t="shared" si="65"/>
        <v>218.37174279360198</v>
      </c>
      <c r="AK160" s="222">
        <f t="shared" si="65"/>
        <v>223.90934890007244</v>
      </c>
      <c r="AL160" s="222">
        <f t="shared" si="65"/>
        <v>223.90934890007244</v>
      </c>
      <c r="AM160" s="222">
        <f t="shared" si="65"/>
        <v>229.59281226619026</v>
      </c>
      <c r="AN160" s="222">
        <f t="shared" si="65"/>
        <v>229.59281226619026</v>
      </c>
    </row>
    <row r="161" spans="1:41" s="3" customFormat="1">
      <c r="B161" s="183" t="s">
        <v>978</v>
      </c>
      <c r="C161" s="82" t="s">
        <v>842</v>
      </c>
      <c r="E161" s="485"/>
      <c r="F161" s="485"/>
      <c r="G161" s="485"/>
      <c r="H161" s="485"/>
      <c r="I161" s="485"/>
      <c r="J161" s="485"/>
      <c r="K161" s="485"/>
      <c r="L161" s="485"/>
      <c r="M161" s="135"/>
      <c r="N161" s="135"/>
      <c r="O161" s="135"/>
      <c r="P161" s="135"/>
      <c r="Q161" s="159"/>
      <c r="R161" s="194"/>
      <c r="S161" s="159">
        <f>S160/Q160-1</f>
        <v>1.5864621893178166E-2</v>
      </c>
      <c r="T161" s="159">
        <f>T160/R160-1</f>
        <v>3.8998835855646341E-2</v>
      </c>
      <c r="U161" s="159">
        <f>U160/S160-1</f>
        <v>1.561686621551317E-3</v>
      </c>
      <c r="V161" s="159">
        <f>V160/T160-1</f>
        <v>3.8655462184873812E-2</v>
      </c>
      <c r="W161" s="159">
        <f t="shared" ref="W161:AN161" si="66">W160/U160-1</f>
        <v>-2.2869022869022926E-2</v>
      </c>
      <c r="X161" s="159">
        <f t="shared" si="66"/>
        <v>1.4023732470334282E-2</v>
      </c>
      <c r="Y161" s="159">
        <f t="shared" si="66"/>
        <v>2.5212765957446814E-2</v>
      </c>
      <c r="Z161" s="159">
        <f t="shared" si="66"/>
        <v>2.5212765957446814E-2</v>
      </c>
      <c r="AA161" s="159">
        <f t="shared" si="66"/>
        <v>2.5237106983500901E-2</v>
      </c>
      <c r="AB161" s="159">
        <f t="shared" si="66"/>
        <v>2.5237106983500901E-2</v>
      </c>
      <c r="AC161" s="159">
        <f t="shared" si="66"/>
        <v>2.526143675083814E-2</v>
      </c>
      <c r="AD161" s="159">
        <f t="shared" si="66"/>
        <v>2.526143675083814E-2</v>
      </c>
      <c r="AE161" s="159">
        <f t="shared" si="66"/>
        <v>2.5285754110227376E-2</v>
      </c>
      <c r="AF161" s="159">
        <f t="shared" si="66"/>
        <v>2.5285754110227376E-2</v>
      </c>
      <c r="AG161" s="159">
        <f t="shared" si="66"/>
        <v>2.5310057914789796E-2</v>
      </c>
      <c r="AH161" s="159">
        <f t="shared" si="66"/>
        <v>2.5310057914789796E-2</v>
      </c>
      <c r="AI161" s="159">
        <f t="shared" si="66"/>
        <v>2.533434702021431E-2</v>
      </c>
      <c r="AJ161" s="159">
        <f t="shared" si="66"/>
        <v>2.533434702021431E-2</v>
      </c>
      <c r="AK161" s="159">
        <f t="shared" si="66"/>
        <v>2.5358620284971822E-2</v>
      </c>
      <c r="AL161" s="159">
        <f t="shared" si="66"/>
        <v>2.5358620284971822E-2</v>
      </c>
      <c r="AM161" s="159">
        <f t="shared" si="66"/>
        <v>2.5382876570527957E-2</v>
      </c>
      <c r="AN161" s="159">
        <f t="shared" si="66"/>
        <v>2.5382876570527957E-2</v>
      </c>
      <c r="AO161" s="159"/>
    </row>
    <row r="162" spans="1:41" s="3" customFormat="1">
      <c r="B162" s="161"/>
      <c r="C162" s="484"/>
      <c r="E162" s="485"/>
      <c r="F162" s="485"/>
      <c r="G162" s="485"/>
      <c r="H162" s="485"/>
      <c r="I162" s="485"/>
      <c r="J162" s="485"/>
      <c r="K162" s="485"/>
      <c r="L162" s="485"/>
      <c r="M162" s="135"/>
      <c r="N162" s="135"/>
      <c r="O162" s="135"/>
      <c r="P162" s="135"/>
      <c r="Q162" s="135"/>
      <c r="R162" s="135"/>
      <c r="S162" s="222"/>
      <c r="T162" s="135"/>
      <c r="U162" s="222"/>
      <c r="V162" s="135"/>
      <c r="W162" s="222"/>
      <c r="X162" s="222"/>
      <c r="Y162" s="222"/>
      <c r="Z162" s="222"/>
      <c r="AA162" s="222"/>
      <c r="AB162" s="222"/>
      <c r="AC162" s="222"/>
      <c r="AD162" s="222"/>
      <c r="AE162" s="222"/>
      <c r="AF162" s="222"/>
      <c r="AG162" s="222"/>
      <c r="AH162" s="222"/>
      <c r="AI162" s="222"/>
      <c r="AJ162" s="222"/>
      <c r="AK162" s="222"/>
      <c r="AL162" s="222"/>
      <c r="AM162" s="222"/>
      <c r="AN162" s="222"/>
    </row>
    <row r="163" spans="1:41" s="3" customFormat="1">
      <c r="B163" s="483" t="s">
        <v>1542</v>
      </c>
      <c r="C163" s="163" t="s">
        <v>900</v>
      </c>
      <c r="E163" s="485"/>
      <c r="F163" s="485"/>
      <c r="G163" s="485"/>
      <c r="H163" s="485"/>
      <c r="I163" s="485"/>
      <c r="J163" s="485"/>
      <c r="K163" s="485"/>
      <c r="L163" s="485"/>
      <c r="M163" s="485"/>
      <c r="N163" s="485"/>
      <c r="O163" s="485"/>
      <c r="P163" s="485"/>
      <c r="Q163" s="485">
        <v>-75.7</v>
      </c>
      <c r="R163" s="485">
        <f>-154.2-Q163</f>
        <v>-78.499999999999986</v>
      </c>
      <c r="S163" s="485">
        <v>-93.6</v>
      </c>
      <c r="T163" s="485">
        <f>-199.4-S163</f>
        <v>-105.80000000000001</v>
      </c>
      <c r="U163" s="485">
        <v>-102.3</v>
      </c>
      <c r="V163" s="485">
        <f>-200.8-U163</f>
        <v>-98.500000000000014</v>
      </c>
      <c r="W163" s="222">
        <f t="shared" ref="W163:AN163" si="67">-W157</f>
        <v>-90</v>
      </c>
      <c r="X163" s="222">
        <f t="shared" si="67"/>
        <v>-90</v>
      </c>
      <c r="Y163" s="222">
        <f t="shared" si="67"/>
        <v>-91.8</v>
      </c>
      <c r="Z163" s="222">
        <f t="shared" si="67"/>
        <v>-91.8</v>
      </c>
      <c r="AA163" s="222">
        <f t="shared" si="67"/>
        <v>-93.635999999999996</v>
      </c>
      <c r="AB163" s="222">
        <f t="shared" si="67"/>
        <v>-93.635999999999996</v>
      </c>
      <c r="AC163" s="222">
        <f t="shared" si="67"/>
        <v>-95.508719999999997</v>
      </c>
      <c r="AD163" s="222">
        <f t="shared" si="67"/>
        <v>-95.508719999999997</v>
      </c>
      <c r="AE163" s="222">
        <f t="shared" si="67"/>
        <v>-97.418894399999999</v>
      </c>
      <c r="AF163" s="222">
        <f t="shared" si="67"/>
        <v>-97.418894399999999</v>
      </c>
      <c r="AG163" s="222">
        <f t="shared" si="67"/>
        <v>-99.367272287999995</v>
      </c>
      <c r="AH163" s="222">
        <f t="shared" si="67"/>
        <v>-99.367272287999995</v>
      </c>
      <c r="AI163" s="222">
        <f t="shared" si="67"/>
        <v>-101.35461773375999</v>
      </c>
      <c r="AJ163" s="222">
        <f t="shared" si="67"/>
        <v>-101.35461773375999</v>
      </c>
      <c r="AK163" s="222">
        <f t="shared" si="67"/>
        <v>-103.3817100884352</v>
      </c>
      <c r="AL163" s="222">
        <f t="shared" si="67"/>
        <v>-103.3817100884352</v>
      </c>
      <c r="AM163" s="222">
        <f t="shared" si="67"/>
        <v>-105.44934429020391</v>
      </c>
      <c r="AN163" s="222">
        <f t="shared" si="67"/>
        <v>-105.44934429020391</v>
      </c>
    </row>
    <row r="164" spans="1:41" s="3" customFormat="1">
      <c r="B164" s="183" t="s">
        <v>978</v>
      </c>
      <c r="C164" s="82" t="s">
        <v>842</v>
      </c>
      <c r="E164" s="485"/>
      <c r="F164" s="485"/>
      <c r="G164" s="485"/>
      <c r="H164" s="485"/>
      <c r="I164" s="485"/>
      <c r="J164" s="485"/>
      <c r="K164" s="485"/>
      <c r="L164" s="485"/>
      <c r="M164" s="135"/>
      <c r="N164" s="135"/>
      <c r="O164" s="135"/>
      <c r="P164" s="135"/>
      <c r="Q164" s="159"/>
      <c r="R164" s="159"/>
      <c r="S164" s="159">
        <f t="shared" ref="S164:AN164" si="68">S163/Q163-1</f>
        <v>0.23645970937912808</v>
      </c>
      <c r="T164" s="159">
        <f t="shared" si="68"/>
        <v>0.34777070063694304</v>
      </c>
      <c r="U164" s="159">
        <f t="shared" si="68"/>
        <v>9.2948717948718063E-2</v>
      </c>
      <c r="V164" s="159">
        <f t="shared" si="68"/>
        <v>-6.8998109640831751E-2</v>
      </c>
      <c r="W164" s="159">
        <f t="shared" si="68"/>
        <v>-0.12023460410557185</v>
      </c>
      <c r="X164" s="159">
        <f t="shared" si="68"/>
        <v>-8.629441624365497E-2</v>
      </c>
      <c r="Y164" s="159">
        <f t="shared" si="68"/>
        <v>2.0000000000000018E-2</v>
      </c>
      <c r="Z164" s="159">
        <f t="shared" si="68"/>
        <v>2.0000000000000018E-2</v>
      </c>
      <c r="AA164" s="159">
        <f t="shared" si="68"/>
        <v>2.0000000000000018E-2</v>
      </c>
      <c r="AB164" s="159">
        <f t="shared" si="68"/>
        <v>2.0000000000000018E-2</v>
      </c>
      <c r="AC164" s="159">
        <f t="shared" si="68"/>
        <v>2.0000000000000018E-2</v>
      </c>
      <c r="AD164" s="159">
        <f t="shared" si="68"/>
        <v>2.0000000000000018E-2</v>
      </c>
      <c r="AE164" s="159">
        <f t="shared" si="68"/>
        <v>2.0000000000000018E-2</v>
      </c>
      <c r="AF164" s="159">
        <f t="shared" si="68"/>
        <v>2.0000000000000018E-2</v>
      </c>
      <c r="AG164" s="159">
        <f t="shared" si="68"/>
        <v>2.0000000000000018E-2</v>
      </c>
      <c r="AH164" s="159">
        <f t="shared" si="68"/>
        <v>2.0000000000000018E-2</v>
      </c>
      <c r="AI164" s="159">
        <f t="shared" si="68"/>
        <v>2.0000000000000018E-2</v>
      </c>
      <c r="AJ164" s="159">
        <f t="shared" si="68"/>
        <v>2.0000000000000018E-2</v>
      </c>
      <c r="AK164" s="159">
        <f t="shared" si="68"/>
        <v>2.0000000000000018E-2</v>
      </c>
      <c r="AL164" s="159">
        <f t="shared" si="68"/>
        <v>2.0000000000000018E-2</v>
      </c>
      <c r="AM164" s="159">
        <f t="shared" si="68"/>
        <v>2.0000000000000018E-2</v>
      </c>
      <c r="AN164" s="159">
        <f t="shared" si="68"/>
        <v>2.0000000000000018E-2</v>
      </c>
    </row>
    <row r="165" spans="1:41">
      <c r="B165" s="161"/>
      <c r="C165" s="131"/>
      <c r="E165" s="135"/>
      <c r="F165" s="135"/>
      <c r="G165" s="135"/>
      <c r="H165" s="135"/>
      <c r="I165" s="135"/>
      <c r="J165" s="135"/>
      <c r="K165" s="135"/>
      <c r="L165" s="135"/>
      <c r="M165" s="135"/>
      <c r="N165" s="135"/>
      <c r="O165" s="135"/>
      <c r="P165" s="135"/>
      <c r="Q165" s="136"/>
      <c r="R165" s="136"/>
      <c r="S165" s="136"/>
      <c r="T165" s="136"/>
      <c r="U165" s="136"/>
      <c r="V165" s="136"/>
      <c r="W165" s="136"/>
      <c r="X165" s="136"/>
      <c r="Y165" s="136"/>
      <c r="Z165" s="136"/>
      <c r="AA165" s="136"/>
      <c r="AB165" s="136"/>
      <c r="AC165" s="136"/>
      <c r="AD165" s="136"/>
      <c r="AE165" s="136"/>
      <c r="AF165" s="136"/>
      <c r="AG165" s="136"/>
      <c r="AH165" s="136"/>
      <c r="AI165" s="136"/>
      <c r="AJ165" s="136"/>
      <c r="AK165" s="136"/>
      <c r="AL165" s="136"/>
      <c r="AM165" s="136"/>
      <c r="AN165" s="136"/>
    </row>
    <row r="166" spans="1:41" s="177" customFormat="1">
      <c r="B166" s="832"/>
      <c r="C166" s="833"/>
      <c r="E166" s="834"/>
      <c r="F166" s="834"/>
      <c r="G166" s="834"/>
      <c r="H166" s="834"/>
      <c r="I166" s="834"/>
      <c r="J166" s="834"/>
      <c r="K166" s="834"/>
      <c r="L166" s="834"/>
      <c r="M166" s="834"/>
      <c r="N166" s="834"/>
      <c r="O166" s="834"/>
      <c r="P166" s="834"/>
      <c r="Q166" s="835"/>
      <c r="R166" s="835"/>
      <c r="S166" s="835"/>
      <c r="T166" s="835"/>
      <c r="U166" s="835"/>
      <c r="V166" s="835"/>
      <c r="W166" s="835"/>
      <c r="X166" s="835"/>
      <c r="Y166" s="835"/>
      <c r="Z166" s="835"/>
      <c r="AA166" s="835"/>
      <c r="AB166" s="835"/>
      <c r="AC166" s="835"/>
      <c r="AD166" s="835"/>
      <c r="AE166" s="835"/>
      <c r="AF166" s="835"/>
      <c r="AG166" s="835"/>
      <c r="AH166" s="835"/>
      <c r="AI166" s="835"/>
      <c r="AJ166" s="835"/>
      <c r="AK166" s="835"/>
      <c r="AL166" s="835"/>
      <c r="AM166" s="835"/>
      <c r="AN166" s="835"/>
    </row>
    <row r="167" spans="1:41">
      <c r="B167" s="161"/>
      <c r="C167" s="131"/>
      <c r="E167" s="135"/>
      <c r="F167" s="135"/>
      <c r="G167" s="135"/>
      <c r="H167" s="135"/>
      <c r="I167" s="135"/>
      <c r="J167" s="135"/>
      <c r="K167" s="135"/>
      <c r="L167" s="135"/>
      <c r="M167" s="135"/>
      <c r="N167" s="135"/>
      <c r="O167" s="135"/>
      <c r="P167" s="135"/>
      <c r="Q167" s="136"/>
      <c r="R167" s="136"/>
      <c r="S167" s="136"/>
      <c r="T167" s="136"/>
      <c r="U167" s="136"/>
      <c r="V167" s="136"/>
      <c r="W167" s="136"/>
      <c r="X167" s="136"/>
      <c r="Y167" s="136"/>
      <c r="Z167" s="136"/>
      <c r="AA167" s="136"/>
      <c r="AB167" s="136"/>
      <c r="AC167" s="136"/>
      <c r="AD167" s="136"/>
      <c r="AE167" s="136"/>
      <c r="AF167" s="136"/>
      <c r="AG167" s="136"/>
      <c r="AH167" s="136"/>
      <c r="AI167" s="136"/>
      <c r="AJ167" s="136"/>
      <c r="AK167" s="136"/>
      <c r="AL167" s="136"/>
      <c r="AM167" s="136"/>
      <c r="AN167" s="136"/>
    </row>
    <row r="168" spans="1:41">
      <c r="B168" s="161"/>
      <c r="C168" s="131"/>
      <c r="E168" s="135"/>
      <c r="F168" s="135"/>
      <c r="G168" s="135"/>
      <c r="H168" s="135"/>
      <c r="I168" s="135"/>
      <c r="J168" s="135"/>
      <c r="K168" s="135"/>
      <c r="L168" s="135"/>
      <c r="M168" s="135"/>
      <c r="N168" s="135"/>
      <c r="O168" s="135"/>
      <c r="P168" s="135"/>
      <c r="Q168" s="136"/>
      <c r="R168" s="136"/>
      <c r="S168" s="136"/>
      <c r="T168" s="136"/>
      <c r="U168" s="136"/>
      <c r="V168" s="136"/>
      <c r="W168" s="136"/>
      <c r="X168" s="136"/>
      <c r="Y168" s="136"/>
      <c r="Z168" s="136"/>
      <c r="AA168" s="136"/>
      <c r="AB168" s="136"/>
      <c r="AC168" s="136"/>
      <c r="AD168" s="136"/>
      <c r="AE168" s="136"/>
      <c r="AF168" s="136"/>
      <c r="AG168" s="136"/>
      <c r="AH168" s="136"/>
      <c r="AI168" s="136"/>
      <c r="AJ168" s="136"/>
      <c r="AK168" s="136"/>
      <c r="AL168" s="136"/>
      <c r="AM168" s="136"/>
      <c r="AN168" s="136"/>
    </row>
    <row r="169" spans="1:41">
      <c r="B169" s="161"/>
      <c r="C169" s="131"/>
      <c r="E169" s="135"/>
      <c r="F169" s="135"/>
      <c r="G169" s="135"/>
      <c r="H169" s="135"/>
      <c r="I169" s="135"/>
      <c r="J169" s="135"/>
      <c r="K169" s="135"/>
      <c r="L169" s="135"/>
      <c r="M169" s="135"/>
      <c r="N169" s="135"/>
      <c r="O169" s="135"/>
      <c r="P169" s="135"/>
      <c r="Q169" s="136"/>
      <c r="R169" s="136"/>
      <c r="S169" s="136"/>
      <c r="T169" s="136"/>
      <c r="U169" s="136"/>
      <c r="V169" s="136"/>
      <c r="W169" s="136"/>
      <c r="X169" s="136"/>
      <c r="Y169" s="136"/>
      <c r="Z169" s="136"/>
      <c r="AA169" s="136"/>
      <c r="AB169" s="136"/>
      <c r="AC169" s="136"/>
      <c r="AD169" s="136"/>
      <c r="AE169" s="136"/>
      <c r="AF169" s="136"/>
      <c r="AG169" s="136"/>
      <c r="AH169" s="136"/>
      <c r="AI169" s="136"/>
      <c r="AJ169" s="136"/>
      <c r="AK169" s="136"/>
      <c r="AL169" s="136"/>
      <c r="AM169" s="136"/>
      <c r="AN169" s="136"/>
    </row>
    <row r="170" spans="1:41">
      <c r="B170" s="185" t="s">
        <v>1182</v>
      </c>
      <c r="C170" s="165"/>
      <c r="E170" s="135"/>
      <c r="F170" s="135"/>
      <c r="G170" s="135"/>
      <c r="H170" s="135"/>
      <c r="I170" s="135"/>
      <c r="J170" s="135"/>
      <c r="K170" s="135"/>
      <c r="L170" s="135"/>
      <c r="M170" s="142"/>
      <c r="N170" s="142"/>
      <c r="O170" s="142"/>
      <c r="P170" s="142"/>
      <c r="Q170" s="142"/>
      <c r="R170" s="142"/>
      <c r="S170" s="142"/>
      <c r="T170" s="142"/>
      <c r="U170" s="142"/>
      <c r="V170" s="142"/>
      <c r="W170" s="142"/>
      <c r="X170" s="142"/>
      <c r="Y170" s="142"/>
      <c r="Z170" s="142"/>
      <c r="AA170" s="142"/>
      <c r="AB170" s="142"/>
      <c r="AC170" s="142"/>
      <c r="AD170" s="142"/>
      <c r="AE170" s="142"/>
      <c r="AF170" s="142"/>
      <c r="AG170" s="142"/>
      <c r="AH170" s="142"/>
      <c r="AI170" s="142"/>
      <c r="AJ170" s="142"/>
      <c r="AK170" s="142"/>
      <c r="AL170" s="142"/>
      <c r="AM170" s="142"/>
      <c r="AN170" s="142"/>
    </row>
    <row r="171" spans="1:41">
      <c r="A171" s="840" t="s">
        <v>1638</v>
      </c>
      <c r="B171" s="185"/>
      <c r="C171" s="165"/>
      <c r="E171" s="135"/>
      <c r="F171" s="135"/>
      <c r="G171" s="135"/>
      <c r="H171" s="135"/>
      <c r="I171" s="135"/>
      <c r="J171" s="135"/>
      <c r="K171" s="135"/>
      <c r="L171" s="135"/>
      <c r="M171" s="142"/>
      <c r="N171" s="142"/>
      <c r="O171" s="142"/>
      <c r="P171" s="142"/>
      <c r="Q171" s="142"/>
      <c r="R171" s="142" t="s">
        <v>1544</v>
      </c>
      <c r="S171" s="792">
        <v>121.125</v>
      </c>
      <c r="T171" s="792">
        <v>161.5</v>
      </c>
      <c r="U171" s="792">
        <v>40.375</v>
      </c>
      <c r="V171" s="142"/>
      <c r="W171" s="142"/>
      <c r="X171" s="142"/>
      <c r="Y171" s="142"/>
      <c r="Z171" s="142"/>
      <c r="AA171" s="142"/>
      <c r="AB171" s="142"/>
      <c r="AC171" s="142"/>
      <c r="AD171" s="142"/>
      <c r="AE171" s="142"/>
      <c r="AF171" s="142"/>
      <c r="AG171" s="142"/>
      <c r="AH171" s="142"/>
      <c r="AI171" s="142"/>
      <c r="AJ171" s="142"/>
      <c r="AK171" s="142"/>
      <c r="AL171" s="142"/>
      <c r="AM171" s="142"/>
      <c r="AN171" s="142"/>
    </row>
    <row r="172" spans="1:41">
      <c r="A172" s="839"/>
      <c r="B172" s="185"/>
      <c r="C172" s="165"/>
      <c r="E172" s="135"/>
      <c r="F172" s="135"/>
      <c r="G172" s="135"/>
      <c r="H172" s="135"/>
      <c r="I172" s="135"/>
      <c r="J172" s="135"/>
      <c r="K172" s="135"/>
      <c r="L172" s="135"/>
      <c r="M172" s="142"/>
      <c r="N172" s="142"/>
      <c r="O172" s="142"/>
      <c r="P172" s="142"/>
      <c r="Q172" s="142"/>
      <c r="R172" s="142" t="s">
        <v>1545</v>
      </c>
      <c r="S172" s="791">
        <f>S178-Q178</f>
        <v>141.40000000000009</v>
      </c>
      <c r="T172" s="791">
        <f>T178-R178</f>
        <v>170.10000000000014</v>
      </c>
      <c r="U172" s="791">
        <f>U178-S178</f>
        <v>18.399999999999864</v>
      </c>
      <c r="V172" s="142"/>
      <c r="W172" s="142"/>
      <c r="X172" s="142"/>
      <c r="Y172" s="142"/>
      <c r="Z172" s="142"/>
      <c r="AA172" s="142"/>
      <c r="AB172" s="142"/>
      <c r="AC172" s="142"/>
      <c r="AD172" s="142"/>
      <c r="AE172" s="142"/>
      <c r="AF172" s="142"/>
      <c r="AG172" s="142"/>
      <c r="AH172" s="142"/>
      <c r="AI172" s="142"/>
      <c r="AJ172" s="142"/>
      <c r="AK172" s="142"/>
      <c r="AL172" s="142"/>
      <c r="AM172" s="142"/>
      <c r="AN172" s="142"/>
    </row>
    <row r="173" spans="1:41">
      <c r="A173" s="839"/>
      <c r="B173" s="185"/>
      <c r="C173" s="165"/>
      <c r="E173" s="135"/>
      <c r="F173" s="135"/>
      <c r="G173" s="135"/>
      <c r="H173" s="135"/>
      <c r="I173" s="135"/>
      <c r="J173" s="135"/>
      <c r="K173" s="135"/>
      <c r="L173" s="135"/>
      <c r="M173" s="142"/>
      <c r="N173" s="142"/>
      <c r="O173" s="142"/>
      <c r="P173" s="142"/>
      <c r="Q173" s="142"/>
      <c r="R173" s="142" t="s">
        <v>1546</v>
      </c>
      <c r="S173" s="793">
        <f>S172-S171</f>
        <v>20.275000000000091</v>
      </c>
      <c r="T173" s="793">
        <f>T172-T171</f>
        <v>8.6000000000001364</v>
      </c>
      <c r="U173" s="793">
        <f>U172-U171</f>
        <v>-21.975000000000136</v>
      </c>
      <c r="V173" s="142"/>
      <c r="W173" s="142"/>
      <c r="X173" s="142"/>
      <c r="Y173" s="142"/>
      <c r="Z173" s="142"/>
      <c r="AA173" s="142"/>
      <c r="AB173" s="142"/>
      <c r="AC173" s="142"/>
      <c r="AD173" s="142"/>
      <c r="AE173" s="142"/>
      <c r="AF173" s="142"/>
      <c r="AG173" s="142"/>
      <c r="AH173" s="142"/>
      <c r="AI173" s="142"/>
      <c r="AJ173" s="142"/>
      <c r="AK173" s="142"/>
      <c r="AL173" s="142"/>
      <c r="AM173" s="142"/>
      <c r="AN173" s="142"/>
    </row>
    <row r="174" spans="1:41">
      <c r="B174" s="185"/>
      <c r="C174" s="165"/>
      <c r="E174" s="135"/>
      <c r="F174" s="135"/>
      <c r="G174" s="135"/>
      <c r="H174" s="135"/>
      <c r="I174" s="135"/>
      <c r="J174" s="135"/>
      <c r="K174" s="135"/>
      <c r="L174" s="135"/>
      <c r="M174" s="142"/>
      <c r="N174" s="142"/>
      <c r="O174" s="142"/>
      <c r="P174" s="142"/>
      <c r="Q174" s="142"/>
      <c r="R174" s="142"/>
      <c r="S174" s="796"/>
      <c r="T174" s="796"/>
      <c r="U174" s="796"/>
      <c r="V174" s="142"/>
      <c r="W174" s="142"/>
      <c r="X174" s="142"/>
      <c r="Y174" s="142"/>
      <c r="Z174" s="142"/>
      <c r="AA174" s="142"/>
      <c r="AB174" s="142"/>
      <c r="AC174" s="142"/>
      <c r="AD174" s="142"/>
      <c r="AE174" s="142"/>
      <c r="AF174" s="142"/>
      <c r="AG174" s="142"/>
      <c r="AH174" s="142"/>
      <c r="AI174" s="142"/>
      <c r="AJ174" s="142"/>
      <c r="AK174" s="142"/>
      <c r="AL174" s="142"/>
      <c r="AM174" s="142"/>
      <c r="AN174" s="142"/>
    </row>
    <row r="175" spans="1:41">
      <c r="B175" s="183" t="s">
        <v>901</v>
      </c>
      <c r="C175" s="82" t="s">
        <v>900</v>
      </c>
      <c r="E175" s="135"/>
      <c r="F175" s="135"/>
      <c r="G175" s="135"/>
      <c r="H175" s="135"/>
      <c r="I175" s="135"/>
      <c r="J175" s="135"/>
      <c r="K175" s="135"/>
      <c r="L175" s="135"/>
      <c r="M175" s="136">
        <f t="shared" ref="M175:AN175" si="69">M102</f>
        <v>579.9</v>
      </c>
      <c r="N175" s="136">
        <f t="shared" si="69"/>
        <v>493.6</v>
      </c>
      <c r="O175" s="136">
        <f t="shared" si="69"/>
        <v>493</v>
      </c>
      <c r="P175" s="136">
        <f t="shared" si="69"/>
        <v>449.70000000000005</v>
      </c>
      <c r="Q175" s="136">
        <f t="shared" si="69"/>
        <v>473.4</v>
      </c>
      <c r="R175" s="136">
        <f t="shared" si="69"/>
        <v>448.6</v>
      </c>
      <c r="S175" s="136">
        <f t="shared" si="69"/>
        <v>539.6</v>
      </c>
      <c r="T175" s="136">
        <f t="shared" si="69"/>
        <v>530.1</v>
      </c>
      <c r="U175" s="136">
        <f t="shared" si="69"/>
        <v>536.9</v>
      </c>
      <c r="V175" s="136">
        <f t="shared" ref="V175" si="70">V102</f>
        <v>535.9</v>
      </c>
      <c r="W175" s="136">
        <f t="shared" si="69"/>
        <v>571.16239360000009</v>
      </c>
      <c r="X175" s="136">
        <f t="shared" si="69"/>
        <v>537.16765384999997</v>
      </c>
      <c r="Y175" s="136">
        <f t="shared" si="69"/>
        <v>576.82201753599998</v>
      </c>
      <c r="Z175" s="136">
        <f t="shared" si="69"/>
        <v>550.99467302399989</v>
      </c>
      <c r="AA175" s="136">
        <f t="shared" si="69"/>
        <v>588.25445788672005</v>
      </c>
      <c r="AB175" s="136">
        <f t="shared" si="69"/>
        <v>561.91056648448</v>
      </c>
      <c r="AC175" s="136">
        <f t="shared" si="69"/>
        <v>605.7460916233216</v>
      </c>
      <c r="AD175" s="136">
        <f t="shared" si="69"/>
        <v>578.61188347901452</v>
      </c>
      <c r="AE175" s="136">
        <f t="shared" si="69"/>
        <v>623.7624743720213</v>
      </c>
      <c r="AF175" s="136">
        <f t="shared" si="69"/>
        <v>595.81423998338482</v>
      </c>
      <c r="AG175" s="136">
        <f t="shared" si="69"/>
        <v>642.31934860318188</v>
      </c>
      <c r="AH175" s="136">
        <f t="shared" si="69"/>
        <v>613.53266718288648</v>
      </c>
      <c r="AI175" s="136">
        <f t="shared" si="69"/>
        <v>661.43292906127726</v>
      </c>
      <c r="AJ175" s="136">
        <f t="shared" si="69"/>
        <v>631.78264719837307</v>
      </c>
      <c r="AK175" s="136">
        <f t="shared" si="69"/>
        <v>681.11991693311575</v>
      </c>
      <c r="AL175" s="136">
        <f t="shared" si="69"/>
        <v>650.58012661432417</v>
      </c>
      <c r="AM175" s="136">
        <f t="shared" si="69"/>
        <v>701.39751444110914</v>
      </c>
      <c r="AN175" s="136">
        <f t="shared" si="69"/>
        <v>669.9415304127541</v>
      </c>
    </row>
    <row r="176" spans="1:41">
      <c r="B176" s="183" t="s">
        <v>31</v>
      </c>
      <c r="C176" s="82" t="s">
        <v>900</v>
      </c>
      <c r="E176" s="135"/>
      <c r="F176" s="135"/>
      <c r="G176" s="135"/>
      <c r="H176" s="135"/>
      <c r="I176" s="135"/>
      <c r="J176" s="135"/>
      <c r="K176" s="135"/>
      <c r="L176" s="135"/>
      <c r="M176" s="136">
        <f t="shared" ref="M176:AN176" si="71">M117</f>
        <v>276.60000000000002</v>
      </c>
      <c r="N176" s="136">
        <f t="shared" si="71"/>
        <v>377.4</v>
      </c>
      <c r="O176" s="136">
        <f t="shared" si="71"/>
        <v>437.4</v>
      </c>
      <c r="P176" s="136">
        <f t="shared" si="71"/>
        <v>381</v>
      </c>
      <c r="Q176" s="136">
        <f t="shared" si="71"/>
        <v>420.6</v>
      </c>
      <c r="R176" s="136">
        <f t="shared" si="71"/>
        <v>401.19999999999993</v>
      </c>
      <c r="S176" s="136">
        <f t="shared" si="71"/>
        <v>497.1</v>
      </c>
      <c r="T176" s="136">
        <f t="shared" si="71"/>
        <v>468.6</v>
      </c>
      <c r="U176" s="136">
        <f t="shared" si="71"/>
        <v>511.1</v>
      </c>
      <c r="V176" s="136">
        <f t="shared" ref="V176" si="72">V117</f>
        <v>470.1</v>
      </c>
      <c r="W176" s="136">
        <f t="shared" si="71"/>
        <v>530.82886899999994</v>
      </c>
      <c r="X176" s="136">
        <f t="shared" si="71"/>
        <v>484.41940000000011</v>
      </c>
      <c r="Y176" s="136">
        <f t="shared" si="71"/>
        <v>523.57443596499991</v>
      </c>
      <c r="Z176" s="136">
        <f t="shared" si="71"/>
        <v>477.8281090000001</v>
      </c>
      <c r="AA176" s="136">
        <f t="shared" si="71"/>
        <v>518.01330554157937</v>
      </c>
      <c r="AB176" s="136">
        <f t="shared" si="71"/>
        <v>470.66068736500011</v>
      </c>
      <c r="AC176" s="136">
        <f t="shared" si="71"/>
        <v>523.19343859699529</v>
      </c>
      <c r="AD176" s="136">
        <f t="shared" si="71"/>
        <v>475.36729423865017</v>
      </c>
      <c r="AE176" s="136">
        <f t="shared" si="71"/>
        <v>517.96150421102527</v>
      </c>
      <c r="AF176" s="136">
        <f t="shared" si="71"/>
        <v>470.61362129626355</v>
      </c>
      <c r="AG176" s="136">
        <f t="shared" si="71"/>
        <v>512.78188916891509</v>
      </c>
      <c r="AH176" s="136">
        <f t="shared" si="71"/>
        <v>465.90748508330091</v>
      </c>
      <c r="AI176" s="136">
        <f t="shared" si="71"/>
        <v>507.65407027722591</v>
      </c>
      <c r="AJ176" s="136">
        <f t="shared" si="71"/>
        <v>461.2484102324679</v>
      </c>
      <c r="AK176" s="136">
        <f t="shared" si="71"/>
        <v>502.57752957445359</v>
      </c>
      <c r="AL176" s="136">
        <f t="shared" si="71"/>
        <v>456.63592613014328</v>
      </c>
      <c r="AM176" s="136">
        <f t="shared" si="71"/>
        <v>497.55175427870904</v>
      </c>
      <c r="AN176" s="136">
        <f t="shared" si="71"/>
        <v>452.06956686884172</v>
      </c>
    </row>
    <row r="177" spans="1:41">
      <c r="B177" s="183" t="s">
        <v>1520</v>
      </c>
      <c r="C177" s="82" t="s">
        <v>900</v>
      </c>
      <c r="E177" s="135"/>
      <c r="F177" s="135"/>
      <c r="G177" s="135"/>
      <c r="H177" s="135"/>
      <c r="I177" s="135"/>
      <c r="J177" s="135"/>
      <c r="K177" s="135"/>
      <c r="L177" s="135"/>
      <c r="M177" s="136"/>
      <c r="N177" s="136"/>
      <c r="O177" s="136">
        <f t="shared" ref="O177:AN177" si="73">O138</f>
        <v>120.9</v>
      </c>
      <c r="P177" s="136">
        <f t="shared" si="73"/>
        <v>128.4</v>
      </c>
      <c r="Q177" s="136">
        <f t="shared" si="73"/>
        <v>109.3</v>
      </c>
      <c r="R177" s="136">
        <f t="shared" si="73"/>
        <v>103.00000000000001</v>
      </c>
      <c r="S177" s="136">
        <f t="shared" si="73"/>
        <v>108</v>
      </c>
      <c r="T177" s="136">
        <f t="shared" si="73"/>
        <v>124.19999999999999</v>
      </c>
      <c r="U177" s="136">
        <f t="shared" si="73"/>
        <v>115.1</v>
      </c>
      <c r="V177" s="136">
        <f t="shared" ref="V177" si="74">V138</f>
        <v>108.6</v>
      </c>
      <c r="W177" s="136">
        <f t="shared" si="73"/>
        <v>107</v>
      </c>
      <c r="X177" s="136">
        <f t="shared" si="73"/>
        <v>109</v>
      </c>
      <c r="Y177" s="136">
        <f t="shared" si="73"/>
        <v>110.21000000000001</v>
      </c>
      <c r="Z177" s="136">
        <f t="shared" si="73"/>
        <v>112.27</v>
      </c>
      <c r="AA177" s="136">
        <f t="shared" si="73"/>
        <v>113.51630000000002</v>
      </c>
      <c r="AB177" s="136">
        <f t="shared" si="73"/>
        <v>115.63809999999999</v>
      </c>
      <c r="AC177" s="136">
        <f t="shared" si="73"/>
        <v>116.92178900000002</v>
      </c>
      <c r="AD177" s="136">
        <f t="shared" si="73"/>
        <v>119.107243</v>
      </c>
      <c r="AE177" s="136">
        <f t="shared" si="73"/>
        <v>120.42944267000003</v>
      </c>
      <c r="AF177" s="136">
        <f t="shared" si="73"/>
        <v>122.68046029</v>
      </c>
      <c r="AG177" s="136">
        <f t="shared" si="73"/>
        <v>124.04232595010004</v>
      </c>
      <c r="AH177" s="136">
        <f t="shared" si="73"/>
        <v>126.36087409870001</v>
      </c>
      <c r="AI177" s="136">
        <f t="shared" si="73"/>
        <v>127.76359572860304</v>
      </c>
      <c r="AJ177" s="136">
        <f t="shared" si="73"/>
        <v>130.15170032166102</v>
      </c>
      <c r="AK177" s="136">
        <f t="shared" si="73"/>
        <v>131.59650360046112</v>
      </c>
      <c r="AL177" s="136">
        <f t="shared" si="73"/>
        <v>134.05625133131085</v>
      </c>
      <c r="AM177" s="136">
        <f t="shared" si="73"/>
        <v>135.54439870847494</v>
      </c>
      <c r="AN177" s="136">
        <f t="shared" si="73"/>
        <v>138.07793887125018</v>
      </c>
    </row>
    <row r="178" spans="1:41" s="3" customFormat="1">
      <c r="B178" s="483" t="s">
        <v>1186</v>
      </c>
      <c r="C178" s="163" t="s">
        <v>900</v>
      </c>
      <c r="M178" s="222"/>
      <c r="N178" s="222"/>
      <c r="O178" s="222">
        <f t="shared" ref="O178:AN178" si="75">SUM(O175:O177)</f>
        <v>1051.3</v>
      </c>
      <c r="P178" s="222">
        <f t="shared" si="75"/>
        <v>959.1</v>
      </c>
      <c r="Q178" s="222">
        <f t="shared" si="75"/>
        <v>1003.3</v>
      </c>
      <c r="R178" s="222">
        <f t="shared" si="75"/>
        <v>952.8</v>
      </c>
      <c r="S178" s="222">
        <f t="shared" si="75"/>
        <v>1144.7</v>
      </c>
      <c r="T178" s="222">
        <f t="shared" si="75"/>
        <v>1122.9000000000001</v>
      </c>
      <c r="U178" s="222">
        <f t="shared" si="75"/>
        <v>1163.0999999999999</v>
      </c>
      <c r="V178" s="222">
        <f t="shared" ref="V178" si="76">SUM(V175:V177)</f>
        <v>1114.5999999999999</v>
      </c>
      <c r="W178" s="222">
        <f t="shared" si="75"/>
        <v>1208.9912626</v>
      </c>
      <c r="X178" s="222">
        <f t="shared" si="75"/>
        <v>1130.5870538500001</v>
      </c>
      <c r="Y178" s="222">
        <f t="shared" si="75"/>
        <v>1210.606453501</v>
      </c>
      <c r="Z178" s="222">
        <f t="shared" si="75"/>
        <v>1141.0927820239999</v>
      </c>
      <c r="AA178" s="222">
        <f t="shared" si="75"/>
        <v>1219.7840634282995</v>
      </c>
      <c r="AB178" s="222">
        <f t="shared" si="75"/>
        <v>1148.2093538494801</v>
      </c>
      <c r="AC178" s="222">
        <f t="shared" si="75"/>
        <v>1245.861319220317</v>
      </c>
      <c r="AD178" s="222">
        <f t="shared" si="75"/>
        <v>1173.0864207176646</v>
      </c>
      <c r="AE178" s="222">
        <f t="shared" si="75"/>
        <v>1262.1534212530466</v>
      </c>
      <c r="AF178" s="222">
        <f t="shared" si="75"/>
        <v>1189.1083215696483</v>
      </c>
      <c r="AG178" s="222">
        <f t="shared" si="75"/>
        <v>1279.1435637221971</v>
      </c>
      <c r="AH178" s="222">
        <f t="shared" si="75"/>
        <v>1205.8010263648873</v>
      </c>
      <c r="AI178" s="222">
        <f t="shared" si="75"/>
        <v>1296.850595067106</v>
      </c>
      <c r="AJ178" s="222">
        <f t="shared" si="75"/>
        <v>1223.1827577525021</v>
      </c>
      <c r="AK178" s="222">
        <f t="shared" si="75"/>
        <v>1315.2939501080305</v>
      </c>
      <c r="AL178" s="222">
        <f t="shared" si="75"/>
        <v>1241.2723040757785</v>
      </c>
      <c r="AM178" s="222">
        <f t="shared" si="75"/>
        <v>1334.4936674282931</v>
      </c>
      <c r="AN178" s="222">
        <f t="shared" si="75"/>
        <v>1260.0890361528459</v>
      </c>
    </row>
    <row r="179" spans="1:41">
      <c r="B179" s="183" t="s">
        <v>1584</v>
      </c>
      <c r="C179" s="82" t="s">
        <v>900</v>
      </c>
      <c r="E179" s="136"/>
      <c r="F179" s="136"/>
      <c r="G179" s="136"/>
      <c r="H179" s="136"/>
      <c r="I179" s="136"/>
      <c r="J179" s="136"/>
      <c r="K179" s="136"/>
      <c r="L179" s="136"/>
      <c r="M179" s="136"/>
      <c r="N179" s="136"/>
      <c r="O179" s="809">
        <v>114.40000000000009</v>
      </c>
      <c r="P179" s="809">
        <v>106.00000000000011</v>
      </c>
      <c r="Q179" s="136">
        <f t="shared" ref="Q179:AN179" si="77">Q160</f>
        <v>189.1</v>
      </c>
      <c r="R179" s="136">
        <f t="shared" si="77"/>
        <v>171.79999999999998</v>
      </c>
      <c r="S179" s="136">
        <f t="shared" si="77"/>
        <v>192.1</v>
      </c>
      <c r="T179" s="136">
        <f t="shared" si="77"/>
        <v>178.50000000000003</v>
      </c>
      <c r="U179" s="136">
        <f t="shared" si="77"/>
        <v>192.4</v>
      </c>
      <c r="V179" s="136">
        <f t="shared" ref="V179" si="78">V160</f>
        <v>185.4</v>
      </c>
      <c r="W179" s="136">
        <f t="shared" si="77"/>
        <v>188</v>
      </c>
      <c r="X179" s="136">
        <f t="shared" si="77"/>
        <v>188</v>
      </c>
      <c r="Y179" s="136">
        <f t="shared" si="77"/>
        <v>192.74</v>
      </c>
      <c r="Z179" s="136">
        <f t="shared" si="77"/>
        <v>192.74</v>
      </c>
      <c r="AA179" s="136">
        <f t="shared" si="77"/>
        <v>197.60419999999999</v>
      </c>
      <c r="AB179" s="136">
        <f t="shared" si="77"/>
        <v>197.60419999999999</v>
      </c>
      <c r="AC179" s="136">
        <f t="shared" si="77"/>
        <v>202.59596599999998</v>
      </c>
      <c r="AD179" s="136">
        <f t="shared" si="77"/>
        <v>202.59596599999998</v>
      </c>
      <c r="AE179" s="136">
        <f t="shared" si="77"/>
        <v>207.71875777999998</v>
      </c>
      <c r="AF179" s="136">
        <f t="shared" si="77"/>
        <v>207.71875777999998</v>
      </c>
      <c r="AG179" s="136">
        <f t="shared" si="77"/>
        <v>212.97613156939997</v>
      </c>
      <c r="AH179" s="136">
        <f t="shared" si="77"/>
        <v>212.97613156939997</v>
      </c>
      <c r="AI179" s="136">
        <f t="shared" si="77"/>
        <v>218.37174279360198</v>
      </c>
      <c r="AJ179" s="136">
        <f t="shared" si="77"/>
        <v>218.37174279360198</v>
      </c>
      <c r="AK179" s="136">
        <f t="shared" si="77"/>
        <v>223.90934890007244</v>
      </c>
      <c r="AL179" s="136">
        <f t="shared" si="77"/>
        <v>223.90934890007244</v>
      </c>
      <c r="AM179" s="136">
        <f t="shared" si="77"/>
        <v>229.59281226619026</v>
      </c>
      <c r="AN179" s="136">
        <f t="shared" si="77"/>
        <v>229.59281226619026</v>
      </c>
    </row>
    <row r="180" spans="1:41">
      <c r="B180" s="183" t="s">
        <v>1542</v>
      </c>
      <c r="C180" s="82" t="s">
        <v>900</v>
      </c>
      <c r="E180" s="136"/>
      <c r="F180" s="136"/>
      <c r="G180" s="136"/>
      <c r="H180" s="136"/>
      <c r="I180" s="136"/>
      <c r="J180" s="136"/>
      <c r="K180" s="136"/>
      <c r="L180" s="136"/>
      <c r="M180" s="136"/>
      <c r="N180" s="136"/>
      <c r="O180" s="136"/>
      <c r="P180" s="136"/>
      <c r="Q180" s="136">
        <f t="shared" ref="Q180:AN180" si="79">Q163</f>
        <v>-75.7</v>
      </c>
      <c r="R180" s="136">
        <f t="shared" si="79"/>
        <v>-78.499999999999986</v>
      </c>
      <c r="S180" s="136">
        <f t="shared" si="79"/>
        <v>-93.6</v>
      </c>
      <c r="T180" s="136">
        <f t="shared" si="79"/>
        <v>-105.80000000000001</v>
      </c>
      <c r="U180" s="136">
        <f t="shared" si="79"/>
        <v>-102.3</v>
      </c>
      <c r="V180" s="136">
        <f t="shared" ref="V180" si="80">V163</f>
        <v>-98.500000000000014</v>
      </c>
      <c r="W180" s="136">
        <f t="shared" si="79"/>
        <v>-90</v>
      </c>
      <c r="X180" s="136">
        <f t="shared" si="79"/>
        <v>-90</v>
      </c>
      <c r="Y180" s="136">
        <f t="shared" si="79"/>
        <v>-91.8</v>
      </c>
      <c r="Z180" s="136">
        <f t="shared" si="79"/>
        <v>-91.8</v>
      </c>
      <c r="AA180" s="136">
        <f t="shared" si="79"/>
        <v>-93.635999999999996</v>
      </c>
      <c r="AB180" s="136">
        <f t="shared" si="79"/>
        <v>-93.635999999999996</v>
      </c>
      <c r="AC180" s="136">
        <f t="shared" si="79"/>
        <v>-95.508719999999997</v>
      </c>
      <c r="AD180" s="136">
        <f t="shared" si="79"/>
        <v>-95.508719999999997</v>
      </c>
      <c r="AE180" s="136">
        <f t="shared" si="79"/>
        <v>-97.418894399999999</v>
      </c>
      <c r="AF180" s="136">
        <f t="shared" si="79"/>
        <v>-97.418894399999999</v>
      </c>
      <c r="AG180" s="136">
        <f t="shared" si="79"/>
        <v>-99.367272287999995</v>
      </c>
      <c r="AH180" s="136">
        <f t="shared" si="79"/>
        <v>-99.367272287999995</v>
      </c>
      <c r="AI180" s="136">
        <f t="shared" si="79"/>
        <v>-101.35461773375999</v>
      </c>
      <c r="AJ180" s="136">
        <f t="shared" si="79"/>
        <v>-101.35461773375999</v>
      </c>
      <c r="AK180" s="136">
        <f t="shared" si="79"/>
        <v>-103.3817100884352</v>
      </c>
      <c r="AL180" s="136">
        <f t="shared" si="79"/>
        <v>-103.3817100884352</v>
      </c>
      <c r="AM180" s="136">
        <f t="shared" si="79"/>
        <v>-105.44934429020391</v>
      </c>
      <c r="AN180" s="136">
        <f t="shared" si="79"/>
        <v>-105.44934429020391</v>
      </c>
      <c r="AO180" s="136"/>
    </row>
    <row r="181" spans="1:41" s="3" customFormat="1">
      <c r="B181" s="483" t="s">
        <v>1583</v>
      </c>
      <c r="C181" s="163"/>
      <c r="E181" s="222"/>
      <c r="F181" s="222"/>
      <c r="G181" s="222"/>
      <c r="H181" s="222"/>
      <c r="I181" s="222"/>
      <c r="J181" s="222"/>
      <c r="K181" s="222"/>
      <c r="L181" s="222"/>
      <c r="M181" s="222"/>
      <c r="N181" s="222"/>
      <c r="O181" s="222">
        <f>SUM(O179:O180)</f>
        <v>114.40000000000009</v>
      </c>
      <c r="P181" s="222">
        <f t="shared" ref="P181:AN181" si="81">SUM(P179:P180)</f>
        <v>106.00000000000011</v>
      </c>
      <c r="Q181" s="222">
        <f t="shared" si="81"/>
        <v>113.39999999999999</v>
      </c>
      <c r="R181" s="222">
        <f t="shared" si="81"/>
        <v>93.3</v>
      </c>
      <c r="S181" s="222">
        <f t="shared" si="81"/>
        <v>98.5</v>
      </c>
      <c r="T181" s="222">
        <f>SUM(T179:T180)</f>
        <v>72.700000000000017</v>
      </c>
      <c r="U181" s="222">
        <f>SUM(U179:U180)</f>
        <v>90.100000000000009</v>
      </c>
      <c r="V181" s="222">
        <f>SUM(V179:V180)</f>
        <v>86.899999999999991</v>
      </c>
      <c r="W181" s="222">
        <f t="shared" si="81"/>
        <v>98</v>
      </c>
      <c r="X181" s="222">
        <f t="shared" si="81"/>
        <v>98</v>
      </c>
      <c r="Y181" s="222">
        <f t="shared" si="81"/>
        <v>100.94000000000001</v>
      </c>
      <c r="Z181" s="222">
        <f t="shared" si="81"/>
        <v>100.94000000000001</v>
      </c>
      <c r="AA181" s="222">
        <f t="shared" si="81"/>
        <v>103.9682</v>
      </c>
      <c r="AB181" s="222">
        <f t="shared" si="81"/>
        <v>103.9682</v>
      </c>
      <c r="AC181" s="222">
        <f t="shared" si="81"/>
        <v>107.08724599999998</v>
      </c>
      <c r="AD181" s="222">
        <f t="shared" si="81"/>
        <v>107.08724599999998</v>
      </c>
      <c r="AE181" s="222">
        <f t="shared" si="81"/>
        <v>110.29986337999998</v>
      </c>
      <c r="AF181" s="222">
        <f t="shared" si="81"/>
        <v>110.29986337999998</v>
      </c>
      <c r="AG181" s="222">
        <f t="shared" si="81"/>
        <v>113.60885928139997</v>
      </c>
      <c r="AH181" s="222">
        <f t="shared" si="81"/>
        <v>113.60885928139997</v>
      </c>
      <c r="AI181" s="222">
        <f t="shared" si="81"/>
        <v>117.01712505984199</v>
      </c>
      <c r="AJ181" s="222">
        <f t="shared" si="81"/>
        <v>117.01712505984199</v>
      </c>
      <c r="AK181" s="222">
        <f t="shared" si="81"/>
        <v>120.52763881163725</v>
      </c>
      <c r="AL181" s="222">
        <f t="shared" si="81"/>
        <v>120.52763881163725</v>
      </c>
      <c r="AM181" s="222">
        <f t="shared" si="81"/>
        <v>124.14346797598635</v>
      </c>
      <c r="AN181" s="222">
        <f t="shared" si="81"/>
        <v>124.14346797598635</v>
      </c>
      <c r="AO181" s="222"/>
    </row>
    <row r="182" spans="1:41" s="3" customFormat="1">
      <c r="B182" s="482" t="s">
        <v>1</v>
      </c>
      <c r="C182" s="484" t="s">
        <v>900</v>
      </c>
      <c r="E182" s="485"/>
      <c r="F182" s="485"/>
      <c r="G182" s="485">
        <v>1225</v>
      </c>
      <c r="H182" s="485">
        <f>2318-G182</f>
        <v>1093</v>
      </c>
      <c r="I182" s="485">
        <v>1180</v>
      </c>
      <c r="J182" s="485">
        <f>2084-I182</f>
        <v>904</v>
      </c>
      <c r="K182" s="485">
        <v>1189</v>
      </c>
      <c r="L182" s="485">
        <f>2298-K182</f>
        <v>1109</v>
      </c>
      <c r="M182" s="485">
        <v>1073.4000000000001</v>
      </c>
      <c r="N182" s="485">
        <f>2181.9-M182</f>
        <v>1108.5</v>
      </c>
      <c r="O182" s="485">
        <v>1165.7</v>
      </c>
      <c r="P182" s="485">
        <f>2230.8-O182</f>
        <v>1065.1000000000001</v>
      </c>
      <c r="Q182" s="485">
        <v>1116.5999999999999</v>
      </c>
      <c r="R182" s="485">
        <f>2162.8-Q182</f>
        <v>1046.2000000000003</v>
      </c>
      <c r="S182" s="485">
        <v>1243.2</v>
      </c>
      <c r="T182" s="485">
        <f>2438.8-S182</f>
        <v>1195.6000000000001</v>
      </c>
      <c r="U182" s="485">
        <v>1253.2</v>
      </c>
      <c r="V182" s="485">
        <f>2454.7-U182</f>
        <v>1201.4999999999998</v>
      </c>
      <c r="W182" s="222">
        <f t="shared" ref="W182:AN182" si="82">W178+W181</f>
        <v>1306.9912626</v>
      </c>
      <c r="X182" s="222">
        <f t="shared" si="82"/>
        <v>1228.5870538500001</v>
      </c>
      <c r="Y182" s="222">
        <f t="shared" si="82"/>
        <v>1311.5464535010001</v>
      </c>
      <c r="Z182" s="222">
        <f t="shared" si="82"/>
        <v>1242.032782024</v>
      </c>
      <c r="AA182" s="222">
        <f t="shared" si="82"/>
        <v>1323.7522634282996</v>
      </c>
      <c r="AB182" s="222">
        <f t="shared" si="82"/>
        <v>1252.1775538494801</v>
      </c>
      <c r="AC182" s="222">
        <f t="shared" si="82"/>
        <v>1352.9485652203171</v>
      </c>
      <c r="AD182" s="222">
        <f t="shared" si="82"/>
        <v>1280.1736667176647</v>
      </c>
      <c r="AE182" s="222">
        <f t="shared" si="82"/>
        <v>1372.4532846330467</v>
      </c>
      <c r="AF182" s="222">
        <f t="shared" si="82"/>
        <v>1299.4081849496483</v>
      </c>
      <c r="AG182" s="222">
        <f t="shared" si="82"/>
        <v>1392.752423003597</v>
      </c>
      <c r="AH182" s="222">
        <f t="shared" si="82"/>
        <v>1319.4098856462872</v>
      </c>
      <c r="AI182" s="222">
        <f t="shared" si="82"/>
        <v>1413.8677201269479</v>
      </c>
      <c r="AJ182" s="222">
        <f t="shared" si="82"/>
        <v>1340.1998828123442</v>
      </c>
      <c r="AK182" s="222">
        <f t="shared" si="82"/>
        <v>1435.8215889196676</v>
      </c>
      <c r="AL182" s="222">
        <f t="shared" si="82"/>
        <v>1361.7999428874157</v>
      </c>
      <c r="AM182" s="222">
        <f t="shared" si="82"/>
        <v>1458.6371354042794</v>
      </c>
      <c r="AN182" s="222">
        <f t="shared" si="82"/>
        <v>1384.2325041288323</v>
      </c>
    </row>
    <row r="183" spans="1:41" s="3" customFormat="1">
      <c r="B183" s="226" t="s">
        <v>886</v>
      </c>
      <c r="C183" s="484"/>
      <c r="E183" s="485"/>
      <c r="F183" s="485"/>
      <c r="G183" s="485"/>
      <c r="H183" s="485"/>
      <c r="I183" s="485"/>
      <c r="J183" s="485"/>
      <c r="K183" s="485"/>
      <c r="L183" s="485"/>
      <c r="M183" s="217"/>
      <c r="N183" s="217"/>
      <c r="O183" s="217">
        <f>O182-SUM(O178:O180)</f>
        <v>0</v>
      </c>
      <c r="P183" s="217">
        <f t="shared" ref="P183:AN183" si="83">P182-SUM(P178:P180)</f>
        <v>0</v>
      </c>
      <c r="Q183" s="217">
        <f t="shared" si="83"/>
        <v>-9.9999999999909051E-2</v>
      </c>
      <c r="R183" s="217">
        <f t="shared" si="83"/>
        <v>0.1000000000003638</v>
      </c>
      <c r="S183" s="217">
        <f t="shared" si="83"/>
        <v>0</v>
      </c>
      <c r="T183" s="217">
        <f t="shared" si="83"/>
        <v>0</v>
      </c>
      <c r="U183" s="217">
        <f>U182-SUM(U178:U180)</f>
        <v>0</v>
      </c>
      <c r="V183" s="217">
        <f t="shared" ref="V183" si="84">V182-SUM(V178:V180)</f>
        <v>0</v>
      </c>
      <c r="W183" s="217">
        <f t="shared" si="83"/>
        <v>0</v>
      </c>
      <c r="X183" s="217">
        <f t="shared" si="83"/>
        <v>0</v>
      </c>
      <c r="Y183" s="217">
        <f t="shared" si="83"/>
        <v>0</v>
      </c>
      <c r="Z183" s="217">
        <f t="shared" si="83"/>
        <v>0</v>
      </c>
      <c r="AA183" s="217">
        <f t="shared" si="83"/>
        <v>0</v>
      </c>
      <c r="AB183" s="217">
        <f t="shared" si="83"/>
        <v>0</v>
      </c>
      <c r="AC183" s="217">
        <f t="shared" si="83"/>
        <v>0</v>
      </c>
      <c r="AD183" s="217">
        <f t="shared" si="83"/>
        <v>0</v>
      </c>
      <c r="AE183" s="217">
        <f t="shared" si="83"/>
        <v>0</v>
      </c>
      <c r="AF183" s="217">
        <f t="shared" si="83"/>
        <v>0</v>
      </c>
      <c r="AG183" s="217">
        <f t="shared" si="83"/>
        <v>0</v>
      </c>
      <c r="AH183" s="217">
        <f t="shared" si="83"/>
        <v>0</v>
      </c>
      <c r="AI183" s="217">
        <f t="shared" si="83"/>
        <v>0</v>
      </c>
      <c r="AJ183" s="217">
        <f t="shared" si="83"/>
        <v>0</v>
      </c>
      <c r="AK183" s="217">
        <f t="shared" si="83"/>
        <v>0</v>
      </c>
      <c r="AL183" s="217">
        <f t="shared" si="83"/>
        <v>0</v>
      </c>
      <c r="AM183" s="217">
        <f t="shared" si="83"/>
        <v>0</v>
      </c>
      <c r="AN183" s="217">
        <f t="shared" si="83"/>
        <v>0</v>
      </c>
    </row>
    <row r="184" spans="1:41">
      <c r="B184" s="161"/>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c r="AA184" s="142"/>
      <c r="AB184" s="142"/>
      <c r="AC184" s="142"/>
      <c r="AD184" s="142"/>
      <c r="AE184" s="142"/>
      <c r="AF184" s="142"/>
      <c r="AG184" s="142"/>
      <c r="AH184" s="142"/>
      <c r="AI184" s="142"/>
      <c r="AJ184" s="142"/>
      <c r="AK184" s="142"/>
      <c r="AL184" s="142"/>
      <c r="AM184" s="142"/>
      <c r="AN184" s="142"/>
    </row>
    <row r="185" spans="1:41" s="3" customFormat="1">
      <c r="B185" s="482" t="s">
        <v>1161</v>
      </c>
      <c r="C185" s="163" t="s">
        <v>900</v>
      </c>
      <c r="E185" s="222"/>
      <c r="F185" s="222"/>
      <c r="G185" s="222"/>
      <c r="H185" s="222"/>
      <c r="I185" s="222"/>
      <c r="J185" s="222"/>
      <c r="K185" s="222"/>
      <c r="L185" s="222"/>
      <c r="M185" s="222">
        <f t="shared" ref="M185:AN185" si="85">M193-M182</f>
        <v>-678.50000000000011</v>
      </c>
      <c r="N185" s="222">
        <f t="shared" si="85"/>
        <v>-702.1</v>
      </c>
      <c r="O185" s="222">
        <f t="shared" si="85"/>
        <v>-767.40000000000009</v>
      </c>
      <c r="P185" s="222">
        <f t="shared" si="85"/>
        <v>-688.40000000000009</v>
      </c>
      <c r="Q185" s="222">
        <f t="shared" si="85"/>
        <v>-722.69999999999993</v>
      </c>
      <c r="R185" s="222">
        <f t="shared" si="85"/>
        <v>-681.9000000000002</v>
      </c>
      <c r="S185" s="222">
        <f t="shared" si="85"/>
        <v>-785.1</v>
      </c>
      <c r="T185" s="222">
        <f t="shared" si="85"/>
        <v>-737.80000000000018</v>
      </c>
      <c r="U185" s="222">
        <f t="shared" si="85"/>
        <v>-775.80000000000007</v>
      </c>
      <c r="V185" s="222">
        <f t="shared" ref="V185" si="86">V193-V182</f>
        <v>-725.6999999999997</v>
      </c>
      <c r="W185" s="222">
        <f t="shared" si="85"/>
        <v>-790.72971387300004</v>
      </c>
      <c r="X185" s="222">
        <f t="shared" si="85"/>
        <v>-743.29516757925001</v>
      </c>
      <c r="Y185" s="222">
        <f t="shared" si="85"/>
        <v>-793.48560436810499</v>
      </c>
      <c r="Z185" s="222">
        <f t="shared" si="85"/>
        <v>-751.42983312451997</v>
      </c>
      <c r="AA185" s="222">
        <f t="shared" si="85"/>
        <v>-800.87011937412126</v>
      </c>
      <c r="AB185" s="222">
        <f t="shared" si="85"/>
        <v>-757.56742007893536</v>
      </c>
      <c r="AC185" s="222">
        <f t="shared" si="85"/>
        <v>-818.53388195829177</v>
      </c>
      <c r="AD185" s="222">
        <f t="shared" si="85"/>
        <v>-774.50506836418708</v>
      </c>
      <c r="AE185" s="222">
        <f t="shared" si="85"/>
        <v>-830.33423720299322</v>
      </c>
      <c r="AF185" s="222">
        <f t="shared" si="85"/>
        <v>-786.14195189453721</v>
      </c>
      <c r="AG185" s="222">
        <f t="shared" si="85"/>
        <v>-842.6152159171761</v>
      </c>
      <c r="AH185" s="222">
        <f t="shared" si="85"/>
        <v>-798.24298081600375</v>
      </c>
      <c r="AI185" s="222">
        <f t="shared" si="85"/>
        <v>-855.3899706768035</v>
      </c>
      <c r="AJ185" s="222">
        <f t="shared" si="85"/>
        <v>-810.82092910146821</v>
      </c>
      <c r="AK185" s="222">
        <f t="shared" si="85"/>
        <v>-868.67206129639885</v>
      </c>
      <c r="AL185" s="222">
        <f t="shared" si="85"/>
        <v>-823.88896544688646</v>
      </c>
      <c r="AM185" s="222">
        <f t="shared" si="85"/>
        <v>-882.47546691958905</v>
      </c>
      <c r="AN185" s="222">
        <f t="shared" si="85"/>
        <v>-837.46066499794347</v>
      </c>
    </row>
    <row r="186" spans="1:41">
      <c r="B186" s="162" t="s">
        <v>1163</v>
      </c>
      <c r="C186" s="82" t="s">
        <v>900</v>
      </c>
      <c r="E186" s="159"/>
      <c r="F186" s="159"/>
      <c r="G186" s="159"/>
      <c r="H186" s="159"/>
      <c r="I186" s="159"/>
      <c r="J186" s="159"/>
      <c r="K186" s="159"/>
      <c r="L186" s="159"/>
      <c r="M186" s="159">
        <f t="shared" ref="M186:AN186" si="87">M185/M182</f>
        <v>-0.63210359604993482</v>
      </c>
      <c r="N186" s="159">
        <f t="shared" si="87"/>
        <v>-0.63337843933243121</v>
      </c>
      <c r="O186" s="159">
        <f t="shared" si="87"/>
        <v>-0.65831689113837188</v>
      </c>
      <c r="P186" s="159">
        <f t="shared" si="87"/>
        <v>-0.64632428879917381</v>
      </c>
      <c r="Q186" s="159">
        <f t="shared" si="87"/>
        <v>-0.64723267060720047</v>
      </c>
      <c r="R186" s="159">
        <f t="shared" si="87"/>
        <v>-0.65178742114318489</v>
      </c>
      <c r="S186" s="159">
        <f t="shared" si="87"/>
        <v>-0.63151544401544402</v>
      </c>
      <c r="T186" s="159">
        <f t="shared" si="87"/>
        <v>-0.61709601873536313</v>
      </c>
      <c r="U186" s="159">
        <f t="shared" si="87"/>
        <v>-0.6190552186402809</v>
      </c>
      <c r="V186" s="159">
        <f t="shared" ref="V186" si="88">V185/V182</f>
        <v>-0.60399500624219715</v>
      </c>
      <c r="W186" s="159">
        <f t="shared" si="87"/>
        <v>-0.60499999999999998</v>
      </c>
      <c r="X186" s="159">
        <f t="shared" si="87"/>
        <v>-0.60499999999999998</v>
      </c>
      <c r="Y186" s="159">
        <f t="shared" si="87"/>
        <v>-0.60499999999999998</v>
      </c>
      <c r="Z186" s="159">
        <f t="shared" si="87"/>
        <v>-0.60499999999999998</v>
      </c>
      <c r="AA186" s="159">
        <f t="shared" si="87"/>
        <v>-0.60499999999999998</v>
      </c>
      <c r="AB186" s="159">
        <f t="shared" si="87"/>
        <v>-0.60499999999999987</v>
      </c>
      <c r="AC186" s="159">
        <f t="shared" si="87"/>
        <v>-0.60499999999999998</v>
      </c>
      <c r="AD186" s="159">
        <f t="shared" si="87"/>
        <v>-0.60499999999999998</v>
      </c>
      <c r="AE186" s="159">
        <f t="shared" si="87"/>
        <v>-0.60499999999999998</v>
      </c>
      <c r="AF186" s="159">
        <f t="shared" si="87"/>
        <v>-0.60499999999999998</v>
      </c>
      <c r="AG186" s="159">
        <f t="shared" si="87"/>
        <v>-0.60499999999999998</v>
      </c>
      <c r="AH186" s="159">
        <f t="shared" si="87"/>
        <v>-0.60499999999999998</v>
      </c>
      <c r="AI186" s="159">
        <f t="shared" si="87"/>
        <v>-0.60499999999999998</v>
      </c>
      <c r="AJ186" s="159">
        <f t="shared" si="87"/>
        <v>-0.60499999999999998</v>
      </c>
      <c r="AK186" s="159">
        <f t="shared" si="87"/>
        <v>-0.60499999999999998</v>
      </c>
      <c r="AL186" s="159">
        <f t="shared" si="87"/>
        <v>-0.60499999999999998</v>
      </c>
      <c r="AM186" s="159">
        <f t="shared" si="87"/>
        <v>-0.60499999999999998</v>
      </c>
      <c r="AN186" s="159">
        <f t="shared" si="87"/>
        <v>-0.60499999999999998</v>
      </c>
    </row>
    <row r="187" spans="1:41">
      <c r="B187" s="161"/>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c r="AA187" s="142"/>
      <c r="AB187" s="142"/>
      <c r="AC187" s="142"/>
      <c r="AD187" s="142"/>
      <c r="AE187" s="142"/>
      <c r="AF187" s="142"/>
      <c r="AG187" s="142"/>
      <c r="AH187" s="142"/>
      <c r="AI187" s="142"/>
      <c r="AJ187" s="142"/>
      <c r="AK187" s="142"/>
      <c r="AL187" s="142"/>
      <c r="AM187" s="142"/>
      <c r="AN187" s="142"/>
    </row>
    <row r="188" spans="1:41">
      <c r="A188" s="840" t="s">
        <v>1638</v>
      </c>
      <c r="B188" s="185"/>
      <c r="C188" s="165"/>
      <c r="E188" s="135"/>
      <c r="F188" s="135"/>
      <c r="G188" s="135"/>
      <c r="H188" s="135"/>
      <c r="I188" s="135"/>
      <c r="J188" s="135"/>
      <c r="K188" s="135"/>
      <c r="L188" s="135"/>
      <c r="M188" s="142"/>
      <c r="N188" s="142"/>
      <c r="O188" s="142"/>
      <c r="P188" s="142"/>
      <c r="Q188" s="142"/>
      <c r="R188" s="142" t="s">
        <v>1547</v>
      </c>
      <c r="S188" s="794">
        <v>70.400000000000006</v>
      </c>
      <c r="T188" s="142"/>
      <c r="U188" s="142"/>
      <c r="V188" s="142"/>
      <c r="W188" s="142"/>
      <c r="X188" s="142"/>
      <c r="Y188" s="142"/>
      <c r="Z188" s="142"/>
      <c r="AA188" s="142"/>
      <c r="AB188" s="142"/>
      <c r="AC188" s="142"/>
      <c r="AD188" s="142"/>
      <c r="AE188" s="142"/>
      <c r="AF188" s="142"/>
      <c r="AG188" s="142"/>
      <c r="AH188" s="142"/>
      <c r="AI188" s="142"/>
      <c r="AJ188" s="142"/>
      <c r="AK188" s="142"/>
      <c r="AL188" s="142"/>
      <c r="AM188" s="142"/>
      <c r="AN188" s="142"/>
    </row>
    <row r="189" spans="1:41">
      <c r="A189" s="839"/>
      <c r="B189" s="185"/>
      <c r="C189" s="165"/>
      <c r="E189" s="135"/>
      <c r="F189" s="135"/>
      <c r="G189" s="135"/>
      <c r="H189" s="135"/>
      <c r="I189" s="135"/>
      <c r="J189" s="135"/>
      <c r="K189" s="135"/>
      <c r="L189" s="135"/>
      <c r="M189" s="142"/>
      <c r="N189" s="142"/>
      <c r="O189" s="142"/>
      <c r="P189" s="142"/>
      <c r="Q189" s="142"/>
      <c r="R189" s="142" t="s">
        <v>1544</v>
      </c>
      <c r="S189" s="792">
        <v>74.625</v>
      </c>
      <c r="T189" s="792">
        <v>99.5</v>
      </c>
      <c r="U189" s="792">
        <v>24.875</v>
      </c>
      <c r="V189" s="142"/>
      <c r="W189" s="142"/>
      <c r="X189" s="142"/>
      <c r="Y189" s="142"/>
      <c r="Z189" s="142"/>
      <c r="AA189" s="142"/>
      <c r="AB189" s="142"/>
      <c r="AC189" s="142"/>
      <c r="AD189" s="142"/>
      <c r="AE189" s="142"/>
      <c r="AF189" s="142"/>
      <c r="AG189" s="142"/>
      <c r="AH189" s="142"/>
      <c r="AI189" s="142"/>
      <c r="AJ189" s="142"/>
      <c r="AK189" s="142"/>
      <c r="AL189" s="142"/>
      <c r="AM189" s="142"/>
      <c r="AN189" s="142"/>
    </row>
    <row r="190" spans="1:41">
      <c r="A190" s="839"/>
      <c r="B190" s="185"/>
      <c r="C190" s="165"/>
      <c r="E190" s="135"/>
      <c r="F190" s="135"/>
      <c r="G190" s="135"/>
      <c r="H190" s="135"/>
      <c r="I190" s="135"/>
      <c r="J190" s="135"/>
      <c r="K190" s="135"/>
      <c r="L190" s="135"/>
      <c r="M190" s="142"/>
      <c r="N190" s="142"/>
      <c r="O190" s="142"/>
      <c r="P190" s="142"/>
      <c r="Q190" s="142"/>
      <c r="R190" s="142" t="s">
        <v>1545</v>
      </c>
      <c r="S190" s="791">
        <f>S193-Q193</f>
        <v>64.200000000000045</v>
      </c>
      <c r="T190" s="791">
        <f>T193-R193</f>
        <v>93.499999999999886</v>
      </c>
      <c r="U190" s="791">
        <f>U193-S193</f>
        <v>19.299999999999955</v>
      </c>
      <c r="V190" s="142"/>
      <c r="W190" s="142"/>
      <c r="X190" s="142"/>
      <c r="Y190" s="142"/>
      <c r="Z190" s="142"/>
      <c r="AA190" s="142"/>
      <c r="AB190" s="142"/>
      <c r="AC190" s="142"/>
      <c r="AD190" s="142"/>
      <c r="AE190" s="142"/>
      <c r="AF190" s="142"/>
      <c r="AG190" s="142"/>
      <c r="AH190" s="142"/>
      <c r="AI190" s="142"/>
      <c r="AJ190" s="142"/>
      <c r="AK190" s="142"/>
      <c r="AL190" s="142"/>
      <c r="AM190" s="142"/>
      <c r="AN190" s="142"/>
    </row>
    <row r="191" spans="1:41">
      <c r="A191" s="839"/>
      <c r="B191" s="185"/>
      <c r="C191" s="165"/>
      <c r="E191" s="135"/>
      <c r="F191" s="135"/>
      <c r="G191" s="135"/>
      <c r="H191" s="135"/>
      <c r="I191" s="135"/>
      <c r="J191" s="135"/>
      <c r="K191" s="135"/>
      <c r="L191" s="135"/>
      <c r="M191" s="142"/>
      <c r="N191" s="142"/>
      <c r="O191" s="142"/>
      <c r="P191" s="142"/>
      <c r="Q191" s="142"/>
      <c r="R191" s="142" t="s">
        <v>1546</v>
      </c>
      <c r="S191" s="795">
        <f>S190-S188</f>
        <v>-6.1999999999999602</v>
      </c>
      <c r="T191" s="793">
        <f>T190-T189</f>
        <v>-6.0000000000001137</v>
      </c>
      <c r="U191" s="793">
        <f>U190-U189</f>
        <v>-5.5750000000000455</v>
      </c>
      <c r="V191" s="142"/>
      <c r="W191" s="142"/>
      <c r="X191" s="142"/>
      <c r="Y191" s="142"/>
      <c r="Z191" s="142"/>
      <c r="AA191" s="142"/>
      <c r="AB191" s="142"/>
      <c r="AC191" s="142"/>
      <c r="AD191" s="142"/>
      <c r="AE191" s="142"/>
      <c r="AF191" s="142"/>
      <c r="AG191" s="142"/>
      <c r="AH191" s="142"/>
      <c r="AI191" s="142"/>
      <c r="AJ191" s="142"/>
      <c r="AK191" s="142"/>
      <c r="AL191" s="142"/>
      <c r="AM191" s="142"/>
      <c r="AN191" s="142"/>
    </row>
    <row r="192" spans="1:41">
      <c r="B192" s="185"/>
      <c r="C192" s="165"/>
      <c r="E192" s="135"/>
      <c r="F192" s="135"/>
      <c r="G192" s="135"/>
      <c r="H192" s="135"/>
      <c r="I192" s="135"/>
      <c r="J192" s="135"/>
      <c r="K192" s="135"/>
      <c r="L192" s="135"/>
      <c r="M192" s="142"/>
      <c r="N192" s="142"/>
      <c r="O192" s="142"/>
      <c r="P192" s="142"/>
      <c r="Q192" s="142"/>
      <c r="R192" s="142"/>
      <c r="S192" s="796"/>
      <c r="T192" s="796"/>
      <c r="U192" s="796"/>
      <c r="V192" s="142"/>
      <c r="W192" s="142"/>
      <c r="X192" s="142"/>
      <c r="Y192" s="142"/>
      <c r="Z192" s="142"/>
      <c r="AA192" s="142"/>
      <c r="AB192" s="142"/>
      <c r="AC192" s="142"/>
      <c r="AD192" s="142"/>
      <c r="AE192" s="142"/>
      <c r="AF192" s="142"/>
      <c r="AG192" s="142"/>
      <c r="AH192" s="142"/>
      <c r="AI192" s="142"/>
      <c r="AJ192" s="142"/>
      <c r="AK192" s="142"/>
      <c r="AL192" s="142"/>
      <c r="AM192" s="142"/>
      <c r="AN192" s="142"/>
    </row>
    <row r="193" spans="1:40" s="3" customFormat="1">
      <c r="A193" s="1"/>
      <c r="B193" s="482" t="s">
        <v>1164</v>
      </c>
      <c r="C193" s="484" t="s">
        <v>900</v>
      </c>
      <c r="D193" s="1"/>
      <c r="E193" s="485"/>
      <c r="F193" s="485"/>
      <c r="G193" s="485"/>
      <c r="H193" s="485"/>
      <c r="I193" s="485"/>
      <c r="J193" s="485"/>
      <c r="K193" s="485"/>
      <c r="L193" s="485"/>
      <c r="M193" s="523">
        <v>394.9</v>
      </c>
      <c r="N193" s="523">
        <f>801.3-M193</f>
        <v>406.4</v>
      </c>
      <c r="O193" s="485">
        <v>398.3</v>
      </c>
      <c r="P193" s="485">
        <f>775-O193</f>
        <v>376.7</v>
      </c>
      <c r="Q193" s="485">
        <v>393.9</v>
      </c>
      <c r="R193" s="485">
        <f>758.2-Q193</f>
        <v>364.30000000000007</v>
      </c>
      <c r="S193" s="485">
        <v>458.1</v>
      </c>
      <c r="T193" s="485">
        <f>915.9-S193</f>
        <v>457.79999999999995</v>
      </c>
      <c r="U193" s="485">
        <v>477.4</v>
      </c>
      <c r="V193" s="485">
        <f>953.2-U193</f>
        <v>475.80000000000007</v>
      </c>
      <c r="W193" s="222">
        <f t="shared" ref="W193:AN193" si="89">W182*W194</f>
        <v>516.26154872699999</v>
      </c>
      <c r="X193" s="222">
        <f t="shared" si="89"/>
        <v>485.29188627075007</v>
      </c>
      <c r="Y193" s="222">
        <f t="shared" si="89"/>
        <v>518.0608491328951</v>
      </c>
      <c r="Z193" s="222">
        <f t="shared" si="89"/>
        <v>490.60294889948</v>
      </c>
      <c r="AA193" s="222">
        <f t="shared" si="89"/>
        <v>522.8821440541783</v>
      </c>
      <c r="AB193" s="222">
        <f t="shared" si="89"/>
        <v>494.61013377054468</v>
      </c>
      <c r="AC193" s="222">
        <f t="shared" si="89"/>
        <v>534.41468326202528</v>
      </c>
      <c r="AD193" s="222">
        <f t="shared" si="89"/>
        <v>505.66859835347759</v>
      </c>
      <c r="AE193" s="222">
        <f t="shared" si="89"/>
        <v>542.11904743005346</v>
      </c>
      <c r="AF193" s="222">
        <f t="shared" si="89"/>
        <v>513.26623305511112</v>
      </c>
      <c r="AG193" s="222">
        <f t="shared" si="89"/>
        <v>550.13720708642086</v>
      </c>
      <c r="AH193" s="222">
        <f t="shared" si="89"/>
        <v>521.16690483028344</v>
      </c>
      <c r="AI193" s="222">
        <f t="shared" si="89"/>
        <v>558.47774945014442</v>
      </c>
      <c r="AJ193" s="222">
        <f t="shared" si="89"/>
        <v>529.37895371087598</v>
      </c>
      <c r="AK193" s="222">
        <f t="shared" si="89"/>
        <v>567.1495276232688</v>
      </c>
      <c r="AL193" s="222">
        <f t="shared" si="89"/>
        <v>537.91097744052922</v>
      </c>
      <c r="AM193" s="222">
        <f t="shared" si="89"/>
        <v>576.16166848469038</v>
      </c>
      <c r="AN193" s="222">
        <f t="shared" si="89"/>
        <v>546.77183913088879</v>
      </c>
    </row>
    <row r="194" spans="1:40">
      <c r="B194" s="162" t="s">
        <v>847</v>
      </c>
      <c r="C194" s="82" t="s">
        <v>842</v>
      </c>
      <c r="E194" s="159"/>
      <c r="F194" s="159"/>
      <c r="G194" s="159"/>
      <c r="H194" s="159"/>
      <c r="I194" s="159"/>
      <c r="J194" s="159"/>
      <c r="K194" s="159"/>
      <c r="L194" s="159"/>
      <c r="M194" s="159">
        <f t="shared" ref="M194:U194" si="90">M193/M182</f>
        <v>0.36789640395006518</v>
      </c>
      <c r="N194" s="159">
        <f t="shared" si="90"/>
        <v>0.36662156066756879</v>
      </c>
      <c r="O194" s="159">
        <f t="shared" si="90"/>
        <v>0.34168310886162823</v>
      </c>
      <c r="P194" s="159">
        <f t="shared" si="90"/>
        <v>0.35367571120082614</v>
      </c>
      <c r="Q194" s="159">
        <f t="shared" si="90"/>
        <v>0.35276732939279959</v>
      </c>
      <c r="R194" s="159">
        <f t="shared" si="90"/>
        <v>0.34821257885681511</v>
      </c>
      <c r="S194" s="159">
        <f t="shared" si="90"/>
        <v>0.36848455598455598</v>
      </c>
      <c r="T194" s="159">
        <f t="shared" si="90"/>
        <v>0.38290398126463693</v>
      </c>
      <c r="U194" s="159">
        <f t="shared" si="90"/>
        <v>0.3809447813597191</v>
      </c>
      <c r="V194" s="159">
        <f t="shared" ref="V194" si="91">V193/V182</f>
        <v>0.3960049937578029</v>
      </c>
      <c r="W194" s="158">
        <v>0.39500000000000002</v>
      </c>
      <c r="X194" s="158">
        <v>0.39500000000000002</v>
      </c>
      <c r="Y194" s="158">
        <v>0.39500000000000002</v>
      </c>
      <c r="Z194" s="158">
        <v>0.39500000000000002</v>
      </c>
      <c r="AA194" s="158">
        <v>0.39500000000000002</v>
      </c>
      <c r="AB194" s="158">
        <v>0.39500000000000002</v>
      </c>
      <c r="AC194" s="158">
        <v>0.39500000000000002</v>
      </c>
      <c r="AD194" s="158">
        <v>0.39500000000000002</v>
      </c>
      <c r="AE194" s="158">
        <v>0.39500000000000002</v>
      </c>
      <c r="AF194" s="158">
        <v>0.39500000000000002</v>
      </c>
      <c r="AG194" s="158">
        <v>0.39500000000000002</v>
      </c>
      <c r="AH194" s="158">
        <v>0.39500000000000002</v>
      </c>
      <c r="AI194" s="158">
        <v>0.39500000000000002</v>
      </c>
      <c r="AJ194" s="158">
        <v>0.39500000000000002</v>
      </c>
      <c r="AK194" s="158">
        <v>0.39500000000000002</v>
      </c>
      <c r="AL194" s="158">
        <v>0.39500000000000002</v>
      </c>
      <c r="AM194" s="158">
        <v>0.39500000000000002</v>
      </c>
      <c r="AN194" s="158">
        <v>0.39500000000000002</v>
      </c>
    </row>
    <row r="195" spans="1:40">
      <c r="B195" s="161"/>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c r="AA195" s="142"/>
      <c r="AB195" s="142"/>
      <c r="AC195" s="142"/>
      <c r="AD195" s="142"/>
      <c r="AE195" s="142"/>
      <c r="AF195" s="142"/>
      <c r="AG195" s="142"/>
      <c r="AH195" s="142"/>
      <c r="AI195" s="142"/>
      <c r="AJ195" s="142"/>
      <c r="AK195" s="142"/>
      <c r="AL195" s="142"/>
      <c r="AM195" s="142"/>
      <c r="AN195" s="142"/>
    </row>
    <row r="196" spans="1:40">
      <c r="B196" s="161"/>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c r="AA196" s="142"/>
      <c r="AB196" s="142"/>
      <c r="AC196" s="142"/>
      <c r="AD196" s="142"/>
      <c r="AE196" s="142"/>
      <c r="AF196" s="142"/>
      <c r="AG196" s="142"/>
      <c r="AH196" s="142"/>
      <c r="AI196" s="142"/>
      <c r="AJ196" s="142"/>
      <c r="AK196" s="142"/>
      <c r="AL196" s="142"/>
      <c r="AM196" s="142"/>
      <c r="AN196" s="142"/>
    </row>
    <row r="197" spans="1:40" collapsed="1">
      <c r="A197" s="840" t="s">
        <v>1638</v>
      </c>
      <c r="B197" s="185"/>
      <c r="C197" s="165"/>
      <c r="E197" s="135"/>
      <c r="F197" s="135"/>
      <c r="G197" s="135"/>
      <c r="H197" s="135"/>
      <c r="I197" s="135"/>
      <c r="J197" s="135"/>
      <c r="K197" s="135"/>
      <c r="L197" s="135"/>
      <c r="M197" s="142"/>
      <c r="N197" s="142"/>
      <c r="O197" s="142"/>
      <c r="P197" s="142"/>
      <c r="Q197" s="142"/>
      <c r="R197" s="142" t="s">
        <v>1547</v>
      </c>
      <c r="S197" s="794">
        <v>-34</v>
      </c>
      <c r="T197" s="142"/>
      <c r="U197" s="142"/>
      <c r="V197" s="142"/>
      <c r="W197" s="142"/>
      <c r="X197" s="142"/>
      <c r="Y197" s="142"/>
      <c r="Z197" s="142"/>
      <c r="AA197" s="142"/>
      <c r="AB197" s="142"/>
      <c r="AC197" s="142"/>
      <c r="AD197" s="142"/>
      <c r="AE197" s="142"/>
      <c r="AF197" s="142"/>
      <c r="AG197" s="142"/>
      <c r="AH197" s="142"/>
      <c r="AI197" s="142"/>
      <c r="AJ197" s="142"/>
      <c r="AK197" s="142"/>
      <c r="AL197" s="142"/>
      <c r="AM197" s="142"/>
      <c r="AN197" s="142"/>
    </row>
    <row r="198" spans="1:40" collapsed="1">
      <c r="A198" s="839"/>
      <c r="B198" s="185"/>
      <c r="C198" s="165"/>
      <c r="E198" s="135"/>
      <c r="F198" s="135"/>
      <c r="G198" s="135"/>
      <c r="H198" s="135"/>
      <c r="I198" s="135"/>
      <c r="J198" s="135"/>
      <c r="K198" s="135"/>
      <c r="L198" s="135"/>
      <c r="M198" s="142"/>
      <c r="N198" s="142"/>
      <c r="O198" s="142"/>
      <c r="P198" s="142"/>
      <c r="Q198" s="142"/>
      <c r="R198" s="142" t="s">
        <v>1544</v>
      </c>
      <c r="S198" s="792">
        <v>-31.5</v>
      </c>
      <c r="T198" s="792">
        <v>-42</v>
      </c>
      <c r="U198" s="792">
        <v>-10.5</v>
      </c>
      <c r="V198" s="142"/>
      <c r="W198" s="142"/>
      <c r="X198" s="142"/>
      <c r="Y198" s="142"/>
      <c r="Z198" s="142"/>
      <c r="AA198" s="142"/>
      <c r="AB198" s="142"/>
      <c r="AC198" s="142"/>
      <c r="AD198" s="142"/>
      <c r="AE198" s="142"/>
      <c r="AF198" s="142"/>
      <c r="AG198" s="142"/>
      <c r="AH198" s="142"/>
      <c r="AI198" s="142"/>
      <c r="AJ198" s="142"/>
      <c r="AK198" s="142"/>
      <c r="AL198" s="142"/>
      <c r="AM198" s="142"/>
      <c r="AN198" s="142"/>
    </row>
    <row r="199" spans="1:40">
      <c r="A199" s="839"/>
      <c r="B199" s="185"/>
      <c r="C199" s="165"/>
      <c r="E199" s="135"/>
      <c r="F199" s="135"/>
      <c r="G199" s="135"/>
      <c r="H199" s="135"/>
      <c r="I199" s="135"/>
      <c r="J199" s="135"/>
      <c r="K199" s="135"/>
      <c r="L199" s="135"/>
      <c r="M199" s="142"/>
      <c r="N199" s="142"/>
      <c r="O199" s="142"/>
      <c r="P199" s="142"/>
      <c r="Q199" s="142"/>
      <c r="R199" s="142" t="s">
        <v>1545</v>
      </c>
      <c r="S199" s="791">
        <f>S201-Q201</f>
        <v>-41.5</v>
      </c>
      <c r="T199" s="791">
        <f>T201-R201</f>
        <v>-38.299999999999955</v>
      </c>
      <c r="U199" s="791">
        <f>U201-S201</f>
        <v>5.3999999999999773</v>
      </c>
      <c r="V199" s="142"/>
      <c r="W199" s="142"/>
      <c r="X199" s="142"/>
      <c r="Y199" s="142"/>
      <c r="Z199" s="142"/>
      <c r="AA199" s="142"/>
      <c r="AB199" s="142"/>
      <c r="AC199" s="142"/>
      <c r="AD199" s="142"/>
      <c r="AE199" s="142"/>
      <c r="AF199" s="142"/>
      <c r="AG199" s="142"/>
      <c r="AH199" s="142"/>
      <c r="AI199" s="142"/>
      <c r="AJ199" s="142"/>
      <c r="AK199" s="142"/>
      <c r="AL199" s="142"/>
      <c r="AM199" s="142"/>
      <c r="AN199" s="142"/>
    </row>
    <row r="200" spans="1:40">
      <c r="A200" s="839"/>
      <c r="B200" s="185"/>
      <c r="C200" s="165"/>
      <c r="E200" s="135"/>
      <c r="F200" s="135"/>
      <c r="G200" s="135"/>
      <c r="H200" s="135"/>
      <c r="I200" s="135"/>
      <c r="J200" s="135"/>
      <c r="K200" s="135"/>
      <c r="L200" s="135"/>
      <c r="M200" s="142"/>
      <c r="N200" s="142"/>
      <c r="O200" s="142"/>
      <c r="P200" s="142"/>
      <c r="Q200" s="142"/>
      <c r="R200" s="142" t="s">
        <v>1546</v>
      </c>
      <c r="S200" s="795">
        <f>S199-S197</f>
        <v>-7.5</v>
      </c>
      <c r="T200" s="793">
        <f>T199-T198</f>
        <v>3.7000000000000455</v>
      </c>
      <c r="U200" s="793">
        <f>U199-U198</f>
        <v>15.899999999999977</v>
      </c>
      <c r="V200" s="142"/>
      <c r="W200" s="142"/>
      <c r="X200" s="142"/>
      <c r="Y200" s="142"/>
      <c r="Z200" s="142"/>
      <c r="AA200" s="142"/>
      <c r="AB200" s="142"/>
      <c r="AC200" s="142"/>
      <c r="AD200" s="142"/>
      <c r="AE200" s="142"/>
      <c r="AF200" s="142"/>
      <c r="AG200" s="142"/>
      <c r="AH200" s="142"/>
      <c r="AI200" s="142"/>
      <c r="AJ200" s="142"/>
      <c r="AK200" s="142"/>
      <c r="AL200" s="142"/>
      <c r="AM200" s="142"/>
      <c r="AN200" s="142"/>
    </row>
    <row r="201" spans="1:40">
      <c r="B201" s="161" t="s">
        <v>4</v>
      </c>
      <c r="C201" s="131" t="s">
        <v>900</v>
      </c>
      <c r="E201" s="135"/>
      <c r="F201" s="135"/>
      <c r="G201" s="135"/>
      <c r="H201" s="135"/>
      <c r="I201" s="135"/>
      <c r="J201" s="135"/>
      <c r="K201" s="135"/>
      <c r="L201" s="135"/>
      <c r="M201" s="524">
        <v>-257</v>
      </c>
      <c r="N201" s="524">
        <f>-514.3-M201</f>
        <v>-257.29999999999995</v>
      </c>
      <c r="O201" s="135">
        <v>-243.9</v>
      </c>
      <c r="P201" s="135">
        <f>-467-O201</f>
        <v>-223.1</v>
      </c>
      <c r="Q201" s="135">
        <v>-259.89999999999998</v>
      </c>
      <c r="R201" s="135">
        <f>-507-Q201</f>
        <v>-247.10000000000002</v>
      </c>
      <c r="S201" s="135">
        <v>-301.39999999999998</v>
      </c>
      <c r="T201" s="135">
        <f>-586.8-S201</f>
        <v>-285.39999999999998</v>
      </c>
      <c r="U201" s="135">
        <v>-296</v>
      </c>
      <c r="V201" s="135">
        <f>-591.4-U201</f>
        <v>-295.39999999999998</v>
      </c>
      <c r="W201" s="136">
        <f t="shared" ref="W201:AK201" si="92">U201*(1+W202)</f>
        <v>-306.06400000000002</v>
      </c>
      <c r="X201" s="136">
        <f t="shared" si="92"/>
        <v>-305.00049999999999</v>
      </c>
      <c r="Y201" s="136">
        <f t="shared" si="92"/>
        <v>-315.24592000000001</v>
      </c>
      <c r="Z201" s="136">
        <f t="shared" si="92"/>
        <v>-314.15051499999998</v>
      </c>
      <c r="AA201" s="136">
        <f t="shared" si="92"/>
        <v>-324.70329760000004</v>
      </c>
      <c r="AB201" s="136">
        <f t="shared" si="92"/>
        <v>-323.57503044999999</v>
      </c>
      <c r="AC201" s="136">
        <f t="shared" si="92"/>
        <v>-334.44439652800003</v>
      </c>
      <c r="AD201" s="136">
        <f t="shared" si="92"/>
        <v>-333.28228136349998</v>
      </c>
      <c r="AE201" s="136">
        <f t="shared" si="92"/>
        <v>-341.13328445856001</v>
      </c>
      <c r="AF201" s="136">
        <f t="shared" si="92"/>
        <v>-339.94792699076999</v>
      </c>
      <c r="AG201" s="136">
        <f t="shared" si="92"/>
        <v>-347.95595014773124</v>
      </c>
      <c r="AH201" s="136">
        <f t="shared" si="92"/>
        <v>-346.74688553058542</v>
      </c>
      <c r="AI201" s="136">
        <f t="shared" si="92"/>
        <v>-354.91506915068589</v>
      </c>
      <c r="AJ201" s="136">
        <f t="shared" si="92"/>
        <v>-353.68182324119715</v>
      </c>
      <c r="AK201" s="136">
        <f t="shared" si="92"/>
        <v>-362.01337053369963</v>
      </c>
      <c r="AL201" s="136">
        <f>AJ201*(1+AL202)</f>
        <v>-360.7554597060211</v>
      </c>
      <c r="AM201" s="136">
        <f>AK201*(1+AM202)</f>
        <v>-369.25363794437362</v>
      </c>
      <c r="AN201" s="136">
        <f>AL201*(1+AN202)</f>
        <v>-367.97056890014153</v>
      </c>
    </row>
    <row r="202" spans="1:40">
      <c r="B202" s="162" t="s">
        <v>1292</v>
      </c>
      <c r="C202" s="82" t="s">
        <v>842</v>
      </c>
      <c r="E202" s="159"/>
      <c r="F202" s="159"/>
      <c r="G202" s="159"/>
      <c r="H202" s="159"/>
      <c r="I202" s="159"/>
      <c r="J202" s="159"/>
      <c r="K202" s="159"/>
      <c r="L202" s="159"/>
      <c r="Q202" s="159">
        <f t="shared" ref="Q202:V202" si="93">Q201/O201-1</f>
        <v>6.5600656006559843E-2</v>
      </c>
      <c r="R202" s="159">
        <f t="shared" si="93"/>
        <v>0.10757507844016145</v>
      </c>
      <c r="S202" s="159">
        <f t="shared" si="93"/>
        <v>0.15967679876875729</v>
      </c>
      <c r="T202" s="159">
        <f t="shared" si="93"/>
        <v>0.1549979765277214</v>
      </c>
      <c r="U202" s="159">
        <f t="shared" si="93"/>
        <v>-1.7916390179163799E-2</v>
      </c>
      <c r="V202" s="159">
        <f t="shared" si="93"/>
        <v>3.5038542396636396E-2</v>
      </c>
      <c r="W202" s="158">
        <v>3.4000000000000002E-2</v>
      </c>
      <c r="X202" s="158">
        <v>3.2500000000000001E-2</v>
      </c>
      <c r="Y202" s="158">
        <v>0.03</v>
      </c>
      <c r="Z202" s="158">
        <v>0.03</v>
      </c>
      <c r="AA202" s="158">
        <v>0.03</v>
      </c>
      <c r="AB202" s="158">
        <v>0.03</v>
      </c>
      <c r="AC202" s="158">
        <v>0.03</v>
      </c>
      <c r="AD202" s="158">
        <v>0.03</v>
      </c>
      <c r="AE202" s="158">
        <v>0.02</v>
      </c>
      <c r="AF202" s="158">
        <v>0.02</v>
      </c>
      <c r="AG202" s="158">
        <v>0.02</v>
      </c>
      <c r="AH202" s="158">
        <v>0.02</v>
      </c>
      <c r="AI202" s="158">
        <v>0.02</v>
      </c>
      <c r="AJ202" s="158">
        <v>0.02</v>
      </c>
      <c r="AK202" s="158">
        <v>0.02</v>
      </c>
      <c r="AL202" s="158">
        <v>0.02</v>
      </c>
      <c r="AM202" s="158">
        <v>0.02</v>
      </c>
      <c r="AN202" s="158">
        <v>0.02</v>
      </c>
    </row>
    <row r="203" spans="1:40">
      <c r="B203" s="162" t="s">
        <v>1163</v>
      </c>
      <c r="C203" s="82" t="s">
        <v>842</v>
      </c>
      <c r="E203" s="159"/>
      <c r="F203" s="159"/>
      <c r="G203" s="159"/>
      <c r="H203" s="159"/>
      <c r="I203" s="159"/>
      <c r="J203" s="159"/>
      <c r="K203" s="159"/>
      <c r="L203" s="159"/>
      <c r="M203" s="159">
        <f t="shared" ref="M203:AN203" si="94">M201/M182</f>
        <v>-0.23942612260108065</v>
      </c>
      <c r="N203" s="159">
        <f t="shared" si="94"/>
        <v>-0.23211547135769053</v>
      </c>
      <c r="O203" s="159">
        <f t="shared" si="94"/>
        <v>-0.20923050527579995</v>
      </c>
      <c r="P203" s="159">
        <f t="shared" si="94"/>
        <v>-0.20946390010327665</v>
      </c>
      <c r="Q203" s="159">
        <f t="shared" si="94"/>
        <v>-0.23276016478595737</v>
      </c>
      <c r="R203" s="159">
        <f t="shared" si="94"/>
        <v>-0.23618810934811696</v>
      </c>
      <c r="S203" s="159">
        <f t="shared" si="94"/>
        <v>-0.24243886743886742</v>
      </c>
      <c r="T203" s="159">
        <f t="shared" si="94"/>
        <v>-0.23870859819337567</v>
      </c>
      <c r="U203" s="159">
        <f t="shared" si="94"/>
        <v>-0.23619533992977976</v>
      </c>
      <c r="V203" s="159">
        <f t="shared" ref="V203" si="95">V201/V182</f>
        <v>-0.24585934248855601</v>
      </c>
      <c r="W203" s="159">
        <f t="shared" si="94"/>
        <v>-0.2341744805479008</v>
      </c>
      <c r="X203" s="159">
        <f t="shared" si="94"/>
        <v>-0.24825306358570659</v>
      </c>
      <c r="Y203" s="159">
        <f t="shared" si="94"/>
        <v>-0.2403619933998469</v>
      </c>
      <c r="Z203" s="159">
        <f t="shared" si="94"/>
        <v>-0.252932546988063</v>
      </c>
      <c r="AA203" s="159">
        <f t="shared" si="94"/>
        <v>-0.24529007924720911</v>
      </c>
      <c r="AB203" s="159">
        <f t="shared" si="94"/>
        <v>-0.25840986324603599</v>
      </c>
      <c r="AC203" s="159">
        <f t="shared" si="94"/>
        <v>-0.24719668221351665</v>
      </c>
      <c r="AD203" s="159">
        <f t="shared" si="94"/>
        <v>-0.26034145993490709</v>
      </c>
      <c r="AE203" s="159">
        <f t="shared" si="94"/>
        <v>-0.2485573012051692</v>
      </c>
      <c r="AF203" s="159">
        <f t="shared" si="94"/>
        <v>-0.26161750474424084</v>
      </c>
      <c r="AG203" s="159">
        <f t="shared" si="94"/>
        <v>-0.24983331165012995</v>
      </c>
      <c r="AH203" s="159">
        <f t="shared" si="94"/>
        <v>-0.26280452291801515</v>
      </c>
      <c r="AI203" s="159">
        <f t="shared" si="94"/>
        <v>-0.25102423946620611</v>
      </c>
      <c r="AJ203" s="159">
        <f t="shared" si="94"/>
        <v>-0.26390229381233271</v>
      </c>
      <c r="AK203" s="159">
        <f t="shared" si="94"/>
        <v>-0.25212977247826701</v>
      </c>
      <c r="AL203" s="159">
        <f t="shared" si="94"/>
        <v>-0.26491076137153713</v>
      </c>
      <c r="AM203" s="159">
        <f t="shared" si="94"/>
        <v>-0.25314975807333356</v>
      </c>
      <c r="AN203" s="159">
        <f t="shared" si="94"/>
        <v>-0.26583003057837029</v>
      </c>
    </row>
    <row r="204" spans="1:40">
      <c r="B204" s="161"/>
      <c r="E204" s="142"/>
      <c r="F204" s="142"/>
      <c r="G204" s="142"/>
      <c r="H204" s="142"/>
      <c r="I204" s="142"/>
      <c r="J204" s="142"/>
      <c r="K204" s="142"/>
      <c r="L204" s="142"/>
      <c r="M204" s="142"/>
      <c r="N204" s="142"/>
      <c r="O204" s="142"/>
      <c r="P204" s="142"/>
      <c r="Q204" s="142"/>
      <c r="R204" s="142"/>
      <c r="S204" s="142"/>
      <c r="T204" s="142"/>
      <c r="U204" s="142"/>
      <c r="V204" s="142"/>
      <c r="W204" s="142"/>
      <c r="X204" s="142"/>
      <c r="Y204" s="142"/>
      <c r="Z204" s="142"/>
      <c r="AA204" s="142"/>
      <c r="AB204" s="142"/>
      <c r="AC204" s="142"/>
      <c r="AD204" s="142"/>
      <c r="AE204" s="142"/>
      <c r="AF204" s="142"/>
      <c r="AG204" s="142"/>
      <c r="AH204" s="142"/>
      <c r="AI204" s="142"/>
      <c r="AJ204" s="142"/>
      <c r="AK204" s="142"/>
      <c r="AL204" s="142"/>
      <c r="AM204" s="142"/>
      <c r="AN204" s="142"/>
    </row>
    <row r="205" spans="1:40">
      <c r="A205" s="840" t="s">
        <v>1638</v>
      </c>
      <c r="B205" s="161"/>
      <c r="E205" s="142"/>
      <c r="F205" s="142"/>
      <c r="G205" s="142"/>
      <c r="H205" s="142"/>
      <c r="I205" s="142"/>
      <c r="J205" s="142"/>
      <c r="K205" s="142"/>
      <c r="L205" s="142"/>
      <c r="M205" s="142"/>
      <c r="N205" s="142"/>
      <c r="O205" s="142"/>
      <c r="P205" s="142"/>
      <c r="Q205" s="142"/>
      <c r="R205" s="142" t="s">
        <v>1547</v>
      </c>
      <c r="S205" s="794">
        <f>S188+S197</f>
        <v>36.400000000000006</v>
      </c>
      <c r="T205" s="142"/>
      <c r="U205" s="142"/>
      <c r="V205" s="142"/>
      <c r="W205" s="142"/>
      <c r="X205" s="142"/>
      <c r="Y205" s="142"/>
      <c r="Z205" s="142"/>
      <c r="AA205" s="142"/>
      <c r="AB205" s="142"/>
      <c r="AC205" s="142"/>
      <c r="AD205" s="142"/>
      <c r="AE205" s="142"/>
      <c r="AF205" s="142"/>
      <c r="AG205" s="142"/>
      <c r="AH205" s="142"/>
      <c r="AI205" s="142"/>
      <c r="AJ205" s="142"/>
      <c r="AK205" s="142"/>
      <c r="AL205" s="142"/>
      <c r="AM205" s="142"/>
      <c r="AN205" s="142"/>
    </row>
    <row r="206" spans="1:40" collapsed="1">
      <c r="A206" s="839"/>
      <c r="B206" s="185"/>
      <c r="C206" s="165"/>
      <c r="E206" s="135"/>
      <c r="F206" s="135"/>
      <c r="G206" s="135"/>
      <c r="H206" s="135"/>
      <c r="I206" s="135"/>
      <c r="J206" s="135"/>
      <c r="K206" s="135"/>
      <c r="L206" s="135"/>
      <c r="M206" s="142"/>
      <c r="N206" s="142"/>
      <c r="O206" s="142"/>
      <c r="P206" s="142"/>
      <c r="Q206" s="142"/>
      <c r="R206" s="142" t="s">
        <v>1544</v>
      </c>
      <c r="S206" s="792">
        <v>43.125</v>
      </c>
      <c r="T206" s="792">
        <v>57.5</v>
      </c>
      <c r="U206" s="792">
        <v>14.375</v>
      </c>
      <c r="V206" s="142"/>
      <c r="W206" s="142"/>
      <c r="X206" s="142"/>
      <c r="Y206" s="142"/>
      <c r="Z206" s="142"/>
      <c r="AA206" s="142"/>
      <c r="AB206" s="142"/>
      <c r="AC206" s="142"/>
      <c r="AD206" s="142"/>
      <c r="AE206" s="142"/>
      <c r="AF206" s="142"/>
      <c r="AG206" s="142"/>
      <c r="AH206" s="142"/>
      <c r="AI206" s="142"/>
      <c r="AJ206" s="142"/>
      <c r="AK206" s="142"/>
      <c r="AL206" s="142"/>
      <c r="AM206" s="142"/>
      <c r="AN206" s="142"/>
    </row>
    <row r="207" spans="1:40">
      <c r="A207" s="839"/>
      <c r="B207" s="185"/>
      <c r="C207" s="165"/>
      <c r="E207" s="135"/>
      <c r="F207" s="135"/>
      <c r="G207" s="135"/>
      <c r="H207" s="135"/>
      <c r="I207" s="135"/>
      <c r="J207" s="135"/>
      <c r="K207" s="135"/>
      <c r="L207" s="135"/>
      <c r="M207" s="142"/>
      <c r="N207" s="142"/>
      <c r="O207" s="142"/>
      <c r="P207" s="142"/>
      <c r="Q207" s="142"/>
      <c r="R207" s="142" t="s">
        <v>1545</v>
      </c>
      <c r="S207" s="791">
        <f>S210-Q210</f>
        <v>22.699999999999989</v>
      </c>
      <c r="T207" s="791">
        <f>T210-R210</f>
        <v>55.200000000000045</v>
      </c>
      <c r="U207" s="791">
        <f>U210-S210</f>
        <v>24.700000000000017</v>
      </c>
      <c r="V207" s="142"/>
      <c r="W207" s="142"/>
      <c r="X207" s="142"/>
      <c r="Y207" s="142"/>
      <c r="Z207" s="142"/>
      <c r="AA207" s="142"/>
      <c r="AB207" s="142"/>
      <c r="AC207" s="142"/>
      <c r="AD207" s="142"/>
      <c r="AE207" s="142"/>
      <c r="AF207" s="142"/>
      <c r="AG207" s="142"/>
      <c r="AH207" s="142"/>
      <c r="AI207" s="142"/>
      <c r="AJ207" s="142"/>
      <c r="AK207" s="142"/>
      <c r="AL207" s="142"/>
      <c r="AM207" s="142"/>
      <c r="AN207" s="142"/>
    </row>
    <row r="208" spans="1:40">
      <c r="A208" s="839"/>
      <c r="B208" s="185"/>
      <c r="C208" s="165"/>
      <c r="E208" s="135"/>
      <c r="F208" s="135"/>
      <c r="G208" s="135"/>
      <c r="H208" s="135"/>
      <c r="I208" s="135"/>
      <c r="J208" s="135"/>
      <c r="K208" s="135"/>
      <c r="L208" s="135"/>
      <c r="M208" s="142"/>
      <c r="N208" s="142"/>
      <c r="O208" s="142"/>
      <c r="P208" s="142"/>
      <c r="Q208" s="142"/>
      <c r="R208" s="142" t="s">
        <v>1546</v>
      </c>
      <c r="S208" s="795">
        <f>S207-S205</f>
        <v>-13.700000000000017</v>
      </c>
      <c r="T208" s="793">
        <f>T207-T206</f>
        <v>-2.2999999999999545</v>
      </c>
      <c r="U208" s="793">
        <f>U207-U206</f>
        <v>10.325000000000017</v>
      </c>
      <c r="V208" s="142"/>
      <c r="W208" s="142"/>
      <c r="X208" s="142"/>
      <c r="Y208" s="142"/>
      <c r="Z208" s="142"/>
      <c r="AA208" s="142"/>
      <c r="AB208" s="142"/>
      <c r="AC208" s="142"/>
      <c r="AD208" s="142"/>
      <c r="AE208" s="142"/>
      <c r="AF208" s="142"/>
      <c r="AG208" s="142"/>
      <c r="AH208" s="142"/>
      <c r="AI208" s="142"/>
      <c r="AJ208" s="142"/>
      <c r="AK208" s="142"/>
      <c r="AL208" s="142"/>
      <c r="AM208" s="142"/>
      <c r="AN208" s="142"/>
    </row>
    <row r="209" spans="1:40">
      <c r="B209" s="183" t="s">
        <v>1560</v>
      </c>
      <c r="C209" s="82" t="s">
        <v>900</v>
      </c>
      <c r="E209" s="135"/>
      <c r="F209" s="135"/>
      <c r="G209" s="135"/>
      <c r="H209" s="135"/>
      <c r="I209" s="135"/>
      <c r="J209" s="135"/>
      <c r="K209" s="135"/>
      <c r="L209" s="135"/>
      <c r="M209" s="142"/>
      <c r="N209" s="142"/>
      <c r="O209" s="136">
        <f t="shared" ref="O209:AN209" si="96">O124</f>
        <v>0</v>
      </c>
      <c r="P209" s="136">
        <f t="shared" si="96"/>
        <v>0</v>
      </c>
      <c r="Q209" s="136">
        <f t="shared" si="96"/>
        <v>0</v>
      </c>
      <c r="R209" s="136">
        <f t="shared" si="96"/>
        <v>0</v>
      </c>
      <c r="S209" s="136">
        <f t="shared" si="96"/>
        <v>0</v>
      </c>
      <c r="T209" s="136">
        <f t="shared" si="96"/>
        <v>0</v>
      </c>
      <c r="U209" s="136">
        <f t="shared" si="96"/>
        <v>0</v>
      </c>
      <c r="V209" s="136">
        <f t="shared" ref="V209" si="97">V124</f>
        <v>0</v>
      </c>
      <c r="W209" s="136">
        <f t="shared" si="96"/>
        <v>0</v>
      </c>
      <c r="X209" s="136">
        <f t="shared" si="96"/>
        <v>0</v>
      </c>
      <c r="Y209" s="136">
        <f t="shared" si="96"/>
        <v>0</v>
      </c>
      <c r="Z209" s="136">
        <f t="shared" si="96"/>
        <v>0</v>
      </c>
      <c r="AA209" s="136">
        <f t="shared" si="96"/>
        <v>0</v>
      </c>
      <c r="AB209" s="136">
        <f t="shared" si="96"/>
        <v>0</v>
      </c>
      <c r="AC209" s="136">
        <f t="shared" si="96"/>
        <v>0</v>
      </c>
      <c r="AD209" s="136">
        <f t="shared" si="96"/>
        <v>0</v>
      </c>
      <c r="AE209" s="136">
        <f t="shared" si="96"/>
        <v>0</v>
      </c>
      <c r="AF209" s="136">
        <f t="shared" si="96"/>
        <v>0</v>
      </c>
      <c r="AG209" s="136">
        <f t="shared" si="96"/>
        <v>0</v>
      </c>
      <c r="AH209" s="136">
        <f t="shared" si="96"/>
        <v>0</v>
      </c>
      <c r="AI209" s="136">
        <f t="shared" si="96"/>
        <v>0</v>
      </c>
      <c r="AJ209" s="136">
        <f t="shared" si="96"/>
        <v>0</v>
      </c>
      <c r="AK209" s="136">
        <f t="shared" si="96"/>
        <v>0</v>
      </c>
      <c r="AL209" s="136">
        <f t="shared" si="96"/>
        <v>0</v>
      </c>
      <c r="AM209" s="136">
        <f t="shared" si="96"/>
        <v>0</v>
      </c>
      <c r="AN209" s="136">
        <f t="shared" si="96"/>
        <v>0</v>
      </c>
    </row>
    <row r="210" spans="1:40" s="3" customFormat="1">
      <c r="B210" s="482" t="s">
        <v>2</v>
      </c>
      <c r="C210" s="484" t="s">
        <v>900</v>
      </c>
      <c r="E210" s="485"/>
      <c r="F210" s="485"/>
      <c r="G210" s="485"/>
      <c r="H210" s="485"/>
      <c r="I210" s="485"/>
      <c r="J210" s="485"/>
      <c r="K210" s="485"/>
      <c r="L210" s="485"/>
      <c r="M210" s="485">
        <v>137.9</v>
      </c>
      <c r="N210" s="485">
        <f>287-M210</f>
        <v>149.1</v>
      </c>
      <c r="O210" s="485">
        <v>154.4</v>
      </c>
      <c r="P210" s="485">
        <f>308-O210</f>
        <v>153.6</v>
      </c>
      <c r="Q210" s="485">
        <v>134</v>
      </c>
      <c r="R210" s="485">
        <f>251.2-Q210</f>
        <v>117.19999999999999</v>
      </c>
      <c r="S210" s="485">
        <v>156.69999999999999</v>
      </c>
      <c r="T210" s="485">
        <f>329.1-S210</f>
        <v>172.40000000000003</v>
      </c>
      <c r="U210" s="485">
        <v>181.4</v>
      </c>
      <c r="V210" s="485">
        <f>361.8-U210</f>
        <v>180.4</v>
      </c>
      <c r="W210" s="222">
        <f t="shared" ref="W210:AN210" si="98">W193+W201+W209</f>
        <v>210.19754872699997</v>
      </c>
      <c r="X210" s="222">
        <f t="shared" si="98"/>
        <v>180.29138627075008</v>
      </c>
      <c r="Y210" s="222">
        <f t="shared" si="98"/>
        <v>202.81492913289509</v>
      </c>
      <c r="Z210" s="222">
        <f t="shared" si="98"/>
        <v>176.45243389948001</v>
      </c>
      <c r="AA210" s="222">
        <f t="shared" si="98"/>
        <v>198.17884645417826</v>
      </c>
      <c r="AB210" s="222">
        <f t="shared" si="98"/>
        <v>171.03510332054469</v>
      </c>
      <c r="AC210" s="222">
        <f t="shared" si="98"/>
        <v>199.97028673402525</v>
      </c>
      <c r="AD210" s="222">
        <f t="shared" si="98"/>
        <v>172.38631698997762</v>
      </c>
      <c r="AE210" s="222">
        <f t="shared" si="98"/>
        <v>200.98576297149344</v>
      </c>
      <c r="AF210" s="222">
        <f t="shared" si="98"/>
        <v>173.31830606434113</v>
      </c>
      <c r="AG210" s="222">
        <f t="shared" si="98"/>
        <v>202.18125693868961</v>
      </c>
      <c r="AH210" s="222">
        <f t="shared" si="98"/>
        <v>174.42001929969803</v>
      </c>
      <c r="AI210" s="222">
        <f t="shared" si="98"/>
        <v>203.56268029945852</v>
      </c>
      <c r="AJ210" s="222">
        <f t="shared" si="98"/>
        <v>175.69713046967883</v>
      </c>
      <c r="AK210" s="222">
        <f t="shared" si="98"/>
        <v>205.13615708956917</v>
      </c>
      <c r="AL210" s="222">
        <f t="shared" si="98"/>
        <v>177.15551773450812</v>
      </c>
      <c r="AM210" s="222">
        <f t="shared" si="98"/>
        <v>206.90803054031676</v>
      </c>
      <c r="AN210" s="222">
        <f t="shared" si="98"/>
        <v>178.80127023074726</v>
      </c>
    </row>
    <row r="211" spans="1:40">
      <c r="B211" s="162" t="s">
        <v>847</v>
      </c>
      <c r="C211" s="82" t="s">
        <v>842</v>
      </c>
      <c r="E211" s="159"/>
      <c r="F211" s="159"/>
      <c r="G211" s="159"/>
      <c r="H211" s="159"/>
      <c r="I211" s="159"/>
      <c r="J211" s="159"/>
      <c r="K211" s="159"/>
      <c r="L211" s="159"/>
      <c r="M211" s="159">
        <f t="shared" ref="M211:AN211" si="99">M210/M182</f>
        <v>0.12847028134898453</v>
      </c>
      <c r="N211" s="159">
        <f t="shared" si="99"/>
        <v>0.1345060893098782</v>
      </c>
      <c r="O211" s="159">
        <f t="shared" si="99"/>
        <v>0.13245260358582825</v>
      </c>
      <c r="P211" s="159">
        <f t="shared" si="99"/>
        <v>0.14421181109754949</v>
      </c>
      <c r="Q211" s="159">
        <f t="shared" si="99"/>
        <v>0.12000716460684221</v>
      </c>
      <c r="R211" s="159">
        <f t="shared" si="99"/>
        <v>0.1120244695086981</v>
      </c>
      <c r="S211" s="159">
        <f t="shared" si="99"/>
        <v>0.12604568854568854</v>
      </c>
      <c r="T211" s="159">
        <f t="shared" si="99"/>
        <v>0.14419538307126131</v>
      </c>
      <c r="U211" s="159">
        <f t="shared" si="99"/>
        <v>0.14474944142993937</v>
      </c>
      <c r="V211" s="159">
        <f t="shared" ref="V211" si="100">V210/V182</f>
        <v>0.15014565126924681</v>
      </c>
      <c r="W211" s="159">
        <f t="shared" si="99"/>
        <v>0.16082551945209919</v>
      </c>
      <c r="X211" s="159">
        <f t="shared" si="99"/>
        <v>0.14674693641429346</v>
      </c>
      <c r="Y211" s="159">
        <f t="shared" si="99"/>
        <v>0.15463800660015314</v>
      </c>
      <c r="Z211" s="159">
        <f t="shared" si="99"/>
        <v>0.14206745301193702</v>
      </c>
      <c r="AA211" s="159">
        <f t="shared" si="99"/>
        <v>0.14970992075279085</v>
      </c>
      <c r="AB211" s="159">
        <f t="shared" si="99"/>
        <v>0.13659013675396406</v>
      </c>
      <c r="AC211" s="159">
        <f t="shared" si="99"/>
        <v>0.14780331778648337</v>
      </c>
      <c r="AD211" s="159">
        <f t="shared" si="99"/>
        <v>0.13465854006509295</v>
      </c>
      <c r="AE211" s="159">
        <f t="shared" si="99"/>
        <v>0.14644269879483079</v>
      </c>
      <c r="AF211" s="159">
        <f t="shared" si="99"/>
        <v>0.13338249525575918</v>
      </c>
      <c r="AG211" s="159">
        <f t="shared" si="99"/>
        <v>0.14516668834987009</v>
      </c>
      <c r="AH211" s="159">
        <f t="shared" si="99"/>
        <v>0.13219547708198487</v>
      </c>
      <c r="AI211" s="159">
        <f t="shared" si="99"/>
        <v>0.14397576053379385</v>
      </c>
      <c r="AJ211" s="159">
        <f t="shared" si="99"/>
        <v>0.13109770618766728</v>
      </c>
      <c r="AK211" s="159">
        <f t="shared" si="99"/>
        <v>0.14287022752173303</v>
      </c>
      <c r="AL211" s="159">
        <f t="shared" si="99"/>
        <v>0.13008923862846286</v>
      </c>
      <c r="AM211" s="159">
        <f t="shared" si="99"/>
        <v>0.14185024192666645</v>
      </c>
      <c r="AN211" s="159">
        <f t="shared" si="99"/>
        <v>0.12916996942162975</v>
      </c>
    </row>
    <row r="212" spans="1:40">
      <c r="B212" s="162" t="s">
        <v>1165</v>
      </c>
      <c r="C212" s="82" t="s">
        <v>842</v>
      </c>
      <c r="E212" s="159"/>
      <c r="F212" s="159"/>
      <c r="G212" s="159"/>
      <c r="H212" s="159"/>
      <c r="I212" s="159"/>
      <c r="J212" s="159"/>
      <c r="K212" s="159"/>
      <c r="L212" s="159"/>
      <c r="M212" s="159"/>
      <c r="N212" s="159"/>
      <c r="O212" s="159">
        <f t="shared" ref="O212:AK212" si="101">O210/M210-1</f>
        <v>0.11965192168237859</v>
      </c>
      <c r="P212" s="159">
        <f t="shared" si="101"/>
        <v>3.0181086519114775E-2</v>
      </c>
      <c r="Q212" s="159">
        <f t="shared" si="101"/>
        <v>-0.13212435233160624</v>
      </c>
      <c r="R212" s="159">
        <f t="shared" si="101"/>
        <v>-0.23697916666666674</v>
      </c>
      <c r="S212" s="159">
        <f t="shared" si="101"/>
        <v>0.16940298507462681</v>
      </c>
      <c r="T212" s="159">
        <f t="shared" si="101"/>
        <v>0.47098976109215052</v>
      </c>
      <c r="U212" s="159">
        <f t="shared" si="101"/>
        <v>0.1576260370134015</v>
      </c>
      <c r="V212" s="159">
        <f t="shared" si="101"/>
        <v>4.640371229698359E-2</v>
      </c>
      <c r="W212" s="159">
        <f t="shared" si="101"/>
        <v>0.15875164678610787</v>
      </c>
      <c r="X212" s="159">
        <f t="shared" si="101"/>
        <v>-6.0207166989978411E-4</v>
      </c>
      <c r="Y212" s="159">
        <f t="shared" si="101"/>
        <v>-3.5122291571978659E-2</v>
      </c>
      <c r="Z212" s="159">
        <f t="shared" si="101"/>
        <v>-2.1293043725921446E-2</v>
      </c>
      <c r="AA212" s="159">
        <f t="shared" si="101"/>
        <v>-2.2858685494887898E-2</v>
      </c>
      <c r="AB212" s="159">
        <f t="shared" si="101"/>
        <v>-3.0701365003678149E-2</v>
      </c>
      <c r="AC212" s="159">
        <f t="shared" si="101"/>
        <v>9.0395131059621825E-3</v>
      </c>
      <c r="AD212" s="159">
        <f t="shared" si="101"/>
        <v>7.9002125481839602E-3</v>
      </c>
      <c r="AE212" s="159">
        <f t="shared" si="101"/>
        <v>5.0781356273137401E-3</v>
      </c>
      <c r="AF212" s="159">
        <f t="shared" si="101"/>
        <v>5.4063982028091928E-3</v>
      </c>
      <c r="AG212" s="159">
        <f t="shared" si="101"/>
        <v>5.9481524935960373E-3</v>
      </c>
      <c r="AH212" s="159">
        <f t="shared" si="101"/>
        <v>6.3565889857468694E-3</v>
      </c>
      <c r="AI212" s="159">
        <f t="shared" si="101"/>
        <v>6.8325985389823263E-3</v>
      </c>
      <c r="AJ212" s="159">
        <f t="shared" si="101"/>
        <v>7.3220446546700124E-3</v>
      </c>
      <c r="AK212" s="159">
        <f t="shared" si="101"/>
        <v>7.7296918462457231E-3</v>
      </c>
      <c r="AL212" s="159">
        <f>AL210/AJ210-1</f>
        <v>8.3005753191909282E-3</v>
      </c>
      <c r="AM212" s="159">
        <f>AM210/AK210-1</f>
        <v>8.6375482308267415E-3</v>
      </c>
      <c r="AN212" s="159">
        <f>AN210/AL210-1</f>
        <v>9.2898743278519991E-3</v>
      </c>
    </row>
    <row r="213" spans="1:40">
      <c r="B213" s="161"/>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c r="AA213" s="142"/>
      <c r="AB213" s="142"/>
      <c r="AC213" s="142"/>
      <c r="AD213" s="142"/>
      <c r="AE213" s="142"/>
      <c r="AF213" s="142"/>
      <c r="AG213" s="142"/>
      <c r="AH213" s="142"/>
      <c r="AI213" s="142"/>
      <c r="AJ213" s="142"/>
      <c r="AK213" s="142"/>
      <c r="AL213" s="142"/>
      <c r="AM213" s="142"/>
      <c r="AN213" s="142"/>
    </row>
    <row r="214" spans="1:40">
      <c r="B214" s="161" t="s">
        <v>48</v>
      </c>
      <c r="C214" s="131" t="s">
        <v>900</v>
      </c>
      <c r="E214" s="135"/>
      <c r="F214" s="135"/>
      <c r="G214" s="135"/>
      <c r="H214" s="135"/>
      <c r="I214" s="135"/>
      <c r="J214" s="135"/>
      <c r="K214" s="135"/>
      <c r="L214" s="135"/>
      <c r="M214" s="135">
        <v>-105.2</v>
      </c>
      <c r="N214" s="135">
        <f>-215-M214</f>
        <v>-109.8</v>
      </c>
      <c r="O214" s="135">
        <v>-96.5</v>
      </c>
      <c r="P214" s="135">
        <f>-191.8-O214</f>
        <v>-95.300000000000011</v>
      </c>
      <c r="Q214" s="135">
        <v>-100.7</v>
      </c>
      <c r="R214" s="135">
        <f>-180.9-Q214</f>
        <v>-80.2</v>
      </c>
      <c r="S214" s="135">
        <v>-77.3</v>
      </c>
      <c r="T214" s="135">
        <f>-160.9-S214</f>
        <v>-83.600000000000009</v>
      </c>
      <c r="U214" s="135">
        <v>-86.1</v>
      </c>
      <c r="V214" s="135">
        <f>-170.6-U214</f>
        <v>-84.5</v>
      </c>
      <c r="W214" s="136"/>
      <c r="X214" s="136"/>
      <c r="Y214" s="136"/>
      <c r="Z214" s="136"/>
      <c r="AA214" s="136"/>
      <c r="AB214" s="136"/>
      <c r="AC214" s="136"/>
      <c r="AD214" s="136"/>
      <c r="AE214" s="136"/>
      <c r="AF214" s="136"/>
      <c r="AG214" s="136"/>
      <c r="AH214" s="136"/>
      <c r="AI214" s="136"/>
      <c r="AJ214" s="136"/>
      <c r="AK214" s="136"/>
      <c r="AL214" s="136"/>
      <c r="AM214" s="136"/>
      <c r="AN214" s="136"/>
    </row>
    <row r="215" spans="1:40">
      <c r="B215" s="162" t="s">
        <v>1162</v>
      </c>
      <c r="C215" s="82" t="s">
        <v>842</v>
      </c>
      <c r="E215" s="159"/>
      <c r="F215" s="159"/>
      <c r="G215" s="159"/>
      <c r="H215" s="159"/>
      <c r="I215" s="159"/>
      <c r="J215" s="159"/>
      <c r="K215" s="159"/>
      <c r="L215" s="159"/>
      <c r="M215" s="159">
        <f t="shared" ref="M215:U215" si="102">M214/M182</f>
        <v>-9.8006335010247803E-2</v>
      </c>
      <c r="N215" s="159">
        <f t="shared" si="102"/>
        <v>-9.9052774018944523E-2</v>
      </c>
      <c r="O215" s="159">
        <f t="shared" si="102"/>
        <v>-8.2782877241142652E-2</v>
      </c>
      <c r="P215" s="159">
        <f t="shared" si="102"/>
        <v>-8.9475166651018678E-2</v>
      </c>
      <c r="Q215" s="159">
        <f t="shared" si="102"/>
        <v>-9.0184488626186651E-2</v>
      </c>
      <c r="R215" s="159">
        <f t="shared" si="102"/>
        <v>-7.6658382718409468E-2</v>
      </c>
      <c r="S215" s="159">
        <f t="shared" si="102"/>
        <v>-6.2178249678249677E-2</v>
      </c>
      <c r="T215" s="159">
        <f t="shared" si="102"/>
        <v>-6.9923051187688184E-2</v>
      </c>
      <c r="U215" s="159">
        <f t="shared" si="102"/>
        <v>-6.8704117459304173E-2</v>
      </c>
      <c r="V215" s="159">
        <f t="shared" ref="V215" si="103">V214/V182</f>
        <v>-7.0328755722014163E-2</v>
      </c>
      <c r="W215" s="159"/>
      <c r="X215" s="159"/>
      <c r="Y215" s="159"/>
      <c r="Z215" s="159"/>
      <c r="AA215" s="159"/>
      <c r="AB215" s="159"/>
      <c r="AC215" s="159"/>
      <c r="AD215" s="159"/>
      <c r="AE215" s="159"/>
      <c r="AF215" s="159"/>
      <c r="AG215" s="159"/>
      <c r="AH215" s="159"/>
      <c r="AI215" s="159"/>
      <c r="AJ215" s="159"/>
      <c r="AK215" s="159"/>
      <c r="AL215" s="159"/>
      <c r="AM215" s="159"/>
      <c r="AN215" s="159"/>
    </row>
    <row r="216" spans="1:40">
      <c r="B216" s="161"/>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c r="AA216" s="142"/>
      <c r="AB216" s="142"/>
      <c r="AC216" s="142"/>
      <c r="AD216" s="142"/>
      <c r="AE216" s="142"/>
      <c r="AF216" s="142"/>
      <c r="AG216" s="142"/>
      <c r="AH216" s="142"/>
      <c r="AI216" s="142"/>
      <c r="AJ216" s="142"/>
      <c r="AK216" s="142"/>
      <c r="AL216" s="142"/>
      <c r="AM216" s="142"/>
      <c r="AN216" s="142"/>
    </row>
    <row r="217" spans="1:40" s="3" customFormat="1">
      <c r="B217" s="482" t="s">
        <v>10</v>
      </c>
      <c r="C217" s="484" t="s">
        <v>900</v>
      </c>
      <c r="E217" s="485"/>
      <c r="F217" s="485"/>
      <c r="G217" s="485"/>
      <c r="H217" s="485"/>
      <c r="I217" s="485"/>
      <c r="J217" s="485"/>
      <c r="K217" s="485"/>
      <c r="L217" s="485"/>
      <c r="M217" s="485">
        <v>32.700000000000003</v>
      </c>
      <c r="N217" s="485">
        <f>72-M217</f>
        <v>39.299999999999997</v>
      </c>
      <c r="O217" s="485">
        <v>57.9</v>
      </c>
      <c r="P217" s="485">
        <f>116.2-O217</f>
        <v>58.300000000000004</v>
      </c>
      <c r="Q217" s="485">
        <v>33.299999999999997</v>
      </c>
      <c r="R217" s="485">
        <f>70.3-Q217</f>
        <v>37</v>
      </c>
      <c r="S217" s="485">
        <v>79.400000000000006</v>
      </c>
      <c r="T217" s="485">
        <f>168.2-S217</f>
        <v>88.799999999999983</v>
      </c>
      <c r="U217" s="485">
        <v>95.3</v>
      </c>
      <c r="V217" s="485">
        <f>191.2-U217</f>
        <v>95.899999999999991</v>
      </c>
      <c r="W217" s="222"/>
      <c r="X217" s="222"/>
      <c r="Y217" s="222"/>
      <c r="Z217" s="222"/>
      <c r="AA217" s="222"/>
      <c r="AB217" s="222"/>
      <c r="AC217" s="222"/>
      <c r="AD217" s="222"/>
      <c r="AE217" s="222"/>
      <c r="AF217" s="222"/>
      <c r="AG217" s="222"/>
      <c r="AH217" s="222"/>
      <c r="AI217" s="222"/>
      <c r="AJ217" s="222"/>
      <c r="AK217" s="222"/>
      <c r="AL217" s="222"/>
      <c r="AM217" s="222"/>
      <c r="AN217" s="222"/>
    </row>
    <row r="218" spans="1:40">
      <c r="B218" s="162" t="s">
        <v>847</v>
      </c>
      <c r="C218" s="82" t="s">
        <v>842</v>
      </c>
      <c r="E218" s="159"/>
      <c r="F218" s="159"/>
      <c r="G218" s="159"/>
      <c r="H218" s="159"/>
      <c r="I218" s="159"/>
      <c r="J218" s="159"/>
      <c r="K218" s="159"/>
      <c r="L218" s="159"/>
      <c r="M218" s="159">
        <f t="shared" ref="M218:U218" si="104">M217/M182</f>
        <v>3.0463946338736725E-2</v>
      </c>
      <c r="N218" s="159">
        <f t="shared" si="104"/>
        <v>3.5453315290933693E-2</v>
      </c>
      <c r="O218" s="159">
        <f t="shared" si="104"/>
        <v>4.9669726344685597E-2</v>
      </c>
      <c r="P218" s="159">
        <f t="shared" si="104"/>
        <v>5.4736644446530841E-2</v>
      </c>
      <c r="Q218" s="159">
        <f t="shared" si="104"/>
        <v>2.982267598065556E-2</v>
      </c>
      <c r="R218" s="159">
        <f t="shared" si="104"/>
        <v>3.5366086790288652E-2</v>
      </c>
      <c r="S218" s="159">
        <f t="shared" si="104"/>
        <v>6.3867438867438869E-2</v>
      </c>
      <c r="T218" s="159">
        <f t="shared" si="104"/>
        <v>7.4272331883573073E-2</v>
      </c>
      <c r="U218" s="159">
        <f t="shared" si="104"/>
        <v>7.6045323970635167E-2</v>
      </c>
      <c r="V218" s="159">
        <f t="shared" ref="V218" si="105">V217/V182</f>
        <v>7.9816895547232633E-2</v>
      </c>
      <c r="W218" s="159"/>
      <c r="X218" s="159"/>
      <c r="Y218" s="159"/>
      <c r="Z218" s="159"/>
      <c r="AA218" s="159"/>
      <c r="AB218" s="159"/>
      <c r="AC218" s="159"/>
      <c r="AD218" s="159"/>
      <c r="AE218" s="159"/>
      <c r="AF218" s="159"/>
      <c r="AG218" s="159"/>
      <c r="AH218" s="159"/>
      <c r="AI218" s="159"/>
      <c r="AJ218" s="159"/>
      <c r="AK218" s="159"/>
      <c r="AL218" s="159"/>
      <c r="AM218" s="159"/>
      <c r="AN218" s="159"/>
    </row>
    <row r="219" spans="1:40">
      <c r="B219" s="162" t="s">
        <v>1165</v>
      </c>
      <c r="C219" s="82" t="s">
        <v>842</v>
      </c>
      <c r="E219" s="159"/>
      <c r="F219" s="159"/>
      <c r="G219" s="159"/>
      <c r="H219" s="159"/>
      <c r="I219" s="159"/>
      <c r="J219" s="159"/>
      <c r="K219" s="159"/>
      <c r="L219" s="159"/>
      <c r="M219" s="159"/>
      <c r="N219" s="159"/>
      <c r="O219" s="159">
        <f t="shared" ref="O219:V219" si="106">O217/M217-1</f>
        <v>0.77064220183486221</v>
      </c>
      <c r="P219" s="159">
        <f t="shared" si="106"/>
        <v>0.48346055979643787</v>
      </c>
      <c r="Q219" s="159">
        <f t="shared" si="106"/>
        <v>-0.42487046632124359</v>
      </c>
      <c r="R219" s="159">
        <f t="shared" si="106"/>
        <v>-0.36535162950257294</v>
      </c>
      <c r="S219" s="159">
        <f t="shared" si="106"/>
        <v>1.3843843843843846</v>
      </c>
      <c r="T219" s="159">
        <f t="shared" si="106"/>
        <v>1.3999999999999995</v>
      </c>
      <c r="U219" s="159">
        <f t="shared" si="106"/>
        <v>0.20025188916876568</v>
      </c>
      <c r="V219" s="159">
        <f t="shared" si="106"/>
        <v>7.9954954954954971E-2</v>
      </c>
      <c r="W219" s="159"/>
      <c r="X219" s="159"/>
      <c r="Y219" s="159"/>
      <c r="Z219" s="159"/>
      <c r="AA219" s="159"/>
      <c r="AB219" s="159"/>
      <c r="AC219" s="159"/>
      <c r="AD219" s="159"/>
      <c r="AE219" s="159"/>
      <c r="AF219" s="159"/>
      <c r="AG219" s="159"/>
      <c r="AH219" s="159"/>
      <c r="AI219" s="159"/>
      <c r="AJ219" s="159"/>
      <c r="AK219" s="159"/>
      <c r="AL219" s="159"/>
      <c r="AM219" s="159"/>
      <c r="AN219" s="159"/>
    </row>
    <row r="220" spans="1:40" s="199" customFormat="1">
      <c r="B220" s="226" t="s">
        <v>886</v>
      </c>
      <c r="C220" s="201"/>
      <c r="E220" s="217"/>
      <c r="F220" s="217"/>
      <c r="G220" s="217"/>
      <c r="H220" s="217"/>
      <c r="I220" s="217"/>
      <c r="J220" s="217"/>
      <c r="K220" s="217"/>
      <c r="L220" s="217"/>
      <c r="M220" s="217">
        <f t="shared" ref="M220:U220" si="107">M217-SUM(M182,M185,M201,M214)</f>
        <v>0</v>
      </c>
      <c r="N220" s="217">
        <f t="shared" si="107"/>
        <v>0</v>
      </c>
      <c r="O220" s="217">
        <f t="shared" si="107"/>
        <v>0</v>
      </c>
      <c r="P220" s="217">
        <f t="shared" si="107"/>
        <v>0</v>
      </c>
      <c r="Q220" s="217">
        <f t="shared" si="107"/>
        <v>0</v>
      </c>
      <c r="R220" s="217">
        <f t="shared" si="107"/>
        <v>0</v>
      </c>
      <c r="S220" s="217">
        <f t="shared" si="107"/>
        <v>0</v>
      </c>
      <c r="T220" s="217">
        <f t="shared" si="107"/>
        <v>0</v>
      </c>
      <c r="U220" s="217">
        <f t="shared" si="107"/>
        <v>0</v>
      </c>
      <c r="V220" s="217">
        <f t="shared" ref="V220" si="108">V217-SUM(V182,V185,V201,V214)</f>
        <v>0</v>
      </c>
      <c r="W220" s="217"/>
      <c r="X220" s="217"/>
      <c r="Y220" s="217"/>
      <c r="Z220" s="217"/>
      <c r="AA220" s="217"/>
      <c r="AB220" s="217"/>
      <c r="AC220" s="217"/>
      <c r="AD220" s="217"/>
      <c r="AE220" s="217"/>
      <c r="AF220" s="217"/>
      <c r="AG220" s="217"/>
      <c r="AH220" s="217"/>
      <c r="AI220" s="217"/>
      <c r="AJ220" s="217"/>
      <c r="AK220" s="217"/>
      <c r="AL220" s="217"/>
      <c r="AM220" s="217"/>
      <c r="AN220" s="217"/>
    </row>
    <row r="221" spans="1:40">
      <c r="B221" s="161"/>
      <c r="C221" s="165"/>
      <c r="E221" s="142"/>
      <c r="F221" s="142"/>
      <c r="G221" s="142"/>
      <c r="H221" s="142"/>
      <c r="I221" s="142"/>
      <c r="J221" s="142"/>
      <c r="K221" s="142"/>
      <c r="L221" s="142"/>
      <c r="M221" s="142"/>
      <c r="N221" s="142"/>
      <c r="O221" s="142"/>
      <c r="P221" s="142"/>
      <c r="Q221" s="142"/>
      <c r="R221" s="142"/>
      <c r="S221" s="142"/>
      <c r="T221" s="142"/>
      <c r="U221" s="142"/>
      <c r="V221" s="142"/>
      <c r="W221" s="142"/>
      <c r="X221" s="142"/>
      <c r="Y221" s="142"/>
      <c r="Z221" s="142"/>
      <c r="AA221" s="142"/>
      <c r="AB221" s="142"/>
      <c r="AC221" s="142"/>
      <c r="AD221" s="142"/>
      <c r="AE221" s="142"/>
      <c r="AF221" s="142"/>
      <c r="AG221" s="142"/>
      <c r="AH221" s="142"/>
      <c r="AI221" s="142"/>
      <c r="AJ221" s="142"/>
      <c r="AK221" s="142"/>
      <c r="AL221" s="142"/>
      <c r="AM221" s="142"/>
      <c r="AN221" s="142"/>
    </row>
    <row r="222" spans="1:40">
      <c r="A222" s="177" t="s">
        <v>971</v>
      </c>
      <c r="B222" s="178" t="s">
        <v>1156</v>
      </c>
      <c r="C222" s="164"/>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c r="AA222" s="130"/>
      <c r="AB222" s="130"/>
      <c r="AC222" s="130"/>
      <c r="AD222" s="130"/>
      <c r="AE222" s="130"/>
      <c r="AF222" s="130"/>
      <c r="AG222" s="130"/>
      <c r="AH222" s="130"/>
      <c r="AI222" s="130"/>
      <c r="AJ222" s="130"/>
      <c r="AK222" s="130"/>
      <c r="AL222" s="130"/>
      <c r="AM222" s="130"/>
      <c r="AN222" s="130"/>
    </row>
    <row r="223" spans="1:40">
      <c r="B223" s="161"/>
      <c r="C223" s="165"/>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c r="AA223" s="142"/>
      <c r="AB223" s="142"/>
      <c r="AC223" s="142"/>
      <c r="AD223" s="142"/>
      <c r="AE223" s="142"/>
      <c r="AF223" s="142"/>
      <c r="AG223" s="142"/>
      <c r="AH223" s="142"/>
      <c r="AI223" s="142"/>
      <c r="AJ223" s="142"/>
      <c r="AK223" s="142"/>
      <c r="AL223" s="142"/>
      <c r="AM223" s="142"/>
      <c r="AN223" s="142"/>
    </row>
    <row r="224" spans="1:40">
      <c r="B224" s="185" t="s">
        <v>1169</v>
      </c>
      <c r="C224" s="165"/>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c r="AA224" s="142"/>
      <c r="AB224" s="142"/>
      <c r="AC224" s="142"/>
      <c r="AD224" s="142"/>
      <c r="AE224" s="142"/>
      <c r="AF224" s="142"/>
      <c r="AG224" s="142"/>
      <c r="AH224" s="142"/>
      <c r="AI224" s="142"/>
      <c r="AJ224" s="142"/>
      <c r="AK224" s="142"/>
      <c r="AL224" s="142"/>
      <c r="AM224" s="142"/>
      <c r="AN224" s="142"/>
    </row>
    <row r="225" spans="2:40">
      <c r="B225" s="161"/>
      <c r="C225" s="165"/>
      <c r="E225" s="142"/>
      <c r="F225" s="142"/>
      <c r="G225" s="142"/>
      <c r="H225" s="142"/>
      <c r="I225" s="142"/>
      <c r="J225" s="142"/>
      <c r="K225" s="142"/>
      <c r="L225" s="142"/>
      <c r="M225" s="142"/>
      <c r="N225" s="142"/>
      <c r="O225" s="142"/>
      <c r="P225" s="142"/>
      <c r="Q225" s="142"/>
      <c r="R225" s="142"/>
      <c r="S225" s="142"/>
      <c r="T225" s="142"/>
      <c r="U225" s="142"/>
      <c r="V225" s="142"/>
      <c r="W225" s="142"/>
      <c r="X225" s="142"/>
      <c r="Y225" s="142"/>
      <c r="Z225" s="142"/>
      <c r="AA225" s="142"/>
      <c r="AB225" s="142"/>
      <c r="AC225" s="142"/>
      <c r="AD225" s="142"/>
      <c r="AE225" s="142"/>
      <c r="AF225" s="142"/>
      <c r="AG225" s="142"/>
      <c r="AH225" s="142"/>
      <c r="AI225" s="142"/>
      <c r="AJ225" s="142"/>
      <c r="AK225" s="142"/>
      <c r="AL225" s="142"/>
      <c r="AM225" s="142"/>
      <c r="AN225" s="142"/>
    </row>
    <row r="226" spans="2:40">
      <c r="B226" s="184" t="s">
        <v>1611</v>
      </c>
      <c r="C226" s="165"/>
      <c r="E226" s="142"/>
      <c r="F226" s="142"/>
      <c r="G226" s="142"/>
      <c r="H226" s="142"/>
      <c r="I226" s="142"/>
      <c r="J226" s="142"/>
      <c r="K226" s="142"/>
      <c r="L226" s="142"/>
      <c r="M226" s="142"/>
      <c r="N226" s="142"/>
      <c r="O226" s="142"/>
      <c r="P226" s="142"/>
      <c r="Q226" s="142"/>
      <c r="R226" s="142"/>
      <c r="S226" s="142"/>
      <c r="T226" s="142"/>
      <c r="U226" s="142"/>
      <c r="V226" s="142"/>
      <c r="W226" s="142"/>
      <c r="X226" s="142"/>
      <c r="Y226" s="142"/>
      <c r="Z226" s="142"/>
      <c r="AA226" s="142"/>
      <c r="AB226" s="142"/>
      <c r="AC226" s="142"/>
      <c r="AD226" s="142"/>
      <c r="AE226" s="142"/>
      <c r="AF226" s="142"/>
      <c r="AG226" s="142"/>
      <c r="AH226" s="142"/>
      <c r="AI226" s="142"/>
      <c r="AJ226" s="142"/>
      <c r="AK226" s="142"/>
      <c r="AL226" s="142"/>
      <c r="AM226" s="142"/>
      <c r="AN226" s="142"/>
    </row>
    <row r="227" spans="2:40">
      <c r="B227" s="161" t="s">
        <v>1157</v>
      </c>
      <c r="C227" s="82" t="s">
        <v>952</v>
      </c>
      <c r="E227" s="142" t="s">
        <v>1179</v>
      </c>
      <c r="F227" s="142"/>
      <c r="G227" s="142"/>
      <c r="H227" s="142"/>
      <c r="I227" s="142"/>
      <c r="J227" s="142"/>
      <c r="K227" s="142"/>
      <c r="L227" s="137"/>
      <c r="M227" s="137">
        <f t="shared" ref="M227:V227" si="109">L232</f>
        <v>122010</v>
      </c>
      <c r="N227" s="137">
        <f t="shared" si="109"/>
        <v>121050</v>
      </c>
      <c r="O227" s="137">
        <f t="shared" si="109"/>
        <v>120370</v>
      </c>
      <c r="P227" s="137">
        <f t="shared" si="109"/>
        <v>121290</v>
      </c>
      <c r="Q227" s="137">
        <f t="shared" si="109"/>
        <v>122210</v>
      </c>
      <c r="R227" s="137">
        <f t="shared" si="109"/>
        <v>125350</v>
      </c>
      <c r="S227" s="137">
        <f t="shared" si="109"/>
        <v>122210</v>
      </c>
      <c r="T227" s="137">
        <f t="shared" si="109"/>
        <v>126250</v>
      </c>
      <c r="U227" s="137">
        <f t="shared" si="109"/>
        <v>126970</v>
      </c>
      <c r="V227" s="137">
        <f t="shared" si="109"/>
        <v>127340</v>
      </c>
      <c r="W227" s="137">
        <f t="shared" ref="W227:AK227" si="110">V232</f>
        <v>127600</v>
      </c>
      <c r="X227" s="137">
        <f t="shared" si="110"/>
        <v>127600</v>
      </c>
      <c r="Y227" s="137">
        <f t="shared" si="110"/>
        <v>127600</v>
      </c>
      <c r="Z227" s="137">
        <f t="shared" si="110"/>
        <v>127600</v>
      </c>
      <c r="AA227" s="137">
        <f t="shared" si="110"/>
        <v>127600</v>
      </c>
      <c r="AB227" s="137">
        <f t="shared" si="110"/>
        <v>127600</v>
      </c>
      <c r="AC227" s="137">
        <f t="shared" si="110"/>
        <v>127600</v>
      </c>
      <c r="AD227" s="137">
        <f t="shared" si="110"/>
        <v>127600</v>
      </c>
      <c r="AE227" s="137">
        <f t="shared" si="110"/>
        <v>127600</v>
      </c>
      <c r="AF227" s="137">
        <f t="shared" si="110"/>
        <v>127600</v>
      </c>
      <c r="AG227" s="137">
        <f t="shared" si="110"/>
        <v>127600</v>
      </c>
      <c r="AH227" s="137">
        <f t="shared" si="110"/>
        <v>127600</v>
      </c>
      <c r="AI227" s="137">
        <f t="shared" si="110"/>
        <v>127600</v>
      </c>
      <c r="AJ227" s="137">
        <f t="shared" si="110"/>
        <v>127600</v>
      </c>
      <c r="AK227" s="137">
        <f t="shared" si="110"/>
        <v>127600</v>
      </c>
      <c r="AL227" s="137">
        <f>AK232</f>
        <v>127600</v>
      </c>
      <c r="AM227" s="137">
        <f>AL232</f>
        <v>127600</v>
      </c>
      <c r="AN227" s="137">
        <f>AM232</f>
        <v>127600</v>
      </c>
    </row>
    <row r="228" spans="2:40">
      <c r="B228" s="162" t="s">
        <v>1166</v>
      </c>
      <c r="C228" s="82" t="s">
        <v>952</v>
      </c>
      <c r="E228" s="142">
        <v>2032</v>
      </c>
      <c r="F228" s="142"/>
      <c r="G228" s="142"/>
      <c r="H228" s="142"/>
      <c r="I228" s="142"/>
      <c r="J228" s="133">
        <v>92840</v>
      </c>
      <c r="K228" s="142"/>
      <c r="L228" s="133">
        <v>90700</v>
      </c>
      <c r="M228" s="133">
        <v>90260</v>
      </c>
      <c r="N228" s="133">
        <v>90340</v>
      </c>
      <c r="O228" s="133">
        <v>91110</v>
      </c>
      <c r="P228" s="133">
        <v>91970</v>
      </c>
      <c r="Q228" s="133">
        <v>92240</v>
      </c>
      <c r="R228" s="133">
        <v>92820</v>
      </c>
      <c r="S228" s="133">
        <v>93000</v>
      </c>
      <c r="T228" s="133">
        <v>93510</v>
      </c>
      <c r="U228" s="133">
        <v>94050</v>
      </c>
      <c r="V228" s="133">
        <v>94390</v>
      </c>
      <c r="W228" s="765">
        <f t="shared" ref="W228:AK230" si="111">V228</f>
        <v>94390</v>
      </c>
      <c r="X228" s="765">
        <f t="shared" si="111"/>
        <v>94390</v>
      </c>
      <c r="Y228" s="765">
        <f t="shared" si="111"/>
        <v>94390</v>
      </c>
      <c r="Z228" s="765">
        <f t="shared" si="111"/>
        <v>94390</v>
      </c>
      <c r="AA228" s="765">
        <f t="shared" si="111"/>
        <v>94390</v>
      </c>
      <c r="AB228" s="765">
        <f t="shared" si="111"/>
        <v>94390</v>
      </c>
      <c r="AC228" s="765">
        <f t="shared" si="111"/>
        <v>94390</v>
      </c>
      <c r="AD228" s="765">
        <f t="shared" si="111"/>
        <v>94390</v>
      </c>
      <c r="AE228" s="765">
        <f t="shared" si="111"/>
        <v>94390</v>
      </c>
      <c r="AF228" s="765">
        <f t="shared" si="111"/>
        <v>94390</v>
      </c>
      <c r="AG228" s="765">
        <f t="shared" si="111"/>
        <v>94390</v>
      </c>
      <c r="AH228" s="765">
        <f t="shared" si="111"/>
        <v>94390</v>
      </c>
      <c r="AI228" s="765">
        <f t="shared" si="111"/>
        <v>94390</v>
      </c>
      <c r="AJ228" s="765">
        <f t="shared" si="111"/>
        <v>94390</v>
      </c>
      <c r="AK228" s="765">
        <f t="shared" si="111"/>
        <v>94390</v>
      </c>
      <c r="AL228" s="765">
        <f t="shared" ref="AL228:AN231" si="112">AK228</f>
        <v>94390</v>
      </c>
      <c r="AM228" s="765">
        <f t="shared" si="112"/>
        <v>94390</v>
      </c>
      <c r="AN228" s="765">
        <f t="shared" si="112"/>
        <v>94390</v>
      </c>
    </row>
    <row r="229" spans="2:40">
      <c r="B229" s="162" t="s">
        <v>1167</v>
      </c>
      <c r="C229" s="82" t="s">
        <v>952</v>
      </c>
      <c r="E229" s="142">
        <v>2027</v>
      </c>
      <c r="F229" s="142" t="s">
        <v>1180</v>
      </c>
      <c r="G229" s="142"/>
      <c r="H229" s="142"/>
      <c r="I229" s="142"/>
      <c r="J229" s="133">
        <v>31180</v>
      </c>
      <c r="K229" s="142"/>
      <c r="L229" s="133">
        <v>29860</v>
      </c>
      <c r="M229" s="133">
        <v>29370</v>
      </c>
      <c r="N229" s="133">
        <v>28660</v>
      </c>
      <c r="O229" s="133">
        <v>28660</v>
      </c>
      <c r="P229" s="133">
        <v>28710</v>
      </c>
      <c r="Q229" s="133">
        <v>29300</v>
      </c>
      <c r="R229" s="133">
        <v>29510</v>
      </c>
      <c r="S229" s="133">
        <v>29470</v>
      </c>
      <c r="T229" s="133">
        <v>29620</v>
      </c>
      <c r="U229" s="133">
        <v>29450</v>
      </c>
      <c r="V229" s="133">
        <v>29380</v>
      </c>
      <c r="W229" s="765">
        <f t="shared" ref="W229:AF229" si="113">V229</f>
        <v>29380</v>
      </c>
      <c r="X229" s="765">
        <f t="shared" si="113"/>
        <v>29380</v>
      </c>
      <c r="Y229" s="765">
        <f t="shared" si="113"/>
        <v>29380</v>
      </c>
      <c r="Z229" s="765">
        <f t="shared" si="113"/>
        <v>29380</v>
      </c>
      <c r="AA229" s="765">
        <f t="shared" si="113"/>
        <v>29380</v>
      </c>
      <c r="AB229" s="765">
        <f t="shared" si="113"/>
        <v>29380</v>
      </c>
      <c r="AC229" s="765">
        <f t="shared" si="113"/>
        <v>29380</v>
      </c>
      <c r="AD229" s="765">
        <f t="shared" si="113"/>
        <v>29380</v>
      </c>
      <c r="AE229" s="765">
        <f t="shared" si="113"/>
        <v>29380</v>
      </c>
      <c r="AF229" s="765">
        <f t="shared" si="113"/>
        <v>29380</v>
      </c>
      <c r="AG229" s="765">
        <f t="shared" si="111"/>
        <v>29380</v>
      </c>
      <c r="AH229" s="765">
        <f t="shared" si="111"/>
        <v>29380</v>
      </c>
      <c r="AI229" s="765">
        <f t="shared" si="111"/>
        <v>29380</v>
      </c>
      <c r="AJ229" s="765">
        <f t="shared" si="111"/>
        <v>29380</v>
      </c>
      <c r="AK229" s="765">
        <f t="shared" si="111"/>
        <v>29380</v>
      </c>
      <c r="AL229" s="765">
        <f t="shared" si="112"/>
        <v>29380</v>
      </c>
      <c r="AM229" s="765">
        <f t="shared" si="112"/>
        <v>29380</v>
      </c>
      <c r="AN229" s="765">
        <f t="shared" si="112"/>
        <v>29380</v>
      </c>
    </row>
    <row r="230" spans="2:40">
      <c r="B230" s="162" t="s">
        <v>1168</v>
      </c>
      <c r="C230" s="82" t="s">
        <v>952</v>
      </c>
      <c r="E230" s="142">
        <v>2026</v>
      </c>
      <c r="F230" s="142" t="s">
        <v>1180</v>
      </c>
      <c r="G230" s="142"/>
      <c r="H230" s="142"/>
      <c r="I230" s="142"/>
      <c r="J230" s="133">
        <v>1450</v>
      </c>
      <c r="K230" s="142"/>
      <c r="L230" s="133">
        <v>1450</v>
      </c>
      <c r="M230" s="133">
        <v>1420</v>
      </c>
      <c r="N230" s="133">
        <v>1370</v>
      </c>
      <c r="O230" s="133">
        <v>1520</v>
      </c>
      <c r="P230" s="133">
        <v>1530</v>
      </c>
      <c r="Q230" s="133">
        <v>1560</v>
      </c>
      <c r="R230" s="133">
        <v>1570</v>
      </c>
      <c r="S230" s="133">
        <v>1570</v>
      </c>
      <c r="T230" s="133">
        <v>1580</v>
      </c>
      <c r="U230" s="133">
        <v>1570</v>
      </c>
      <c r="V230" s="133">
        <v>1560</v>
      </c>
      <c r="W230" s="765">
        <f t="shared" si="111"/>
        <v>1560</v>
      </c>
      <c r="X230" s="765">
        <f t="shared" si="111"/>
        <v>1560</v>
      </c>
      <c r="Y230" s="765">
        <f t="shared" si="111"/>
        <v>1560</v>
      </c>
      <c r="Z230" s="765">
        <f t="shared" si="111"/>
        <v>1560</v>
      </c>
      <c r="AA230" s="765">
        <f t="shared" si="111"/>
        <v>1560</v>
      </c>
      <c r="AB230" s="765">
        <f t="shared" si="111"/>
        <v>1560</v>
      </c>
      <c r="AC230" s="765">
        <f t="shared" si="111"/>
        <v>1560</v>
      </c>
      <c r="AD230" s="765">
        <f t="shared" si="111"/>
        <v>1560</v>
      </c>
      <c r="AE230" s="765">
        <f t="shared" si="111"/>
        <v>1560</v>
      </c>
      <c r="AF230" s="765">
        <f t="shared" si="111"/>
        <v>1560</v>
      </c>
      <c r="AG230" s="765">
        <f t="shared" si="111"/>
        <v>1560</v>
      </c>
      <c r="AH230" s="765">
        <f t="shared" si="111"/>
        <v>1560</v>
      </c>
      <c r="AI230" s="765">
        <f t="shared" si="111"/>
        <v>1560</v>
      </c>
      <c r="AJ230" s="765">
        <f t="shared" si="111"/>
        <v>1560</v>
      </c>
      <c r="AK230" s="765">
        <f t="shared" si="111"/>
        <v>1560</v>
      </c>
      <c r="AL230" s="765">
        <f t="shared" si="112"/>
        <v>1560</v>
      </c>
      <c r="AM230" s="765">
        <f t="shared" si="112"/>
        <v>1560</v>
      </c>
      <c r="AN230" s="765">
        <f t="shared" si="112"/>
        <v>1560</v>
      </c>
    </row>
    <row r="231" spans="2:40">
      <c r="B231" s="162" t="s">
        <v>1172</v>
      </c>
      <c r="C231" s="82" t="s">
        <v>952</v>
      </c>
      <c r="E231" s="142">
        <v>2043</v>
      </c>
      <c r="F231" s="142"/>
      <c r="G231" s="142"/>
      <c r="H231" s="142"/>
      <c r="I231" s="142"/>
      <c r="J231" s="133"/>
      <c r="K231" s="142"/>
      <c r="L231" s="133"/>
      <c r="M231" s="133"/>
      <c r="N231" s="133"/>
      <c r="O231" s="133"/>
      <c r="P231" s="133"/>
      <c r="Q231" s="133">
        <v>2250</v>
      </c>
      <c r="R231" s="133">
        <v>2250</v>
      </c>
      <c r="S231" s="133">
        <v>2210</v>
      </c>
      <c r="T231" s="133">
        <v>2260</v>
      </c>
      <c r="U231" s="133">
        <v>2270</v>
      </c>
      <c r="V231" s="133">
        <v>2270</v>
      </c>
      <c r="W231" s="765">
        <f t="shared" ref="W231:AK231" si="114">V231</f>
        <v>2270</v>
      </c>
      <c r="X231" s="765">
        <f t="shared" si="114"/>
        <v>2270</v>
      </c>
      <c r="Y231" s="765">
        <f t="shared" si="114"/>
        <v>2270</v>
      </c>
      <c r="Z231" s="765">
        <f t="shared" si="114"/>
        <v>2270</v>
      </c>
      <c r="AA231" s="765">
        <f t="shared" si="114"/>
        <v>2270</v>
      </c>
      <c r="AB231" s="765">
        <f t="shared" si="114"/>
        <v>2270</v>
      </c>
      <c r="AC231" s="765">
        <f t="shared" si="114"/>
        <v>2270</v>
      </c>
      <c r="AD231" s="765">
        <f t="shared" si="114"/>
        <v>2270</v>
      </c>
      <c r="AE231" s="765">
        <f t="shared" si="114"/>
        <v>2270</v>
      </c>
      <c r="AF231" s="765">
        <f t="shared" si="114"/>
        <v>2270</v>
      </c>
      <c r="AG231" s="765">
        <f t="shared" si="114"/>
        <v>2270</v>
      </c>
      <c r="AH231" s="765">
        <f t="shared" si="114"/>
        <v>2270</v>
      </c>
      <c r="AI231" s="765">
        <f t="shared" si="114"/>
        <v>2270</v>
      </c>
      <c r="AJ231" s="765">
        <f t="shared" si="114"/>
        <v>2270</v>
      </c>
      <c r="AK231" s="765">
        <f t="shared" si="114"/>
        <v>2270</v>
      </c>
      <c r="AL231" s="765">
        <f t="shared" si="112"/>
        <v>2270</v>
      </c>
      <c r="AM231" s="765">
        <f t="shared" si="112"/>
        <v>2270</v>
      </c>
      <c r="AN231" s="765">
        <f t="shared" si="112"/>
        <v>2270</v>
      </c>
    </row>
    <row r="232" spans="2:40" s="3" customFormat="1">
      <c r="B232" s="482" t="s">
        <v>1159</v>
      </c>
      <c r="C232" s="163" t="s">
        <v>952</v>
      </c>
      <c r="E232" s="486"/>
      <c r="F232" s="486"/>
      <c r="G232" s="486"/>
      <c r="H232" s="486"/>
      <c r="I232" s="486"/>
      <c r="J232" s="223">
        <v>125470</v>
      </c>
      <c r="K232" s="486"/>
      <c r="L232" s="223">
        <v>122010</v>
      </c>
      <c r="M232" s="223">
        <v>121050</v>
      </c>
      <c r="N232" s="223">
        <v>120370</v>
      </c>
      <c r="O232" s="223">
        <v>121290</v>
      </c>
      <c r="P232" s="223">
        <v>122210</v>
      </c>
      <c r="Q232" s="223">
        <v>125350</v>
      </c>
      <c r="R232" s="223">
        <v>122210</v>
      </c>
      <c r="S232" s="223">
        <v>126250</v>
      </c>
      <c r="T232" s="223">
        <v>126970</v>
      </c>
      <c r="U232" s="223">
        <v>127340</v>
      </c>
      <c r="V232" s="223">
        <v>127600</v>
      </c>
      <c r="W232" s="486">
        <f t="shared" ref="W232:AL232" si="115">SUM(W228:W231)</f>
        <v>127600</v>
      </c>
      <c r="X232" s="486">
        <f t="shared" si="115"/>
        <v>127600</v>
      </c>
      <c r="Y232" s="486">
        <f t="shared" si="115"/>
        <v>127600</v>
      </c>
      <c r="Z232" s="486">
        <f t="shared" si="115"/>
        <v>127600</v>
      </c>
      <c r="AA232" s="486">
        <f t="shared" si="115"/>
        <v>127600</v>
      </c>
      <c r="AB232" s="486">
        <f t="shared" si="115"/>
        <v>127600</v>
      </c>
      <c r="AC232" s="486">
        <f t="shared" si="115"/>
        <v>127600</v>
      </c>
      <c r="AD232" s="486">
        <f t="shared" si="115"/>
        <v>127600</v>
      </c>
      <c r="AE232" s="486">
        <f t="shared" si="115"/>
        <v>127600</v>
      </c>
      <c r="AF232" s="486">
        <f t="shared" si="115"/>
        <v>127600</v>
      </c>
      <c r="AG232" s="486">
        <f t="shared" si="115"/>
        <v>127600</v>
      </c>
      <c r="AH232" s="486">
        <f t="shared" si="115"/>
        <v>127600</v>
      </c>
      <c r="AI232" s="486">
        <f t="shared" si="115"/>
        <v>127600</v>
      </c>
      <c r="AJ232" s="486">
        <f t="shared" si="115"/>
        <v>127600</v>
      </c>
      <c r="AK232" s="486">
        <f t="shared" si="115"/>
        <v>127600</v>
      </c>
      <c r="AL232" s="486">
        <f t="shared" si="115"/>
        <v>127600</v>
      </c>
      <c r="AM232" s="486">
        <f>SUM(AM228:AM231)</f>
        <v>127600</v>
      </c>
      <c r="AN232" s="486">
        <f>SUM(AN228:AN231)</f>
        <v>127600</v>
      </c>
    </row>
    <row r="233" spans="2:40">
      <c r="B233" s="162" t="s">
        <v>1160</v>
      </c>
      <c r="C233" s="82" t="s">
        <v>952</v>
      </c>
      <c r="E233" s="142"/>
      <c r="F233" s="142"/>
      <c r="G233" s="142"/>
      <c r="H233" s="142"/>
      <c r="I233" s="142"/>
      <c r="J233" s="142"/>
      <c r="K233" s="142"/>
      <c r="L233" s="142">
        <f t="shared" ref="L233:Q233" si="116">AVERAGE(L227,L232)</f>
        <v>122010</v>
      </c>
      <c r="M233" s="142">
        <f t="shared" si="116"/>
        <v>121530</v>
      </c>
      <c r="N233" s="142">
        <f t="shared" si="116"/>
        <v>120710</v>
      </c>
      <c r="O233" s="142">
        <f t="shared" si="116"/>
        <v>120830</v>
      </c>
      <c r="P233" s="142">
        <f t="shared" si="116"/>
        <v>121750</v>
      </c>
      <c r="Q233" s="142">
        <f t="shared" si="116"/>
        <v>123780</v>
      </c>
      <c r="R233" s="142">
        <f>AVERAGE(R227,R232)</f>
        <v>123780</v>
      </c>
      <c r="S233" s="142">
        <f>AVERAGE(S227,S232)</f>
        <v>124230</v>
      </c>
      <c r="T233" s="142">
        <f>AVERAGE(T227,T232)</f>
        <v>126610</v>
      </c>
      <c r="U233" s="142">
        <f>AVERAGE(U227,U232)</f>
        <v>127155</v>
      </c>
      <c r="V233" s="142">
        <f>AVERAGE(V227,V232)</f>
        <v>127470</v>
      </c>
      <c r="W233" s="142">
        <f t="shared" ref="W233:AL233" si="117">AVERAGE(W227,W232)</f>
        <v>127600</v>
      </c>
      <c r="X233" s="142">
        <f t="shared" si="117"/>
        <v>127600</v>
      </c>
      <c r="Y233" s="142">
        <f t="shared" si="117"/>
        <v>127600</v>
      </c>
      <c r="Z233" s="142">
        <f t="shared" si="117"/>
        <v>127600</v>
      </c>
      <c r="AA233" s="142">
        <f t="shared" si="117"/>
        <v>127600</v>
      </c>
      <c r="AB233" s="142">
        <f t="shared" si="117"/>
        <v>127600</v>
      </c>
      <c r="AC233" s="142">
        <f t="shared" si="117"/>
        <v>127600</v>
      </c>
      <c r="AD233" s="142">
        <f t="shared" si="117"/>
        <v>127600</v>
      </c>
      <c r="AE233" s="142">
        <f t="shared" si="117"/>
        <v>127600</v>
      </c>
      <c r="AF233" s="142">
        <f t="shared" si="117"/>
        <v>127600</v>
      </c>
      <c r="AG233" s="142">
        <f t="shared" si="117"/>
        <v>127600</v>
      </c>
      <c r="AH233" s="142">
        <f t="shared" si="117"/>
        <v>127600</v>
      </c>
      <c r="AI233" s="142">
        <f t="shared" si="117"/>
        <v>127600</v>
      </c>
      <c r="AJ233" s="142">
        <f t="shared" si="117"/>
        <v>127600</v>
      </c>
      <c r="AK233" s="142">
        <f t="shared" si="117"/>
        <v>127600</v>
      </c>
      <c r="AL233" s="142">
        <f t="shared" si="117"/>
        <v>127600</v>
      </c>
      <c r="AM233" s="142">
        <f>AVERAGE(AM227,AM232)</f>
        <v>127600</v>
      </c>
      <c r="AN233" s="142">
        <f>AVERAGE(AN227,AN232)</f>
        <v>127600</v>
      </c>
    </row>
    <row r="234" spans="2:40">
      <c r="B234" s="162" t="s">
        <v>1158</v>
      </c>
      <c r="C234" s="82" t="s">
        <v>952</v>
      </c>
      <c r="E234" s="142"/>
      <c r="F234" s="142"/>
      <c r="G234" s="142"/>
      <c r="H234" s="142"/>
      <c r="I234" s="142"/>
      <c r="J234" s="142"/>
      <c r="K234" s="142"/>
      <c r="L234" s="487"/>
      <c r="M234" s="487">
        <f t="shared" ref="M234:R234" si="118">M232-M227</f>
        <v>-960</v>
      </c>
      <c r="N234" s="487">
        <f t="shared" si="118"/>
        <v>-680</v>
      </c>
      <c r="O234" s="487">
        <f t="shared" si="118"/>
        <v>920</v>
      </c>
      <c r="P234" s="487">
        <f t="shared" si="118"/>
        <v>920</v>
      </c>
      <c r="Q234" s="487">
        <f t="shared" si="118"/>
        <v>3140</v>
      </c>
      <c r="R234" s="487">
        <f t="shared" si="118"/>
        <v>-3140</v>
      </c>
      <c r="S234" s="487">
        <f>S232-S227</f>
        <v>4040</v>
      </c>
      <c r="T234" s="487">
        <f>T232-T227</f>
        <v>720</v>
      </c>
      <c r="U234" s="487">
        <f>U232-U227</f>
        <v>370</v>
      </c>
      <c r="V234" s="487">
        <f>V232-V227</f>
        <v>260</v>
      </c>
      <c r="W234" s="487">
        <f t="shared" ref="W234:AL234" si="119">W232-W227</f>
        <v>0</v>
      </c>
      <c r="X234" s="487">
        <f t="shared" si="119"/>
        <v>0</v>
      </c>
      <c r="Y234" s="487">
        <f t="shared" si="119"/>
        <v>0</v>
      </c>
      <c r="Z234" s="487">
        <f t="shared" si="119"/>
        <v>0</v>
      </c>
      <c r="AA234" s="487">
        <f t="shared" si="119"/>
        <v>0</v>
      </c>
      <c r="AB234" s="487">
        <f t="shared" si="119"/>
        <v>0</v>
      </c>
      <c r="AC234" s="487">
        <f t="shared" si="119"/>
        <v>0</v>
      </c>
      <c r="AD234" s="487">
        <f t="shared" si="119"/>
        <v>0</v>
      </c>
      <c r="AE234" s="487">
        <f t="shared" si="119"/>
        <v>0</v>
      </c>
      <c r="AF234" s="487">
        <f t="shared" si="119"/>
        <v>0</v>
      </c>
      <c r="AG234" s="487">
        <f t="shared" si="119"/>
        <v>0</v>
      </c>
      <c r="AH234" s="487">
        <f t="shared" si="119"/>
        <v>0</v>
      </c>
      <c r="AI234" s="487">
        <f t="shared" si="119"/>
        <v>0</v>
      </c>
      <c r="AJ234" s="487">
        <f t="shared" si="119"/>
        <v>0</v>
      </c>
      <c r="AK234" s="487">
        <f t="shared" si="119"/>
        <v>0</v>
      </c>
      <c r="AL234" s="487">
        <f t="shared" si="119"/>
        <v>0</v>
      </c>
      <c r="AM234" s="487">
        <f>AM232-AM227</f>
        <v>0</v>
      </c>
      <c r="AN234" s="487">
        <f>AN232-AN227</f>
        <v>0</v>
      </c>
    </row>
    <row r="235" spans="2:40">
      <c r="B235" s="162"/>
      <c r="E235" s="142"/>
      <c r="F235" s="142"/>
      <c r="G235" s="142"/>
      <c r="H235" s="142"/>
      <c r="I235" s="142"/>
      <c r="J235" s="142"/>
      <c r="K235" s="142"/>
      <c r="L235" s="487"/>
      <c r="M235" s="487"/>
      <c r="N235" s="487"/>
      <c r="O235" s="487"/>
      <c r="P235" s="487"/>
      <c r="Q235" s="487"/>
      <c r="R235" s="487"/>
      <c r="S235" s="487"/>
      <c r="T235" s="487"/>
      <c r="U235" s="487"/>
      <c r="V235" s="487"/>
      <c r="W235" s="487"/>
      <c r="X235" s="487"/>
      <c r="Y235" s="487"/>
      <c r="Z235" s="487"/>
      <c r="AA235" s="487"/>
      <c r="AB235" s="487"/>
      <c r="AC235" s="487"/>
      <c r="AD235" s="487"/>
      <c r="AE235" s="487"/>
      <c r="AF235" s="487"/>
      <c r="AG235" s="487"/>
      <c r="AH235" s="487"/>
      <c r="AI235" s="487"/>
      <c r="AJ235" s="487"/>
      <c r="AK235" s="487"/>
      <c r="AL235" s="487"/>
      <c r="AM235" s="487"/>
      <c r="AN235" s="487"/>
    </row>
    <row r="236" spans="2:40">
      <c r="B236" s="186" t="s">
        <v>1173</v>
      </c>
      <c r="C236" s="165"/>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c r="AA236" s="142"/>
      <c r="AB236" s="142"/>
      <c r="AC236" s="142"/>
      <c r="AD236" s="142"/>
      <c r="AE236" s="142"/>
      <c r="AF236" s="142"/>
      <c r="AG236" s="142"/>
      <c r="AH236" s="142"/>
      <c r="AI236" s="142"/>
      <c r="AJ236" s="142"/>
      <c r="AK236" s="142"/>
      <c r="AL236" s="142"/>
      <c r="AM236" s="142"/>
      <c r="AN236" s="142"/>
    </row>
    <row r="237" spans="2:40">
      <c r="B237" s="162" t="s">
        <v>1174</v>
      </c>
      <c r="C237" s="165"/>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c r="AA237" s="141">
        <f t="shared" ref="AA237:AN237" si="120">46000-AA229</f>
        <v>16620</v>
      </c>
      <c r="AB237" s="141">
        <f t="shared" si="120"/>
        <v>16620</v>
      </c>
      <c r="AC237" s="141">
        <f t="shared" si="120"/>
        <v>16620</v>
      </c>
      <c r="AD237" s="141">
        <f t="shared" si="120"/>
        <v>16620</v>
      </c>
      <c r="AE237" s="141">
        <f t="shared" si="120"/>
        <v>16620</v>
      </c>
      <c r="AF237" s="141">
        <f t="shared" si="120"/>
        <v>16620</v>
      </c>
      <c r="AG237" s="141">
        <f t="shared" si="120"/>
        <v>16620</v>
      </c>
      <c r="AH237" s="141">
        <f t="shared" si="120"/>
        <v>16620</v>
      </c>
      <c r="AI237" s="141">
        <f t="shared" si="120"/>
        <v>16620</v>
      </c>
      <c r="AJ237" s="141">
        <f t="shared" si="120"/>
        <v>16620</v>
      </c>
      <c r="AK237" s="141">
        <f t="shared" si="120"/>
        <v>16620</v>
      </c>
      <c r="AL237" s="141">
        <f t="shared" si="120"/>
        <v>16620</v>
      </c>
      <c r="AM237" s="141">
        <f t="shared" si="120"/>
        <v>16620</v>
      </c>
      <c r="AN237" s="141">
        <f t="shared" si="120"/>
        <v>16620</v>
      </c>
    </row>
    <row r="238" spans="2:40">
      <c r="B238" s="162" t="s">
        <v>1177</v>
      </c>
      <c r="C238" s="165"/>
      <c r="E238" s="142"/>
      <c r="F238" s="142"/>
      <c r="G238" s="142"/>
      <c r="H238" s="142"/>
      <c r="I238" s="142"/>
      <c r="J238" s="142"/>
      <c r="K238" s="142"/>
      <c r="L238" s="142"/>
      <c r="M238" s="142"/>
      <c r="N238" s="142"/>
      <c r="O238" s="142"/>
      <c r="P238" s="142"/>
      <c r="Q238" s="142"/>
      <c r="R238" s="142"/>
      <c r="S238" s="142"/>
      <c r="T238" s="142"/>
      <c r="U238" s="142"/>
      <c r="V238" s="142"/>
      <c r="W238" s="142"/>
      <c r="X238" s="142"/>
      <c r="Y238" s="142"/>
      <c r="Z238" s="142"/>
      <c r="AA238" s="141">
        <v>28000</v>
      </c>
      <c r="AB238" s="141">
        <v>28000</v>
      </c>
      <c r="AC238" s="141">
        <v>28000</v>
      </c>
      <c r="AD238" s="141">
        <v>28000</v>
      </c>
      <c r="AE238" s="141">
        <v>28000</v>
      </c>
      <c r="AF238" s="141">
        <v>28000</v>
      </c>
      <c r="AG238" s="141">
        <v>28000</v>
      </c>
      <c r="AH238" s="141">
        <v>28000</v>
      </c>
      <c r="AI238" s="141">
        <v>28000</v>
      </c>
      <c r="AJ238" s="141">
        <v>28000</v>
      </c>
      <c r="AK238" s="141">
        <v>28000</v>
      </c>
      <c r="AL238" s="141">
        <v>28000</v>
      </c>
      <c r="AM238" s="141">
        <v>28000</v>
      </c>
      <c r="AN238" s="141">
        <v>28000</v>
      </c>
    </row>
    <row r="239" spans="2:40">
      <c r="B239" s="162" t="s">
        <v>1175</v>
      </c>
      <c r="C239" s="165"/>
      <c r="E239" s="142"/>
      <c r="F239" s="142"/>
      <c r="G239" s="142"/>
      <c r="H239" s="142"/>
      <c r="I239" s="142"/>
      <c r="J239" s="142"/>
      <c r="K239" s="142"/>
      <c r="L239" s="142"/>
      <c r="M239" s="142"/>
      <c r="N239" s="142"/>
      <c r="O239" s="142"/>
      <c r="P239" s="142"/>
      <c r="Q239" s="142"/>
      <c r="R239" s="142"/>
      <c r="S239" s="142"/>
      <c r="T239" s="142"/>
      <c r="U239" s="142"/>
      <c r="V239" s="142"/>
      <c r="W239" s="142"/>
      <c r="X239" s="142"/>
      <c r="Y239" s="142"/>
      <c r="Z239" s="142"/>
      <c r="AA239" s="141">
        <v>12000</v>
      </c>
      <c r="AB239" s="141">
        <v>12000</v>
      </c>
      <c r="AC239" s="141">
        <v>12000</v>
      </c>
      <c r="AD239" s="141">
        <v>12000</v>
      </c>
      <c r="AE239" s="141">
        <v>12000</v>
      </c>
      <c r="AF239" s="141">
        <v>12000</v>
      </c>
      <c r="AG239" s="141">
        <v>12000</v>
      </c>
      <c r="AH239" s="141">
        <v>12000</v>
      </c>
      <c r="AI239" s="141">
        <v>12000</v>
      </c>
      <c r="AJ239" s="141">
        <v>12000</v>
      </c>
      <c r="AK239" s="141">
        <v>12000</v>
      </c>
      <c r="AL239" s="141">
        <v>12000</v>
      </c>
      <c r="AM239" s="141">
        <v>12000</v>
      </c>
      <c r="AN239" s="141">
        <v>12000</v>
      </c>
    </row>
    <row r="240" spans="2:40">
      <c r="B240" s="162" t="s">
        <v>1176</v>
      </c>
      <c r="C240" s="165"/>
      <c r="E240" s="142"/>
      <c r="F240" s="142"/>
      <c r="G240" s="142"/>
      <c r="H240" s="142"/>
      <c r="I240" s="142"/>
      <c r="J240" s="142"/>
      <c r="K240" s="142"/>
      <c r="L240" s="142"/>
      <c r="M240" s="142"/>
      <c r="N240" s="142"/>
      <c r="O240" s="142"/>
      <c r="P240" s="142"/>
      <c r="Q240" s="142"/>
      <c r="R240" s="142"/>
      <c r="S240" s="142"/>
      <c r="T240" s="142"/>
      <c r="U240" s="142"/>
      <c r="V240" s="142"/>
      <c r="W240" s="142"/>
      <c r="X240" s="142"/>
      <c r="Y240" s="142"/>
      <c r="Z240" s="142"/>
      <c r="AA240" s="141">
        <v>3800</v>
      </c>
      <c r="AB240" s="141">
        <v>3800</v>
      </c>
      <c r="AC240" s="141">
        <v>3800</v>
      </c>
      <c r="AD240" s="141">
        <v>3800</v>
      </c>
      <c r="AE240" s="141">
        <v>3800</v>
      </c>
      <c r="AF240" s="141">
        <v>3800</v>
      </c>
      <c r="AG240" s="141">
        <v>3800</v>
      </c>
      <c r="AH240" s="141">
        <v>3800</v>
      </c>
      <c r="AI240" s="141">
        <v>3800</v>
      </c>
      <c r="AJ240" s="141">
        <v>3800</v>
      </c>
      <c r="AK240" s="141">
        <v>3800</v>
      </c>
      <c r="AL240" s="141">
        <v>3800</v>
      </c>
      <c r="AM240" s="141">
        <v>3800</v>
      </c>
      <c r="AN240" s="141">
        <v>3800</v>
      </c>
    </row>
    <row r="241" spans="2:40">
      <c r="B241" s="162" t="s">
        <v>1178</v>
      </c>
      <c r="C241" s="165"/>
      <c r="E241" s="142"/>
      <c r="F241" s="142"/>
      <c r="G241" s="142"/>
      <c r="H241" s="142"/>
      <c r="I241" s="142"/>
      <c r="J241" s="142"/>
      <c r="K241" s="142"/>
      <c r="L241" s="142"/>
      <c r="M241" s="142"/>
      <c r="N241" s="142"/>
      <c r="O241" s="142"/>
      <c r="P241" s="142"/>
      <c r="Q241" s="142"/>
      <c r="R241" s="142"/>
      <c r="S241" s="142"/>
      <c r="T241" s="142"/>
      <c r="U241" s="142"/>
      <c r="V241" s="142"/>
      <c r="W241" s="142"/>
      <c r="X241" s="142"/>
      <c r="Y241" s="142"/>
      <c r="Z241" s="142"/>
      <c r="AA241" s="141">
        <v>15000</v>
      </c>
      <c r="AB241" s="141">
        <v>15000</v>
      </c>
      <c r="AC241" s="141">
        <v>15000</v>
      </c>
      <c r="AD241" s="141">
        <v>15000</v>
      </c>
      <c r="AE241" s="141">
        <v>15000</v>
      </c>
      <c r="AF241" s="141">
        <v>15000</v>
      </c>
      <c r="AG241" s="141">
        <v>15000</v>
      </c>
      <c r="AH241" s="141">
        <v>15000</v>
      </c>
      <c r="AI241" s="141">
        <v>15000</v>
      </c>
      <c r="AJ241" s="141">
        <v>15000</v>
      </c>
      <c r="AK241" s="141">
        <v>15000</v>
      </c>
      <c r="AL241" s="141">
        <v>15000</v>
      </c>
      <c r="AM241" s="141">
        <v>15000</v>
      </c>
      <c r="AN241" s="141">
        <v>15000</v>
      </c>
    </row>
    <row r="242" spans="2:40">
      <c r="B242" s="161"/>
      <c r="C242" s="131"/>
      <c r="E242" s="135"/>
      <c r="F242" s="135"/>
      <c r="G242" s="135"/>
      <c r="H242" s="135"/>
      <c r="I242" s="135"/>
      <c r="J242" s="135"/>
      <c r="K242" s="135"/>
      <c r="L242" s="135"/>
      <c r="M242" s="135"/>
      <c r="N242" s="135"/>
      <c r="O242" s="135"/>
      <c r="P242" s="135"/>
      <c r="R242" s="136"/>
      <c r="S242" s="136"/>
      <c r="T242" s="136"/>
      <c r="U242" s="136"/>
      <c r="V242" s="136"/>
      <c r="W242" s="136"/>
      <c r="X242" s="136"/>
      <c r="Y242" s="136"/>
      <c r="Z242" s="136"/>
      <c r="AA242" s="136"/>
      <c r="AB242" s="136"/>
      <c r="AC242" s="136"/>
      <c r="AD242" s="136"/>
      <c r="AE242" s="136"/>
      <c r="AF242" s="136"/>
      <c r="AG242" s="136"/>
      <c r="AH242" s="136"/>
      <c r="AI242" s="136"/>
      <c r="AJ242" s="136"/>
      <c r="AK242" s="136"/>
      <c r="AL242" s="136"/>
      <c r="AM242" s="136"/>
      <c r="AN242" s="136"/>
    </row>
    <row r="243" spans="2:40">
      <c r="B243" s="185" t="s">
        <v>1293</v>
      </c>
      <c r="C243" s="165"/>
      <c r="E243" s="142"/>
      <c r="F243" s="142"/>
      <c r="G243" s="142"/>
      <c r="H243" s="142"/>
      <c r="I243" s="142"/>
      <c r="J243" s="142"/>
      <c r="K243" s="142"/>
      <c r="L243" s="142"/>
      <c r="M243" s="142"/>
      <c r="N243" s="142"/>
      <c r="O243" s="135"/>
      <c r="P243" s="135"/>
      <c r="Q243" s="142"/>
      <c r="R243" s="142"/>
      <c r="S243" s="142"/>
      <c r="T243" s="142"/>
      <c r="U243" s="142"/>
      <c r="V243" s="142"/>
      <c r="W243" s="142"/>
      <c r="X243" s="142"/>
      <c r="Y243" s="142"/>
      <c r="Z243" s="142"/>
      <c r="AA243" s="142"/>
      <c r="AB243" s="142"/>
      <c r="AC243" s="142"/>
      <c r="AD243" s="142"/>
      <c r="AE243" s="142"/>
      <c r="AF243" s="142"/>
      <c r="AG243" s="142"/>
      <c r="AH243" s="142"/>
      <c r="AI243" s="142"/>
      <c r="AJ243" s="142"/>
      <c r="AK243" s="142"/>
      <c r="AL243" s="142"/>
      <c r="AM243" s="142"/>
      <c r="AN243" s="142"/>
    </row>
    <row r="244" spans="2:40" s="3" customFormat="1">
      <c r="B244" s="492" t="s">
        <v>1</v>
      </c>
      <c r="C244" s="484" t="s">
        <v>900</v>
      </c>
      <c r="E244" s="485">
        <v>162.30000000000001</v>
      </c>
      <c r="F244" s="485">
        <f>315-E244</f>
        <v>152.69999999999999</v>
      </c>
      <c r="G244" s="485">
        <v>155.80000000000001</v>
      </c>
      <c r="H244" s="485">
        <f>304-G244</f>
        <v>148.19999999999999</v>
      </c>
      <c r="I244" s="485">
        <v>149</v>
      </c>
      <c r="J244" s="485">
        <f>221-I244</f>
        <v>72</v>
      </c>
      <c r="K244" s="485">
        <v>73</v>
      </c>
      <c r="L244" s="485">
        <f>183.2-K244</f>
        <v>110.19999999999999</v>
      </c>
      <c r="M244" s="489">
        <v>79.599999999999994</v>
      </c>
      <c r="N244" s="489">
        <f>196.9-M244</f>
        <v>117.30000000000001</v>
      </c>
      <c r="O244" s="489">
        <v>108.8</v>
      </c>
      <c r="P244" s="489">
        <f>203.6-O244</f>
        <v>94.8</v>
      </c>
      <c r="Q244" s="485">
        <v>80.3</v>
      </c>
      <c r="R244" s="485">
        <f>163.4-Q244</f>
        <v>83.100000000000009</v>
      </c>
      <c r="S244" s="485">
        <v>88.1</v>
      </c>
      <c r="T244" s="485">
        <f>175.8-S244</f>
        <v>87.700000000000017</v>
      </c>
      <c r="U244" s="485">
        <v>91.7</v>
      </c>
      <c r="V244" s="485">
        <f>181.6-U244</f>
        <v>89.899999999999991</v>
      </c>
      <c r="W244" s="222">
        <f t="shared" ref="W244:AN244" si="121">U244*(1+W245)</f>
        <v>93.992499999999993</v>
      </c>
      <c r="X244" s="222">
        <f t="shared" si="121"/>
        <v>92.14749999999998</v>
      </c>
      <c r="Y244" s="222">
        <f t="shared" si="121"/>
        <v>96.342312499999977</v>
      </c>
      <c r="Z244" s="222">
        <f t="shared" si="121"/>
        <v>94.451187499999975</v>
      </c>
      <c r="AA244" s="222">
        <f t="shared" si="121"/>
        <v>99.23258187499998</v>
      </c>
      <c r="AB244" s="222">
        <f t="shared" si="121"/>
        <v>97.284723124999971</v>
      </c>
      <c r="AC244" s="222">
        <f t="shared" si="121"/>
        <v>102.20955933124998</v>
      </c>
      <c r="AD244" s="222">
        <f t="shared" si="121"/>
        <v>100.20326481874997</v>
      </c>
      <c r="AE244" s="222">
        <f t="shared" si="121"/>
        <v>105.27584611118748</v>
      </c>
      <c r="AF244" s="222">
        <f t="shared" si="121"/>
        <v>103.20936276331247</v>
      </c>
      <c r="AG244" s="222">
        <f t="shared" si="121"/>
        <v>108.4341214945231</v>
      </c>
      <c r="AH244" s="222">
        <f t="shared" si="121"/>
        <v>106.30564364621185</v>
      </c>
      <c r="AI244" s="222">
        <f t="shared" si="121"/>
        <v>111.68714513935879</v>
      </c>
      <c r="AJ244" s="222">
        <f t="shared" si="121"/>
        <v>109.49481295559821</v>
      </c>
      <c r="AK244" s="222">
        <f t="shared" si="121"/>
        <v>115.03775949353955</v>
      </c>
      <c r="AL244" s="222">
        <f t="shared" si="121"/>
        <v>112.77965734426616</v>
      </c>
      <c r="AM244" s="222">
        <f t="shared" si="121"/>
        <v>118.48889227834574</v>
      </c>
      <c r="AN244" s="222">
        <f t="shared" si="121"/>
        <v>116.16304706459414</v>
      </c>
    </row>
    <row r="245" spans="2:40" s="511" customFormat="1">
      <c r="B245" s="512" t="s">
        <v>978</v>
      </c>
      <c r="C245" s="513" t="s">
        <v>842</v>
      </c>
      <c r="E245" s="514" t="e">
        <f>E244/#REF!</f>
        <v>#REF!</v>
      </c>
      <c r="F245" s="514" t="e">
        <f>F244/#REF!</f>
        <v>#REF!</v>
      </c>
      <c r="G245" s="514" t="e">
        <f>G244/#REF!</f>
        <v>#REF!</v>
      </c>
      <c r="H245" s="514" t="e">
        <f>H244/#REF!</f>
        <v>#REF!</v>
      </c>
      <c r="I245" s="514" t="e">
        <f>I244/#REF!</f>
        <v>#REF!</v>
      </c>
      <c r="J245" s="514" t="e">
        <f>J244/#REF!</f>
        <v>#REF!</v>
      </c>
      <c r="K245" s="514" t="e">
        <f>K244/#REF!</f>
        <v>#REF!</v>
      </c>
      <c r="L245" s="514" t="e">
        <f>L244/#REF!</f>
        <v>#REF!</v>
      </c>
      <c r="M245" s="514"/>
      <c r="N245" s="514"/>
      <c r="O245" s="514"/>
      <c r="P245" s="514"/>
      <c r="Q245" s="514"/>
      <c r="R245" s="514"/>
      <c r="S245" s="514">
        <f t="shared" ref="S245:U245" si="122">S244/Q244-1</f>
        <v>9.7135740971357354E-2</v>
      </c>
      <c r="T245" s="514">
        <f t="shared" si="122"/>
        <v>5.5354993983153022E-2</v>
      </c>
      <c r="U245" s="514">
        <f t="shared" si="122"/>
        <v>4.0862656072644832E-2</v>
      </c>
      <c r="V245" s="514">
        <f>V244/T244-1</f>
        <v>2.5085518814138785E-2</v>
      </c>
      <c r="W245" s="158">
        <v>2.5000000000000001E-2</v>
      </c>
      <c r="X245" s="158">
        <v>2.5000000000000001E-2</v>
      </c>
      <c r="Y245" s="158">
        <v>2.5000000000000001E-2</v>
      </c>
      <c r="Z245" s="158">
        <v>2.5000000000000001E-2</v>
      </c>
      <c r="AA245" s="158">
        <v>0.03</v>
      </c>
      <c r="AB245" s="158">
        <v>0.03</v>
      </c>
      <c r="AC245" s="158">
        <v>0.03</v>
      </c>
      <c r="AD245" s="158">
        <v>0.03</v>
      </c>
      <c r="AE245" s="158">
        <v>0.03</v>
      </c>
      <c r="AF245" s="158">
        <v>0.03</v>
      </c>
      <c r="AG245" s="158">
        <v>0.03</v>
      </c>
      <c r="AH245" s="158">
        <v>0.03</v>
      </c>
      <c r="AI245" s="158">
        <v>0.03</v>
      </c>
      <c r="AJ245" s="158">
        <v>0.03</v>
      </c>
      <c r="AK245" s="158">
        <v>0.03</v>
      </c>
      <c r="AL245" s="158">
        <v>0.03</v>
      </c>
      <c r="AM245" s="158">
        <v>0.03</v>
      </c>
      <c r="AN245" s="158">
        <v>0.03</v>
      </c>
    </row>
    <row r="246" spans="2:40" s="3" customFormat="1">
      <c r="B246" s="492"/>
      <c r="C246" s="484"/>
      <c r="E246" s="485"/>
      <c r="F246" s="485"/>
      <c r="G246" s="485"/>
      <c r="H246" s="485"/>
      <c r="I246" s="485"/>
      <c r="J246" s="485"/>
      <c r="K246" s="485"/>
      <c r="L246" s="485"/>
      <c r="M246" s="485"/>
      <c r="N246" s="485"/>
      <c r="O246" s="485"/>
      <c r="P246" s="485"/>
      <c r="Q246" s="485"/>
      <c r="R246" s="485"/>
      <c r="S246" s="485"/>
      <c r="T246" s="485"/>
      <c r="U246" s="485"/>
      <c r="V246" s="485"/>
      <c r="W246" s="222"/>
      <c r="X246" s="222"/>
      <c r="Y246" s="222"/>
      <c r="Z246" s="222"/>
      <c r="AA246" s="222"/>
      <c r="AB246" s="222"/>
      <c r="AC246" s="222"/>
      <c r="AD246" s="222"/>
      <c r="AE246" s="222"/>
      <c r="AF246" s="222"/>
      <c r="AG246" s="222"/>
      <c r="AH246" s="222"/>
      <c r="AI246" s="222"/>
      <c r="AJ246" s="222"/>
      <c r="AK246" s="222"/>
      <c r="AL246" s="222"/>
      <c r="AM246" s="222"/>
      <c r="AN246" s="222"/>
    </row>
    <row r="247" spans="2:40" s="3" customFormat="1">
      <c r="B247" s="492" t="s">
        <v>1161</v>
      </c>
      <c r="C247" s="163" t="s">
        <v>900</v>
      </c>
      <c r="E247" s="222">
        <f t="shared" ref="E247:S247" si="123">E250-E244</f>
        <v>-7.4000000000000057</v>
      </c>
      <c r="F247" s="222">
        <f t="shared" si="123"/>
        <v>-6.4999999999999716</v>
      </c>
      <c r="G247" s="222">
        <f t="shared" si="123"/>
        <v>-7.9000000000000057</v>
      </c>
      <c r="H247" s="222">
        <f t="shared" si="123"/>
        <v>-6.0999999999999943</v>
      </c>
      <c r="I247" s="222">
        <f t="shared" si="123"/>
        <v>-7</v>
      </c>
      <c r="J247" s="222">
        <f t="shared" si="123"/>
        <v>-4</v>
      </c>
      <c r="K247" s="222">
        <f t="shared" si="123"/>
        <v>-7</v>
      </c>
      <c r="L247" s="222">
        <f t="shared" si="123"/>
        <v>-4.1999999999999886</v>
      </c>
      <c r="M247" s="494">
        <f t="shared" si="123"/>
        <v>-5</v>
      </c>
      <c r="N247" s="494">
        <f t="shared" si="123"/>
        <v>-5.5999999999999943</v>
      </c>
      <c r="O247" s="494">
        <f t="shared" si="123"/>
        <v>-7.3999999999999915</v>
      </c>
      <c r="P247" s="494">
        <f t="shared" si="123"/>
        <v>-3.0000000000000142</v>
      </c>
      <c r="Q247" s="222">
        <f t="shared" si="123"/>
        <v>-0.39999999999999147</v>
      </c>
      <c r="R247" s="222">
        <f t="shared" si="123"/>
        <v>-1.3000000000000256</v>
      </c>
      <c r="S247" s="222">
        <f t="shared" si="123"/>
        <v>-1.7999999999999972</v>
      </c>
      <c r="T247" s="222">
        <f>T250-T244</f>
        <v>-1.2000000000000028</v>
      </c>
      <c r="U247" s="222">
        <f>U250-U244</f>
        <v>-1.5</v>
      </c>
      <c r="V247" s="222">
        <f>V250-V244</f>
        <v>-0.90000000000000568</v>
      </c>
      <c r="W247" s="222">
        <f t="shared" ref="W247:AN247" si="124">W244*W248</f>
        <v>-0.94097052280312055</v>
      </c>
      <c r="X247" s="222">
        <f t="shared" si="124"/>
        <v>-0.92250000000000576</v>
      </c>
      <c r="Y247" s="222">
        <f t="shared" si="124"/>
        <v>-0.96449478587319837</v>
      </c>
      <c r="Z247" s="222">
        <f t="shared" si="124"/>
        <v>-0.94556250000000586</v>
      </c>
      <c r="AA247" s="222">
        <f t="shared" si="124"/>
        <v>-0.99342962944939439</v>
      </c>
      <c r="AB247" s="222">
        <f t="shared" si="124"/>
        <v>-0.97392937500000598</v>
      </c>
      <c r="AC247" s="222">
        <f t="shared" si="124"/>
        <v>-1.0232325183328761</v>
      </c>
      <c r="AD247" s="222">
        <f t="shared" si="124"/>
        <v>-1.0031472562500061</v>
      </c>
      <c r="AE247" s="222">
        <f t="shared" si="124"/>
        <v>-1.0539294938828625</v>
      </c>
      <c r="AF247" s="222">
        <f t="shared" si="124"/>
        <v>-1.0332416739375063</v>
      </c>
      <c r="AG247" s="222">
        <f t="shared" si="124"/>
        <v>-1.0855473786993484</v>
      </c>
      <c r="AH247" s="222">
        <f t="shared" si="124"/>
        <v>-1.0642389241556316</v>
      </c>
      <c r="AI247" s="222">
        <f t="shared" si="124"/>
        <v>-1.1181138000603288</v>
      </c>
      <c r="AJ247" s="222">
        <f t="shared" si="124"/>
        <v>-1.0961660918803005</v>
      </c>
      <c r="AK247" s="222">
        <f t="shared" si="124"/>
        <v>-1.1516572140621386</v>
      </c>
      <c r="AL247" s="222">
        <f t="shared" si="124"/>
        <v>-1.1290510746367095</v>
      </c>
      <c r="AM247" s="222">
        <f t="shared" si="124"/>
        <v>-1.1862069304840028</v>
      </c>
      <c r="AN247" s="222">
        <f t="shared" si="124"/>
        <v>-1.1629226068758109</v>
      </c>
    </row>
    <row r="248" spans="2:40" s="511" customFormat="1">
      <c r="B248" s="512" t="s">
        <v>1163</v>
      </c>
      <c r="C248" s="513" t="s">
        <v>842</v>
      </c>
      <c r="E248" s="514">
        <f t="shared" ref="E248:S248" si="125">E247/E244</f>
        <v>-4.5594577942082597E-2</v>
      </c>
      <c r="F248" s="514">
        <f t="shared" si="125"/>
        <v>-4.2567125081859676E-2</v>
      </c>
      <c r="G248" s="514">
        <f t="shared" si="125"/>
        <v>-5.0706033376123269E-2</v>
      </c>
      <c r="H248" s="514">
        <f t="shared" si="125"/>
        <v>-4.1160593792172705E-2</v>
      </c>
      <c r="I248" s="514">
        <f t="shared" si="125"/>
        <v>-4.6979865771812082E-2</v>
      </c>
      <c r="J248" s="514">
        <f t="shared" si="125"/>
        <v>-5.5555555555555552E-2</v>
      </c>
      <c r="K248" s="514">
        <f t="shared" si="125"/>
        <v>-9.5890410958904104E-2</v>
      </c>
      <c r="L248" s="514">
        <f t="shared" si="125"/>
        <v>-3.8112522686025309E-2</v>
      </c>
      <c r="M248" s="514">
        <f t="shared" si="125"/>
        <v>-6.2814070351758802E-2</v>
      </c>
      <c r="N248" s="514">
        <f t="shared" si="125"/>
        <v>-4.774083546462058E-2</v>
      </c>
      <c r="O248" s="514">
        <f t="shared" si="125"/>
        <v>-6.8014705882352866E-2</v>
      </c>
      <c r="P248" s="514">
        <f t="shared" si="125"/>
        <v>-3.1645569620253312E-2</v>
      </c>
      <c r="Q248" s="514">
        <f t="shared" si="125"/>
        <v>-4.9813200498130946E-3</v>
      </c>
      <c r="R248" s="514">
        <f t="shared" si="125"/>
        <v>-1.5643802647413062E-2</v>
      </c>
      <c r="S248" s="514">
        <f t="shared" si="125"/>
        <v>-2.0431328036322329E-2</v>
      </c>
      <c r="T248" s="514">
        <f>T247/T244</f>
        <v>-1.3683010262257727E-2</v>
      </c>
      <c r="U248" s="514">
        <f>U247/U244</f>
        <v>-1.6357688113413305E-2</v>
      </c>
      <c r="V248" s="514">
        <f>V247/V244</f>
        <v>-1.0011123470522867E-2</v>
      </c>
      <c r="W248" s="233">
        <f t="shared" ref="W248:AN248" si="126">V248</f>
        <v>-1.0011123470522867E-2</v>
      </c>
      <c r="X248" s="233">
        <f t="shared" si="126"/>
        <v>-1.0011123470522867E-2</v>
      </c>
      <c r="Y248" s="233">
        <f t="shared" si="126"/>
        <v>-1.0011123470522867E-2</v>
      </c>
      <c r="Z248" s="233">
        <f t="shared" si="126"/>
        <v>-1.0011123470522867E-2</v>
      </c>
      <c r="AA248" s="233">
        <f t="shared" si="126"/>
        <v>-1.0011123470522867E-2</v>
      </c>
      <c r="AB248" s="233">
        <f t="shared" si="126"/>
        <v>-1.0011123470522867E-2</v>
      </c>
      <c r="AC248" s="233">
        <f t="shared" si="126"/>
        <v>-1.0011123470522867E-2</v>
      </c>
      <c r="AD248" s="233">
        <f t="shared" si="126"/>
        <v>-1.0011123470522867E-2</v>
      </c>
      <c r="AE248" s="233">
        <f t="shared" si="126"/>
        <v>-1.0011123470522867E-2</v>
      </c>
      <c r="AF248" s="233">
        <f t="shared" si="126"/>
        <v>-1.0011123470522867E-2</v>
      </c>
      <c r="AG248" s="233">
        <f t="shared" si="126"/>
        <v>-1.0011123470522867E-2</v>
      </c>
      <c r="AH248" s="233">
        <f t="shared" si="126"/>
        <v>-1.0011123470522867E-2</v>
      </c>
      <c r="AI248" s="233">
        <f t="shared" si="126"/>
        <v>-1.0011123470522867E-2</v>
      </c>
      <c r="AJ248" s="233">
        <f t="shared" si="126"/>
        <v>-1.0011123470522867E-2</v>
      </c>
      <c r="AK248" s="233">
        <f t="shared" si="126"/>
        <v>-1.0011123470522867E-2</v>
      </c>
      <c r="AL248" s="233">
        <f t="shared" si="126"/>
        <v>-1.0011123470522867E-2</v>
      </c>
      <c r="AM248" s="233">
        <f t="shared" si="126"/>
        <v>-1.0011123470522867E-2</v>
      </c>
      <c r="AN248" s="233">
        <f t="shared" si="126"/>
        <v>-1.0011123470522867E-2</v>
      </c>
    </row>
    <row r="249" spans="2:40" s="511" customFormat="1">
      <c r="B249" s="512"/>
      <c r="C249" s="513"/>
      <c r="E249" s="514"/>
      <c r="F249" s="514"/>
      <c r="G249" s="514"/>
      <c r="H249" s="514"/>
      <c r="I249" s="514"/>
      <c r="J249" s="514"/>
      <c r="K249" s="514"/>
      <c r="L249" s="514"/>
      <c r="M249" s="514"/>
      <c r="N249" s="514"/>
      <c r="O249" s="514"/>
      <c r="P249" s="514"/>
      <c r="Q249" s="514"/>
      <c r="R249" s="514"/>
      <c r="S249" s="514"/>
      <c r="T249" s="514"/>
      <c r="U249" s="514"/>
      <c r="V249" s="514"/>
      <c r="W249" s="514"/>
      <c r="X249" s="514"/>
      <c r="Y249" s="514"/>
      <c r="Z249" s="514"/>
      <c r="AA249" s="514"/>
      <c r="AB249" s="514"/>
      <c r="AC249" s="514"/>
      <c r="AD249" s="514"/>
      <c r="AE249" s="514"/>
      <c r="AF249" s="514"/>
      <c r="AG249" s="514"/>
      <c r="AH249" s="514"/>
      <c r="AI249" s="514"/>
      <c r="AJ249" s="514"/>
      <c r="AK249" s="514"/>
      <c r="AL249" s="514"/>
      <c r="AM249" s="514"/>
      <c r="AN249" s="514"/>
    </row>
    <row r="250" spans="2:40" s="3" customFormat="1">
      <c r="B250" s="492" t="s">
        <v>1164</v>
      </c>
      <c r="C250" s="484" t="s">
        <v>900</v>
      </c>
      <c r="E250" s="485">
        <v>154.9</v>
      </c>
      <c r="F250" s="485">
        <f>301.1 -E250</f>
        <v>146.20000000000002</v>
      </c>
      <c r="G250" s="485">
        <v>147.9</v>
      </c>
      <c r="H250" s="485">
        <f>290-G250</f>
        <v>142.1</v>
      </c>
      <c r="I250" s="485">
        <v>142</v>
      </c>
      <c r="J250" s="485">
        <f>210-I250</f>
        <v>68</v>
      </c>
      <c r="K250" s="485">
        <v>66</v>
      </c>
      <c r="L250" s="485">
        <f>172-K250</f>
        <v>106</v>
      </c>
      <c r="M250" s="489">
        <v>74.599999999999994</v>
      </c>
      <c r="N250" s="489">
        <f>186.3-M250</f>
        <v>111.70000000000002</v>
      </c>
      <c r="O250" s="489">
        <v>101.4</v>
      </c>
      <c r="P250" s="489">
        <f>193.2-O250</f>
        <v>91.799999999999983</v>
      </c>
      <c r="Q250" s="485">
        <v>79.900000000000006</v>
      </c>
      <c r="R250" s="485">
        <f>161.7 -Q250</f>
        <v>81.799999999999983</v>
      </c>
      <c r="S250" s="485">
        <v>86.3</v>
      </c>
      <c r="T250" s="485">
        <f>172.8-S250</f>
        <v>86.500000000000014</v>
      </c>
      <c r="U250" s="485">
        <v>90.2</v>
      </c>
      <c r="V250" s="485">
        <f>179.2-U250</f>
        <v>88.999999999999986</v>
      </c>
      <c r="W250" s="222">
        <f t="shared" ref="W250:AN250" si="127">W244+W247</f>
        <v>93.051529477196866</v>
      </c>
      <c r="X250" s="222">
        <f t="shared" si="127"/>
        <v>91.22499999999998</v>
      </c>
      <c r="Y250" s="222">
        <f t="shared" si="127"/>
        <v>95.377817714126778</v>
      </c>
      <c r="Z250" s="222">
        <f t="shared" si="127"/>
        <v>93.505624999999966</v>
      </c>
      <c r="AA250" s="222">
        <f t="shared" si="127"/>
        <v>98.239152245550585</v>
      </c>
      <c r="AB250" s="222">
        <f t="shared" si="127"/>
        <v>96.310793749999959</v>
      </c>
      <c r="AC250" s="222">
        <f t="shared" si="127"/>
        <v>101.1863268129171</v>
      </c>
      <c r="AD250" s="222">
        <f t="shared" si="127"/>
        <v>99.200117562499969</v>
      </c>
      <c r="AE250" s="222">
        <f t="shared" si="127"/>
        <v>104.22191661730461</v>
      </c>
      <c r="AF250" s="222">
        <f t="shared" si="127"/>
        <v>102.17612108937496</v>
      </c>
      <c r="AG250" s="222">
        <f t="shared" si="127"/>
        <v>107.34857411582375</v>
      </c>
      <c r="AH250" s="222">
        <f t="shared" si="127"/>
        <v>105.24140472205622</v>
      </c>
      <c r="AI250" s="222">
        <f t="shared" si="127"/>
        <v>110.56903133929846</v>
      </c>
      <c r="AJ250" s="222">
        <f t="shared" si="127"/>
        <v>108.3986468637179</v>
      </c>
      <c r="AK250" s="222">
        <f t="shared" si="127"/>
        <v>113.88610227947741</v>
      </c>
      <c r="AL250" s="222">
        <f t="shared" si="127"/>
        <v>111.65060626962945</v>
      </c>
      <c r="AM250" s="222">
        <f t="shared" si="127"/>
        <v>117.30268534786174</v>
      </c>
      <c r="AN250" s="222">
        <f t="shared" si="127"/>
        <v>115.00012445771833</v>
      </c>
    </row>
    <row r="251" spans="2:40" s="511" customFormat="1">
      <c r="B251" s="512" t="s">
        <v>847</v>
      </c>
      <c r="C251" s="513" t="s">
        <v>842</v>
      </c>
      <c r="E251" s="514">
        <f t="shared" ref="E251:AN251" si="128">E250/E244</f>
        <v>0.95440542205791745</v>
      </c>
      <c r="F251" s="514">
        <f t="shared" si="128"/>
        <v>0.95743287491814033</v>
      </c>
      <c r="G251" s="514">
        <f t="shared" si="128"/>
        <v>0.94929396662387677</v>
      </c>
      <c r="H251" s="514">
        <f t="shared" si="128"/>
        <v>0.95883940620782726</v>
      </c>
      <c r="I251" s="514">
        <f t="shared" si="128"/>
        <v>0.95302013422818788</v>
      </c>
      <c r="J251" s="514">
        <f t="shared" si="128"/>
        <v>0.94444444444444442</v>
      </c>
      <c r="K251" s="514">
        <f t="shared" si="128"/>
        <v>0.90410958904109584</v>
      </c>
      <c r="L251" s="514">
        <f t="shared" si="128"/>
        <v>0.96188747731397473</v>
      </c>
      <c r="M251" s="514">
        <f t="shared" si="128"/>
        <v>0.93718592964824121</v>
      </c>
      <c r="N251" s="514">
        <f t="shared" si="128"/>
        <v>0.9522591645353794</v>
      </c>
      <c r="O251" s="514">
        <f t="shared" si="128"/>
        <v>0.93198529411764719</v>
      </c>
      <c r="P251" s="514">
        <f t="shared" si="128"/>
        <v>0.96835443037974667</v>
      </c>
      <c r="Q251" s="514">
        <f t="shared" si="128"/>
        <v>0.99501867995018689</v>
      </c>
      <c r="R251" s="514">
        <f t="shared" si="128"/>
        <v>0.98435619735258695</v>
      </c>
      <c r="S251" s="514">
        <f t="shared" si="128"/>
        <v>0.9795686719636777</v>
      </c>
      <c r="T251" s="514">
        <f>T250/T244</f>
        <v>0.98631698973774229</v>
      </c>
      <c r="U251" s="514">
        <f>U250/U244</f>
        <v>0.98364231188658668</v>
      </c>
      <c r="V251" s="514">
        <f>V250/V244</f>
        <v>0.98998887652947709</v>
      </c>
      <c r="W251" s="514">
        <f t="shared" si="128"/>
        <v>0.98998887652947709</v>
      </c>
      <c r="X251" s="514">
        <f t="shared" si="128"/>
        <v>0.9899888765294772</v>
      </c>
      <c r="Y251" s="514">
        <f t="shared" si="128"/>
        <v>0.98998887652947709</v>
      </c>
      <c r="Z251" s="514">
        <f t="shared" si="128"/>
        <v>0.98998887652947709</v>
      </c>
      <c r="AA251" s="514">
        <f t="shared" si="128"/>
        <v>0.98998887652947709</v>
      </c>
      <c r="AB251" s="514">
        <f t="shared" si="128"/>
        <v>0.98998887652947709</v>
      </c>
      <c r="AC251" s="514">
        <f t="shared" si="128"/>
        <v>0.98998887652947709</v>
      </c>
      <c r="AD251" s="514">
        <f t="shared" si="128"/>
        <v>0.9899888765294772</v>
      </c>
      <c r="AE251" s="514">
        <f t="shared" si="128"/>
        <v>0.98998887652947709</v>
      </c>
      <c r="AF251" s="514">
        <f t="shared" si="128"/>
        <v>0.98998887652947709</v>
      </c>
      <c r="AG251" s="514">
        <f t="shared" si="128"/>
        <v>0.9899888765294772</v>
      </c>
      <c r="AH251" s="514">
        <f t="shared" si="128"/>
        <v>0.98998887652947709</v>
      </c>
      <c r="AI251" s="514">
        <f t="shared" si="128"/>
        <v>0.98998887652947709</v>
      </c>
      <c r="AJ251" s="514">
        <f t="shared" si="128"/>
        <v>0.98998887652947709</v>
      </c>
      <c r="AK251" s="514">
        <f t="shared" si="128"/>
        <v>0.98998887652947709</v>
      </c>
      <c r="AL251" s="514">
        <f t="shared" si="128"/>
        <v>0.9899888765294772</v>
      </c>
      <c r="AM251" s="514">
        <f t="shared" si="128"/>
        <v>0.98998887652947709</v>
      </c>
      <c r="AN251" s="514">
        <f t="shared" si="128"/>
        <v>0.98998887652947709</v>
      </c>
    </row>
    <row r="252" spans="2:40" s="511" customFormat="1">
      <c r="B252" s="512"/>
      <c r="C252" s="513"/>
      <c r="E252" s="514"/>
      <c r="F252" s="514"/>
      <c r="G252" s="514"/>
      <c r="H252" s="514"/>
      <c r="I252" s="514"/>
      <c r="J252" s="514"/>
      <c r="K252" s="514"/>
      <c r="L252" s="514"/>
      <c r="M252" s="514"/>
      <c r="N252" s="514"/>
      <c r="O252" s="514"/>
      <c r="P252" s="514"/>
      <c r="Q252" s="514"/>
      <c r="R252" s="514"/>
      <c r="S252" s="514"/>
      <c r="T252" s="514"/>
      <c r="U252" s="514"/>
      <c r="V252" s="514"/>
      <c r="W252" s="514"/>
      <c r="X252" s="514"/>
      <c r="Y252" s="514"/>
      <c r="Z252" s="514"/>
      <c r="AA252" s="514"/>
      <c r="AB252" s="514"/>
      <c r="AC252" s="514"/>
      <c r="AD252" s="514"/>
      <c r="AE252" s="514"/>
      <c r="AF252" s="514"/>
      <c r="AG252" s="514"/>
      <c r="AH252" s="514"/>
      <c r="AI252" s="514"/>
      <c r="AJ252" s="514"/>
      <c r="AK252" s="514"/>
      <c r="AL252" s="514"/>
      <c r="AM252" s="514"/>
      <c r="AN252" s="514"/>
    </row>
    <row r="253" spans="2:40" s="3" customFormat="1">
      <c r="B253" s="492" t="s">
        <v>4</v>
      </c>
      <c r="C253" s="484" t="s">
        <v>900</v>
      </c>
      <c r="E253" s="485">
        <v>-74.7</v>
      </c>
      <c r="F253" s="485">
        <f>-149.1-E253</f>
        <v>-74.399999999999991</v>
      </c>
      <c r="G253" s="485">
        <v>-71.2</v>
      </c>
      <c r="H253" s="485">
        <f>-144-G253</f>
        <v>-72.8</v>
      </c>
      <c r="I253" s="485">
        <v>-76</v>
      </c>
      <c r="J253" s="485">
        <f>-126-I253</f>
        <v>-50</v>
      </c>
      <c r="K253" s="485">
        <v>-44</v>
      </c>
      <c r="L253" s="485">
        <f>-101.3-K253</f>
        <v>-57.3</v>
      </c>
      <c r="M253" s="489">
        <v>-55</v>
      </c>
      <c r="N253" s="489">
        <f>-113.1-M253</f>
        <v>-58.099999999999994</v>
      </c>
      <c r="O253" s="489">
        <v>-58.5</v>
      </c>
      <c r="P253" s="489">
        <f>-110.1-O253</f>
        <v>-51.599999999999994</v>
      </c>
      <c r="Q253" s="485">
        <v>-51.6</v>
      </c>
      <c r="R253" s="485">
        <f>-102.7-Q253</f>
        <v>-51.1</v>
      </c>
      <c r="S253" s="485">
        <v>-52.8</v>
      </c>
      <c r="T253" s="485">
        <f>-110.4-S253</f>
        <v>-57.600000000000009</v>
      </c>
      <c r="U253" s="485">
        <v>-54.2</v>
      </c>
      <c r="V253" s="485">
        <f>-109.3-U253</f>
        <v>-55.099999999999994</v>
      </c>
      <c r="W253" s="222">
        <f t="shared" ref="W253:AN253" si="129">W244*W254</f>
        <v>-57.335424999999994</v>
      </c>
      <c r="X253" s="222">
        <f t="shared" si="129"/>
        <v>-56.209974999999986</v>
      </c>
      <c r="Y253" s="222">
        <f t="shared" si="129"/>
        <v>-58.768810624999986</v>
      </c>
      <c r="Z253" s="222">
        <f t="shared" si="129"/>
        <v>-57.615224374999983</v>
      </c>
      <c r="AA253" s="222">
        <f t="shared" si="129"/>
        <v>-60.531874943749983</v>
      </c>
      <c r="AB253" s="222">
        <f t="shared" si="129"/>
        <v>-59.343681106249981</v>
      </c>
      <c r="AC253" s="222">
        <f t="shared" si="129"/>
        <v>-62.347831192062486</v>
      </c>
      <c r="AD253" s="222">
        <f t="shared" si="129"/>
        <v>-61.123991539437483</v>
      </c>
      <c r="AE253" s="222">
        <f t="shared" si="129"/>
        <v>-64.218266127824364</v>
      </c>
      <c r="AF253" s="222">
        <f t="shared" si="129"/>
        <v>-62.957711285620604</v>
      </c>
      <c r="AG253" s="222">
        <f t="shared" si="129"/>
        <v>-66.144814111659088</v>
      </c>
      <c r="AH253" s="222">
        <f t="shared" si="129"/>
        <v>-64.846442624189223</v>
      </c>
      <c r="AI253" s="222">
        <f t="shared" si="129"/>
        <v>-68.129158535008855</v>
      </c>
      <c r="AJ253" s="222">
        <f t="shared" si="129"/>
        <v>-66.791835902914897</v>
      </c>
      <c r="AK253" s="222">
        <f t="shared" si="129"/>
        <v>-70.173033291059127</v>
      </c>
      <c r="AL253" s="222">
        <f t="shared" si="129"/>
        <v>-68.795590980002359</v>
      </c>
      <c r="AM253" s="222">
        <f t="shared" si="129"/>
        <v>-72.278224289790899</v>
      </c>
      <c r="AN253" s="222">
        <f t="shared" si="129"/>
        <v>-70.859458709402418</v>
      </c>
    </row>
    <row r="254" spans="2:40" s="511" customFormat="1">
      <c r="B254" s="512" t="s">
        <v>1163</v>
      </c>
      <c r="C254" s="513" t="s">
        <v>842</v>
      </c>
      <c r="E254" s="514">
        <f t="shared" ref="E254:S254" si="130">E253/E244</f>
        <v>-0.46025878003696857</v>
      </c>
      <c r="F254" s="514">
        <f t="shared" si="130"/>
        <v>-0.48722986247544203</v>
      </c>
      <c r="G254" s="514">
        <f t="shared" si="130"/>
        <v>-0.45699614890885748</v>
      </c>
      <c r="H254" s="514">
        <f t="shared" si="130"/>
        <v>-0.49122807017543862</v>
      </c>
      <c r="I254" s="514">
        <f t="shared" si="130"/>
        <v>-0.51006711409395977</v>
      </c>
      <c r="J254" s="514">
        <f t="shared" si="130"/>
        <v>-0.69444444444444442</v>
      </c>
      <c r="K254" s="514">
        <f t="shared" si="130"/>
        <v>-0.60273972602739723</v>
      </c>
      <c r="L254" s="514">
        <f t="shared" si="130"/>
        <v>-0.51996370235934664</v>
      </c>
      <c r="M254" s="514">
        <f t="shared" si="130"/>
        <v>-0.69095477386934678</v>
      </c>
      <c r="N254" s="514">
        <f t="shared" si="130"/>
        <v>-0.49531116794543895</v>
      </c>
      <c r="O254" s="514">
        <f t="shared" si="130"/>
        <v>-0.5376838235294118</v>
      </c>
      <c r="P254" s="514">
        <f t="shared" si="130"/>
        <v>-0.54430379746835433</v>
      </c>
      <c r="Q254" s="514">
        <f t="shared" si="130"/>
        <v>-0.64259028642590288</v>
      </c>
      <c r="R254" s="514">
        <f t="shared" si="130"/>
        <v>-0.61492178098676287</v>
      </c>
      <c r="S254" s="514">
        <f t="shared" si="130"/>
        <v>-0.59931895573212257</v>
      </c>
      <c r="T254" s="514">
        <f>T253/T244</f>
        <v>-0.65678449258836946</v>
      </c>
      <c r="U254" s="514">
        <f>U253/U244</f>
        <v>-0.59105779716466744</v>
      </c>
      <c r="V254" s="514">
        <f>V253/V244</f>
        <v>-0.61290322580645162</v>
      </c>
      <c r="W254" s="829">
        <v>-0.61</v>
      </c>
      <c r="X254" s="233">
        <f t="shared" ref="X254:AN254" si="131">W254</f>
        <v>-0.61</v>
      </c>
      <c r="Y254" s="233">
        <f t="shared" si="131"/>
        <v>-0.61</v>
      </c>
      <c r="Z254" s="233">
        <f t="shared" si="131"/>
        <v>-0.61</v>
      </c>
      <c r="AA254" s="233">
        <f t="shared" si="131"/>
        <v>-0.61</v>
      </c>
      <c r="AB254" s="233">
        <f t="shared" si="131"/>
        <v>-0.61</v>
      </c>
      <c r="AC254" s="233">
        <f t="shared" si="131"/>
        <v>-0.61</v>
      </c>
      <c r="AD254" s="233">
        <f t="shared" si="131"/>
        <v>-0.61</v>
      </c>
      <c r="AE254" s="233">
        <f t="shared" si="131"/>
        <v>-0.61</v>
      </c>
      <c r="AF254" s="233">
        <f t="shared" si="131"/>
        <v>-0.61</v>
      </c>
      <c r="AG254" s="233">
        <f t="shared" si="131"/>
        <v>-0.61</v>
      </c>
      <c r="AH254" s="233">
        <f t="shared" si="131"/>
        <v>-0.61</v>
      </c>
      <c r="AI254" s="233">
        <f t="shared" si="131"/>
        <v>-0.61</v>
      </c>
      <c r="AJ254" s="233">
        <f t="shared" si="131"/>
        <v>-0.61</v>
      </c>
      <c r="AK254" s="233">
        <f t="shared" si="131"/>
        <v>-0.61</v>
      </c>
      <c r="AL254" s="233">
        <f t="shared" si="131"/>
        <v>-0.61</v>
      </c>
      <c r="AM254" s="233">
        <f t="shared" si="131"/>
        <v>-0.61</v>
      </c>
      <c r="AN254" s="233">
        <f t="shared" si="131"/>
        <v>-0.61</v>
      </c>
    </row>
    <row r="255" spans="2:40" s="511" customFormat="1">
      <c r="B255" s="512"/>
      <c r="C255" s="513"/>
      <c r="E255" s="514"/>
      <c r="F255" s="514"/>
      <c r="G255" s="514"/>
      <c r="H255" s="514"/>
      <c r="I255" s="514"/>
      <c r="J255" s="514"/>
      <c r="K255" s="514"/>
      <c r="L255" s="514"/>
      <c r="M255" s="514"/>
      <c r="N255" s="514"/>
      <c r="O255" s="514"/>
      <c r="P255" s="514"/>
      <c r="Q255" s="514"/>
      <c r="R255" s="514"/>
      <c r="S255" s="514"/>
      <c r="T255" s="514"/>
      <c r="U255" s="514"/>
      <c r="V255" s="514"/>
      <c r="W255" s="514"/>
      <c r="X255" s="514"/>
      <c r="Y255" s="514"/>
      <c r="Z255" s="514"/>
      <c r="AA255" s="514"/>
      <c r="AB255" s="514"/>
      <c r="AC255" s="514"/>
      <c r="AD255" s="514"/>
      <c r="AE255" s="514"/>
      <c r="AF255" s="514"/>
      <c r="AG255" s="514"/>
      <c r="AH255" s="514"/>
      <c r="AI255" s="514"/>
      <c r="AJ255" s="514"/>
      <c r="AK255" s="514"/>
      <c r="AL255" s="514"/>
      <c r="AM255" s="514"/>
      <c r="AN255" s="514"/>
    </row>
    <row r="256" spans="2:40" s="3" customFormat="1">
      <c r="B256" s="492" t="s">
        <v>2</v>
      </c>
      <c r="C256" s="484" t="s">
        <v>900</v>
      </c>
      <c r="E256" s="485">
        <v>80.2</v>
      </c>
      <c r="F256" s="485">
        <f>150-E256</f>
        <v>69.8</v>
      </c>
      <c r="G256" s="485">
        <v>76.7</v>
      </c>
      <c r="H256" s="485">
        <f>146-G256</f>
        <v>69.3</v>
      </c>
      <c r="I256" s="485">
        <v>66</v>
      </c>
      <c r="J256" s="485">
        <f>84-I256</f>
        <v>18</v>
      </c>
      <c r="K256" s="485">
        <v>22</v>
      </c>
      <c r="L256" s="485">
        <f>70.7-K256</f>
        <v>48.7</v>
      </c>
      <c r="M256" s="489">
        <v>19.600000000000001</v>
      </c>
      <c r="N256" s="489">
        <f>73.2-M256</f>
        <v>53.6</v>
      </c>
      <c r="O256" s="489">
        <v>42.9</v>
      </c>
      <c r="P256" s="489">
        <f>83.1-O256</f>
        <v>40.199999999999996</v>
      </c>
      <c r="Q256" s="485">
        <v>28.3</v>
      </c>
      <c r="R256" s="485">
        <f>59-Q256</f>
        <v>30.7</v>
      </c>
      <c r="S256" s="485">
        <v>33.5</v>
      </c>
      <c r="T256" s="485">
        <f>62.4 -S256</f>
        <v>28.9</v>
      </c>
      <c r="U256" s="485">
        <v>36</v>
      </c>
      <c r="V256" s="485">
        <f>69.9 -U256</f>
        <v>33.900000000000006</v>
      </c>
      <c r="W256" s="222">
        <f t="shared" ref="W256:AN256" si="132">W250+W253</f>
        <v>35.716104477196872</v>
      </c>
      <c r="X256" s="222">
        <f t="shared" si="132"/>
        <v>35.015024999999994</v>
      </c>
      <c r="Y256" s="222">
        <f t="shared" si="132"/>
        <v>36.609007089126791</v>
      </c>
      <c r="Z256" s="222">
        <f t="shared" si="132"/>
        <v>35.890400624999984</v>
      </c>
      <c r="AA256" s="222">
        <f t="shared" si="132"/>
        <v>37.707277301800602</v>
      </c>
      <c r="AB256" s="222">
        <f t="shared" si="132"/>
        <v>36.967112643749978</v>
      </c>
      <c r="AC256" s="222">
        <f t="shared" si="132"/>
        <v>38.838495620854616</v>
      </c>
      <c r="AD256" s="222">
        <f t="shared" si="132"/>
        <v>38.076126023062486</v>
      </c>
      <c r="AE256" s="222">
        <f t="shared" si="132"/>
        <v>40.00365048948025</v>
      </c>
      <c r="AF256" s="222">
        <f t="shared" si="132"/>
        <v>39.218409803754355</v>
      </c>
      <c r="AG256" s="222">
        <f t="shared" si="132"/>
        <v>41.203760004164664</v>
      </c>
      <c r="AH256" s="222">
        <f t="shared" si="132"/>
        <v>40.394962097866994</v>
      </c>
      <c r="AI256" s="222">
        <f t="shared" si="132"/>
        <v>42.439872804289607</v>
      </c>
      <c r="AJ256" s="222">
        <f t="shared" si="132"/>
        <v>41.606810960803003</v>
      </c>
      <c r="AK256" s="222">
        <f t="shared" si="132"/>
        <v>43.713068988418286</v>
      </c>
      <c r="AL256" s="222">
        <f t="shared" si="132"/>
        <v>42.85501528962709</v>
      </c>
      <c r="AM256" s="222">
        <f t="shared" si="132"/>
        <v>45.024461058070841</v>
      </c>
      <c r="AN256" s="222">
        <f t="shared" si="132"/>
        <v>44.140665748315911</v>
      </c>
    </row>
    <row r="257" spans="1:40">
      <c r="B257" s="161" t="s">
        <v>847</v>
      </c>
      <c r="C257" s="82" t="s">
        <v>842</v>
      </c>
      <c r="E257" s="159">
        <f t="shared" ref="E257:AN257" si="133">E256/E244</f>
        <v>0.49414664202094882</v>
      </c>
      <c r="F257" s="159">
        <f t="shared" si="133"/>
        <v>0.45710543549443355</v>
      </c>
      <c r="G257" s="159">
        <f t="shared" si="133"/>
        <v>0.49229781771501924</v>
      </c>
      <c r="H257" s="159">
        <f t="shared" si="133"/>
        <v>0.46761133603238869</v>
      </c>
      <c r="I257" s="159">
        <f t="shared" si="133"/>
        <v>0.44295302013422821</v>
      </c>
      <c r="J257" s="159">
        <f t="shared" si="133"/>
        <v>0.25</v>
      </c>
      <c r="K257" s="159">
        <f t="shared" si="133"/>
        <v>0.30136986301369861</v>
      </c>
      <c r="L257" s="159">
        <f t="shared" si="133"/>
        <v>0.44192377495462803</v>
      </c>
      <c r="M257" s="159">
        <f t="shared" si="133"/>
        <v>0.24623115577889451</v>
      </c>
      <c r="N257" s="159">
        <f t="shared" si="133"/>
        <v>0.45694799658994029</v>
      </c>
      <c r="O257" s="159">
        <f t="shared" si="133"/>
        <v>0.39430147058823528</v>
      </c>
      <c r="P257" s="159">
        <f t="shared" si="133"/>
        <v>0.42405063291139239</v>
      </c>
      <c r="Q257" s="159">
        <f t="shared" si="133"/>
        <v>0.35242839352428396</v>
      </c>
      <c r="R257" s="159">
        <f t="shared" si="133"/>
        <v>0.36943441636582425</v>
      </c>
      <c r="S257" s="159">
        <f t="shared" si="133"/>
        <v>0.38024971623155507</v>
      </c>
      <c r="T257" s="159">
        <f>T256/T244</f>
        <v>0.32953249714937277</v>
      </c>
      <c r="U257" s="159">
        <f>U256/U244</f>
        <v>0.3925845147219193</v>
      </c>
      <c r="V257" s="159">
        <f>V256/V244</f>
        <v>0.37708565072302569</v>
      </c>
      <c r="W257" s="159">
        <f t="shared" si="133"/>
        <v>0.3799888765294771</v>
      </c>
      <c r="X257" s="159">
        <f t="shared" si="133"/>
        <v>0.37998887652947722</v>
      </c>
      <c r="Y257" s="159">
        <f t="shared" si="133"/>
        <v>0.3799888765294771</v>
      </c>
      <c r="Z257" s="159">
        <f t="shared" si="133"/>
        <v>0.3799888765294771</v>
      </c>
      <c r="AA257" s="159">
        <f t="shared" si="133"/>
        <v>0.37998887652947716</v>
      </c>
      <c r="AB257" s="159">
        <f t="shared" si="133"/>
        <v>0.3799888765294771</v>
      </c>
      <c r="AC257" s="159">
        <f t="shared" si="133"/>
        <v>0.37998887652947716</v>
      </c>
      <c r="AD257" s="159">
        <f t="shared" si="133"/>
        <v>0.37998887652947716</v>
      </c>
      <c r="AE257" s="159">
        <f t="shared" si="133"/>
        <v>0.3799888765294771</v>
      </c>
      <c r="AF257" s="159">
        <f t="shared" si="133"/>
        <v>0.3799888765294771</v>
      </c>
      <c r="AG257" s="159">
        <f t="shared" si="133"/>
        <v>0.37998887652947716</v>
      </c>
      <c r="AH257" s="159">
        <f t="shared" si="133"/>
        <v>0.37998887652947716</v>
      </c>
      <c r="AI257" s="159">
        <f t="shared" si="133"/>
        <v>0.37998887652947722</v>
      </c>
      <c r="AJ257" s="159">
        <f t="shared" si="133"/>
        <v>0.37998887652947716</v>
      </c>
      <c r="AK257" s="159">
        <f t="shared" si="133"/>
        <v>0.3799888765294771</v>
      </c>
      <c r="AL257" s="159">
        <f t="shared" si="133"/>
        <v>0.3799888765294771</v>
      </c>
      <c r="AM257" s="159">
        <f t="shared" si="133"/>
        <v>0.37998887652947716</v>
      </c>
      <c r="AN257" s="159">
        <f t="shared" si="133"/>
        <v>0.37998887652947722</v>
      </c>
    </row>
    <row r="258" spans="1:40" s="3" customFormat="1">
      <c r="B258" s="492" t="s">
        <v>48</v>
      </c>
      <c r="C258" s="484" t="s">
        <v>900</v>
      </c>
      <c r="E258" s="222">
        <v>-30.1</v>
      </c>
      <c r="F258" s="485">
        <f>-65.1-E258</f>
        <v>-34.999999999999993</v>
      </c>
      <c r="G258" s="485">
        <v>-39.1</v>
      </c>
      <c r="H258" s="485">
        <f>-79-G258</f>
        <v>-39.9</v>
      </c>
      <c r="I258" s="485">
        <v>-45</v>
      </c>
      <c r="J258" s="485">
        <f>-98-I258</f>
        <v>-53</v>
      </c>
      <c r="K258" s="485">
        <v>-40</v>
      </c>
      <c r="L258" s="485">
        <f>-80.4-K258</f>
        <v>-40.400000000000006</v>
      </c>
      <c r="M258" s="489">
        <v>-37.5</v>
      </c>
      <c r="N258" s="489">
        <f>-71.4-M258</f>
        <v>-33.900000000000006</v>
      </c>
      <c r="O258" s="489">
        <v>-26.9</v>
      </c>
      <c r="P258" s="489">
        <f>-48.7-O258</f>
        <v>-21.800000000000004</v>
      </c>
      <c r="Q258" s="485">
        <v>-18.7</v>
      </c>
      <c r="R258" s="485">
        <f>-39-Q258</f>
        <v>-20.3</v>
      </c>
      <c r="S258" s="485">
        <v>-20.2</v>
      </c>
      <c r="T258" s="485">
        <f>-41.9-S258</f>
        <v>-21.7</v>
      </c>
      <c r="U258" s="485">
        <v>-21.1</v>
      </c>
      <c r="V258" s="485">
        <f>-42.4-U258</f>
        <v>-21.299999999999997</v>
      </c>
      <c r="W258" s="222"/>
      <c r="X258" s="222"/>
      <c r="Y258" s="222"/>
      <c r="Z258" s="222"/>
      <c r="AA258" s="222"/>
      <c r="AB258" s="222"/>
      <c r="AC258" s="222"/>
      <c r="AD258" s="222"/>
      <c r="AE258" s="222"/>
      <c r="AF258" s="222"/>
      <c r="AG258" s="222"/>
      <c r="AH258" s="222"/>
      <c r="AI258" s="222"/>
      <c r="AJ258" s="222"/>
      <c r="AK258" s="222"/>
      <c r="AL258" s="222"/>
      <c r="AM258" s="222"/>
      <c r="AN258" s="222"/>
    </row>
    <row r="259" spans="1:40">
      <c r="B259" s="161" t="s">
        <v>1162</v>
      </c>
      <c r="C259" s="82" t="s">
        <v>842</v>
      </c>
      <c r="E259" s="159">
        <f t="shared" ref="E259:S259" si="134">E258/E244</f>
        <v>-0.18545902649414664</v>
      </c>
      <c r="F259" s="159">
        <f t="shared" si="134"/>
        <v>-0.22920759659462997</v>
      </c>
      <c r="G259" s="159">
        <f t="shared" si="134"/>
        <v>-0.25096277278562257</v>
      </c>
      <c r="H259" s="159">
        <f t="shared" si="134"/>
        <v>-0.26923076923076922</v>
      </c>
      <c r="I259" s="159">
        <f t="shared" si="134"/>
        <v>-0.30201342281879195</v>
      </c>
      <c r="J259" s="159">
        <f t="shared" si="134"/>
        <v>-0.73611111111111116</v>
      </c>
      <c r="K259" s="159">
        <f t="shared" si="134"/>
        <v>-0.54794520547945202</v>
      </c>
      <c r="L259" s="159">
        <f t="shared" si="134"/>
        <v>-0.36660617059891115</v>
      </c>
      <c r="M259" s="159">
        <f t="shared" si="134"/>
        <v>-0.47110552763819097</v>
      </c>
      <c r="N259" s="159">
        <f t="shared" si="134"/>
        <v>-0.28900255754475707</v>
      </c>
      <c r="O259" s="159">
        <f t="shared" si="134"/>
        <v>-0.24724264705882351</v>
      </c>
      <c r="P259" s="159">
        <f t="shared" si="134"/>
        <v>-0.22995780590717305</v>
      </c>
      <c r="Q259" s="159">
        <f t="shared" si="134"/>
        <v>-0.23287671232876711</v>
      </c>
      <c r="R259" s="159">
        <f t="shared" si="134"/>
        <v>-0.24428399518652225</v>
      </c>
      <c r="S259" s="159">
        <f t="shared" si="134"/>
        <v>-0.22928490351872871</v>
      </c>
      <c r="T259" s="159">
        <f>T258/T244</f>
        <v>-0.24743443557582662</v>
      </c>
      <c r="U259" s="159">
        <f>U258/U244</f>
        <v>-0.23009814612868049</v>
      </c>
      <c r="V259" s="159">
        <f>V258/V244</f>
        <v>-0.23692992213570632</v>
      </c>
      <c r="W259" s="159"/>
      <c r="X259" s="159"/>
      <c r="Y259" s="159"/>
      <c r="Z259" s="159"/>
      <c r="AA259" s="159"/>
      <c r="AB259" s="159"/>
      <c r="AC259" s="159"/>
      <c r="AD259" s="159"/>
      <c r="AE259" s="159"/>
      <c r="AF259" s="159"/>
      <c r="AG259" s="159"/>
      <c r="AH259" s="159"/>
      <c r="AI259" s="159"/>
      <c r="AJ259" s="159"/>
      <c r="AK259" s="159"/>
      <c r="AL259" s="159"/>
      <c r="AM259" s="159"/>
      <c r="AN259" s="159"/>
    </row>
    <row r="260" spans="1:40" s="3" customFormat="1">
      <c r="B260" s="492" t="s">
        <v>10</v>
      </c>
      <c r="C260" s="484" t="s">
        <v>900</v>
      </c>
      <c r="E260" s="485">
        <v>50.1</v>
      </c>
      <c r="F260" s="485">
        <f>86.9-E260</f>
        <v>36.800000000000004</v>
      </c>
      <c r="G260" s="485">
        <v>37.6</v>
      </c>
      <c r="H260" s="485">
        <f>67-G260</f>
        <v>29.4</v>
      </c>
      <c r="I260" s="485">
        <v>21</v>
      </c>
      <c r="J260" s="485">
        <f>-14-I260</f>
        <v>-35</v>
      </c>
      <c r="K260" s="485">
        <v>-18</v>
      </c>
      <c r="L260" s="485">
        <f>-9.7-K260</f>
        <v>8.3000000000000007</v>
      </c>
      <c r="M260" s="489">
        <v>-17.899999999999999</v>
      </c>
      <c r="N260" s="489">
        <f>1.8-M260</f>
        <v>19.7</v>
      </c>
      <c r="O260" s="489">
        <v>16</v>
      </c>
      <c r="P260" s="489">
        <f>34.4-O260</f>
        <v>18.399999999999999</v>
      </c>
      <c r="Q260" s="485">
        <v>9.6</v>
      </c>
      <c r="R260" s="485">
        <f>20-Q260</f>
        <v>10.4</v>
      </c>
      <c r="S260" s="485">
        <v>13.3</v>
      </c>
      <c r="T260" s="485">
        <f>20.5-S260</f>
        <v>7.1999999999999993</v>
      </c>
      <c r="U260" s="485">
        <v>14.9</v>
      </c>
      <c r="V260" s="485">
        <f>27.5-U260</f>
        <v>12.6</v>
      </c>
      <c r="W260" s="222"/>
      <c r="X260" s="222"/>
      <c r="Y260" s="222"/>
      <c r="Z260" s="222"/>
      <c r="AA260" s="222"/>
      <c r="AB260" s="222"/>
      <c r="AC260" s="222"/>
      <c r="AD260" s="222"/>
      <c r="AE260" s="222"/>
      <c r="AF260" s="222"/>
      <c r="AG260" s="222"/>
      <c r="AH260" s="222"/>
      <c r="AI260" s="222"/>
      <c r="AJ260" s="222"/>
      <c r="AK260" s="222"/>
      <c r="AL260" s="222"/>
      <c r="AM260" s="222"/>
      <c r="AN260" s="222"/>
    </row>
    <row r="261" spans="1:40">
      <c r="B261" s="161" t="s">
        <v>847</v>
      </c>
      <c r="C261" s="82" t="s">
        <v>842</v>
      </c>
      <c r="E261" s="159">
        <f t="shared" ref="E261:S261" si="135">E260/E244</f>
        <v>0.30868761552680218</v>
      </c>
      <c r="F261" s="159">
        <f t="shared" si="135"/>
        <v>0.24099541584806816</v>
      </c>
      <c r="G261" s="159">
        <f t="shared" si="135"/>
        <v>0.24133504492939664</v>
      </c>
      <c r="H261" s="159">
        <f t="shared" si="135"/>
        <v>0.19838056680161945</v>
      </c>
      <c r="I261" s="159">
        <f t="shared" si="135"/>
        <v>0.14093959731543623</v>
      </c>
      <c r="J261" s="159">
        <f t="shared" si="135"/>
        <v>-0.4861111111111111</v>
      </c>
      <c r="K261" s="159">
        <f t="shared" si="135"/>
        <v>-0.24657534246575341</v>
      </c>
      <c r="L261" s="159">
        <f t="shared" si="135"/>
        <v>7.5317604355716897E-2</v>
      </c>
      <c r="M261" s="159">
        <f t="shared" si="135"/>
        <v>-0.22487437185929648</v>
      </c>
      <c r="N261" s="159">
        <f t="shared" si="135"/>
        <v>0.16794543904518328</v>
      </c>
      <c r="O261" s="159">
        <f t="shared" si="135"/>
        <v>0.14705882352941177</v>
      </c>
      <c r="P261" s="159">
        <f t="shared" si="135"/>
        <v>0.1940928270042194</v>
      </c>
      <c r="Q261" s="159">
        <f t="shared" si="135"/>
        <v>0.11955168119551682</v>
      </c>
      <c r="R261" s="159">
        <f t="shared" si="135"/>
        <v>0.12515042117930203</v>
      </c>
      <c r="S261" s="159">
        <f t="shared" si="135"/>
        <v>0.15096481271282636</v>
      </c>
      <c r="T261" s="159">
        <f>T260/T244</f>
        <v>8.2098061573546155E-2</v>
      </c>
      <c r="U261" s="159">
        <f>U260/U244</f>
        <v>0.16248636859323881</v>
      </c>
      <c r="V261" s="159">
        <f>V260/V244</f>
        <v>0.14015572858731926</v>
      </c>
      <c r="W261" s="159"/>
      <c r="X261" s="159"/>
      <c r="Y261" s="159"/>
      <c r="Z261" s="159"/>
      <c r="AA261" s="159"/>
      <c r="AB261" s="159"/>
      <c r="AC261" s="159"/>
      <c r="AD261" s="159"/>
      <c r="AE261" s="159"/>
      <c r="AF261" s="159"/>
      <c r="AG261" s="159"/>
      <c r="AH261" s="159"/>
      <c r="AI261" s="159"/>
      <c r="AJ261" s="159"/>
      <c r="AK261" s="159"/>
      <c r="AL261" s="159"/>
      <c r="AM261" s="159"/>
      <c r="AN261" s="159"/>
    </row>
    <row r="262" spans="1:40">
      <c r="B262" s="161"/>
      <c r="E262" s="217">
        <f t="shared" ref="E262:S262" si="136">E260-SUM(E244,E247,E253,E258)</f>
        <v>0</v>
      </c>
      <c r="F262" s="217">
        <f t="shared" si="136"/>
        <v>0</v>
      </c>
      <c r="G262" s="217">
        <f t="shared" si="136"/>
        <v>0</v>
      </c>
      <c r="H262" s="217">
        <f t="shared" si="136"/>
        <v>0</v>
      </c>
      <c r="I262" s="217">
        <f t="shared" si="136"/>
        <v>0</v>
      </c>
      <c r="J262" s="217">
        <f t="shared" si="136"/>
        <v>0</v>
      </c>
      <c r="K262" s="217">
        <f t="shared" si="136"/>
        <v>0</v>
      </c>
      <c r="L262" s="217">
        <f t="shared" si="136"/>
        <v>0</v>
      </c>
      <c r="M262" s="217">
        <f t="shared" si="136"/>
        <v>0</v>
      </c>
      <c r="N262" s="217">
        <f t="shared" si="136"/>
        <v>0</v>
      </c>
      <c r="O262" s="217">
        <f t="shared" si="136"/>
        <v>0</v>
      </c>
      <c r="P262" s="217">
        <f t="shared" si="136"/>
        <v>0</v>
      </c>
      <c r="Q262" s="217">
        <f t="shared" si="136"/>
        <v>0</v>
      </c>
      <c r="R262" s="217">
        <f t="shared" si="136"/>
        <v>1.9539925233402755E-14</v>
      </c>
      <c r="S262" s="217">
        <f t="shared" si="136"/>
        <v>0</v>
      </c>
      <c r="T262" s="217">
        <f>T260-SUM(T244,T247,T253,T258)</f>
        <v>-7.1054273576010019E-15</v>
      </c>
      <c r="U262" s="217">
        <f>U260-SUM(U244,U247,U253,U258)</f>
        <v>0</v>
      </c>
      <c r="V262" s="217">
        <f>V260-SUM(V244,V247,V253,V258)</f>
        <v>0</v>
      </c>
      <c r="W262" s="159"/>
      <c r="X262" s="159"/>
      <c r="Y262" s="159"/>
      <c r="Z262" s="159"/>
      <c r="AA262" s="159"/>
      <c r="AB262" s="159"/>
      <c r="AC262" s="159"/>
      <c r="AD262" s="159"/>
      <c r="AE262" s="159"/>
      <c r="AF262" s="159"/>
      <c r="AG262" s="159"/>
      <c r="AH262" s="159"/>
      <c r="AI262" s="159"/>
      <c r="AJ262" s="159"/>
      <c r="AK262" s="159"/>
      <c r="AL262" s="159"/>
      <c r="AM262" s="159"/>
      <c r="AN262" s="159"/>
    </row>
    <row r="263" spans="1:40">
      <c r="B263" s="161"/>
      <c r="E263" s="142"/>
      <c r="F263" s="142"/>
      <c r="G263" s="142"/>
      <c r="H263" s="142"/>
      <c r="I263" s="142"/>
      <c r="J263" s="142"/>
      <c r="K263" s="142"/>
      <c r="L263" s="142"/>
      <c r="M263" s="142"/>
      <c r="N263" s="142"/>
      <c r="O263" s="142"/>
      <c r="P263" s="142"/>
      <c r="Q263" s="142"/>
      <c r="R263" s="142"/>
      <c r="S263" s="142"/>
      <c r="T263" s="142"/>
      <c r="U263" s="142"/>
      <c r="V263" s="142"/>
      <c r="W263" s="142"/>
      <c r="X263" s="142"/>
      <c r="Y263" s="142"/>
      <c r="Z263" s="142"/>
      <c r="AA263" s="142"/>
      <c r="AB263" s="142"/>
      <c r="AC263" s="142"/>
      <c r="AD263" s="142"/>
      <c r="AE263" s="142"/>
      <c r="AF263" s="142"/>
      <c r="AG263" s="142"/>
      <c r="AH263" s="142"/>
      <c r="AI263" s="142"/>
      <c r="AJ263" s="142"/>
      <c r="AK263" s="142"/>
      <c r="AL263" s="142"/>
      <c r="AM263" s="142"/>
      <c r="AN263" s="142"/>
    </row>
    <row r="264" spans="1:40" s="195" customFormat="1">
      <c r="A264" s="195" t="s">
        <v>971</v>
      </c>
      <c r="B264" s="196" t="s">
        <v>984</v>
      </c>
      <c r="C264" s="197"/>
      <c r="E264" s="198"/>
      <c r="F264" s="198"/>
      <c r="G264" s="198"/>
      <c r="H264" s="198"/>
      <c r="I264" s="198"/>
      <c r="J264" s="198"/>
      <c r="K264" s="198"/>
      <c r="L264" s="198"/>
      <c r="M264" s="198"/>
      <c r="N264" s="198"/>
      <c r="O264" s="198"/>
      <c r="P264" s="198"/>
      <c r="Q264" s="198"/>
      <c r="R264" s="198"/>
      <c r="S264" s="198"/>
      <c r="T264" s="198"/>
      <c r="U264" s="198"/>
      <c r="V264" s="198"/>
      <c r="W264" s="198"/>
      <c r="X264" s="198"/>
      <c r="Y264" s="198"/>
      <c r="Z264" s="198"/>
      <c r="AA264" s="198"/>
      <c r="AB264" s="198"/>
      <c r="AC264" s="198"/>
      <c r="AD264" s="198"/>
      <c r="AE264" s="198"/>
      <c r="AF264" s="198"/>
      <c r="AG264" s="198"/>
      <c r="AH264" s="198"/>
      <c r="AI264" s="198"/>
      <c r="AJ264" s="198"/>
      <c r="AK264" s="198"/>
      <c r="AL264" s="198"/>
      <c r="AM264" s="198"/>
      <c r="AN264" s="198"/>
    </row>
    <row r="265" spans="1:40">
      <c r="B265" s="205"/>
      <c r="C265" s="170"/>
      <c r="E265" s="179"/>
      <c r="F265" s="179"/>
      <c r="G265" s="179"/>
      <c r="H265" s="179"/>
      <c r="I265" s="179"/>
      <c r="J265" s="179"/>
      <c r="K265" s="179"/>
      <c r="L265" s="179"/>
      <c r="M265" s="179"/>
      <c r="N265" s="179"/>
      <c r="O265" s="179"/>
      <c r="P265" s="179"/>
      <c r="Q265" s="179"/>
      <c r="R265" s="179"/>
      <c r="S265" s="179"/>
      <c r="T265" s="179"/>
      <c r="U265" s="179"/>
      <c r="V265" s="179"/>
      <c r="W265" s="179"/>
      <c r="X265" s="179"/>
      <c r="Y265" s="179"/>
      <c r="Z265" s="179"/>
      <c r="AA265" s="179"/>
      <c r="AB265" s="179"/>
      <c r="AC265" s="179"/>
      <c r="AD265" s="179"/>
      <c r="AE265" s="179"/>
      <c r="AF265" s="179"/>
      <c r="AG265" s="179"/>
      <c r="AH265" s="179"/>
      <c r="AI265" s="179"/>
      <c r="AJ265" s="179"/>
      <c r="AK265" s="179"/>
      <c r="AL265" s="179"/>
      <c r="AM265" s="179"/>
      <c r="AN265" s="179"/>
    </row>
    <row r="266" spans="1:40">
      <c r="B266" s="185" t="s">
        <v>1097</v>
      </c>
      <c r="C266" s="170"/>
      <c r="E266" s="179"/>
      <c r="F266" s="179"/>
      <c r="G266" s="179"/>
      <c r="H266" s="179"/>
      <c r="I266" s="179"/>
      <c r="J266" s="179"/>
      <c r="K266" s="179"/>
      <c r="L266" s="179"/>
      <c r="M266" s="179"/>
      <c r="N266" s="179"/>
      <c r="O266" s="179"/>
      <c r="P266" s="179"/>
      <c r="Q266" s="179"/>
      <c r="R266" s="179"/>
      <c r="S266" s="179"/>
      <c r="T266" s="179"/>
      <c r="U266" s="179"/>
      <c r="V266" s="179"/>
      <c r="W266" s="179"/>
      <c r="X266" s="179"/>
      <c r="Y266" s="179"/>
      <c r="Z266" s="179"/>
      <c r="AA266" s="179"/>
      <c r="AB266" s="179"/>
      <c r="AC266" s="179"/>
      <c r="AD266" s="179"/>
      <c r="AE266" s="179"/>
      <c r="AF266" s="179"/>
      <c r="AG266" s="179"/>
      <c r="AH266" s="179"/>
      <c r="AI266" s="179"/>
      <c r="AJ266" s="179"/>
      <c r="AK266" s="179"/>
      <c r="AL266" s="179"/>
      <c r="AM266" s="179"/>
      <c r="AN266" s="179"/>
    </row>
    <row r="267" spans="1:40">
      <c r="B267" s="205"/>
      <c r="C267" s="170"/>
      <c r="E267" s="179"/>
      <c r="F267" s="179"/>
      <c r="G267" s="179"/>
      <c r="H267" s="179"/>
      <c r="I267" s="179"/>
      <c r="J267" s="179"/>
      <c r="K267" s="179"/>
      <c r="L267" s="179"/>
      <c r="M267" s="179"/>
      <c r="N267" s="179"/>
      <c r="O267" s="179"/>
      <c r="P267" s="179"/>
      <c r="Q267" s="179"/>
      <c r="R267" s="179"/>
      <c r="S267" s="179"/>
      <c r="T267" s="179"/>
      <c r="U267" s="179"/>
      <c r="V267" s="179"/>
      <c r="W267" s="179"/>
      <c r="X267" s="179"/>
      <c r="Y267" s="179"/>
      <c r="Z267" s="179"/>
      <c r="AA267" s="179"/>
      <c r="AB267" s="179"/>
      <c r="AC267" s="179"/>
      <c r="AD267" s="179"/>
      <c r="AE267" s="179"/>
      <c r="AF267" s="179"/>
      <c r="AG267" s="179"/>
      <c r="AH267" s="179"/>
      <c r="AI267" s="179"/>
      <c r="AJ267" s="179"/>
      <c r="AK267" s="179"/>
      <c r="AL267" s="179"/>
      <c r="AM267" s="179"/>
      <c r="AN267" s="179"/>
    </row>
    <row r="268" spans="1:40">
      <c r="B268" s="209" t="s">
        <v>1226</v>
      </c>
      <c r="C268" s="82" t="s">
        <v>900</v>
      </c>
      <c r="E268" s="136"/>
      <c r="F268" s="136"/>
      <c r="G268" s="136"/>
      <c r="H268" s="136"/>
      <c r="I268" s="136"/>
      <c r="J268" s="136"/>
      <c r="K268" s="136"/>
      <c r="L268" s="136"/>
      <c r="M268" s="136">
        <f t="shared" ref="M268:AN268" si="137">M182</f>
        <v>1073.4000000000001</v>
      </c>
      <c r="N268" s="136">
        <f t="shared" si="137"/>
        <v>1108.5</v>
      </c>
      <c r="O268" s="136">
        <f t="shared" si="137"/>
        <v>1165.7</v>
      </c>
      <c r="P268" s="136">
        <f t="shared" si="137"/>
        <v>1065.1000000000001</v>
      </c>
      <c r="Q268" s="136">
        <f t="shared" si="137"/>
        <v>1116.5999999999999</v>
      </c>
      <c r="R268" s="136">
        <f t="shared" si="137"/>
        <v>1046.2000000000003</v>
      </c>
      <c r="S268" s="136">
        <f t="shared" si="137"/>
        <v>1243.2</v>
      </c>
      <c r="T268" s="136">
        <f t="shared" si="137"/>
        <v>1195.6000000000001</v>
      </c>
      <c r="U268" s="136">
        <f t="shared" si="137"/>
        <v>1253.2</v>
      </c>
      <c r="V268" s="136">
        <f t="shared" ref="V268" si="138">V182</f>
        <v>1201.4999999999998</v>
      </c>
      <c r="W268" s="136">
        <f t="shared" si="137"/>
        <v>1306.9912626</v>
      </c>
      <c r="X268" s="136">
        <f t="shared" si="137"/>
        <v>1228.5870538500001</v>
      </c>
      <c r="Y268" s="136">
        <f t="shared" si="137"/>
        <v>1311.5464535010001</v>
      </c>
      <c r="Z268" s="136">
        <f t="shared" si="137"/>
        <v>1242.032782024</v>
      </c>
      <c r="AA268" s="136">
        <f t="shared" si="137"/>
        <v>1323.7522634282996</v>
      </c>
      <c r="AB268" s="136">
        <f t="shared" si="137"/>
        <v>1252.1775538494801</v>
      </c>
      <c r="AC268" s="136">
        <f t="shared" si="137"/>
        <v>1352.9485652203171</v>
      </c>
      <c r="AD268" s="136">
        <f t="shared" si="137"/>
        <v>1280.1736667176647</v>
      </c>
      <c r="AE268" s="136">
        <f t="shared" si="137"/>
        <v>1372.4532846330467</v>
      </c>
      <c r="AF268" s="136">
        <f t="shared" si="137"/>
        <v>1299.4081849496483</v>
      </c>
      <c r="AG268" s="136">
        <f t="shared" si="137"/>
        <v>1392.752423003597</v>
      </c>
      <c r="AH268" s="136">
        <f t="shared" si="137"/>
        <v>1319.4098856462872</v>
      </c>
      <c r="AI268" s="136">
        <f t="shared" si="137"/>
        <v>1413.8677201269479</v>
      </c>
      <c r="AJ268" s="136">
        <f t="shared" si="137"/>
        <v>1340.1998828123442</v>
      </c>
      <c r="AK268" s="136">
        <f t="shared" si="137"/>
        <v>1435.8215889196676</v>
      </c>
      <c r="AL268" s="136">
        <f t="shared" si="137"/>
        <v>1361.7999428874157</v>
      </c>
      <c r="AM268" s="136">
        <f t="shared" si="137"/>
        <v>1458.6371354042794</v>
      </c>
      <c r="AN268" s="136">
        <f t="shared" si="137"/>
        <v>1384.2325041288323</v>
      </c>
    </row>
    <row r="269" spans="1:40">
      <c r="B269" s="209" t="s">
        <v>1227</v>
      </c>
      <c r="C269" s="82" t="s">
        <v>900</v>
      </c>
      <c r="E269" s="136"/>
      <c r="F269" s="136"/>
      <c r="G269" s="136"/>
      <c r="H269" s="136"/>
      <c r="I269" s="136"/>
      <c r="J269" s="136"/>
      <c r="K269" s="136"/>
      <c r="L269" s="136"/>
      <c r="M269" s="488">
        <f t="shared" ref="M269:AN269" si="139">M244</f>
        <v>79.599999999999994</v>
      </c>
      <c r="N269" s="488">
        <f t="shared" si="139"/>
        <v>117.30000000000001</v>
      </c>
      <c r="O269" s="488">
        <f t="shared" si="139"/>
        <v>108.8</v>
      </c>
      <c r="P269" s="488">
        <f t="shared" si="139"/>
        <v>94.8</v>
      </c>
      <c r="Q269" s="136">
        <f t="shared" si="139"/>
        <v>80.3</v>
      </c>
      <c r="R269" s="136">
        <f t="shared" si="139"/>
        <v>83.100000000000009</v>
      </c>
      <c r="S269" s="136">
        <f t="shared" si="139"/>
        <v>88.1</v>
      </c>
      <c r="T269" s="136">
        <f>T244</f>
        <v>87.700000000000017</v>
      </c>
      <c r="U269" s="136">
        <f>U244</f>
        <v>91.7</v>
      </c>
      <c r="V269" s="136">
        <f>V244</f>
        <v>89.899999999999991</v>
      </c>
      <c r="W269" s="136">
        <f t="shared" si="139"/>
        <v>93.992499999999993</v>
      </c>
      <c r="X269" s="136">
        <f t="shared" si="139"/>
        <v>92.14749999999998</v>
      </c>
      <c r="Y269" s="136">
        <f t="shared" si="139"/>
        <v>96.342312499999977</v>
      </c>
      <c r="Z269" s="136">
        <f t="shared" si="139"/>
        <v>94.451187499999975</v>
      </c>
      <c r="AA269" s="136">
        <f t="shared" si="139"/>
        <v>99.23258187499998</v>
      </c>
      <c r="AB269" s="136">
        <f t="shared" si="139"/>
        <v>97.284723124999971</v>
      </c>
      <c r="AC269" s="136">
        <f t="shared" si="139"/>
        <v>102.20955933124998</v>
      </c>
      <c r="AD269" s="136">
        <f t="shared" si="139"/>
        <v>100.20326481874997</v>
      </c>
      <c r="AE269" s="136">
        <f t="shared" si="139"/>
        <v>105.27584611118748</v>
      </c>
      <c r="AF269" s="136">
        <f t="shared" si="139"/>
        <v>103.20936276331247</v>
      </c>
      <c r="AG269" s="136">
        <f t="shared" si="139"/>
        <v>108.4341214945231</v>
      </c>
      <c r="AH269" s="136">
        <f t="shared" si="139"/>
        <v>106.30564364621185</v>
      </c>
      <c r="AI269" s="136">
        <f t="shared" si="139"/>
        <v>111.68714513935879</v>
      </c>
      <c r="AJ269" s="136">
        <f t="shared" si="139"/>
        <v>109.49481295559821</v>
      </c>
      <c r="AK269" s="136">
        <f t="shared" si="139"/>
        <v>115.03775949353955</v>
      </c>
      <c r="AL269" s="136">
        <f t="shared" si="139"/>
        <v>112.77965734426616</v>
      </c>
      <c r="AM269" s="136">
        <f t="shared" si="139"/>
        <v>118.48889227834574</v>
      </c>
      <c r="AN269" s="136">
        <f t="shared" si="139"/>
        <v>116.16304706459414</v>
      </c>
    </row>
    <row r="270" spans="1:40">
      <c r="B270" s="209" t="s">
        <v>1630</v>
      </c>
      <c r="C270" s="82" t="s">
        <v>900</v>
      </c>
      <c r="E270" s="136"/>
      <c r="F270" s="136"/>
      <c r="G270" s="136"/>
      <c r="H270" s="136"/>
      <c r="I270" s="136"/>
      <c r="J270" s="136"/>
      <c r="K270" s="136"/>
      <c r="L270" s="136"/>
      <c r="M270" s="136"/>
      <c r="N270" s="136"/>
      <c r="O270" s="136"/>
      <c r="P270" s="136"/>
      <c r="Q270" s="136"/>
      <c r="R270" s="136"/>
      <c r="S270" s="136"/>
      <c r="T270" s="136"/>
      <c r="U270" s="136"/>
      <c r="V270" s="136"/>
      <c r="W270" s="136"/>
      <c r="X270" s="136">
        <f>X375</f>
        <v>25.25</v>
      </c>
      <c r="Y270" s="136">
        <f t="shared" ref="Y270:AN270" si="140">Y375</f>
        <v>50.47</v>
      </c>
      <c r="Z270" s="136">
        <f t="shared" si="140"/>
        <v>52.015000000000001</v>
      </c>
      <c r="AA270" s="136">
        <f t="shared" si="140"/>
        <v>51.984099999999998</v>
      </c>
      <c r="AB270" s="136">
        <f t="shared" si="140"/>
        <v>53.575450000000004</v>
      </c>
      <c r="AC270" s="136">
        <f t="shared" si="140"/>
        <v>53.543622999999997</v>
      </c>
      <c r="AD270" s="136">
        <f t="shared" si="140"/>
        <v>55.182713500000006</v>
      </c>
      <c r="AE270" s="136">
        <f t="shared" si="140"/>
        <v>55.149931689999995</v>
      </c>
      <c r="AF270" s="136">
        <f t="shared" si="140"/>
        <v>56.838194905000009</v>
      </c>
      <c r="AG270" s="136">
        <f t="shared" si="140"/>
        <v>56.804429640699993</v>
      </c>
      <c r="AH270" s="136">
        <f t="shared" si="140"/>
        <v>58.543340752150009</v>
      </c>
      <c r="AI270" s="136">
        <f t="shared" si="140"/>
        <v>58.508562529920994</v>
      </c>
      <c r="AJ270" s="136">
        <f t="shared" si="140"/>
        <v>60.299640974714514</v>
      </c>
      <c r="AK270" s="136">
        <f t="shared" si="140"/>
        <v>60.263819405818623</v>
      </c>
      <c r="AL270" s="136">
        <f t="shared" si="140"/>
        <v>62.108630203955954</v>
      </c>
      <c r="AM270" s="136">
        <f t="shared" si="140"/>
        <v>62.071733987993184</v>
      </c>
      <c r="AN270" s="136">
        <f t="shared" si="140"/>
        <v>63.971889110074635</v>
      </c>
    </row>
    <row r="271" spans="1:40" s="199" customFormat="1">
      <c r="B271" s="210" t="s">
        <v>985</v>
      </c>
      <c r="C271" s="201" t="s">
        <v>900</v>
      </c>
      <c r="D271" s="202"/>
      <c r="E271" s="207"/>
      <c r="F271" s="207"/>
      <c r="G271" s="207"/>
      <c r="H271" s="207"/>
      <c r="I271" s="207"/>
      <c r="J271" s="207"/>
      <c r="K271" s="207"/>
      <c r="L271" s="207"/>
      <c r="M271" s="808">
        <v>1152.3</v>
      </c>
      <c r="N271" s="808">
        <f>2377.3-M271</f>
        <v>1225.0000000000002</v>
      </c>
      <c r="O271" s="808">
        <v>1274.5</v>
      </c>
      <c r="P271" s="808">
        <f>2434.4-O271</f>
        <v>1159.9000000000001</v>
      </c>
      <c r="Q271" s="808">
        <v>1209.5999999999999</v>
      </c>
      <c r="R271" s="808">
        <f>2338.9-Q271</f>
        <v>1129.3000000000002</v>
      </c>
      <c r="S271" s="207">
        <v>1331.3</v>
      </c>
      <c r="T271" s="207">
        <f>2614.6-S271</f>
        <v>1283.3</v>
      </c>
      <c r="U271" s="207">
        <v>1344.9</v>
      </c>
      <c r="V271" s="207">
        <f>2636.3-U271</f>
        <v>1291.4000000000001</v>
      </c>
      <c r="W271" s="203">
        <f t="shared" ref="W271:AN271" si="141">SUM(W268:W270)</f>
        <v>1400.9837626000001</v>
      </c>
      <c r="X271" s="203">
        <f t="shared" si="141"/>
        <v>1345.9845538500001</v>
      </c>
      <c r="Y271" s="203">
        <f t="shared" si="141"/>
        <v>1458.358766001</v>
      </c>
      <c r="Z271" s="203">
        <f t="shared" si="141"/>
        <v>1388.4989695240001</v>
      </c>
      <c r="AA271" s="203">
        <f t="shared" si="141"/>
        <v>1474.9689453032995</v>
      </c>
      <c r="AB271" s="203">
        <f t="shared" si="141"/>
        <v>1403.0377269744802</v>
      </c>
      <c r="AC271" s="203">
        <f t="shared" si="141"/>
        <v>1508.701747551567</v>
      </c>
      <c r="AD271" s="203">
        <f t="shared" si="141"/>
        <v>1435.5596450364148</v>
      </c>
      <c r="AE271" s="203">
        <f t="shared" si="141"/>
        <v>1532.8790624342341</v>
      </c>
      <c r="AF271" s="203">
        <f t="shared" si="141"/>
        <v>1459.4557426179608</v>
      </c>
      <c r="AG271" s="203">
        <f t="shared" si="141"/>
        <v>1557.9909741388201</v>
      </c>
      <c r="AH271" s="203">
        <f t="shared" si="141"/>
        <v>1484.258870044649</v>
      </c>
      <c r="AI271" s="203">
        <f t="shared" si="141"/>
        <v>1584.0634277962276</v>
      </c>
      <c r="AJ271" s="203">
        <f t="shared" si="141"/>
        <v>1509.994336742657</v>
      </c>
      <c r="AK271" s="203">
        <f t="shared" si="141"/>
        <v>1611.1231678190259</v>
      </c>
      <c r="AL271" s="203">
        <f t="shared" si="141"/>
        <v>1536.6882304356377</v>
      </c>
      <c r="AM271" s="203">
        <f t="shared" si="141"/>
        <v>1639.1977616706183</v>
      </c>
      <c r="AN271" s="203">
        <f t="shared" si="141"/>
        <v>1564.3674403035011</v>
      </c>
    </row>
    <row r="272" spans="1:40" s="199" customFormat="1">
      <c r="B272" s="226" t="s">
        <v>886</v>
      </c>
      <c r="C272" s="201"/>
      <c r="E272" s="217"/>
      <c r="F272" s="217"/>
      <c r="G272" s="217"/>
      <c r="H272" s="217"/>
      <c r="I272" s="217"/>
      <c r="J272" s="217"/>
      <c r="K272" s="217"/>
      <c r="L272" s="217"/>
      <c r="M272" s="217">
        <f t="shared" ref="M272:U272" si="142">M271-SUM(M268:M269)</f>
        <v>-0.70000000000004547</v>
      </c>
      <c r="N272" s="217">
        <f t="shared" si="142"/>
        <v>-0.79999999999972715</v>
      </c>
      <c r="O272" s="217">
        <f t="shared" si="142"/>
        <v>0</v>
      </c>
      <c r="P272" s="217">
        <f t="shared" si="142"/>
        <v>0</v>
      </c>
      <c r="Q272" s="217">
        <f t="shared" si="142"/>
        <v>12.700000000000045</v>
      </c>
      <c r="R272" s="217">
        <f t="shared" si="142"/>
        <v>0</v>
      </c>
      <c r="S272" s="217">
        <f t="shared" si="142"/>
        <v>0</v>
      </c>
      <c r="T272" s="217">
        <f t="shared" si="142"/>
        <v>0</v>
      </c>
      <c r="U272" s="217">
        <f t="shared" si="142"/>
        <v>0</v>
      </c>
      <c r="V272" s="217">
        <f t="shared" ref="V272" si="143">V271-SUM(V268:V269)</f>
        <v>0</v>
      </c>
      <c r="W272" s="217">
        <f t="shared" ref="W272:AN272" si="144">W271-SUM(W268:W270)</f>
        <v>0</v>
      </c>
      <c r="X272" s="217">
        <f t="shared" si="144"/>
        <v>0</v>
      </c>
      <c r="Y272" s="217">
        <f t="shared" si="144"/>
        <v>0</v>
      </c>
      <c r="Z272" s="217">
        <f t="shared" si="144"/>
        <v>0</v>
      </c>
      <c r="AA272" s="217">
        <f t="shared" si="144"/>
        <v>0</v>
      </c>
      <c r="AB272" s="217">
        <f t="shared" si="144"/>
        <v>0</v>
      </c>
      <c r="AC272" s="217">
        <f t="shared" si="144"/>
        <v>0</v>
      </c>
      <c r="AD272" s="217">
        <f t="shared" si="144"/>
        <v>0</v>
      </c>
      <c r="AE272" s="217">
        <f t="shared" si="144"/>
        <v>0</v>
      </c>
      <c r="AF272" s="217">
        <f t="shared" si="144"/>
        <v>0</v>
      </c>
      <c r="AG272" s="217">
        <f t="shared" si="144"/>
        <v>0</v>
      </c>
      <c r="AH272" s="217">
        <f t="shared" si="144"/>
        <v>0</v>
      </c>
      <c r="AI272" s="217">
        <f t="shared" si="144"/>
        <v>0</v>
      </c>
      <c r="AJ272" s="217">
        <f t="shared" si="144"/>
        <v>0</v>
      </c>
      <c r="AK272" s="217">
        <f t="shared" si="144"/>
        <v>0</v>
      </c>
      <c r="AL272" s="217">
        <f t="shared" si="144"/>
        <v>0</v>
      </c>
      <c r="AM272" s="217">
        <f t="shared" si="144"/>
        <v>0</v>
      </c>
      <c r="AN272" s="217">
        <f t="shared" si="144"/>
        <v>0</v>
      </c>
    </row>
    <row r="273" spans="2:40" s="199" customFormat="1">
      <c r="B273" s="200"/>
      <c r="C273" s="201"/>
      <c r="D273" s="202"/>
      <c r="E273" s="203"/>
      <c r="F273" s="203"/>
      <c r="G273" s="203"/>
      <c r="H273" s="203"/>
      <c r="I273" s="203"/>
      <c r="J273" s="203"/>
      <c r="K273" s="203"/>
      <c r="L273" s="203"/>
      <c r="M273" s="203"/>
      <c r="N273" s="203"/>
      <c r="O273" s="203"/>
      <c r="P273" s="203"/>
      <c r="Q273" s="203"/>
      <c r="R273" s="203"/>
      <c r="S273" s="203"/>
      <c r="T273" s="203"/>
      <c r="U273" s="203"/>
      <c r="V273" s="203"/>
      <c r="W273" s="203"/>
      <c r="X273" s="203"/>
      <c r="Y273" s="203"/>
      <c r="Z273" s="203"/>
      <c r="AA273" s="203"/>
      <c r="AB273" s="203"/>
      <c r="AC273" s="203"/>
      <c r="AD273" s="203"/>
      <c r="AE273" s="203"/>
      <c r="AF273" s="203"/>
      <c r="AG273" s="203"/>
      <c r="AH273" s="203"/>
      <c r="AI273" s="203"/>
      <c r="AJ273" s="203"/>
      <c r="AK273" s="203"/>
      <c r="AL273" s="203"/>
      <c r="AM273" s="203"/>
      <c r="AN273" s="203"/>
    </row>
    <row r="274" spans="2:40">
      <c r="B274" s="209" t="s">
        <v>1226</v>
      </c>
      <c r="C274" s="82" t="s">
        <v>900</v>
      </c>
      <c r="E274" s="136"/>
      <c r="F274" s="136"/>
      <c r="G274" s="136"/>
      <c r="H274" s="136"/>
      <c r="I274" s="136"/>
      <c r="J274" s="136"/>
      <c r="K274" s="136"/>
      <c r="L274" s="136"/>
      <c r="M274" s="136">
        <f t="shared" ref="M274:AN274" si="145">M185</f>
        <v>-678.50000000000011</v>
      </c>
      <c r="N274" s="136">
        <f t="shared" si="145"/>
        <v>-702.1</v>
      </c>
      <c r="O274" s="136">
        <f t="shared" si="145"/>
        <v>-767.40000000000009</v>
      </c>
      <c r="P274" s="136">
        <f t="shared" si="145"/>
        <v>-688.40000000000009</v>
      </c>
      <c r="Q274" s="136">
        <f t="shared" si="145"/>
        <v>-722.69999999999993</v>
      </c>
      <c r="R274" s="136">
        <f t="shared" si="145"/>
        <v>-681.9000000000002</v>
      </c>
      <c r="S274" s="136">
        <f t="shared" si="145"/>
        <v>-785.1</v>
      </c>
      <c r="T274" s="136">
        <f t="shared" si="145"/>
        <v>-737.80000000000018</v>
      </c>
      <c r="U274" s="136">
        <f t="shared" si="145"/>
        <v>-775.80000000000007</v>
      </c>
      <c r="V274" s="136">
        <f t="shared" ref="V274" si="146">V185</f>
        <v>-725.6999999999997</v>
      </c>
      <c r="W274" s="136">
        <f t="shared" si="145"/>
        <v>-790.72971387300004</v>
      </c>
      <c r="X274" s="136">
        <f t="shared" si="145"/>
        <v>-743.29516757925001</v>
      </c>
      <c r="Y274" s="136">
        <f t="shared" si="145"/>
        <v>-793.48560436810499</v>
      </c>
      <c r="Z274" s="136">
        <f t="shared" si="145"/>
        <v>-751.42983312451997</v>
      </c>
      <c r="AA274" s="136">
        <f t="shared" si="145"/>
        <v>-800.87011937412126</v>
      </c>
      <c r="AB274" s="136">
        <f t="shared" si="145"/>
        <v>-757.56742007893536</v>
      </c>
      <c r="AC274" s="136">
        <f t="shared" si="145"/>
        <v>-818.53388195829177</v>
      </c>
      <c r="AD274" s="136">
        <f t="shared" si="145"/>
        <v>-774.50506836418708</v>
      </c>
      <c r="AE274" s="136">
        <f t="shared" si="145"/>
        <v>-830.33423720299322</v>
      </c>
      <c r="AF274" s="136">
        <f t="shared" si="145"/>
        <v>-786.14195189453721</v>
      </c>
      <c r="AG274" s="136">
        <f t="shared" si="145"/>
        <v>-842.6152159171761</v>
      </c>
      <c r="AH274" s="136">
        <f t="shared" si="145"/>
        <v>-798.24298081600375</v>
      </c>
      <c r="AI274" s="136">
        <f t="shared" si="145"/>
        <v>-855.3899706768035</v>
      </c>
      <c r="AJ274" s="136">
        <f t="shared" si="145"/>
        <v>-810.82092910146821</v>
      </c>
      <c r="AK274" s="136">
        <f t="shared" si="145"/>
        <v>-868.67206129639885</v>
      </c>
      <c r="AL274" s="136">
        <f t="shared" si="145"/>
        <v>-823.88896544688646</v>
      </c>
      <c r="AM274" s="136">
        <f t="shared" si="145"/>
        <v>-882.47546691958905</v>
      </c>
      <c r="AN274" s="136">
        <f t="shared" si="145"/>
        <v>-837.46066499794347</v>
      </c>
    </row>
    <row r="275" spans="2:40">
      <c r="B275" s="209" t="s">
        <v>1227</v>
      </c>
      <c r="C275" s="82" t="s">
        <v>900</v>
      </c>
      <c r="E275" s="136"/>
      <c r="F275" s="136"/>
      <c r="G275" s="136"/>
      <c r="H275" s="136"/>
      <c r="I275" s="136"/>
      <c r="J275" s="136"/>
      <c r="K275" s="136"/>
      <c r="L275" s="136"/>
      <c r="M275" s="488">
        <f t="shared" ref="M275:AN275" si="147">M247</f>
        <v>-5</v>
      </c>
      <c r="N275" s="488">
        <f t="shared" si="147"/>
        <v>-5.5999999999999943</v>
      </c>
      <c r="O275" s="488">
        <f t="shared" si="147"/>
        <v>-7.3999999999999915</v>
      </c>
      <c r="P275" s="488">
        <f t="shared" si="147"/>
        <v>-3.0000000000000142</v>
      </c>
      <c r="Q275" s="136">
        <f t="shared" si="147"/>
        <v>-0.39999999999999147</v>
      </c>
      <c r="R275" s="136">
        <f t="shared" si="147"/>
        <v>-1.3000000000000256</v>
      </c>
      <c r="S275" s="136">
        <f t="shared" si="147"/>
        <v>-1.7999999999999972</v>
      </c>
      <c r="T275" s="136">
        <f>T247</f>
        <v>-1.2000000000000028</v>
      </c>
      <c r="U275" s="136">
        <f>U247</f>
        <v>-1.5</v>
      </c>
      <c r="V275" s="136">
        <f>V247</f>
        <v>-0.90000000000000568</v>
      </c>
      <c r="W275" s="136">
        <f t="shared" si="147"/>
        <v>-0.94097052280312055</v>
      </c>
      <c r="X275" s="136">
        <f t="shared" si="147"/>
        <v>-0.92250000000000576</v>
      </c>
      <c r="Y275" s="136">
        <f t="shared" si="147"/>
        <v>-0.96449478587319837</v>
      </c>
      <c r="Z275" s="136">
        <f t="shared" si="147"/>
        <v>-0.94556250000000586</v>
      </c>
      <c r="AA275" s="136">
        <f t="shared" si="147"/>
        <v>-0.99342962944939439</v>
      </c>
      <c r="AB275" s="136">
        <f t="shared" si="147"/>
        <v>-0.97392937500000598</v>
      </c>
      <c r="AC275" s="136">
        <f t="shared" si="147"/>
        <v>-1.0232325183328761</v>
      </c>
      <c r="AD275" s="136">
        <f t="shared" si="147"/>
        <v>-1.0031472562500061</v>
      </c>
      <c r="AE275" s="136">
        <f t="shared" si="147"/>
        <v>-1.0539294938828625</v>
      </c>
      <c r="AF275" s="136">
        <f t="shared" si="147"/>
        <v>-1.0332416739375063</v>
      </c>
      <c r="AG275" s="136">
        <f t="shared" si="147"/>
        <v>-1.0855473786993484</v>
      </c>
      <c r="AH275" s="136">
        <f t="shared" si="147"/>
        <v>-1.0642389241556316</v>
      </c>
      <c r="AI275" s="136">
        <f t="shared" si="147"/>
        <v>-1.1181138000603288</v>
      </c>
      <c r="AJ275" s="136">
        <f t="shared" si="147"/>
        <v>-1.0961660918803005</v>
      </c>
      <c r="AK275" s="136">
        <f t="shared" si="147"/>
        <v>-1.1516572140621386</v>
      </c>
      <c r="AL275" s="136">
        <f t="shared" si="147"/>
        <v>-1.1290510746367095</v>
      </c>
      <c r="AM275" s="136">
        <f t="shared" si="147"/>
        <v>-1.1862069304840028</v>
      </c>
      <c r="AN275" s="136">
        <f t="shared" si="147"/>
        <v>-1.1629226068758109</v>
      </c>
    </row>
    <row r="276" spans="2:40">
      <c r="B276" s="209" t="s">
        <v>1630</v>
      </c>
      <c r="C276" s="82" t="s">
        <v>900</v>
      </c>
      <c r="E276" s="136"/>
      <c r="F276" s="136"/>
      <c r="G276" s="136"/>
      <c r="H276" s="136"/>
      <c r="I276" s="136"/>
      <c r="J276" s="136"/>
      <c r="K276" s="136"/>
      <c r="L276" s="136"/>
      <c r="M276" s="136"/>
      <c r="N276" s="136"/>
      <c r="O276" s="136"/>
      <c r="P276" s="136"/>
      <c r="Q276" s="136"/>
      <c r="R276" s="136"/>
      <c r="S276" s="136"/>
      <c r="T276" s="136"/>
      <c r="U276" s="136"/>
      <c r="V276" s="136"/>
      <c r="W276" s="136"/>
      <c r="X276" s="136">
        <f>X376</f>
        <v>-8.35</v>
      </c>
      <c r="Y276" s="136">
        <f t="shared" ref="Y276:AN276" si="148">Y376</f>
        <v>-15.201000000000001</v>
      </c>
      <c r="Z276" s="136">
        <f t="shared" si="148"/>
        <v>-12.201000000000001</v>
      </c>
      <c r="AA276" s="136">
        <f t="shared" si="148"/>
        <v>-10.217030000000001</v>
      </c>
      <c r="AB276" s="136">
        <f t="shared" si="148"/>
        <v>-10.217030000000001</v>
      </c>
      <c r="AC276" s="136">
        <f t="shared" si="148"/>
        <v>-10.5235409</v>
      </c>
      <c r="AD276" s="136">
        <f t="shared" si="148"/>
        <v>-10.5235409</v>
      </c>
      <c r="AE276" s="136">
        <f t="shared" si="148"/>
        <v>-10.839247127000004</v>
      </c>
      <c r="AF276" s="136">
        <f t="shared" si="148"/>
        <v>-10.839247127000004</v>
      </c>
      <c r="AG276" s="136">
        <f t="shared" si="148"/>
        <v>-11.164424540810005</v>
      </c>
      <c r="AH276" s="136">
        <f t="shared" si="148"/>
        <v>-11.164424540810005</v>
      </c>
      <c r="AI276" s="136">
        <f t="shared" si="148"/>
        <v>-11.499357277034306</v>
      </c>
      <c r="AJ276" s="136">
        <f t="shared" si="148"/>
        <v>-11.499357277034306</v>
      </c>
      <c r="AK276" s="136">
        <f t="shared" si="148"/>
        <v>-11.844337995345336</v>
      </c>
      <c r="AL276" s="136">
        <f t="shared" si="148"/>
        <v>-11.844337995345336</v>
      </c>
      <c r="AM276" s="136">
        <f t="shared" si="148"/>
        <v>-12.199668135205698</v>
      </c>
      <c r="AN276" s="136">
        <f t="shared" si="148"/>
        <v>-12.199668135205698</v>
      </c>
    </row>
    <row r="277" spans="2:40" s="199" customFormat="1">
      <c r="B277" s="210" t="s">
        <v>1161</v>
      </c>
      <c r="C277" s="201" t="s">
        <v>900</v>
      </c>
      <c r="D277" s="202"/>
      <c r="E277" s="207"/>
      <c r="F277" s="207"/>
      <c r="G277" s="207"/>
      <c r="H277" s="207"/>
      <c r="I277" s="207"/>
      <c r="J277" s="207"/>
      <c r="K277" s="207"/>
      <c r="L277" s="207"/>
      <c r="M277" s="203">
        <f t="shared" ref="M277:W277" si="149">SUM(M274:M276)</f>
        <v>-683.50000000000011</v>
      </c>
      <c r="N277" s="203">
        <f t="shared" si="149"/>
        <v>-707.7</v>
      </c>
      <c r="O277" s="203">
        <f t="shared" si="149"/>
        <v>-774.80000000000007</v>
      </c>
      <c r="P277" s="203">
        <f t="shared" si="149"/>
        <v>-691.40000000000009</v>
      </c>
      <c r="Q277" s="203">
        <f t="shared" si="149"/>
        <v>-723.09999999999991</v>
      </c>
      <c r="R277" s="203">
        <f t="shared" si="149"/>
        <v>-683.20000000000027</v>
      </c>
      <c r="S277" s="203">
        <f t="shared" si="149"/>
        <v>-786.9</v>
      </c>
      <c r="T277" s="203">
        <f t="shared" si="149"/>
        <v>-739.00000000000023</v>
      </c>
      <c r="U277" s="203">
        <f t="shared" si="149"/>
        <v>-777.30000000000007</v>
      </c>
      <c r="V277" s="203">
        <f t="shared" ref="V277" si="150">SUM(V274:V276)</f>
        <v>-726.59999999999968</v>
      </c>
      <c r="W277" s="203">
        <f t="shared" si="149"/>
        <v>-791.67068439580316</v>
      </c>
      <c r="X277" s="203">
        <f>SUM(X274:X276)</f>
        <v>-752.56766757925004</v>
      </c>
      <c r="Y277" s="203">
        <f t="shared" ref="Y277:AN277" si="151">SUM(Y274:Y276)</f>
        <v>-809.65109915397818</v>
      </c>
      <c r="Z277" s="203">
        <f t="shared" si="151"/>
        <v>-764.57639562452005</v>
      </c>
      <c r="AA277" s="203">
        <f t="shared" si="151"/>
        <v>-812.08057900357062</v>
      </c>
      <c r="AB277" s="203">
        <f t="shared" si="151"/>
        <v>-768.75837945393539</v>
      </c>
      <c r="AC277" s="203">
        <f t="shared" si="151"/>
        <v>-830.08065537662469</v>
      </c>
      <c r="AD277" s="203">
        <f t="shared" si="151"/>
        <v>-786.03175652043706</v>
      </c>
      <c r="AE277" s="203">
        <f t="shared" si="151"/>
        <v>-842.22741382387608</v>
      </c>
      <c r="AF277" s="203">
        <f t="shared" si="151"/>
        <v>-798.01444069547472</v>
      </c>
      <c r="AG277" s="203">
        <f t="shared" si="151"/>
        <v>-854.86518783668555</v>
      </c>
      <c r="AH277" s="203">
        <f t="shared" si="151"/>
        <v>-810.47164428096937</v>
      </c>
      <c r="AI277" s="203">
        <f t="shared" si="151"/>
        <v>-868.00744175389809</v>
      </c>
      <c r="AJ277" s="203">
        <f t="shared" si="151"/>
        <v>-823.41645247038275</v>
      </c>
      <c r="AK277" s="203">
        <f t="shared" si="151"/>
        <v>-881.66805650580625</v>
      </c>
      <c r="AL277" s="203">
        <f t="shared" si="151"/>
        <v>-836.86235451686844</v>
      </c>
      <c r="AM277" s="203">
        <f t="shared" si="151"/>
        <v>-895.86134198527873</v>
      </c>
      <c r="AN277" s="203">
        <f t="shared" si="151"/>
        <v>-850.82325574002493</v>
      </c>
    </row>
    <row r="278" spans="2:40">
      <c r="B278" s="134"/>
      <c r="E278" s="142"/>
      <c r="F278" s="142"/>
      <c r="G278" s="142"/>
      <c r="H278" s="142"/>
      <c r="I278" s="142"/>
      <c r="J278" s="142"/>
      <c r="K278" s="142"/>
      <c r="L278" s="142"/>
      <c r="M278" s="142"/>
      <c r="N278" s="142"/>
      <c r="O278" s="142"/>
      <c r="P278" s="142"/>
      <c r="Q278" s="142"/>
      <c r="R278" s="142"/>
      <c r="S278" s="142"/>
      <c r="T278" s="142"/>
      <c r="U278" s="142"/>
      <c r="V278" s="142"/>
      <c r="W278" s="142"/>
      <c r="X278" s="142"/>
      <c r="Y278" s="142"/>
      <c r="Z278" s="142"/>
      <c r="AA278" s="142"/>
      <c r="AB278" s="142"/>
      <c r="AC278" s="142"/>
      <c r="AD278" s="142"/>
      <c r="AE278" s="142"/>
      <c r="AF278" s="142"/>
      <c r="AG278" s="142"/>
      <c r="AH278" s="142"/>
      <c r="AI278" s="142"/>
      <c r="AJ278" s="142"/>
      <c r="AK278" s="142"/>
      <c r="AL278" s="142"/>
      <c r="AM278" s="142"/>
      <c r="AN278" s="142"/>
    </row>
    <row r="279" spans="2:40">
      <c r="B279" s="209" t="s">
        <v>1226</v>
      </c>
      <c r="C279" s="82" t="s">
        <v>900</v>
      </c>
      <c r="E279" s="136"/>
      <c r="F279" s="136"/>
      <c r="G279" s="136"/>
      <c r="H279" s="136"/>
      <c r="I279" s="136"/>
      <c r="J279" s="136"/>
      <c r="K279" s="136"/>
      <c r="L279" s="136"/>
      <c r="M279" s="136">
        <f t="shared" ref="M279:AN279" si="152">M193</f>
        <v>394.9</v>
      </c>
      <c r="N279" s="136">
        <f t="shared" si="152"/>
        <v>406.4</v>
      </c>
      <c r="O279" s="136">
        <f t="shared" si="152"/>
        <v>398.3</v>
      </c>
      <c r="P279" s="136">
        <f t="shared" si="152"/>
        <v>376.7</v>
      </c>
      <c r="Q279" s="136">
        <f t="shared" si="152"/>
        <v>393.9</v>
      </c>
      <c r="R279" s="136">
        <f t="shared" si="152"/>
        <v>364.30000000000007</v>
      </c>
      <c r="S279" s="136">
        <f t="shared" si="152"/>
        <v>458.1</v>
      </c>
      <c r="T279" s="136">
        <f t="shared" si="152"/>
        <v>457.79999999999995</v>
      </c>
      <c r="U279" s="136">
        <f t="shared" si="152"/>
        <v>477.4</v>
      </c>
      <c r="V279" s="136">
        <f t="shared" ref="V279" si="153">V193</f>
        <v>475.80000000000007</v>
      </c>
      <c r="W279" s="136">
        <f t="shared" si="152"/>
        <v>516.26154872699999</v>
      </c>
      <c r="X279" s="136">
        <f t="shared" si="152"/>
        <v>485.29188627075007</v>
      </c>
      <c r="Y279" s="136">
        <f t="shared" si="152"/>
        <v>518.0608491328951</v>
      </c>
      <c r="Z279" s="136">
        <f t="shared" si="152"/>
        <v>490.60294889948</v>
      </c>
      <c r="AA279" s="136">
        <f t="shared" si="152"/>
        <v>522.8821440541783</v>
      </c>
      <c r="AB279" s="136">
        <f t="shared" si="152"/>
        <v>494.61013377054468</v>
      </c>
      <c r="AC279" s="136">
        <f t="shared" si="152"/>
        <v>534.41468326202528</v>
      </c>
      <c r="AD279" s="136">
        <f t="shared" si="152"/>
        <v>505.66859835347759</v>
      </c>
      <c r="AE279" s="136">
        <f t="shared" si="152"/>
        <v>542.11904743005346</v>
      </c>
      <c r="AF279" s="136">
        <f t="shared" si="152"/>
        <v>513.26623305511112</v>
      </c>
      <c r="AG279" s="136">
        <f t="shared" si="152"/>
        <v>550.13720708642086</v>
      </c>
      <c r="AH279" s="136">
        <f t="shared" si="152"/>
        <v>521.16690483028344</v>
      </c>
      <c r="AI279" s="136">
        <f t="shared" si="152"/>
        <v>558.47774945014442</v>
      </c>
      <c r="AJ279" s="136">
        <f t="shared" si="152"/>
        <v>529.37895371087598</v>
      </c>
      <c r="AK279" s="136">
        <f t="shared" si="152"/>
        <v>567.1495276232688</v>
      </c>
      <c r="AL279" s="136">
        <f t="shared" si="152"/>
        <v>537.91097744052922</v>
      </c>
      <c r="AM279" s="136">
        <f t="shared" si="152"/>
        <v>576.16166848469038</v>
      </c>
      <c r="AN279" s="136">
        <f t="shared" si="152"/>
        <v>546.77183913088879</v>
      </c>
    </row>
    <row r="280" spans="2:40">
      <c r="B280" s="209" t="s">
        <v>1227</v>
      </c>
      <c r="C280" s="82" t="s">
        <v>900</v>
      </c>
      <c r="E280" s="136"/>
      <c r="F280" s="136"/>
      <c r="G280" s="136"/>
      <c r="H280" s="136"/>
      <c r="I280" s="136"/>
      <c r="J280" s="136"/>
      <c r="K280" s="136"/>
      <c r="L280" s="136"/>
      <c r="M280" s="488">
        <f t="shared" ref="M280:AN280" si="154">M250</f>
        <v>74.599999999999994</v>
      </c>
      <c r="N280" s="488">
        <f t="shared" si="154"/>
        <v>111.70000000000002</v>
      </c>
      <c r="O280" s="488">
        <f t="shared" si="154"/>
        <v>101.4</v>
      </c>
      <c r="P280" s="488">
        <f t="shared" si="154"/>
        <v>91.799999999999983</v>
      </c>
      <c r="Q280" s="136">
        <f t="shared" si="154"/>
        <v>79.900000000000006</v>
      </c>
      <c r="R280" s="136">
        <f t="shared" si="154"/>
        <v>81.799999999999983</v>
      </c>
      <c r="S280" s="136">
        <f t="shared" si="154"/>
        <v>86.3</v>
      </c>
      <c r="T280" s="136">
        <f>T250</f>
        <v>86.500000000000014</v>
      </c>
      <c r="U280" s="136">
        <f>U250</f>
        <v>90.2</v>
      </c>
      <c r="V280" s="136">
        <f>V250</f>
        <v>88.999999999999986</v>
      </c>
      <c r="W280" s="136">
        <f t="shared" si="154"/>
        <v>93.051529477196866</v>
      </c>
      <c r="X280" s="136">
        <f t="shared" si="154"/>
        <v>91.22499999999998</v>
      </c>
      <c r="Y280" s="136">
        <f t="shared" si="154"/>
        <v>95.377817714126778</v>
      </c>
      <c r="Z280" s="136">
        <f t="shared" si="154"/>
        <v>93.505624999999966</v>
      </c>
      <c r="AA280" s="136">
        <f t="shared" si="154"/>
        <v>98.239152245550585</v>
      </c>
      <c r="AB280" s="136">
        <f t="shared" si="154"/>
        <v>96.310793749999959</v>
      </c>
      <c r="AC280" s="136">
        <f t="shared" si="154"/>
        <v>101.1863268129171</v>
      </c>
      <c r="AD280" s="136">
        <f t="shared" si="154"/>
        <v>99.200117562499969</v>
      </c>
      <c r="AE280" s="136">
        <f t="shared" si="154"/>
        <v>104.22191661730461</v>
      </c>
      <c r="AF280" s="136">
        <f t="shared" si="154"/>
        <v>102.17612108937496</v>
      </c>
      <c r="AG280" s="136">
        <f t="shared" si="154"/>
        <v>107.34857411582375</v>
      </c>
      <c r="AH280" s="136">
        <f t="shared" si="154"/>
        <v>105.24140472205622</v>
      </c>
      <c r="AI280" s="136">
        <f t="shared" si="154"/>
        <v>110.56903133929846</v>
      </c>
      <c r="AJ280" s="136">
        <f t="shared" si="154"/>
        <v>108.3986468637179</v>
      </c>
      <c r="AK280" s="136">
        <f t="shared" si="154"/>
        <v>113.88610227947741</v>
      </c>
      <c r="AL280" s="136">
        <f t="shared" si="154"/>
        <v>111.65060626962945</v>
      </c>
      <c r="AM280" s="136">
        <f t="shared" si="154"/>
        <v>117.30268534786174</v>
      </c>
      <c r="AN280" s="136">
        <f t="shared" si="154"/>
        <v>115.00012445771833</v>
      </c>
    </row>
    <row r="281" spans="2:40">
      <c r="B281" s="209" t="s">
        <v>1630</v>
      </c>
      <c r="C281" s="82" t="s">
        <v>900</v>
      </c>
      <c r="E281" s="136"/>
      <c r="F281" s="136"/>
      <c r="G281" s="136"/>
      <c r="H281" s="136"/>
      <c r="I281" s="136"/>
      <c r="J281" s="136"/>
      <c r="K281" s="136"/>
      <c r="L281" s="136"/>
      <c r="M281" s="136"/>
      <c r="N281" s="136"/>
      <c r="O281" s="136"/>
      <c r="P281" s="136"/>
      <c r="Q281" s="136"/>
      <c r="R281" s="136"/>
      <c r="S281" s="136"/>
      <c r="T281" s="136"/>
      <c r="U281" s="136"/>
      <c r="V281" s="136"/>
      <c r="W281" s="136"/>
      <c r="X281" s="136">
        <f>X377</f>
        <v>16.899999999999999</v>
      </c>
      <c r="Y281" s="136">
        <f t="shared" ref="Y281:AN281" si="155">Y377</f>
        <v>35.268999999999998</v>
      </c>
      <c r="Z281" s="136">
        <f t="shared" si="155"/>
        <v>39.814</v>
      </c>
      <c r="AA281" s="136">
        <f t="shared" si="155"/>
        <v>41.767069999999997</v>
      </c>
      <c r="AB281" s="136">
        <f t="shared" si="155"/>
        <v>43.358420000000002</v>
      </c>
      <c r="AC281" s="136">
        <f t="shared" si="155"/>
        <v>43.020082099999996</v>
      </c>
      <c r="AD281" s="136">
        <f t="shared" si="155"/>
        <v>44.659172600000005</v>
      </c>
      <c r="AE281" s="136">
        <f t="shared" si="155"/>
        <v>44.310684562999995</v>
      </c>
      <c r="AF281" s="136">
        <f t="shared" si="155"/>
        <v>45.998947778000002</v>
      </c>
      <c r="AG281" s="136">
        <f t="shared" si="155"/>
        <v>45.64000509988999</v>
      </c>
      <c r="AH281" s="136">
        <f t="shared" si="155"/>
        <v>47.378916211340005</v>
      </c>
      <c r="AI281" s="136">
        <f t="shared" si="155"/>
        <v>47.009205252886687</v>
      </c>
      <c r="AJ281" s="136">
        <f t="shared" si="155"/>
        <v>48.800283697680207</v>
      </c>
      <c r="AK281" s="136">
        <f t="shared" si="155"/>
        <v>48.419481410473288</v>
      </c>
      <c r="AL281" s="136">
        <f t="shared" si="155"/>
        <v>50.26429220861062</v>
      </c>
      <c r="AM281" s="136">
        <f t="shared" si="155"/>
        <v>49.872065852787486</v>
      </c>
      <c r="AN281" s="136">
        <f t="shared" si="155"/>
        <v>51.772220974868937</v>
      </c>
    </row>
    <row r="282" spans="2:40" s="199" customFormat="1">
      <c r="B282" s="210" t="s">
        <v>1218</v>
      </c>
      <c r="C282" s="201" t="s">
        <v>900</v>
      </c>
      <c r="D282" s="202"/>
      <c r="E282" s="207"/>
      <c r="F282" s="207"/>
      <c r="G282" s="207"/>
      <c r="H282" s="207"/>
      <c r="I282" s="207"/>
      <c r="J282" s="207"/>
      <c r="K282" s="207"/>
      <c r="L282" s="207"/>
      <c r="M282" s="808">
        <v>469.5</v>
      </c>
      <c r="N282" s="808">
        <f>987.2-M282</f>
        <v>517.70000000000005</v>
      </c>
      <c r="O282" s="808">
        <v>499.7</v>
      </c>
      <c r="P282" s="808">
        <f>968.4 -O282</f>
        <v>468.7</v>
      </c>
      <c r="Q282" s="808">
        <v>485.6</v>
      </c>
      <c r="R282" s="808">
        <f>931.7 -Q282</f>
        <v>446.1</v>
      </c>
      <c r="S282" s="207">
        <v>544.4</v>
      </c>
      <c r="T282" s="207">
        <f>1088.7-S282</f>
        <v>544.30000000000007</v>
      </c>
      <c r="U282" s="207">
        <v>567.6</v>
      </c>
      <c r="V282" s="207">
        <f>1132.4-U282</f>
        <v>564.80000000000007</v>
      </c>
      <c r="W282" s="203">
        <f t="shared" ref="W282:AN282" si="156">SUM(W279:W281)</f>
        <v>609.31307820419681</v>
      </c>
      <c r="X282" s="203">
        <f t="shared" si="156"/>
        <v>593.41688627075007</v>
      </c>
      <c r="Y282" s="203">
        <f t="shared" si="156"/>
        <v>648.70766684702187</v>
      </c>
      <c r="Z282" s="203">
        <f t="shared" si="156"/>
        <v>623.92257389947997</v>
      </c>
      <c r="AA282" s="203">
        <f t="shared" si="156"/>
        <v>662.88836629972889</v>
      </c>
      <c r="AB282" s="203">
        <f t="shared" si="156"/>
        <v>634.27934752054466</v>
      </c>
      <c r="AC282" s="203">
        <f t="shared" si="156"/>
        <v>678.62109217494231</v>
      </c>
      <c r="AD282" s="203">
        <f t="shared" si="156"/>
        <v>649.52788851597757</v>
      </c>
      <c r="AE282" s="203">
        <f t="shared" si="156"/>
        <v>690.65164861035805</v>
      </c>
      <c r="AF282" s="203">
        <f t="shared" si="156"/>
        <v>661.4413019224861</v>
      </c>
      <c r="AG282" s="203">
        <f t="shared" si="156"/>
        <v>703.12578630213466</v>
      </c>
      <c r="AH282" s="203">
        <f t="shared" si="156"/>
        <v>673.78722576367966</v>
      </c>
      <c r="AI282" s="203">
        <f t="shared" si="156"/>
        <v>716.05598604232955</v>
      </c>
      <c r="AJ282" s="203">
        <f t="shared" si="156"/>
        <v>686.5778842722741</v>
      </c>
      <c r="AK282" s="203">
        <f t="shared" si="156"/>
        <v>729.4551113132195</v>
      </c>
      <c r="AL282" s="203">
        <f t="shared" si="156"/>
        <v>699.82587591876927</v>
      </c>
      <c r="AM282" s="203">
        <f t="shared" si="156"/>
        <v>743.33641968533959</v>
      </c>
      <c r="AN282" s="203">
        <f t="shared" si="156"/>
        <v>713.54418456347605</v>
      </c>
    </row>
    <row r="283" spans="2:40" s="199" customFormat="1">
      <c r="B283" s="226" t="s">
        <v>886</v>
      </c>
      <c r="C283" s="201"/>
      <c r="E283" s="217"/>
      <c r="F283" s="217"/>
      <c r="G283" s="217"/>
      <c r="H283" s="217"/>
      <c r="I283" s="217"/>
      <c r="J283" s="217"/>
      <c r="K283" s="217"/>
      <c r="L283" s="217"/>
      <c r="M283" s="217">
        <f t="shared" ref="M283:U283" si="157">M282-SUM(M279:M281)</f>
        <v>0</v>
      </c>
      <c r="N283" s="217">
        <f t="shared" si="157"/>
        <v>-0.39999999999997726</v>
      </c>
      <c r="O283" s="217">
        <f t="shared" si="157"/>
        <v>0</v>
      </c>
      <c r="P283" s="217">
        <f t="shared" si="157"/>
        <v>0.19999999999998863</v>
      </c>
      <c r="Q283" s="217">
        <f t="shared" si="157"/>
        <v>11.800000000000068</v>
      </c>
      <c r="R283" s="217">
        <f t="shared" si="157"/>
        <v>0</v>
      </c>
      <c r="S283" s="217">
        <f t="shared" si="157"/>
        <v>0</v>
      </c>
      <c r="T283" s="217">
        <f t="shared" si="157"/>
        <v>0</v>
      </c>
      <c r="U283" s="217">
        <f t="shared" si="157"/>
        <v>0</v>
      </c>
      <c r="V283" s="217">
        <f t="shared" ref="V283" si="158">V282-SUM(V279:V281)</f>
        <v>0</v>
      </c>
      <c r="W283" s="217">
        <f t="shared" ref="W283:AN283" si="159">W282-SUM(W279:W281)</f>
        <v>0</v>
      </c>
      <c r="X283" s="217">
        <f t="shared" si="159"/>
        <v>0</v>
      </c>
      <c r="Y283" s="217">
        <f t="shared" si="159"/>
        <v>0</v>
      </c>
      <c r="Z283" s="217">
        <f t="shared" si="159"/>
        <v>0</v>
      </c>
      <c r="AA283" s="217">
        <f t="shared" si="159"/>
        <v>0</v>
      </c>
      <c r="AB283" s="217">
        <f t="shared" si="159"/>
        <v>0</v>
      </c>
      <c r="AC283" s="217">
        <f t="shared" si="159"/>
        <v>0</v>
      </c>
      <c r="AD283" s="217">
        <f t="shared" si="159"/>
        <v>0</v>
      </c>
      <c r="AE283" s="217">
        <f t="shared" si="159"/>
        <v>0</v>
      </c>
      <c r="AF283" s="217">
        <f t="shared" si="159"/>
        <v>0</v>
      </c>
      <c r="AG283" s="217">
        <f t="shared" si="159"/>
        <v>0</v>
      </c>
      <c r="AH283" s="217">
        <f t="shared" si="159"/>
        <v>0</v>
      </c>
      <c r="AI283" s="217">
        <f t="shared" si="159"/>
        <v>0</v>
      </c>
      <c r="AJ283" s="217">
        <f t="shared" si="159"/>
        <v>0</v>
      </c>
      <c r="AK283" s="217">
        <f t="shared" si="159"/>
        <v>0</v>
      </c>
      <c r="AL283" s="217">
        <f t="shared" si="159"/>
        <v>0</v>
      </c>
      <c r="AM283" s="217">
        <f t="shared" si="159"/>
        <v>0</v>
      </c>
      <c r="AN283" s="217">
        <f t="shared" si="159"/>
        <v>0</v>
      </c>
    </row>
    <row r="284" spans="2:40">
      <c r="B284" s="134"/>
      <c r="E284" s="142"/>
      <c r="F284" s="142"/>
      <c r="G284" s="142"/>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row>
    <row r="285" spans="2:40">
      <c r="B285" s="209" t="s">
        <v>1226</v>
      </c>
      <c r="C285" s="82" t="s">
        <v>900</v>
      </c>
      <c r="E285" s="136"/>
      <c r="F285" s="136"/>
      <c r="G285" s="136"/>
      <c r="H285" s="136"/>
      <c r="I285" s="136"/>
      <c r="J285" s="136"/>
      <c r="K285" s="136"/>
      <c r="L285" s="136"/>
      <c r="M285" s="136">
        <f t="shared" ref="M285:AN285" si="160">M201</f>
        <v>-257</v>
      </c>
      <c r="N285" s="136">
        <f t="shared" si="160"/>
        <v>-257.29999999999995</v>
      </c>
      <c r="O285" s="136">
        <f t="shared" si="160"/>
        <v>-243.9</v>
      </c>
      <c r="P285" s="136">
        <f t="shared" si="160"/>
        <v>-223.1</v>
      </c>
      <c r="Q285" s="136">
        <f t="shared" si="160"/>
        <v>-259.89999999999998</v>
      </c>
      <c r="R285" s="136">
        <f t="shared" si="160"/>
        <v>-247.10000000000002</v>
      </c>
      <c r="S285" s="136">
        <f t="shared" si="160"/>
        <v>-301.39999999999998</v>
      </c>
      <c r="T285" s="136">
        <f t="shared" si="160"/>
        <v>-285.39999999999998</v>
      </c>
      <c r="U285" s="136">
        <f t="shared" si="160"/>
        <v>-296</v>
      </c>
      <c r="V285" s="136">
        <f t="shared" ref="V285" si="161">V201</f>
        <v>-295.39999999999998</v>
      </c>
      <c r="W285" s="136">
        <f t="shared" si="160"/>
        <v>-306.06400000000002</v>
      </c>
      <c r="X285" s="136">
        <f t="shared" si="160"/>
        <v>-305.00049999999999</v>
      </c>
      <c r="Y285" s="136">
        <f t="shared" si="160"/>
        <v>-315.24592000000001</v>
      </c>
      <c r="Z285" s="136">
        <f t="shared" si="160"/>
        <v>-314.15051499999998</v>
      </c>
      <c r="AA285" s="136">
        <f t="shared" si="160"/>
        <v>-324.70329760000004</v>
      </c>
      <c r="AB285" s="136">
        <f t="shared" si="160"/>
        <v>-323.57503044999999</v>
      </c>
      <c r="AC285" s="136">
        <f t="shared" si="160"/>
        <v>-334.44439652800003</v>
      </c>
      <c r="AD285" s="136">
        <f t="shared" si="160"/>
        <v>-333.28228136349998</v>
      </c>
      <c r="AE285" s="136">
        <f t="shared" si="160"/>
        <v>-341.13328445856001</v>
      </c>
      <c r="AF285" s="136">
        <f t="shared" si="160"/>
        <v>-339.94792699076999</v>
      </c>
      <c r="AG285" s="136">
        <f t="shared" si="160"/>
        <v>-347.95595014773124</v>
      </c>
      <c r="AH285" s="136">
        <f t="shared" si="160"/>
        <v>-346.74688553058542</v>
      </c>
      <c r="AI285" s="136">
        <f t="shared" si="160"/>
        <v>-354.91506915068589</v>
      </c>
      <c r="AJ285" s="136">
        <f t="shared" si="160"/>
        <v>-353.68182324119715</v>
      </c>
      <c r="AK285" s="136">
        <f t="shared" si="160"/>
        <v>-362.01337053369963</v>
      </c>
      <c r="AL285" s="136">
        <f t="shared" si="160"/>
        <v>-360.7554597060211</v>
      </c>
      <c r="AM285" s="136">
        <f t="shared" si="160"/>
        <v>-369.25363794437362</v>
      </c>
      <c r="AN285" s="136">
        <f t="shared" si="160"/>
        <v>-367.97056890014153</v>
      </c>
    </row>
    <row r="286" spans="2:40">
      <c r="B286" s="209" t="s">
        <v>1227</v>
      </c>
      <c r="C286" s="82" t="s">
        <v>900</v>
      </c>
      <c r="E286" s="136"/>
      <c r="F286" s="136"/>
      <c r="G286" s="136"/>
      <c r="H286" s="136"/>
      <c r="I286" s="136"/>
      <c r="J286" s="136"/>
      <c r="K286" s="136"/>
      <c r="L286" s="136"/>
      <c r="M286" s="488">
        <f t="shared" ref="M286:AN286" si="162">M253</f>
        <v>-55</v>
      </c>
      <c r="N286" s="488">
        <f t="shared" si="162"/>
        <v>-58.099999999999994</v>
      </c>
      <c r="O286" s="488">
        <f t="shared" si="162"/>
        <v>-58.5</v>
      </c>
      <c r="P286" s="488">
        <f t="shared" si="162"/>
        <v>-51.599999999999994</v>
      </c>
      <c r="Q286" s="136">
        <f t="shared" si="162"/>
        <v>-51.6</v>
      </c>
      <c r="R286" s="136">
        <f t="shared" si="162"/>
        <v>-51.1</v>
      </c>
      <c r="S286" s="136">
        <f t="shared" si="162"/>
        <v>-52.8</v>
      </c>
      <c r="T286" s="136">
        <f>T253</f>
        <v>-57.600000000000009</v>
      </c>
      <c r="U286" s="136">
        <f>U253</f>
        <v>-54.2</v>
      </c>
      <c r="V286" s="136">
        <f>V253</f>
        <v>-55.099999999999994</v>
      </c>
      <c r="W286" s="136">
        <f t="shared" si="162"/>
        <v>-57.335424999999994</v>
      </c>
      <c r="X286" s="136">
        <f t="shared" si="162"/>
        <v>-56.209974999999986</v>
      </c>
      <c r="Y286" s="136">
        <f t="shared" si="162"/>
        <v>-58.768810624999986</v>
      </c>
      <c r="Z286" s="136">
        <f t="shared" si="162"/>
        <v>-57.615224374999983</v>
      </c>
      <c r="AA286" s="136">
        <f t="shared" si="162"/>
        <v>-60.531874943749983</v>
      </c>
      <c r="AB286" s="136">
        <f t="shared" si="162"/>
        <v>-59.343681106249981</v>
      </c>
      <c r="AC286" s="136">
        <f t="shared" si="162"/>
        <v>-62.347831192062486</v>
      </c>
      <c r="AD286" s="136">
        <f t="shared" si="162"/>
        <v>-61.123991539437483</v>
      </c>
      <c r="AE286" s="136">
        <f t="shared" si="162"/>
        <v>-64.218266127824364</v>
      </c>
      <c r="AF286" s="136">
        <f t="shared" si="162"/>
        <v>-62.957711285620604</v>
      </c>
      <c r="AG286" s="136">
        <f t="shared" si="162"/>
        <v>-66.144814111659088</v>
      </c>
      <c r="AH286" s="136">
        <f t="shared" si="162"/>
        <v>-64.846442624189223</v>
      </c>
      <c r="AI286" s="136">
        <f t="shared" si="162"/>
        <v>-68.129158535008855</v>
      </c>
      <c r="AJ286" s="136">
        <f t="shared" si="162"/>
        <v>-66.791835902914897</v>
      </c>
      <c r="AK286" s="136">
        <f t="shared" si="162"/>
        <v>-70.173033291059127</v>
      </c>
      <c r="AL286" s="136">
        <f t="shared" si="162"/>
        <v>-68.795590980002359</v>
      </c>
      <c r="AM286" s="136">
        <f t="shared" si="162"/>
        <v>-72.278224289790899</v>
      </c>
      <c r="AN286" s="136">
        <f t="shared" si="162"/>
        <v>-70.859458709402418</v>
      </c>
    </row>
    <row r="287" spans="2:40">
      <c r="B287" s="209" t="s">
        <v>1630</v>
      </c>
      <c r="C287" s="82" t="s">
        <v>900</v>
      </c>
      <c r="E287" s="136"/>
      <c r="F287" s="136"/>
      <c r="G287" s="136"/>
      <c r="H287" s="136"/>
      <c r="I287" s="136"/>
      <c r="J287" s="136"/>
      <c r="K287" s="136"/>
      <c r="L287" s="136"/>
      <c r="M287" s="136"/>
      <c r="N287" s="136"/>
      <c r="O287" s="136"/>
      <c r="P287" s="136"/>
      <c r="Q287" s="136"/>
      <c r="R287" s="136"/>
      <c r="S287" s="136"/>
      <c r="T287" s="136"/>
      <c r="U287" s="136"/>
      <c r="V287" s="136"/>
      <c r="W287" s="136"/>
      <c r="X287" s="136">
        <f>X378</f>
        <v>-11.7</v>
      </c>
      <c r="Y287" s="136">
        <f t="shared" ref="Y287:AN287" si="163">Y378</f>
        <v>-22.102</v>
      </c>
      <c r="Z287" s="136">
        <f t="shared" si="163"/>
        <v>-19.102</v>
      </c>
      <c r="AA287" s="136">
        <f t="shared" si="163"/>
        <v>-17.325060000000001</v>
      </c>
      <c r="AB287" s="136">
        <f t="shared" si="163"/>
        <v>-17.325060000000001</v>
      </c>
      <c r="AC287" s="136">
        <f t="shared" si="163"/>
        <v>-17.844811799999999</v>
      </c>
      <c r="AD287" s="136">
        <f t="shared" si="163"/>
        <v>-17.844811799999999</v>
      </c>
      <c r="AE287" s="136">
        <f t="shared" si="163"/>
        <v>-18.380156154000002</v>
      </c>
      <c r="AF287" s="136">
        <f t="shared" si="163"/>
        <v>-18.380156154000002</v>
      </c>
      <c r="AG287" s="136">
        <f t="shared" si="163"/>
        <v>-18.931560838620001</v>
      </c>
      <c r="AH287" s="136">
        <f t="shared" si="163"/>
        <v>-18.931560838620001</v>
      </c>
      <c r="AI287" s="136">
        <f t="shared" si="163"/>
        <v>-19.499507663778605</v>
      </c>
      <c r="AJ287" s="136">
        <f t="shared" si="163"/>
        <v>-19.499507663778605</v>
      </c>
      <c r="AK287" s="136">
        <f t="shared" si="163"/>
        <v>-20.084492893691966</v>
      </c>
      <c r="AL287" s="136">
        <f t="shared" si="163"/>
        <v>-20.084492893691966</v>
      </c>
      <c r="AM287" s="136">
        <f t="shared" si="163"/>
        <v>-20.687027680502723</v>
      </c>
      <c r="AN287" s="136">
        <f t="shared" si="163"/>
        <v>-20.687027680502723</v>
      </c>
    </row>
    <row r="288" spans="2:40" s="3" customFormat="1">
      <c r="B288" s="482" t="s">
        <v>4</v>
      </c>
      <c r="C288" s="484" t="s">
        <v>900</v>
      </c>
      <c r="E288" s="485"/>
      <c r="F288" s="485"/>
      <c r="G288" s="485"/>
      <c r="H288" s="485"/>
      <c r="I288" s="485"/>
      <c r="J288" s="485"/>
      <c r="K288" s="485"/>
      <c r="L288" s="485"/>
      <c r="M288" s="489">
        <v>-310.5</v>
      </c>
      <c r="N288" s="489">
        <f>-626.6-M288</f>
        <v>-316.10000000000002</v>
      </c>
      <c r="O288" s="489">
        <v>-303.10000000000002</v>
      </c>
      <c r="P288" s="489">
        <f>-577.4-O288</f>
        <v>-274.29999999999995</v>
      </c>
      <c r="Q288" s="489">
        <v>-315.8</v>
      </c>
      <c r="R288" s="489">
        <f>-614-Q288</f>
        <v>-298.2</v>
      </c>
      <c r="S288" s="485">
        <v>-354.2</v>
      </c>
      <c r="T288" s="485">
        <f>-697.2-S288</f>
        <v>-343.00000000000006</v>
      </c>
      <c r="U288" s="485">
        <v>-350.2</v>
      </c>
      <c r="V288" s="485">
        <f>-700.7-U288</f>
        <v>-350.50000000000006</v>
      </c>
      <c r="W288" s="222">
        <f>SUM(W285:W287)</f>
        <v>-363.39942500000001</v>
      </c>
      <c r="X288" s="222">
        <f>SUM(X285:X287)</f>
        <v>-372.91047499999996</v>
      </c>
      <c r="Y288" s="222">
        <f t="shared" ref="Y288:AN288" si="164">SUM(Y285:Y287)</f>
        <v>-396.11673062499995</v>
      </c>
      <c r="Z288" s="222">
        <f t="shared" si="164"/>
        <v>-390.86773937499993</v>
      </c>
      <c r="AA288" s="222">
        <f t="shared" si="164"/>
        <v>-402.56023254375003</v>
      </c>
      <c r="AB288" s="222">
        <f t="shared" si="164"/>
        <v>-400.24377155624995</v>
      </c>
      <c r="AC288" s="222">
        <f t="shared" si="164"/>
        <v>-414.6370395200625</v>
      </c>
      <c r="AD288" s="222">
        <f t="shared" si="164"/>
        <v>-412.25108470293748</v>
      </c>
      <c r="AE288" s="222">
        <f t="shared" si="164"/>
        <v>-423.73170674038442</v>
      </c>
      <c r="AF288" s="222">
        <f t="shared" si="164"/>
        <v>-421.28579443039064</v>
      </c>
      <c r="AG288" s="222">
        <f t="shared" si="164"/>
        <v>-433.03232509801029</v>
      </c>
      <c r="AH288" s="222">
        <f t="shared" si="164"/>
        <v>-430.52488899339465</v>
      </c>
      <c r="AI288" s="222">
        <f t="shared" si="164"/>
        <v>-442.54373534947337</v>
      </c>
      <c r="AJ288" s="222">
        <f t="shared" si="164"/>
        <v>-439.97316680789066</v>
      </c>
      <c r="AK288" s="222">
        <f t="shared" si="164"/>
        <v>-452.27089671845073</v>
      </c>
      <c r="AL288" s="222">
        <f t="shared" si="164"/>
        <v>-449.63554357971543</v>
      </c>
      <c r="AM288" s="222">
        <f t="shared" si="164"/>
        <v>-462.21888991466722</v>
      </c>
      <c r="AN288" s="222">
        <f t="shared" si="164"/>
        <v>-459.51705529004664</v>
      </c>
    </row>
    <row r="289" spans="2:40">
      <c r="B289" s="162" t="s">
        <v>1163</v>
      </c>
      <c r="C289" s="82" t="s">
        <v>842</v>
      </c>
      <c r="E289" s="159"/>
      <c r="F289" s="159"/>
      <c r="G289" s="159"/>
      <c r="H289" s="159"/>
      <c r="I289" s="159"/>
      <c r="J289" s="159"/>
      <c r="K289" s="159"/>
      <c r="L289" s="159"/>
      <c r="M289" s="159">
        <f t="shared" ref="M289:U289" si="165">M288/M$271</f>
        <v>-0.26946107784431139</v>
      </c>
      <c r="N289" s="159">
        <f t="shared" si="165"/>
        <v>-0.25804081632653059</v>
      </c>
      <c r="O289" s="159">
        <f t="shared" si="165"/>
        <v>-0.23781875245194195</v>
      </c>
      <c r="P289" s="159">
        <f t="shared" si="165"/>
        <v>-0.23648590395723765</v>
      </c>
      <c r="Q289" s="159">
        <f t="shared" si="165"/>
        <v>-0.26107804232804238</v>
      </c>
      <c r="R289" s="159">
        <f t="shared" si="165"/>
        <v>-0.26405738067829626</v>
      </c>
      <c r="S289" s="159">
        <f t="shared" si="165"/>
        <v>-0.26605573499586871</v>
      </c>
      <c r="T289" s="159">
        <f t="shared" si="165"/>
        <v>-0.26727966960180788</v>
      </c>
      <c r="U289" s="159">
        <f t="shared" si="165"/>
        <v>-0.26039110714551267</v>
      </c>
      <c r="V289" s="159">
        <f t="shared" ref="V289" si="166">V288/V$271</f>
        <v>-0.27141087192194518</v>
      </c>
      <c r="W289" s="159">
        <f t="shared" ref="W289:AN289" si="167">W288/W$271</f>
        <v>-0.25938874860732808</v>
      </c>
      <c r="X289" s="159">
        <f t="shared" si="167"/>
        <v>-0.27705405231682773</v>
      </c>
      <c r="Y289" s="159">
        <f t="shared" si="167"/>
        <v>-0.27161816410320005</v>
      </c>
      <c r="Z289" s="159">
        <f t="shared" si="167"/>
        <v>-0.28150380227433347</v>
      </c>
      <c r="AA289" s="159">
        <f t="shared" si="167"/>
        <v>-0.27292793778852825</v>
      </c>
      <c r="AB289" s="159">
        <f t="shared" si="167"/>
        <v>-0.28526942922578302</v>
      </c>
      <c r="AC289" s="159">
        <f t="shared" si="167"/>
        <v>-0.2748303567573685</v>
      </c>
      <c r="AD289" s="159">
        <f t="shared" si="167"/>
        <v>-0.28717099016285053</v>
      </c>
      <c r="AE289" s="159">
        <f t="shared" si="167"/>
        <v>-0.2764286610239769</v>
      </c>
      <c r="AF289" s="159">
        <f t="shared" si="167"/>
        <v>-0.28865952020901386</v>
      </c>
      <c r="AG289" s="159">
        <f t="shared" si="167"/>
        <v>-0.27794276878745655</v>
      </c>
      <c r="AH289" s="159">
        <f t="shared" si="167"/>
        <v>-0.29006051281367362</v>
      </c>
      <c r="AI289" s="159">
        <f t="shared" si="167"/>
        <v>-0.27937248444978413</v>
      </c>
      <c r="AJ289" s="159">
        <f t="shared" si="167"/>
        <v>-0.29137405094975116</v>
      </c>
      <c r="AK289" s="159">
        <f t="shared" si="167"/>
        <v>-0.28071776618462319</v>
      </c>
      <c r="AL289" s="159">
        <f t="shared" si="167"/>
        <v>-0.29260036920582627</v>
      </c>
      <c r="AM289" s="159">
        <f t="shared" si="167"/>
        <v>-0.28197872198384921</v>
      </c>
      <c r="AN289" s="159">
        <f t="shared" si="167"/>
        <v>-0.29373984874096859</v>
      </c>
    </row>
    <row r="290" spans="2:40" s="199" customFormat="1">
      <c r="B290" s="226" t="s">
        <v>886</v>
      </c>
      <c r="C290" s="201"/>
      <c r="E290" s="217"/>
      <c r="F290" s="217"/>
      <c r="G290" s="217"/>
      <c r="H290" s="217"/>
      <c r="I290" s="217"/>
      <c r="J290" s="217"/>
      <c r="K290" s="217"/>
      <c r="L290" s="217"/>
      <c r="M290" s="217">
        <f t="shared" ref="M290:U290" si="168">M288-SUM(M285:M287)</f>
        <v>1.5</v>
      </c>
      <c r="N290" s="217">
        <f t="shared" si="168"/>
        <v>-0.70000000000004547</v>
      </c>
      <c r="O290" s="217">
        <f t="shared" si="168"/>
        <v>-0.70000000000004547</v>
      </c>
      <c r="P290" s="217">
        <f t="shared" si="168"/>
        <v>0.40000000000003411</v>
      </c>
      <c r="Q290" s="217">
        <f t="shared" si="168"/>
        <v>-4.3000000000000114</v>
      </c>
      <c r="R290" s="217">
        <f t="shared" si="168"/>
        <v>0</v>
      </c>
      <c r="S290" s="217">
        <f t="shared" si="168"/>
        <v>0</v>
      </c>
      <c r="T290" s="217">
        <f t="shared" si="168"/>
        <v>0</v>
      </c>
      <c r="U290" s="217">
        <f t="shared" si="168"/>
        <v>0</v>
      </c>
      <c r="V290" s="217">
        <f t="shared" ref="V290" si="169">V288-SUM(V285:V287)</f>
        <v>0</v>
      </c>
      <c r="W290" s="217">
        <f t="shared" ref="W290:AN290" si="170">W288-SUM(W285:W287)</f>
        <v>0</v>
      </c>
      <c r="X290" s="217">
        <f t="shared" si="170"/>
        <v>0</v>
      </c>
      <c r="Y290" s="217">
        <f t="shared" si="170"/>
        <v>0</v>
      </c>
      <c r="Z290" s="217">
        <f t="shared" si="170"/>
        <v>0</v>
      </c>
      <c r="AA290" s="217">
        <f t="shared" si="170"/>
        <v>0</v>
      </c>
      <c r="AB290" s="217">
        <f t="shared" si="170"/>
        <v>0</v>
      </c>
      <c r="AC290" s="217">
        <f t="shared" si="170"/>
        <v>0</v>
      </c>
      <c r="AD290" s="217">
        <f t="shared" si="170"/>
        <v>0</v>
      </c>
      <c r="AE290" s="217">
        <f t="shared" si="170"/>
        <v>0</v>
      </c>
      <c r="AF290" s="217">
        <f t="shared" si="170"/>
        <v>0</v>
      </c>
      <c r="AG290" s="217">
        <f t="shared" si="170"/>
        <v>0</v>
      </c>
      <c r="AH290" s="217">
        <f t="shared" si="170"/>
        <v>0</v>
      </c>
      <c r="AI290" s="217">
        <f t="shared" si="170"/>
        <v>0</v>
      </c>
      <c r="AJ290" s="217">
        <f t="shared" si="170"/>
        <v>0</v>
      </c>
      <c r="AK290" s="217">
        <f t="shared" si="170"/>
        <v>0</v>
      </c>
      <c r="AL290" s="217">
        <f t="shared" si="170"/>
        <v>0</v>
      </c>
      <c r="AM290" s="217">
        <f t="shared" si="170"/>
        <v>0</v>
      </c>
      <c r="AN290" s="217">
        <f t="shared" si="170"/>
        <v>0</v>
      </c>
    </row>
    <row r="291" spans="2:40">
      <c r="B291" s="161"/>
      <c r="E291" s="142"/>
      <c r="F291" s="142"/>
      <c r="G291" s="142"/>
      <c r="H291" s="142"/>
      <c r="I291" s="142"/>
      <c r="J291" s="142"/>
      <c r="K291" s="142"/>
      <c r="L291" s="142"/>
      <c r="M291" s="142"/>
      <c r="N291" s="142"/>
      <c r="O291" s="142"/>
      <c r="P291" s="142"/>
      <c r="Q291" s="142"/>
      <c r="R291" s="142"/>
      <c r="S291" s="142"/>
      <c r="T291" s="142"/>
      <c r="U291" s="142"/>
      <c r="V291" s="142"/>
      <c r="W291" s="142"/>
      <c r="X291" s="142"/>
      <c r="Y291" s="142"/>
      <c r="Z291" s="142"/>
      <c r="AA291" s="142"/>
      <c r="AB291" s="142"/>
      <c r="AC291" s="142"/>
      <c r="AD291" s="142"/>
      <c r="AE291" s="142"/>
      <c r="AF291" s="142"/>
      <c r="AG291" s="142"/>
      <c r="AH291" s="142"/>
      <c r="AI291" s="142"/>
      <c r="AJ291" s="142"/>
      <c r="AK291" s="142"/>
      <c r="AL291" s="142"/>
      <c r="AM291" s="142"/>
      <c r="AN291" s="142"/>
    </row>
    <row r="292" spans="2:40">
      <c r="B292" s="209" t="s">
        <v>1226</v>
      </c>
      <c r="C292" s="82" t="s">
        <v>900</v>
      </c>
      <c r="E292" s="136"/>
      <c r="F292" s="136"/>
      <c r="G292" s="136"/>
      <c r="H292" s="136"/>
      <c r="I292" s="136"/>
      <c r="J292" s="136"/>
      <c r="K292" s="136"/>
      <c r="L292" s="136"/>
      <c r="M292" s="136">
        <f t="shared" ref="M292:AN292" si="171">M210</f>
        <v>137.9</v>
      </c>
      <c r="N292" s="136">
        <f t="shared" si="171"/>
        <v>149.1</v>
      </c>
      <c r="O292" s="136">
        <f t="shared" si="171"/>
        <v>154.4</v>
      </c>
      <c r="P292" s="136">
        <f t="shared" si="171"/>
        <v>153.6</v>
      </c>
      <c r="Q292" s="136">
        <f t="shared" si="171"/>
        <v>134</v>
      </c>
      <c r="R292" s="136">
        <f t="shared" si="171"/>
        <v>117.19999999999999</v>
      </c>
      <c r="S292" s="136">
        <f t="shared" si="171"/>
        <v>156.69999999999999</v>
      </c>
      <c r="T292" s="136">
        <f t="shared" si="171"/>
        <v>172.40000000000003</v>
      </c>
      <c r="U292" s="136">
        <f t="shared" si="171"/>
        <v>181.4</v>
      </c>
      <c r="V292" s="136">
        <f t="shared" ref="V292" si="172">V210</f>
        <v>180.4</v>
      </c>
      <c r="W292" s="136">
        <f t="shared" si="171"/>
        <v>210.19754872699997</v>
      </c>
      <c r="X292" s="136">
        <f t="shared" si="171"/>
        <v>180.29138627075008</v>
      </c>
      <c r="Y292" s="136">
        <f t="shared" si="171"/>
        <v>202.81492913289509</v>
      </c>
      <c r="Z292" s="136">
        <f t="shared" si="171"/>
        <v>176.45243389948001</v>
      </c>
      <c r="AA292" s="136">
        <f t="shared" si="171"/>
        <v>198.17884645417826</v>
      </c>
      <c r="AB292" s="136">
        <f t="shared" si="171"/>
        <v>171.03510332054469</v>
      </c>
      <c r="AC292" s="136">
        <f t="shared" si="171"/>
        <v>199.97028673402525</v>
      </c>
      <c r="AD292" s="136">
        <f t="shared" si="171"/>
        <v>172.38631698997762</v>
      </c>
      <c r="AE292" s="136">
        <f t="shared" si="171"/>
        <v>200.98576297149344</v>
      </c>
      <c r="AF292" s="136">
        <f t="shared" si="171"/>
        <v>173.31830606434113</v>
      </c>
      <c r="AG292" s="136">
        <f t="shared" si="171"/>
        <v>202.18125693868961</v>
      </c>
      <c r="AH292" s="136">
        <f t="shared" si="171"/>
        <v>174.42001929969803</v>
      </c>
      <c r="AI292" s="136">
        <f t="shared" si="171"/>
        <v>203.56268029945852</v>
      </c>
      <c r="AJ292" s="136">
        <f t="shared" si="171"/>
        <v>175.69713046967883</v>
      </c>
      <c r="AK292" s="136">
        <f t="shared" si="171"/>
        <v>205.13615708956917</v>
      </c>
      <c r="AL292" s="136">
        <f t="shared" si="171"/>
        <v>177.15551773450812</v>
      </c>
      <c r="AM292" s="136">
        <f t="shared" si="171"/>
        <v>206.90803054031676</v>
      </c>
      <c r="AN292" s="136">
        <f t="shared" si="171"/>
        <v>178.80127023074726</v>
      </c>
    </row>
    <row r="293" spans="2:40">
      <c r="B293" s="209" t="s">
        <v>1227</v>
      </c>
      <c r="C293" s="82" t="s">
        <v>900</v>
      </c>
      <c r="E293" s="136"/>
      <c r="F293" s="136"/>
      <c r="G293" s="136"/>
      <c r="H293" s="136"/>
      <c r="I293" s="136"/>
      <c r="J293" s="136"/>
      <c r="K293" s="136"/>
      <c r="L293" s="136"/>
      <c r="M293" s="488">
        <f t="shared" ref="M293:AL293" si="173">M256</f>
        <v>19.600000000000001</v>
      </c>
      <c r="N293" s="488">
        <f t="shared" si="173"/>
        <v>53.6</v>
      </c>
      <c r="O293" s="488">
        <f t="shared" si="173"/>
        <v>42.9</v>
      </c>
      <c r="P293" s="488">
        <f t="shared" si="173"/>
        <v>40.199999999999996</v>
      </c>
      <c r="Q293" s="136">
        <f t="shared" si="173"/>
        <v>28.3</v>
      </c>
      <c r="R293" s="136">
        <f>R256</f>
        <v>30.7</v>
      </c>
      <c r="S293" s="136">
        <f>S256</f>
        <v>33.5</v>
      </c>
      <c r="T293" s="136">
        <f>T256</f>
        <v>28.9</v>
      </c>
      <c r="U293" s="136">
        <f>U256</f>
        <v>36</v>
      </c>
      <c r="V293" s="136">
        <f>V256</f>
        <v>33.900000000000006</v>
      </c>
      <c r="W293" s="136">
        <f t="shared" si="173"/>
        <v>35.716104477196872</v>
      </c>
      <c r="X293" s="136">
        <f t="shared" si="173"/>
        <v>35.015024999999994</v>
      </c>
      <c r="Y293" s="136">
        <f t="shared" si="173"/>
        <v>36.609007089126791</v>
      </c>
      <c r="Z293" s="136">
        <f t="shared" si="173"/>
        <v>35.890400624999984</v>
      </c>
      <c r="AA293" s="136">
        <f t="shared" si="173"/>
        <v>37.707277301800602</v>
      </c>
      <c r="AB293" s="136">
        <f t="shared" si="173"/>
        <v>36.967112643749978</v>
      </c>
      <c r="AC293" s="136">
        <f t="shared" si="173"/>
        <v>38.838495620854616</v>
      </c>
      <c r="AD293" s="136">
        <f t="shared" si="173"/>
        <v>38.076126023062486</v>
      </c>
      <c r="AE293" s="136">
        <f t="shared" si="173"/>
        <v>40.00365048948025</v>
      </c>
      <c r="AF293" s="136">
        <f t="shared" si="173"/>
        <v>39.218409803754355</v>
      </c>
      <c r="AG293" s="136">
        <f t="shared" si="173"/>
        <v>41.203760004164664</v>
      </c>
      <c r="AH293" s="136">
        <f t="shared" si="173"/>
        <v>40.394962097866994</v>
      </c>
      <c r="AI293" s="136">
        <f t="shared" si="173"/>
        <v>42.439872804289607</v>
      </c>
      <c r="AJ293" s="136">
        <f t="shared" si="173"/>
        <v>41.606810960803003</v>
      </c>
      <c r="AK293" s="136">
        <f t="shared" si="173"/>
        <v>43.713068988418286</v>
      </c>
      <c r="AL293" s="136">
        <f t="shared" si="173"/>
        <v>42.85501528962709</v>
      </c>
      <c r="AM293" s="136">
        <f>AM256</f>
        <v>45.024461058070841</v>
      </c>
      <c r="AN293" s="136">
        <f>AN256</f>
        <v>44.140665748315911</v>
      </c>
    </row>
    <row r="294" spans="2:40">
      <c r="B294" s="209" t="s">
        <v>1630</v>
      </c>
      <c r="C294" s="82" t="s">
        <v>900</v>
      </c>
      <c r="E294" s="136"/>
      <c r="F294" s="136"/>
      <c r="G294" s="136"/>
      <c r="H294" s="136"/>
      <c r="I294" s="136"/>
      <c r="J294" s="136"/>
      <c r="K294" s="136"/>
      <c r="L294" s="136"/>
      <c r="M294" s="136"/>
      <c r="N294" s="136"/>
      <c r="O294" s="136"/>
      <c r="P294" s="136"/>
      <c r="Q294" s="136"/>
      <c r="R294" s="136"/>
      <c r="S294" s="136"/>
      <c r="T294" s="136"/>
      <c r="U294" s="136"/>
      <c r="V294" s="136"/>
      <c r="W294" s="136"/>
      <c r="X294" s="136">
        <f>X379</f>
        <v>5.1999999999999993</v>
      </c>
      <c r="Y294" s="136">
        <f t="shared" ref="Y294:AN294" si="174">Y379</f>
        <v>13.166999999999998</v>
      </c>
      <c r="Z294" s="136">
        <f t="shared" si="174"/>
        <v>20.712</v>
      </c>
      <c r="AA294" s="136">
        <f t="shared" si="174"/>
        <v>24.442009999999996</v>
      </c>
      <c r="AB294" s="136">
        <f t="shared" si="174"/>
        <v>26.033360000000002</v>
      </c>
      <c r="AC294" s="136">
        <f t="shared" si="174"/>
        <v>25.175270299999998</v>
      </c>
      <c r="AD294" s="136">
        <f t="shared" si="174"/>
        <v>26.814360800000006</v>
      </c>
      <c r="AE294" s="136">
        <f t="shared" si="174"/>
        <v>25.930528408999994</v>
      </c>
      <c r="AF294" s="136">
        <f t="shared" si="174"/>
        <v>27.618791624</v>
      </c>
      <c r="AG294" s="136">
        <f t="shared" si="174"/>
        <v>26.708444261269989</v>
      </c>
      <c r="AH294" s="136">
        <f t="shared" si="174"/>
        <v>28.447355372720004</v>
      </c>
      <c r="AI294" s="136">
        <f t="shared" si="174"/>
        <v>27.509697589108082</v>
      </c>
      <c r="AJ294" s="136">
        <f t="shared" si="174"/>
        <v>29.300776033901602</v>
      </c>
      <c r="AK294" s="136">
        <f t="shared" si="174"/>
        <v>28.334988516781323</v>
      </c>
      <c r="AL294" s="136">
        <f t="shared" si="174"/>
        <v>30.179799314918654</v>
      </c>
      <c r="AM294" s="136">
        <f t="shared" si="174"/>
        <v>29.185038172284763</v>
      </c>
      <c r="AN294" s="136">
        <f t="shared" si="174"/>
        <v>31.085193294366213</v>
      </c>
    </row>
    <row r="295" spans="2:40" s="3" customFormat="1">
      <c r="B295" s="210" t="s">
        <v>983</v>
      </c>
      <c r="C295" s="484" t="s">
        <v>900</v>
      </c>
      <c r="E295" s="485"/>
      <c r="F295" s="485"/>
      <c r="G295" s="485"/>
      <c r="H295" s="485"/>
      <c r="I295" s="485"/>
      <c r="J295" s="485"/>
      <c r="K295" s="485"/>
      <c r="L295" s="485"/>
      <c r="M295" s="489">
        <v>159</v>
      </c>
      <c r="N295" s="489">
        <f>360.6-M295</f>
        <v>201.60000000000002</v>
      </c>
      <c r="O295" s="489">
        <v>196.6</v>
      </c>
      <c r="P295" s="489">
        <f>391-O295</f>
        <v>194.4</v>
      </c>
      <c r="Q295" s="489">
        <v>169.8</v>
      </c>
      <c r="R295" s="489">
        <f>317.7-Q295</f>
        <v>147.89999999999998</v>
      </c>
      <c r="S295" s="485">
        <v>190.2</v>
      </c>
      <c r="T295" s="485">
        <f>391.5-S295</f>
        <v>201.3</v>
      </c>
      <c r="U295" s="485">
        <v>217.4</v>
      </c>
      <c r="V295" s="485">
        <f>431.7-U295</f>
        <v>214.29999999999998</v>
      </c>
      <c r="W295" s="222">
        <f t="shared" ref="W295:AN295" si="175">SUM(W292:W294)</f>
        <v>245.91365320419683</v>
      </c>
      <c r="X295" s="222">
        <f t="shared" si="175"/>
        <v>220.50641127075005</v>
      </c>
      <c r="Y295" s="222">
        <f t="shared" si="175"/>
        <v>252.5909362220219</v>
      </c>
      <c r="Z295" s="222">
        <f t="shared" si="175"/>
        <v>233.05483452447999</v>
      </c>
      <c r="AA295" s="222">
        <f t="shared" si="175"/>
        <v>260.32813375597885</v>
      </c>
      <c r="AB295" s="222">
        <f t="shared" si="175"/>
        <v>234.03557596429465</v>
      </c>
      <c r="AC295" s="222">
        <f t="shared" si="175"/>
        <v>263.98405265487986</v>
      </c>
      <c r="AD295" s="222">
        <f t="shared" si="175"/>
        <v>237.27680381304012</v>
      </c>
      <c r="AE295" s="222">
        <f t="shared" si="175"/>
        <v>266.91994186997368</v>
      </c>
      <c r="AF295" s="222">
        <f t="shared" si="175"/>
        <v>240.1555074920955</v>
      </c>
      <c r="AG295" s="222">
        <f t="shared" si="175"/>
        <v>270.09346120412431</v>
      </c>
      <c r="AH295" s="222">
        <f t="shared" si="175"/>
        <v>243.26233677028503</v>
      </c>
      <c r="AI295" s="222">
        <f t="shared" si="175"/>
        <v>273.51225069285624</v>
      </c>
      <c r="AJ295" s="222">
        <f t="shared" si="175"/>
        <v>246.60471746438341</v>
      </c>
      <c r="AK295" s="222">
        <f t="shared" si="175"/>
        <v>277.18421459476878</v>
      </c>
      <c r="AL295" s="222">
        <f t="shared" si="175"/>
        <v>250.19033233905387</v>
      </c>
      <c r="AM295" s="222">
        <f t="shared" si="175"/>
        <v>281.11752977067238</v>
      </c>
      <c r="AN295" s="222">
        <f t="shared" si="175"/>
        <v>254.02712927342938</v>
      </c>
    </row>
    <row r="296" spans="2:40">
      <c r="B296" s="162" t="s">
        <v>847</v>
      </c>
      <c r="C296" s="82" t="s">
        <v>842</v>
      </c>
      <c r="E296" s="159"/>
      <c r="F296" s="159"/>
      <c r="G296" s="159"/>
      <c r="H296" s="159"/>
      <c r="I296" s="159"/>
      <c r="J296" s="159"/>
      <c r="K296" s="159"/>
      <c r="L296" s="159"/>
      <c r="M296" s="159">
        <f t="shared" ref="M296:U296" si="176">M295/M$271</f>
        <v>0.13798489976568604</v>
      </c>
      <c r="N296" s="159">
        <f t="shared" si="176"/>
        <v>0.16457142857142856</v>
      </c>
      <c r="O296" s="159">
        <f t="shared" si="176"/>
        <v>0.15425657120439387</v>
      </c>
      <c r="P296" s="159">
        <f t="shared" si="176"/>
        <v>0.16760065522889903</v>
      </c>
      <c r="Q296" s="159">
        <f t="shared" si="176"/>
        <v>0.14037698412698416</v>
      </c>
      <c r="R296" s="159">
        <f t="shared" si="176"/>
        <v>0.13096608518551311</v>
      </c>
      <c r="S296" s="159">
        <f t="shared" si="176"/>
        <v>0.14286787350709831</v>
      </c>
      <c r="T296" s="159">
        <f t="shared" si="176"/>
        <v>0.15686121717447207</v>
      </c>
      <c r="U296" s="159">
        <f t="shared" si="176"/>
        <v>0.16164770614915605</v>
      </c>
      <c r="V296" s="159">
        <f t="shared" ref="V296" si="177">V295/V$271</f>
        <v>0.16594393681276132</v>
      </c>
      <c r="W296" s="159">
        <f t="shared" ref="W296:AN296" si="178">W295/W$271</f>
        <v>0.17552926719708781</v>
      </c>
      <c r="X296" s="159">
        <f t="shared" si="178"/>
        <v>0.16382536533574801</v>
      </c>
      <c r="Y296" s="159">
        <f t="shared" si="178"/>
        <v>0.17320219284220265</v>
      </c>
      <c r="Z296" s="159">
        <f t="shared" si="178"/>
        <v>0.16784660243887323</v>
      </c>
      <c r="AA296" s="159">
        <f t="shared" si="178"/>
        <v>0.17649736598518506</v>
      </c>
      <c r="AB296" s="159">
        <f t="shared" si="178"/>
        <v>0.16680633133719827</v>
      </c>
      <c r="AC296" s="159">
        <f t="shared" si="178"/>
        <v>0.17497431356680851</v>
      </c>
      <c r="AD296" s="159">
        <f t="shared" si="178"/>
        <v>0.16528522840095666</v>
      </c>
      <c r="AE296" s="159">
        <f t="shared" si="178"/>
        <v>0.1741298112886355</v>
      </c>
      <c r="AF296" s="159">
        <f t="shared" si="178"/>
        <v>0.16455141494137146</v>
      </c>
      <c r="AG296" s="159">
        <f t="shared" si="178"/>
        <v>0.17336009366384073</v>
      </c>
      <c r="AH296" s="159">
        <f t="shared" si="178"/>
        <v>0.16389481759537491</v>
      </c>
      <c r="AI296" s="159">
        <f t="shared" si="178"/>
        <v>0.17266496144877894</v>
      </c>
      <c r="AJ296" s="159">
        <f t="shared" si="178"/>
        <v>0.16331499493988591</v>
      </c>
      <c r="AK296" s="159">
        <f t="shared" si="178"/>
        <v>0.17204408708863175</v>
      </c>
      <c r="AL296" s="159">
        <f t="shared" si="178"/>
        <v>0.16281138059352943</v>
      </c>
      <c r="AM296" s="159">
        <f t="shared" si="178"/>
        <v>0.17149701905654527</v>
      </c>
      <c r="AN296" s="159">
        <f t="shared" si="178"/>
        <v>0.16238328843263694</v>
      </c>
    </row>
    <row r="297" spans="2:40" s="199" customFormat="1">
      <c r="B297" s="226" t="s">
        <v>886</v>
      </c>
      <c r="C297" s="201"/>
      <c r="E297" s="217"/>
      <c r="F297" s="217"/>
      <c r="G297" s="217"/>
      <c r="H297" s="217"/>
      <c r="I297" s="217"/>
      <c r="J297" s="217"/>
      <c r="K297" s="217"/>
      <c r="L297" s="217"/>
      <c r="M297" s="217">
        <f t="shared" ref="M297:U297" si="179">M295-SUM(M292:M294)</f>
        <v>1.5</v>
      </c>
      <c r="N297" s="217">
        <f t="shared" si="179"/>
        <v>-1.0999999999999659</v>
      </c>
      <c r="O297" s="217">
        <f t="shared" si="179"/>
        <v>-0.70000000000001705</v>
      </c>
      <c r="P297" s="217">
        <f t="shared" si="179"/>
        <v>0.60000000000002274</v>
      </c>
      <c r="Q297" s="217">
        <f t="shared" si="179"/>
        <v>7.5</v>
      </c>
      <c r="R297" s="217">
        <f t="shared" si="179"/>
        <v>0</v>
      </c>
      <c r="S297" s="217">
        <f t="shared" si="179"/>
        <v>0</v>
      </c>
      <c r="T297" s="217">
        <f t="shared" si="179"/>
        <v>0</v>
      </c>
      <c r="U297" s="217">
        <f t="shared" si="179"/>
        <v>0</v>
      </c>
      <c r="V297" s="217">
        <f t="shared" ref="V297" si="180">V295-SUM(V292:V294)</f>
        <v>0</v>
      </c>
      <c r="W297" s="217">
        <f t="shared" ref="W297:AN297" si="181">W295-SUM(W292:W294)</f>
        <v>0</v>
      </c>
      <c r="X297" s="217">
        <f t="shared" si="181"/>
        <v>0</v>
      </c>
      <c r="Y297" s="217">
        <f t="shared" si="181"/>
        <v>0</v>
      </c>
      <c r="Z297" s="217">
        <f t="shared" si="181"/>
        <v>0</v>
      </c>
      <c r="AA297" s="217">
        <f t="shared" si="181"/>
        <v>0</v>
      </c>
      <c r="AB297" s="217">
        <f t="shared" si="181"/>
        <v>0</v>
      </c>
      <c r="AC297" s="217">
        <f t="shared" si="181"/>
        <v>0</v>
      </c>
      <c r="AD297" s="217">
        <f t="shared" si="181"/>
        <v>0</v>
      </c>
      <c r="AE297" s="217">
        <f t="shared" si="181"/>
        <v>0</v>
      </c>
      <c r="AF297" s="217">
        <f t="shared" si="181"/>
        <v>0</v>
      </c>
      <c r="AG297" s="217">
        <f t="shared" si="181"/>
        <v>0</v>
      </c>
      <c r="AH297" s="217">
        <f t="shared" si="181"/>
        <v>0</v>
      </c>
      <c r="AI297" s="217">
        <f t="shared" si="181"/>
        <v>0</v>
      </c>
      <c r="AJ297" s="217">
        <f t="shared" si="181"/>
        <v>0</v>
      </c>
      <c r="AK297" s="217">
        <f t="shared" si="181"/>
        <v>0</v>
      </c>
      <c r="AL297" s="217">
        <f t="shared" si="181"/>
        <v>0</v>
      </c>
      <c r="AM297" s="217">
        <f t="shared" si="181"/>
        <v>0</v>
      </c>
      <c r="AN297" s="217">
        <f t="shared" si="181"/>
        <v>0</v>
      </c>
    </row>
    <row r="298" spans="2:40" s="199" customFormat="1">
      <c r="B298" s="211"/>
      <c r="C298" s="82"/>
      <c r="D298" s="202"/>
      <c r="E298" s="203"/>
      <c r="F298" s="203"/>
      <c r="G298" s="203"/>
      <c r="H298" s="203"/>
      <c r="I298" s="203"/>
      <c r="J298" s="203"/>
      <c r="K298" s="203"/>
      <c r="L298" s="203"/>
      <c r="M298" s="203"/>
      <c r="N298" s="203"/>
      <c r="O298" s="203"/>
      <c r="P298" s="203"/>
      <c r="Q298" s="203"/>
      <c r="R298" s="203"/>
      <c r="S298" s="203"/>
      <c r="T298" s="203"/>
      <c r="U298" s="203"/>
      <c r="V298" s="203"/>
      <c r="W298" s="203"/>
      <c r="X298" s="203"/>
      <c r="Y298" s="203"/>
      <c r="Z298" s="203"/>
      <c r="AA298" s="203"/>
      <c r="AB298" s="203"/>
      <c r="AC298" s="203"/>
      <c r="AD298" s="203"/>
      <c r="AE298" s="203"/>
      <c r="AF298" s="203"/>
      <c r="AG298" s="203"/>
      <c r="AH298" s="203"/>
      <c r="AI298" s="203"/>
      <c r="AJ298" s="203"/>
      <c r="AK298" s="203"/>
      <c r="AL298" s="203"/>
      <c r="AM298" s="203"/>
      <c r="AN298" s="203"/>
    </row>
    <row r="299" spans="2:40">
      <c r="B299" s="209" t="s">
        <v>1226</v>
      </c>
      <c r="C299" s="82" t="s">
        <v>900</v>
      </c>
      <c r="E299" s="136"/>
      <c r="F299" s="136"/>
      <c r="G299" s="136"/>
      <c r="H299" s="136"/>
      <c r="I299" s="136"/>
      <c r="J299" s="136"/>
      <c r="K299" s="136"/>
      <c r="L299" s="136"/>
      <c r="M299" s="136">
        <f t="shared" ref="M299:V299" si="182">M214</f>
        <v>-105.2</v>
      </c>
      <c r="N299" s="136">
        <f t="shared" si="182"/>
        <v>-109.8</v>
      </c>
      <c r="O299" s="136">
        <f t="shared" si="182"/>
        <v>-96.5</v>
      </c>
      <c r="P299" s="136">
        <f t="shared" si="182"/>
        <v>-95.300000000000011</v>
      </c>
      <c r="Q299" s="136">
        <f t="shared" si="182"/>
        <v>-100.7</v>
      </c>
      <c r="R299" s="136">
        <f t="shared" si="182"/>
        <v>-80.2</v>
      </c>
      <c r="S299" s="136">
        <f t="shared" si="182"/>
        <v>-77.3</v>
      </c>
      <c r="T299" s="136">
        <f t="shared" si="182"/>
        <v>-83.600000000000009</v>
      </c>
      <c r="U299" s="136">
        <f t="shared" si="182"/>
        <v>-86.1</v>
      </c>
      <c r="V299" s="136">
        <f t="shared" si="182"/>
        <v>-84.5</v>
      </c>
      <c r="W299" s="136"/>
      <c r="X299" s="136"/>
      <c r="Y299" s="136"/>
      <c r="Z299" s="136"/>
      <c r="AA299" s="136"/>
      <c r="AB299" s="136"/>
      <c r="AC299" s="136"/>
      <c r="AD299" s="136"/>
      <c r="AE299" s="136"/>
      <c r="AF299" s="136"/>
      <c r="AG299" s="136"/>
      <c r="AH299" s="136"/>
      <c r="AI299" s="136"/>
      <c r="AJ299" s="136"/>
      <c r="AK299" s="136"/>
      <c r="AL299" s="136"/>
      <c r="AM299" s="136"/>
      <c r="AN299" s="136"/>
    </row>
    <row r="300" spans="2:40">
      <c r="B300" s="209" t="s">
        <v>1227</v>
      </c>
      <c r="C300" s="82" t="s">
        <v>900</v>
      </c>
      <c r="E300" s="136"/>
      <c r="F300" s="136"/>
      <c r="G300" s="136"/>
      <c r="H300" s="136"/>
      <c r="I300" s="136"/>
      <c r="J300" s="136"/>
      <c r="K300" s="136"/>
      <c r="L300" s="136"/>
      <c r="M300" s="136">
        <f t="shared" ref="M300:V300" si="183">M258</f>
        <v>-37.5</v>
      </c>
      <c r="N300" s="136">
        <f t="shared" si="183"/>
        <v>-33.900000000000006</v>
      </c>
      <c r="O300" s="136">
        <f t="shared" si="183"/>
        <v>-26.9</v>
      </c>
      <c r="P300" s="136">
        <f t="shared" si="183"/>
        <v>-21.800000000000004</v>
      </c>
      <c r="Q300" s="136">
        <f t="shared" si="183"/>
        <v>-18.7</v>
      </c>
      <c r="R300" s="136">
        <f t="shared" si="183"/>
        <v>-20.3</v>
      </c>
      <c r="S300" s="136">
        <f t="shared" si="183"/>
        <v>-20.2</v>
      </c>
      <c r="T300" s="136">
        <f t="shared" si="183"/>
        <v>-21.7</v>
      </c>
      <c r="U300" s="136">
        <f t="shared" si="183"/>
        <v>-21.1</v>
      </c>
      <c r="V300" s="136">
        <f t="shared" si="183"/>
        <v>-21.299999999999997</v>
      </c>
      <c r="W300" s="136"/>
      <c r="X300" s="136"/>
      <c r="Y300" s="136"/>
      <c r="Z300" s="136"/>
      <c r="AA300" s="136"/>
      <c r="AB300" s="136"/>
      <c r="AC300" s="136"/>
      <c r="AD300" s="136"/>
      <c r="AE300" s="136"/>
      <c r="AF300" s="136"/>
      <c r="AG300" s="136"/>
      <c r="AH300" s="136"/>
      <c r="AI300" s="136"/>
      <c r="AJ300" s="136"/>
      <c r="AK300" s="136"/>
      <c r="AL300" s="136"/>
      <c r="AM300" s="136"/>
      <c r="AN300" s="136"/>
    </row>
    <row r="301" spans="2:40" s="3" customFormat="1">
      <c r="B301" s="210" t="s">
        <v>541</v>
      </c>
      <c r="C301" s="484" t="s">
        <v>900</v>
      </c>
      <c r="E301" s="222"/>
      <c r="F301" s="485"/>
      <c r="G301" s="485"/>
      <c r="H301" s="485"/>
      <c r="I301" s="485"/>
      <c r="J301" s="485"/>
      <c r="K301" s="485"/>
      <c r="L301" s="485"/>
      <c r="M301" s="485">
        <v>-142.69999999999999</v>
      </c>
      <c r="N301" s="485">
        <f>-286.4-M301</f>
        <v>-143.69999999999999</v>
      </c>
      <c r="O301" s="485">
        <v>-123.4</v>
      </c>
      <c r="P301" s="485">
        <f>-240.5-O301</f>
        <v>-117.1</v>
      </c>
      <c r="Q301" s="485">
        <v>-119.8</v>
      </c>
      <c r="R301" s="485">
        <f>-220.3-Q301</f>
        <v>-100.50000000000001</v>
      </c>
      <c r="S301" s="485">
        <v>-97.5</v>
      </c>
      <c r="T301" s="485">
        <f>-202.8-S301</f>
        <v>-105.30000000000001</v>
      </c>
      <c r="U301" s="485">
        <v>-107.2</v>
      </c>
      <c r="V301" s="485">
        <f>-213-U301</f>
        <v>-105.8</v>
      </c>
      <c r="W301" s="222">
        <f t="shared" ref="W301:AN301" si="184">W416+W428+W388+W389</f>
        <v>-114.19999999999982</v>
      </c>
      <c r="X301" s="222">
        <f t="shared" si="184"/>
        <v>-114.19999999999982</v>
      </c>
      <c r="Y301" s="222">
        <f t="shared" si="184"/>
        <v>-111.69999999999982</v>
      </c>
      <c r="Z301" s="222">
        <f t="shared" si="184"/>
        <v>-111.69999999999982</v>
      </c>
      <c r="AA301" s="222">
        <f t="shared" si="184"/>
        <v>-113.90588235294098</v>
      </c>
      <c r="AB301" s="222">
        <f t="shared" si="184"/>
        <v>-111.29009146232301</v>
      </c>
      <c r="AC301" s="222">
        <f t="shared" si="184"/>
        <v>-108.60105180170738</v>
      </c>
      <c r="AD301" s="222">
        <f t="shared" si="184"/>
        <v>-106.75365838874035</v>
      </c>
      <c r="AE301" s="222">
        <f t="shared" si="184"/>
        <v>-104.72483114264914</v>
      </c>
      <c r="AF301" s="222">
        <f t="shared" si="184"/>
        <v>-103.5965708056013</v>
      </c>
      <c r="AG301" s="222">
        <f t="shared" si="184"/>
        <v>-102.18035902242494</v>
      </c>
      <c r="AH301" s="222">
        <f t="shared" si="184"/>
        <v>-101.58301116178995</v>
      </c>
      <c r="AI301" s="222">
        <f t="shared" si="184"/>
        <v>-100.61849147723447</v>
      </c>
      <c r="AJ301" s="222">
        <f t="shared" si="184"/>
        <v>-100.41494619985077</v>
      </c>
      <c r="AK301" s="222">
        <f t="shared" si="184"/>
        <v>-99.784839528394627</v>
      </c>
      <c r="AL301" s="222">
        <f t="shared" si="184"/>
        <v>-99.875268424311145</v>
      </c>
      <c r="AM301" s="222">
        <f t="shared" si="184"/>
        <v>-99.364472763867496</v>
      </c>
      <c r="AN301" s="222">
        <f t="shared" si="184"/>
        <v>-97.86786633652514</v>
      </c>
    </row>
    <row r="302" spans="2:40">
      <c r="B302" s="162" t="s">
        <v>1163</v>
      </c>
      <c r="C302" s="82" t="s">
        <v>842</v>
      </c>
      <c r="E302" s="159"/>
      <c r="F302" s="159"/>
      <c r="G302" s="159"/>
      <c r="H302" s="159"/>
      <c r="I302" s="159"/>
      <c r="J302" s="159"/>
      <c r="K302" s="159"/>
      <c r="L302" s="159"/>
      <c r="M302" s="159">
        <f t="shared" ref="M302:AN302" si="185">M301/M$271</f>
        <v>-0.12383927796580751</v>
      </c>
      <c r="N302" s="159">
        <f t="shared" si="185"/>
        <v>-0.11730612244897956</v>
      </c>
      <c r="O302" s="159">
        <f t="shared" si="185"/>
        <v>-9.6822283248332683E-2</v>
      </c>
      <c r="P302" s="159">
        <f t="shared" si="185"/>
        <v>-0.10095697904991809</v>
      </c>
      <c r="Q302" s="159">
        <f t="shared" si="185"/>
        <v>-9.9041005291005291E-2</v>
      </c>
      <c r="R302" s="159">
        <f t="shared" si="185"/>
        <v>-8.8993181616930844E-2</v>
      </c>
      <c r="S302" s="159">
        <f t="shared" si="185"/>
        <v>-7.3236685946067762E-2</v>
      </c>
      <c r="T302" s="159">
        <f t="shared" si="185"/>
        <v>-8.2054079326735765E-2</v>
      </c>
      <c r="U302" s="159">
        <f t="shared" si="185"/>
        <v>-7.970852851513123E-2</v>
      </c>
      <c r="V302" s="159">
        <f t="shared" si="185"/>
        <v>-8.1926591296267615E-2</v>
      </c>
      <c r="W302" s="159">
        <f t="shared" si="185"/>
        <v>-8.1514149591614835E-2</v>
      </c>
      <c r="X302" s="159">
        <f t="shared" si="185"/>
        <v>-8.4844955815686532E-2</v>
      </c>
      <c r="Y302" s="159">
        <f t="shared" si="185"/>
        <v>-7.6592949968199542E-2</v>
      </c>
      <c r="Z302" s="159">
        <f t="shared" si="185"/>
        <v>-8.0446584730482287E-2</v>
      </c>
      <c r="AA302" s="159">
        <f t="shared" si="185"/>
        <v>-7.7225952936601241E-2</v>
      </c>
      <c r="AB302" s="159">
        <f t="shared" si="185"/>
        <v>-7.9320811780528314E-2</v>
      </c>
      <c r="AC302" s="159">
        <f t="shared" si="185"/>
        <v>-7.1983115269769665E-2</v>
      </c>
      <c r="AD302" s="159">
        <f t="shared" si="185"/>
        <v>-7.4363791680722824E-2</v>
      </c>
      <c r="AE302" s="159">
        <f t="shared" si="185"/>
        <v>-6.831904336689458E-2</v>
      </c>
      <c r="AF302" s="159">
        <f t="shared" si="185"/>
        <v>-7.0983016326189211E-2</v>
      </c>
      <c r="AG302" s="159">
        <f t="shared" si="185"/>
        <v>-6.5584692542204975E-2</v>
      </c>
      <c r="AH302" s="159">
        <f t="shared" si="185"/>
        <v>-6.8440225092765775E-2</v>
      </c>
      <c r="AI302" s="159">
        <f t="shared" si="185"/>
        <v>-6.3519231434574816E-2</v>
      </c>
      <c r="AJ302" s="159">
        <f t="shared" si="185"/>
        <v>-6.6500213779917064E-2</v>
      </c>
      <c r="AK302" s="159">
        <f t="shared" si="185"/>
        <v>-6.1934954149702383E-2</v>
      </c>
      <c r="AL302" s="159">
        <f t="shared" si="185"/>
        <v>-6.4993839639155282E-2</v>
      </c>
      <c r="AM302" s="159">
        <f t="shared" si="185"/>
        <v>-6.0617745513877705E-2</v>
      </c>
      <c r="AN302" s="159">
        <f t="shared" si="185"/>
        <v>-6.2560664339535166E-2</v>
      </c>
    </row>
    <row r="303" spans="2:40" s="199" customFormat="1">
      <c r="B303" s="226" t="s">
        <v>886</v>
      </c>
      <c r="C303" s="201"/>
      <c r="E303" s="491"/>
      <c r="F303" s="491"/>
      <c r="G303" s="491"/>
      <c r="H303" s="491"/>
      <c r="I303" s="491"/>
      <c r="J303" s="491"/>
      <c r="K303" s="491"/>
      <c r="L303" s="491"/>
      <c r="M303" s="491">
        <f t="shared" ref="M303:R303" si="186">M301-SUM(M299:M300)</f>
        <v>0</v>
      </c>
      <c r="N303" s="491">
        <f t="shared" si="186"/>
        <v>0</v>
      </c>
      <c r="O303" s="491">
        <f t="shared" si="186"/>
        <v>0</v>
      </c>
      <c r="P303" s="491">
        <f t="shared" si="186"/>
        <v>0</v>
      </c>
      <c r="Q303" s="491">
        <f t="shared" si="186"/>
        <v>-0.39999999999999147</v>
      </c>
      <c r="R303" s="491">
        <f t="shared" si="186"/>
        <v>0</v>
      </c>
      <c r="S303" s="491">
        <f>S301-SUM(S299:S300)</f>
        <v>0</v>
      </c>
      <c r="T303" s="491">
        <f>T301-SUM(T299:T300)</f>
        <v>0</v>
      </c>
      <c r="U303" s="491">
        <f>U301-SUM(U299:U300)</f>
        <v>0</v>
      </c>
      <c r="V303" s="491">
        <f>V301-SUM(V299:V300)</f>
        <v>0</v>
      </c>
      <c r="W303" s="491"/>
      <c r="X303" s="491"/>
      <c r="Y303" s="491"/>
      <c r="Z303" s="491"/>
      <c r="AA303" s="491"/>
      <c r="AB303" s="491"/>
      <c r="AC303" s="491"/>
      <c r="AD303" s="491"/>
      <c r="AE303" s="491"/>
      <c r="AF303" s="491"/>
      <c r="AG303" s="491"/>
      <c r="AH303" s="491"/>
      <c r="AI303" s="491"/>
      <c r="AJ303" s="491"/>
      <c r="AK303" s="491"/>
      <c r="AL303" s="491"/>
      <c r="AM303" s="491"/>
      <c r="AN303" s="491"/>
    </row>
    <row r="304" spans="2:40" s="199" customFormat="1">
      <c r="B304" s="226" t="s">
        <v>886</v>
      </c>
      <c r="C304" s="201"/>
      <c r="E304" s="491"/>
      <c r="F304" s="491"/>
      <c r="G304" s="491"/>
      <c r="H304" s="491"/>
      <c r="I304" s="491"/>
      <c r="J304" s="491"/>
      <c r="K304" s="491"/>
      <c r="L304" s="491"/>
      <c r="M304" s="491">
        <f t="shared" ref="M304:V304" si="187">M301-SUM(M416,M428,M388:M389)</f>
        <v>23.300000000000011</v>
      </c>
      <c r="N304" s="491">
        <f t="shared" si="187"/>
        <v>22.300000000000011</v>
      </c>
      <c r="O304" s="491">
        <f t="shared" si="187"/>
        <v>-3.2000000000000028</v>
      </c>
      <c r="P304" s="491">
        <f t="shared" si="187"/>
        <v>3.1000000000000085</v>
      </c>
      <c r="Q304" s="491">
        <f t="shared" si="187"/>
        <v>-9.6500000000000057</v>
      </c>
      <c r="R304" s="491">
        <f t="shared" si="187"/>
        <v>9.6499999999999773</v>
      </c>
      <c r="S304" s="491">
        <f t="shared" si="187"/>
        <v>0</v>
      </c>
      <c r="T304" s="491">
        <f t="shared" si="187"/>
        <v>1.2789769243681803E-13</v>
      </c>
      <c r="U304" s="491">
        <f t="shared" si="187"/>
        <v>0</v>
      </c>
      <c r="V304" s="491">
        <f t="shared" si="187"/>
        <v>-1.2789769243681803E-13</v>
      </c>
      <c r="W304" s="491"/>
      <c r="X304" s="491"/>
      <c r="Y304" s="491"/>
      <c r="Z304" s="491"/>
      <c r="AA304" s="491"/>
      <c r="AB304" s="491"/>
      <c r="AC304" s="491"/>
      <c r="AD304" s="491"/>
      <c r="AE304" s="491"/>
      <c r="AF304" s="491"/>
      <c r="AG304" s="491"/>
      <c r="AH304" s="491"/>
      <c r="AI304" s="491"/>
      <c r="AJ304" s="491"/>
      <c r="AK304" s="491"/>
      <c r="AL304" s="491"/>
      <c r="AM304" s="491"/>
      <c r="AN304" s="491"/>
    </row>
    <row r="305" spans="1:40" s="199" customFormat="1">
      <c r="B305" s="226"/>
      <c r="C305" s="201"/>
      <c r="E305" s="491"/>
      <c r="F305" s="491"/>
      <c r="G305" s="491"/>
      <c r="H305" s="491"/>
      <c r="I305" s="491"/>
      <c r="J305" s="491"/>
      <c r="K305" s="491"/>
      <c r="L305" s="491"/>
      <c r="M305" s="491"/>
      <c r="N305" s="491"/>
      <c r="O305" s="491"/>
      <c r="P305" s="491"/>
      <c r="Q305" s="491"/>
      <c r="R305" s="491"/>
      <c r="S305" s="491"/>
      <c r="T305" s="491"/>
      <c r="U305" s="491"/>
      <c r="V305" s="491"/>
      <c r="W305" s="491"/>
      <c r="X305" s="491"/>
      <c r="Y305" s="491"/>
      <c r="Z305" s="491"/>
      <c r="AA305" s="491"/>
      <c r="AB305" s="491"/>
      <c r="AC305" s="491"/>
      <c r="AD305" s="491"/>
      <c r="AE305" s="491"/>
      <c r="AF305" s="491"/>
      <c r="AG305" s="491"/>
      <c r="AH305" s="491"/>
      <c r="AI305" s="491"/>
      <c r="AJ305" s="491"/>
      <c r="AK305" s="491"/>
      <c r="AL305" s="491"/>
      <c r="AM305" s="491"/>
      <c r="AN305" s="491"/>
    </row>
    <row r="306" spans="1:40">
      <c r="B306" s="134"/>
      <c r="E306" s="142"/>
      <c r="F306" s="142"/>
      <c r="G306" s="142"/>
      <c r="H306" s="142"/>
      <c r="I306" s="142"/>
      <c r="J306" s="142"/>
      <c r="K306" s="142"/>
      <c r="L306" s="142"/>
      <c r="M306" s="142"/>
      <c r="N306" s="142"/>
      <c r="O306" s="142"/>
      <c r="P306" s="142"/>
      <c r="Q306" s="142"/>
      <c r="R306" s="142"/>
      <c r="S306" s="142"/>
      <c r="T306" s="142"/>
      <c r="U306" s="142"/>
      <c r="V306" s="142"/>
      <c r="W306" s="142"/>
      <c r="X306" s="142"/>
      <c r="Y306" s="142"/>
      <c r="Z306" s="142"/>
      <c r="AA306" s="142"/>
      <c r="AB306" s="142"/>
      <c r="AC306" s="142"/>
      <c r="AD306" s="142"/>
      <c r="AE306" s="142"/>
      <c r="AF306" s="142"/>
      <c r="AG306" s="142"/>
      <c r="AH306" s="142"/>
      <c r="AI306" s="142"/>
      <c r="AJ306" s="142"/>
      <c r="AK306" s="142"/>
      <c r="AL306" s="142"/>
      <c r="AM306" s="142"/>
      <c r="AN306" s="142"/>
    </row>
    <row r="307" spans="1:40">
      <c r="B307" s="161" t="s">
        <v>1548</v>
      </c>
      <c r="C307" s="82" t="s">
        <v>842</v>
      </c>
      <c r="E307" s="142"/>
      <c r="F307" s="142"/>
      <c r="G307" s="142"/>
      <c r="H307" s="142"/>
      <c r="I307" s="142"/>
      <c r="J307" s="142"/>
      <c r="K307" s="142"/>
      <c r="L307" s="142"/>
      <c r="M307" s="159">
        <f t="shared" ref="M307:AN307" si="188">M449/M301</f>
        <v>-0.4029432375613175</v>
      </c>
      <c r="N307" s="159">
        <f t="shared" si="188"/>
        <v>-0.53235908141962429</v>
      </c>
      <c r="O307" s="159">
        <f t="shared" si="188"/>
        <v>-0.56645056726094001</v>
      </c>
      <c r="P307" s="159">
        <f t="shared" si="188"/>
        <v>-0.73014517506404786</v>
      </c>
      <c r="Q307" s="159">
        <f t="shared" si="188"/>
        <v>-0.70200333889816358</v>
      </c>
      <c r="R307" s="159">
        <f t="shared" si="188"/>
        <v>-0.83681592039800978</v>
      </c>
      <c r="S307" s="159">
        <f t="shared" si="188"/>
        <v>-0.58461538461538465</v>
      </c>
      <c r="T307" s="159">
        <f t="shared" si="188"/>
        <v>-0.54890788224121556</v>
      </c>
      <c r="U307" s="159">
        <f t="shared" si="188"/>
        <v>-0.47574626865671643</v>
      </c>
      <c r="V307" s="159">
        <f t="shared" si="188"/>
        <v>-0.8412098298676749</v>
      </c>
      <c r="W307" s="159">
        <f t="shared" si="188"/>
        <v>-0.70052539404553527</v>
      </c>
      <c r="X307" s="159">
        <f t="shared" si="188"/>
        <v>-0.70052539404553527</v>
      </c>
      <c r="Y307" s="159">
        <f t="shared" si="188"/>
        <v>-0.67144136078782557</v>
      </c>
      <c r="Z307" s="159">
        <f t="shared" si="188"/>
        <v>-0.67144136078782557</v>
      </c>
      <c r="AA307" s="159">
        <f t="shared" si="188"/>
        <v>-0.58270566161796433</v>
      </c>
      <c r="AB307" s="159">
        <f t="shared" si="188"/>
        <v>-0.56731643297486534</v>
      </c>
      <c r="AC307" s="159">
        <f t="shared" si="188"/>
        <v>-0.61125445648055232</v>
      </c>
      <c r="AD307" s="159">
        <f t="shared" si="188"/>
        <v>-0.59168580576030572</v>
      </c>
      <c r="AE307" s="159">
        <f t="shared" si="188"/>
        <v>-0.64403712100748067</v>
      </c>
      <c r="AF307" s="159">
        <f t="shared" si="188"/>
        <v>-0.61986658608315837</v>
      </c>
      <c r="AG307" s="159">
        <f t="shared" si="188"/>
        <v>-0.67088825600097424</v>
      </c>
      <c r="AH307" s="159">
        <f t="shared" si="188"/>
        <v>-0.64289677511085308</v>
      </c>
      <c r="AI307" s="159">
        <f t="shared" si="188"/>
        <v>-0.69270359552949345</v>
      </c>
      <c r="AJ307" s="159">
        <f t="shared" si="188"/>
        <v>-0.66165200830208326</v>
      </c>
      <c r="AK307" s="159">
        <f t="shared" si="188"/>
        <v>-0.71042274276409445</v>
      </c>
      <c r="AL307" s="159">
        <f t="shared" si="188"/>
        <v>-0.67698723824115137</v>
      </c>
      <c r="AM307" s="159">
        <f t="shared" si="188"/>
        <v>-0.70110041170771642</v>
      </c>
      <c r="AN307" s="159">
        <f t="shared" si="188"/>
        <v>-0.69652960556149857</v>
      </c>
    </row>
    <row r="308" spans="1:40">
      <c r="B308" s="134"/>
      <c r="E308" s="142"/>
      <c r="F308" s="142"/>
      <c r="G308" s="142"/>
      <c r="H308" s="142"/>
      <c r="I308" s="142"/>
      <c r="J308" s="142"/>
      <c r="K308" s="142"/>
      <c r="L308" s="142"/>
      <c r="M308" s="142"/>
      <c r="N308" s="142"/>
      <c r="O308" s="142"/>
      <c r="P308" s="142"/>
      <c r="Q308" s="142"/>
      <c r="R308" s="142"/>
      <c r="S308" s="142"/>
      <c r="T308" s="142"/>
      <c r="U308" s="142"/>
      <c r="V308" s="142"/>
      <c r="W308" s="142"/>
      <c r="X308" s="142"/>
      <c r="Y308" s="142"/>
      <c r="Z308" s="142"/>
      <c r="AA308" s="142"/>
      <c r="AB308" s="142"/>
      <c r="AC308" s="142"/>
      <c r="AD308" s="142"/>
      <c r="AE308" s="142"/>
      <c r="AF308" s="142"/>
      <c r="AG308" s="142"/>
      <c r="AH308" s="142"/>
      <c r="AI308" s="142"/>
      <c r="AJ308" s="142"/>
      <c r="AK308" s="142"/>
      <c r="AL308" s="142"/>
      <c r="AM308" s="142"/>
      <c r="AN308" s="142"/>
    </row>
    <row r="309" spans="1:40">
      <c r="B309" s="209" t="s">
        <v>1226</v>
      </c>
      <c r="C309" s="82" t="s">
        <v>900</v>
      </c>
      <c r="E309" s="136"/>
      <c r="F309" s="136"/>
      <c r="G309" s="136"/>
      <c r="H309" s="136"/>
      <c r="I309" s="136"/>
      <c r="J309" s="136"/>
      <c r="K309" s="136"/>
      <c r="L309" s="136"/>
      <c r="M309" s="136">
        <f t="shared" ref="M309:V309" si="189">M217</f>
        <v>32.700000000000003</v>
      </c>
      <c r="N309" s="136">
        <f t="shared" si="189"/>
        <v>39.299999999999997</v>
      </c>
      <c r="O309" s="136">
        <f t="shared" si="189"/>
        <v>57.9</v>
      </c>
      <c r="P309" s="136">
        <f t="shared" si="189"/>
        <v>58.300000000000004</v>
      </c>
      <c r="Q309" s="136">
        <f t="shared" si="189"/>
        <v>33.299999999999997</v>
      </c>
      <c r="R309" s="136">
        <f t="shared" si="189"/>
        <v>37</v>
      </c>
      <c r="S309" s="136">
        <f t="shared" si="189"/>
        <v>79.400000000000006</v>
      </c>
      <c r="T309" s="136">
        <f t="shared" si="189"/>
        <v>88.799999999999983</v>
      </c>
      <c r="U309" s="136">
        <f t="shared" si="189"/>
        <v>95.3</v>
      </c>
      <c r="V309" s="136">
        <f t="shared" si="189"/>
        <v>95.899999999999991</v>
      </c>
      <c r="W309" s="136"/>
      <c r="X309" s="136"/>
      <c r="Y309" s="136"/>
      <c r="Z309" s="136"/>
      <c r="AA309" s="136"/>
      <c r="AB309" s="136"/>
      <c r="AC309" s="136"/>
      <c r="AD309" s="136"/>
      <c r="AE309" s="136"/>
      <c r="AF309" s="136"/>
      <c r="AG309" s="136"/>
      <c r="AH309" s="136"/>
      <c r="AI309" s="136"/>
      <c r="AJ309" s="136"/>
      <c r="AK309" s="136"/>
      <c r="AL309" s="136"/>
      <c r="AM309" s="136"/>
      <c r="AN309" s="136"/>
    </row>
    <row r="310" spans="1:40">
      <c r="B310" s="209" t="s">
        <v>1227</v>
      </c>
      <c r="C310" s="82" t="s">
        <v>900</v>
      </c>
      <c r="E310" s="136"/>
      <c r="F310" s="136"/>
      <c r="G310" s="136"/>
      <c r="H310" s="136"/>
      <c r="I310" s="136"/>
      <c r="J310" s="136"/>
      <c r="K310" s="136"/>
      <c r="L310" s="136"/>
      <c r="M310" s="136">
        <f t="shared" ref="M310:V310" si="190">M260</f>
        <v>-17.899999999999999</v>
      </c>
      <c r="N310" s="136">
        <f t="shared" si="190"/>
        <v>19.7</v>
      </c>
      <c r="O310" s="136">
        <f t="shared" si="190"/>
        <v>16</v>
      </c>
      <c r="P310" s="136">
        <f t="shared" si="190"/>
        <v>18.399999999999999</v>
      </c>
      <c r="Q310" s="136">
        <f t="shared" si="190"/>
        <v>9.6</v>
      </c>
      <c r="R310" s="136">
        <f t="shared" si="190"/>
        <v>10.4</v>
      </c>
      <c r="S310" s="136">
        <f t="shared" si="190"/>
        <v>13.3</v>
      </c>
      <c r="T310" s="136">
        <f t="shared" si="190"/>
        <v>7.1999999999999993</v>
      </c>
      <c r="U310" s="136">
        <f t="shared" si="190"/>
        <v>14.9</v>
      </c>
      <c r="V310" s="136">
        <f t="shared" si="190"/>
        <v>12.6</v>
      </c>
      <c r="W310" s="136"/>
      <c r="X310" s="136"/>
      <c r="Y310" s="136"/>
      <c r="Z310" s="136"/>
      <c r="AA310" s="136"/>
      <c r="AB310" s="136"/>
      <c r="AC310" s="136"/>
      <c r="AD310" s="136"/>
      <c r="AE310" s="136"/>
      <c r="AF310" s="136"/>
      <c r="AG310" s="136"/>
      <c r="AH310" s="136"/>
      <c r="AI310" s="136"/>
      <c r="AJ310" s="136"/>
      <c r="AK310" s="136"/>
      <c r="AL310" s="136"/>
      <c r="AM310" s="136"/>
      <c r="AN310" s="136"/>
    </row>
    <row r="311" spans="1:40" s="3" customFormat="1">
      <c r="B311" s="210" t="s">
        <v>10</v>
      </c>
      <c r="C311" s="484" t="s">
        <v>900</v>
      </c>
      <c r="E311" s="485"/>
      <c r="F311" s="485"/>
      <c r="G311" s="485"/>
      <c r="H311" s="485"/>
      <c r="I311" s="485"/>
      <c r="J311" s="485"/>
      <c r="K311" s="485"/>
      <c r="L311" s="485"/>
      <c r="M311" s="485">
        <v>16.3</v>
      </c>
      <c r="N311" s="485">
        <f>74.2-M311</f>
        <v>57.900000000000006</v>
      </c>
      <c r="O311" s="485">
        <v>73.2</v>
      </c>
      <c r="P311" s="485">
        <f>150.5-O311</f>
        <v>77.3</v>
      </c>
      <c r="Q311" s="485">
        <v>50</v>
      </c>
      <c r="R311" s="485">
        <f>97.4-Q311</f>
        <v>47.400000000000006</v>
      </c>
      <c r="S311" s="485">
        <v>92.7</v>
      </c>
      <c r="T311" s="485">
        <f>188.7-S311</f>
        <v>95.999999999999986</v>
      </c>
      <c r="U311" s="485">
        <v>110.2</v>
      </c>
      <c r="V311" s="485">
        <f>218.7-U311</f>
        <v>108.49999999999999</v>
      </c>
      <c r="W311" s="222">
        <f t="shared" ref="W311:AN311" si="191">W295+W301</f>
        <v>131.71365320419702</v>
      </c>
      <c r="X311" s="222">
        <f t="shared" si="191"/>
        <v>106.30641127075023</v>
      </c>
      <c r="Y311" s="222">
        <f t="shared" si="191"/>
        <v>140.89093622202208</v>
      </c>
      <c r="Z311" s="222">
        <f t="shared" si="191"/>
        <v>121.35483452448017</v>
      </c>
      <c r="AA311" s="222">
        <f t="shared" si="191"/>
        <v>146.42225140303788</v>
      </c>
      <c r="AB311" s="222">
        <f t="shared" si="191"/>
        <v>122.74548450197165</v>
      </c>
      <c r="AC311" s="222">
        <f t="shared" si="191"/>
        <v>155.38300085317246</v>
      </c>
      <c r="AD311" s="222">
        <f t="shared" si="191"/>
        <v>130.52314542429977</v>
      </c>
      <c r="AE311" s="222">
        <f t="shared" si="191"/>
        <v>162.19511072732456</v>
      </c>
      <c r="AF311" s="222">
        <f t="shared" si="191"/>
        <v>136.55893668649418</v>
      </c>
      <c r="AG311" s="222">
        <f t="shared" si="191"/>
        <v>167.91310218169937</v>
      </c>
      <c r="AH311" s="222">
        <f t="shared" si="191"/>
        <v>141.67932560849508</v>
      </c>
      <c r="AI311" s="222">
        <f t="shared" si="191"/>
        <v>172.89375921562177</v>
      </c>
      <c r="AJ311" s="222">
        <f t="shared" si="191"/>
        <v>146.18977126453262</v>
      </c>
      <c r="AK311" s="222">
        <f t="shared" si="191"/>
        <v>177.39937506637415</v>
      </c>
      <c r="AL311" s="222">
        <f t="shared" si="191"/>
        <v>150.31506391474272</v>
      </c>
      <c r="AM311" s="222">
        <f t="shared" si="191"/>
        <v>181.75305700680488</v>
      </c>
      <c r="AN311" s="222">
        <f t="shared" si="191"/>
        <v>156.15926293690424</v>
      </c>
    </row>
    <row r="312" spans="1:40">
      <c r="B312" s="162" t="s">
        <v>847</v>
      </c>
      <c r="C312" s="82" t="s">
        <v>842</v>
      </c>
      <c r="E312" s="159"/>
      <c r="F312" s="159"/>
      <c r="G312" s="159"/>
      <c r="H312" s="159"/>
      <c r="I312" s="159"/>
      <c r="J312" s="159"/>
      <c r="K312" s="159"/>
      <c r="L312" s="159"/>
      <c r="M312" s="159">
        <f t="shared" ref="M312:AN312" si="192">M311/M$271</f>
        <v>1.4145621799878504E-2</v>
      </c>
      <c r="N312" s="159">
        <f t="shared" si="192"/>
        <v>4.7265306122448975E-2</v>
      </c>
      <c r="O312" s="159">
        <f t="shared" si="192"/>
        <v>5.7434287956061203E-2</v>
      </c>
      <c r="P312" s="159">
        <f t="shared" si="192"/>
        <v>6.664367617898094E-2</v>
      </c>
      <c r="Q312" s="159">
        <f t="shared" si="192"/>
        <v>4.1335978835978837E-2</v>
      </c>
      <c r="R312" s="159">
        <f t="shared" si="192"/>
        <v>4.1972903568582305E-2</v>
      </c>
      <c r="S312" s="159">
        <f t="shared" si="192"/>
        <v>6.963118756103058E-2</v>
      </c>
      <c r="T312" s="159">
        <f t="shared" si="192"/>
        <v>7.4807137847736294E-2</v>
      </c>
      <c r="U312" s="159">
        <f t="shared" si="192"/>
        <v>8.1939177634024835E-2</v>
      </c>
      <c r="V312" s="159">
        <f t="shared" si="192"/>
        <v>8.4017345516493716E-2</v>
      </c>
      <c r="W312" s="159">
        <f t="shared" si="192"/>
        <v>9.4015117605472959E-2</v>
      </c>
      <c r="X312" s="159">
        <f t="shared" si="192"/>
        <v>7.8980409520061468E-2</v>
      </c>
      <c r="Y312" s="159">
        <f t="shared" si="192"/>
        <v>9.6609242874003104E-2</v>
      </c>
      <c r="Z312" s="159">
        <f t="shared" si="192"/>
        <v>8.7400017708390926E-2</v>
      </c>
      <c r="AA312" s="159">
        <f t="shared" si="192"/>
        <v>9.927141304858382E-2</v>
      </c>
      <c r="AB312" s="159">
        <f t="shared" si="192"/>
        <v>8.7485519556669958E-2</v>
      </c>
      <c r="AC312" s="159">
        <f t="shared" si="192"/>
        <v>0.10299119829703883</v>
      </c>
      <c r="AD312" s="159">
        <f t="shared" si="192"/>
        <v>9.0921436720233853E-2</v>
      </c>
      <c r="AE312" s="159">
        <f t="shared" si="192"/>
        <v>0.10581076792174092</v>
      </c>
      <c r="AF312" s="159">
        <f t="shared" si="192"/>
        <v>9.3568398615182249E-2</v>
      </c>
      <c r="AG312" s="159">
        <f t="shared" si="192"/>
        <v>0.10777540112163575</v>
      </c>
      <c r="AH312" s="159">
        <f t="shared" si="192"/>
        <v>9.545459250260914E-2</v>
      </c>
      <c r="AI312" s="159">
        <f t="shared" si="192"/>
        <v>0.10914573001420411</v>
      </c>
      <c r="AJ312" s="159">
        <f t="shared" si="192"/>
        <v>9.6814781159968832E-2</v>
      </c>
      <c r="AK312" s="159">
        <f t="shared" si="192"/>
        <v>0.11010913293892938</v>
      </c>
      <c r="AL312" s="159">
        <f t="shared" si="192"/>
        <v>9.7817540954374144E-2</v>
      </c>
      <c r="AM312" s="159">
        <f t="shared" si="192"/>
        <v>0.11087927354266756</v>
      </c>
      <c r="AN312" s="159">
        <f t="shared" si="192"/>
        <v>9.9822624093101789E-2</v>
      </c>
    </row>
    <row r="313" spans="1:40" s="199" customFormat="1">
      <c r="B313" s="226" t="s">
        <v>886</v>
      </c>
      <c r="C313" s="201"/>
      <c r="E313" s="491"/>
      <c r="F313" s="491"/>
      <c r="G313" s="491"/>
      <c r="H313" s="491"/>
      <c r="I313" s="491"/>
      <c r="J313" s="491"/>
      <c r="K313" s="491"/>
      <c r="L313" s="491"/>
      <c r="M313" s="491">
        <f t="shared" ref="M313:R313" si="193">M311-SUM(M309:M310)</f>
        <v>1.4999999999999964</v>
      </c>
      <c r="N313" s="491">
        <f t="shared" si="193"/>
        <v>-1.0999999999999943</v>
      </c>
      <c r="O313" s="491">
        <f t="shared" si="193"/>
        <v>-0.70000000000000284</v>
      </c>
      <c r="P313" s="491">
        <f t="shared" si="193"/>
        <v>0.59999999999999432</v>
      </c>
      <c r="Q313" s="491">
        <f t="shared" si="193"/>
        <v>7.1000000000000014</v>
      </c>
      <c r="R313" s="491">
        <f t="shared" si="193"/>
        <v>0</v>
      </c>
      <c r="S313" s="491">
        <f>S311-SUM(S309:S310)</f>
        <v>0</v>
      </c>
      <c r="T313" s="491">
        <f>T311-SUM(T309:T310)</f>
        <v>0</v>
      </c>
      <c r="U313" s="491">
        <f>U311-SUM(U309:U310)</f>
        <v>0</v>
      </c>
      <c r="V313" s="491">
        <f>V311-SUM(V309:V310)</f>
        <v>0</v>
      </c>
      <c r="W313" s="491"/>
      <c r="X313" s="491"/>
      <c r="Y313" s="491"/>
      <c r="Z313" s="491"/>
      <c r="AA313" s="491"/>
      <c r="AB313" s="491"/>
      <c r="AC313" s="491"/>
      <c r="AD313" s="491"/>
      <c r="AE313" s="491"/>
      <c r="AF313" s="491"/>
      <c r="AG313" s="491"/>
      <c r="AH313" s="491"/>
      <c r="AI313" s="491"/>
      <c r="AJ313" s="491"/>
      <c r="AK313" s="491"/>
      <c r="AL313" s="491"/>
      <c r="AM313" s="491"/>
      <c r="AN313" s="491"/>
    </row>
    <row r="314" spans="1:40" s="199" customFormat="1">
      <c r="B314" s="226"/>
      <c r="C314" s="201"/>
      <c r="E314" s="491"/>
      <c r="F314" s="491"/>
      <c r="G314" s="491"/>
      <c r="H314" s="491"/>
      <c r="I314" s="491"/>
      <c r="J314" s="491"/>
      <c r="K314" s="491"/>
      <c r="L314" s="491"/>
      <c r="M314" s="491"/>
      <c r="N314" s="491"/>
      <c r="O314" s="491"/>
      <c r="P314" s="491"/>
      <c r="Q314" s="491"/>
      <c r="R314" s="491"/>
      <c r="S314" s="491"/>
      <c r="T314" s="491"/>
      <c r="U314" s="491"/>
      <c r="V314" s="491"/>
      <c r="W314" s="491"/>
      <c r="X314" s="491"/>
      <c r="Y314" s="491"/>
      <c r="Z314" s="491"/>
      <c r="AA314" s="491"/>
      <c r="AB314" s="491"/>
      <c r="AC314" s="491"/>
      <c r="AD314" s="491"/>
      <c r="AE314" s="491"/>
      <c r="AF314" s="491"/>
      <c r="AG314" s="491"/>
      <c r="AH314" s="491"/>
      <c r="AI314" s="491"/>
      <c r="AJ314" s="491"/>
      <c r="AK314" s="491"/>
      <c r="AL314" s="491"/>
      <c r="AM314" s="491"/>
      <c r="AN314" s="491"/>
    </row>
    <row r="315" spans="1:40">
      <c r="A315" s="199"/>
      <c r="B315" s="209" t="s">
        <v>1234</v>
      </c>
      <c r="C315" s="82" t="s">
        <v>900</v>
      </c>
      <c r="E315" s="136"/>
      <c r="F315" s="136"/>
      <c r="G315" s="136"/>
      <c r="H315" s="136"/>
      <c r="I315" s="136"/>
      <c r="J315" s="136"/>
      <c r="K315" s="136"/>
      <c r="L315" s="136"/>
      <c r="M315" s="136"/>
      <c r="N315" s="136"/>
      <c r="O315" s="135">
        <v>-1.2</v>
      </c>
      <c r="P315" s="135">
        <f>-2.7-O315</f>
        <v>-1.5000000000000002</v>
      </c>
      <c r="Q315" s="135">
        <v>-2.8</v>
      </c>
      <c r="R315" s="135">
        <f>-3.2-Q315</f>
        <v>-0.40000000000000036</v>
      </c>
      <c r="S315" s="135">
        <v>-0.5</v>
      </c>
      <c r="T315" s="135">
        <f>3.8-S315</f>
        <v>4.3</v>
      </c>
      <c r="U315" s="135">
        <v>-4.5999999999999996</v>
      </c>
      <c r="V315" s="135">
        <f>-3-U315</f>
        <v>1.5999999999999996</v>
      </c>
      <c r="W315" s="160">
        <v>0</v>
      </c>
      <c r="X315" s="160">
        <v>1</v>
      </c>
      <c r="Y315" s="160">
        <v>4</v>
      </c>
      <c r="Z315" s="160">
        <v>8</v>
      </c>
      <c r="AA315" s="160">
        <v>10</v>
      </c>
      <c r="AB315" s="160">
        <v>12</v>
      </c>
      <c r="AC315" s="160">
        <v>14</v>
      </c>
      <c r="AD315" s="160">
        <v>16</v>
      </c>
      <c r="AE315" s="136">
        <f t="shared" ref="AE315:AK315" si="194">AC315*(1+AE316)</f>
        <v>14.42</v>
      </c>
      <c r="AF315" s="136">
        <f t="shared" si="194"/>
        <v>16.48</v>
      </c>
      <c r="AG315" s="136">
        <f t="shared" si="194"/>
        <v>14.852600000000001</v>
      </c>
      <c r="AH315" s="136">
        <f t="shared" si="194"/>
        <v>16.974399999999999</v>
      </c>
      <c r="AI315" s="136">
        <f t="shared" si="194"/>
        <v>15.298178000000002</v>
      </c>
      <c r="AJ315" s="136">
        <f t="shared" si="194"/>
        <v>17.483632</v>
      </c>
      <c r="AK315" s="136">
        <f t="shared" si="194"/>
        <v>15.757123340000001</v>
      </c>
      <c r="AL315" s="136">
        <f>AJ315*(1+AL316)</f>
        <v>18.008140960000002</v>
      </c>
      <c r="AM315" s="136">
        <f>AK315*(1+AM316)</f>
        <v>16.229837040200003</v>
      </c>
      <c r="AN315" s="136">
        <f>AL315*(1+AN316)</f>
        <v>18.548385188800001</v>
      </c>
    </row>
    <row r="316" spans="1:40">
      <c r="B316" s="183" t="s">
        <v>978</v>
      </c>
      <c r="C316" s="82" t="s">
        <v>842</v>
      </c>
      <c r="E316" s="159"/>
      <c r="F316" s="159"/>
      <c r="G316" s="159"/>
      <c r="H316" s="159"/>
      <c r="I316" s="159"/>
      <c r="J316" s="159"/>
      <c r="K316" s="159"/>
      <c r="L316" s="159"/>
      <c r="M316" s="159"/>
      <c r="N316" s="159"/>
      <c r="O316" s="159"/>
      <c r="P316" s="159"/>
      <c r="Q316" s="159"/>
      <c r="R316" s="159"/>
      <c r="S316" s="159"/>
      <c r="T316" s="159"/>
      <c r="U316" s="159"/>
      <c r="V316" s="159"/>
      <c r="W316" s="159"/>
      <c r="X316" s="159"/>
      <c r="Y316" s="191">
        <v>0.03</v>
      </c>
      <c r="Z316" s="191">
        <v>0.03</v>
      </c>
      <c r="AA316" s="191">
        <v>0.03</v>
      </c>
      <c r="AB316" s="191">
        <v>0.03</v>
      </c>
      <c r="AC316" s="191">
        <v>0.03</v>
      </c>
      <c r="AD316" s="191">
        <v>0.03</v>
      </c>
      <c r="AE316" s="191">
        <v>0.03</v>
      </c>
      <c r="AF316" s="191">
        <v>0.03</v>
      </c>
      <c r="AG316" s="191">
        <v>0.03</v>
      </c>
      <c r="AH316" s="191">
        <v>0.03</v>
      </c>
      <c r="AI316" s="191">
        <v>0.03</v>
      </c>
      <c r="AJ316" s="191">
        <v>0.03</v>
      </c>
      <c r="AK316" s="191">
        <v>0.03</v>
      </c>
      <c r="AL316" s="191">
        <v>0.03</v>
      </c>
      <c r="AM316" s="191">
        <v>0.03</v>
      </c>
      <c r="AN316" s="191">
        <v>0.03</v>
      </c>
    </row>
    <row r="317" spans="1:40" s="199" customFormat="1">
      <c r="B317" s="211"/>
      <c r="C317" s="82"/>
      <c r="D317" s="212"/>
      <c r="E317" s="213"/>
      <c r="F317" s="213"/>
      <c r="G317" s="213"/>
      <c r="H317" s="213"/>
      <c r="I317" s="213"/>
      <c r="J317" s="213"/>
      <c r="K317" s="213"/>
      <c r="L317" s="213"/>
      <c r="M317" s="213"/>
      <c r="N317" s="213"/>
      <c r="O317" s="213"/>
      <c r="P317" s="213"/>
      <c r="Q317" s="213"/>
      <c r="R317" s="213"/>
      <c r="S317" s="213"/>
      <c r="T317" s="213"/>
      <c r="U317" s="213"/>
      <c r="V317" s="213"/>
      <c r="W317" s="213"/>
      <c r="X317" s="213"/>
      <c r="Y317" s="213"/>
      <c r="Z317" s="213"/>
      <c r="AA317" s="213"/>
      <c r="AB317" s="213"/>
      <c r="AC317" s="213"/>
      <c r="AD317" s="213"/>
      <c r="AE317" s="213"/>
      <c r="AF317" s="213"/>
      <c r="AG317" s="213"/>
      <c r="AH317" s="213"/>
      <c r="AI317" s="213"/>
      <c r="AJ317" s="213"/>
      <c r="AK317" s="213"/>
      <c r="AL317" s="213"/>
      <c r="AM317" s="213"/>
      <c r="AN317" s="213"/>
    </row>
    <row r="318" spans="1:40">
      <c r="B318" s="209" t="s">
        <v>1080</v>
      </c>
      <c r="C318" s="82" t="s">
        <v>900</v>
      </c>
      <c r="E318" s="136"/>
      <c r="F318" s="136"/>
      <c r="G318" s="136"/>
      <c r="H318" s="136"/>
      <c r="I318" s="136"/>
      <c r="J318" s="136"/>
      <c r="K318" s="136"/>
      <c r="L318" s="136"/>
      <c r="M318" s="507"/>
      <c r="N318" s="136"/>
      <c r="O318" s="507">
        <v>-12.9</v>
      </c>
      <c r="P318" s="507">
        <f>-32.5-O318</f>
        <v>-19.600000000000001</v>
      </c>
      <c r="Q318" s="507">
        <v>-20.9</v>
      </c>
      <c r="R318" s="507">
        <f>-42.2-Q318</f>
        <v>-21.300000000000004</v>
      </c>
      <c r="S318" s="507">
        <v>-46</v>
      </c>
      <c r="T318" s="507">
        <f>-91.5-S318</f>
        <v>-45.5</v>
      </c>
      <c r="U318" s="507">
        <v>-42.9</v>
      </c>
      <c r="V318" s="507">
        <f>-86.2-U318</f>
        <v>-43.300000000000004</v>
      </c>
      <c r="W318" s="519">
        <f t="shared" ref="W318:AN318" si="195">W473</f>
        <v>-42.035949589041095</v>
      </c>
      <c r="X318" s="519">
        <f t="shared" si="195"/>
        <v>-45.403580489122902</v>
      </c>
      <c r="Y318" s="519">
        <f t="shared" si="195"/>
        <v>-47.635152328990827</v>
      </c>
      <c r="Z318" s="519">
        <f t="shared" si="195"/>
        <v>-46.373088322748643</v>
      </c>
      <c r="AA318" s="519">
        <f t="shared" si="195"/>
        <v>-47.581763472657222</v>
      </c>
      <c r="AB318" s="519">
        <f t="shared" si="195"/>
        <v>-46.117940707929563</v>
      </c>
      <c r="AC318" s="519">
        <f t="shared" si="195"/>
        <v>-46.247779255708188</v>
      </c>
      <c r="AD318" s="519">
        <f t="shared" si="195"/>
        <v>-44.610779580256107</v>
      </c>
      <c r="AE318" s="519">
        <f t="shared" si="195"/>
        <v>-43.606706674127352</v>
      </c>
      <c r="AF318" s="519">
        <f t="shared" si="195"/>
        <v>-42.078159976940597</v>
      </c>
      <c r="AG318" s="519">
        <f t="shared" si="195"/>
        <v>-42.062960218254595</v>
      </c>
      <c r="AH318" s="519">
        <f t="shared" si="195"/>
        <v>-40.111435504336377</v>
      </c>
      <c r="AI318" s="519">
        <f t="shared" si="195"/>
        <v>-39.499633696122693</v>
      </c>
      <c r="AJ318" s="519">
        <f t="shared" si="195"/>
        <v>-37.394700801260448</v>
      </c>
      <c r="AK318" s="519">
        <f t="shared" si="195"/>
        <v>-36.800254885782067</v>
      </c>
      <c r="AL318" s="519">
        <f t="shared" si="195"/>
        <v>-34.58289936818624</v>
      </c>
      <c r="AM318" s="519">
        <f t="shared" si="195"/>
        <v>-33.738477816630223</v>
      </c>
      <c r="AN318" s="519">
        <f t="shared" si="195"/>
        <v>-31.488360715195284</v>
      </c>
    </row>
    <row r="319" spans="1:40" s="199" customFormat="1">
      <c r="B319" s="226"/>
      <c r="C319" s="201"/>
      <c r="E319" s="491"/>
      <c r="F319" s="491"/>
      <c r="G319" s="491"/>
      <c r="H319" s="491"/>
      <c r="I319" s="491"/>
      <c r="J319" s="491"/>
      <c r="K319" s="491"/>
      <c r="L319" s="491"/>
      <c r="M319" s="491"/>
      <c r="N319" s="491"/>
      <c r="O319" s="491"/>
      <c r="P319" s="491"/>
      <c r="Q319" s="491"/>
      <c r="R319" s="491"/>
      <c r="S319" s="491"/>
      <c r="T319" s="491"/>
      <c r="U319" s="491"/>
      <c r="V319" s="491"/>
      <c r="W319" s="491"/>
      <c r="X319" s="491"/>
      <c r="Y319" s="491"/>
      <c r="Z319" s="491"/>
      <c r="AA319" s="491"/>
      <c r="AB319" s="491"/>
      <c r="AC319" s="491"/>
      <c r="AD319" s="491"/>
      <c r="AE319" s="491"/>
      <c r="AF319" s="491"/>
      <c r="AG319" s="491"/>
      <c r="AH319" s="491"/>
      <c r="AI319" s="491"/>
      <c r="AJ319" s="491"/>
      <c r="AK319" s="491"/>
      <c r="AL319" s="491"/>
      <c r="AM319" s="491"/>
      <c r="AN319" s="491"/>
    </row>
    <row r="320" spans="1:40" s="199" customFormat="1">
      <c r="B320" s="225" t="s">
        <v>13</v>
      </c>
      <c r="C320" s="484" t="s">
        <v>900</v>
      </c>
      <c r="E320" s="855"/>
      <c r="F320" s="855"/>
      <c r="G320" s="855"/>
      <c r="H320" s="855"/>
      <c r="I320" s="855"/>
      <c r="J320" s="855"/>
      <c r="K320" s="855"/>
      <c r="L320" s="855"/>
      <c r="M320" s="855"/>
      <c r="N320" s="855"/>
      <c r="O320" s="213">
        <f t="shared" ref="O320:AN320" si="196">O311+O315+O318</f>
        <v>59.1</v>
      </c>
      <c r="P320" s="213">
        <f t="shared" si="196"/>
        <v>56.199999999999996</v>
      </c>
      <c r="Q320" s="213">
        <f t="shared" si="196"/>
        <v>26.300000000000004</v>
      </c>
      <c r="R320" s="213">
        <f t="shared" si="196"/>
        <v>25.700000000000003</v>
      </c>
      <c r="S320" s="213">
        <f t="shared" si="196"/>
        <v>46.2</v>
      </c>
      <c r="T320" s="213">
        <f t="shared" si="196"/>
        <v>54.799999999999983</v>
      </c>
      <c r="U320" s="213">
        <f t="shared" si="196"/>
        <v>62.70000000000001</v>
      </c>
      <c r="V320" s="213">
        <f t="shared" si="196"/>
        <v>66.799999999999983</v>
      </c>
      <c r="W320" s="213">
        <f t="shared" si="196"/>
        <v>89.67770361515592</v>
      </c>
      <c r="X320" s="213">
        <f t="shared" si="196"/>
        <v>61.90283078162733</v>
      </c>
      <c r="Y320" s="213">
        <f t="shared" si="196"/>
        <v>97.25578389303125</v>
      </c>
      <c r="Z320" s="213">
        <f t="shared" si="196"/>
        <v>82.981746201731525</v>
      </c>
      <c r="AA320" s="213">
        <f t="shared" si="196"/>
        <v>108.84048793038065</v>
      </c>
      <c r="AB320" s="213">
        <f t="shared" si="196"/>
        <v>88.627543794042083</v>
      </c>
      <c r="AC320" s="213">
        <f t="shared" si="196"/>
        <v>123.13522159746427</v>
      </c>
      <c r="AD320" s="213">
        <f t="shared" si="196"/>
        <v>101.91236584404366</v>
      </c>
      <c r="AE320" s="213">
        <f t="shared" si="196"/>
        <v>133.00840405319718</v>
      </c>
      <c r="AF320" s="213">
        <f t="shared" si="196"/>
        <v>110.96077670955357</v>
      </c>
      <c r="AG320" s="213">
        <f t="shared" si="196"/>
        <v>140.70274196344477</v>
      </c>
      <c r="AH320" s="213">
        <f t="shared" si="196"/>
        <v>118.5422901041587</v>
      </c>
      <c r="AI320" s="213">
        <f t="shared" si="196"/>
        <v>148.69230351949909</v>
      </c>
      <c r="AJ320" s="213">
        <f t="shared" si="196"/>
        <v>126.27870246327217</v>
      </c>
      <c r="AK320" s="213">
        <f t="shared" si="196"/>
        <v>156.35624352059207</v>
      </c>
      <c r="AL320" s="213">
        <f t="shared" si="196"/>
        <v>133.74030550655647</v>
      </c>
      <c r="AM320" s="213">
        <f t="shared" si="196"/>
        <v>164.24441623037467</v>
      </c>
      <c r="AN320" s="213">
        <f t="shared" si="196"/>
        <v>143.21928741050897</v>
      </c>
    </row>
    <row r="321" spans="2:40" s="199" customFormat="1">
      <c r="B321" s="225"/>
      <c r="C321" s="484"/>
      <c r="E321" s="855"/>
      <c r="F321" s="855"/>
      <c r="G321" s="855"/>
      <c r="H321" s="855"/>
      <c r="I321" s="855"/>
      <c r="J321" s="855"/>
      <c r="K321" s="855"/>
      <c r="L321" s="855"/>
      <c r="M321" s="855"/>
      <c r="N321" s="855"/>
      <c r="O321" s="213"/>
      <c r="P321" s="213"/>
      <c r="Q321" s="213"/>
      <c r="R321" s="213"/>
      <c r="S321" s="213"/>
      <c r="T321" s="213"/>
      <c r="U321" s="213"/>
      <c r="V321" s="213"/>
      <c r="W321" s="213"/>
      <c r="X321" s="213"/>
      <c r="Y321" s="213"/>
      <c r="Z321" s="213"/>
      <c r="AA321" s="213"/>
      <c r="AB321" s="213"/>
      <c r="AC321" s="213"/>
      <c r="AD321" s="213"/>
      <c r="AE321" s="213"/>
      <c r="AF321" s="213"/>
      <c r="AG321" s="213"/>
      <c r="AH321" s="213"/>
      <c r="AI321" s="213"/>
      <c r="AJ321" s="213"/>
      <c r="AK321" s="213"/>
      <c r="AL321" s="213"/>
      <c r="AM321" s="213"/>
      <c r="AN321" s="213"/>
    </row>
    <row r="322" spans="2:40" s="199" customFormat="1">
      <c r="B322" s="209" t="s">
        <v>988</v>
      </c>
      <c r="C322" s="82" t="s">
        <v>900</v>
      </c>
      <c r="E322" s="491"/>
      <c r="F322" s="491"/>
      <c r="G322" s="491"/>
      <c r="H322" s="491"/>
      <c r="I322" s="491"/>
      <c r="J322" s="491"/>
      <c r="K322" s="491"/>
      <c r="L322" s="491"/>
      <c r="M322" s="491"/>
      <c r="N322" s="491"/>
      <c r="O322" s="507">
        <v>-11.8</v>
      </c>
      <c r="P322" s="507">
        <f>-31-O322</f>
        <v>-19.2</v>
      </c>
      <c r="Q322" s="507">
        <v>-8.6999999999999993</v>
      </c>
      <c r="R322" s="507">
        <f>-24-Q322</f>
        <v>-15.3</v>
      </c>
      <c r="S322" s="507">
        <v>-24.1</v>
      </c>
      <c r="T322" s="507">
        <f>-51.5-S322</f>
        <v>-27.4</v>
      </c>
      <c r="U322" s="507">
        <v>-27</v>
      </c>
      <c r="V322" s="507">
        <f>-58.4-U322</f>
        <v>-31.4</v>
      </c>
      <c r="W322" s="136">
        <f t="shared" ref="W322:AN322" si="197">W320*W323</f>
        <v>-35.871081446062369</v>
      </c>
      <c r="X322" s="136">
        <f t="shared" si="197"/>
        <v>-25.999188928283477</v>
      </c>
      <c r="Y322" s="136">
        <f t="shared" si="197"/>
        <v>-36.957197879351874</v>
      </c>
      <c r="Z322" s="136">
        <f t="shared" si="197"/>
        <v>-33.192698480692613</v>
      </c>
      <c r="AA322" s="136">
        <f t="shared" si="197"/>
        <v>-41.359385413544643</v>
      </c>
      <c r="AB322" s="136">
        <f t="shared" si="197"/>
        <v>-35.451017517616833</v>
      </c>
      <c r="AC322" s="136">
        <f t="shared" si="197"/>
        <v>-46.791384207036423</v>
      </c>
      <c r="AD322" s="136">
        <f t="shared" si="197"/>
        <v>-40.764946337617467</v>
      </c>
      <c r="AE322" s="136">
        <f t="shared" si="197"/>
        <v>-50.543193540214929</v>
      </c>
      <c r="AF322" s="136">
        <f t="shared" si="197"/>
        <v>-44.384310683821433</v>
      </c>
      <c r="AG322" s="136">
        <f t="shared" si="197"/>
        <v>-53.467041946109013</v>
      </c>
      <c r="AH322" s="136">
        <f t="shared" si="197"/>
        <v>-47.416916041663484</v>
      </c>
      <c r="AI322" s="136">
        <f t="shared" si="197"/>
        <v>-56.503075337409655</v>
      </c>
      <c r="AJ322" s="136">
        <f t="shared" si="197"/>
        <v>-50.511480985308872</v>
      </c>
      <c r="AK322" s="136">
        <f t="shared" si="197"/>
        <v>-46.906873056177623</v>
      </c>
      <c r="AL322" s="136">
        <f t="shared" si="197"/>
        <v>-40.12209165196694</v>
      </c>
      <c r="AM322" s="136">
        <f t="shared" si="197"/>
        <v>-49.2733248691124</v>
      </c>
      <c r="AN322" s="136">
        <f t="shared" si="197"/>
        <v>-42.965786223152691</v>
      </c>
    </row>
    <row r="323" spans="2:40" s="199" customFormat="1">
      <c r="B323" s="862" t="s">
        <v>986</v>
      </c>
      <c r="C323" s="82" t="s">
        <v>842</v>
      </c>
      <c r="D323" s="212"/>
      <c r="E323" s="213"/>
      <c r="F323" s="213"/>
      <c r="G323" s="215"/>
      <c r="H323" s="215"/>
      <c r="I323" s="215"/>
      <c r="J323" s="215"/>
      <c r="K323" s="215"/>
      <c r="L323" s="215"/>
      <c r="M323" s="215"/>
      <c r="N323" s="215"/>
      <c r="O323" s="215">
        <f t="shared" ref="O323:V323" si="198">O322/O320</f>
        <v>-0.19966159052453469</v>
      </c>
      <c r="P323" s="215">
        <f t="shared" si="198"/>
        <v>-0.34163701067615659</v>
      </c>
      <c r="Q323" s="215">
        <f t="shared" si="198"/>
        <v>-0.33079847908745241</v>
      </c>
      <c r="R323" s="215">
        <f t="shared" si="198"/>
        <v>-0.59533073929961089</v>
      </c>
      <c r="S323" s="215">
        <f t="shared" si="198"/>
        <v>-0.52164502164502169</v>
      </c>
      <c r="T323" s="215">
        <f t="shared" si="198"/>
        <v>-0.50000000000000011</v>
      </c>
      <c r="U323" s="215">
        <f t="shared" si="198"/>
        <v>-0.43062200956937791</v>
      </c>
      <c r="V323" s="215">
        <f t="shared" si="198"/>
        <v>-0.47005988023952106</v>
      </c>
      <c r="W323" s="863">
        <v>-0.4</v>
      </c>
      <c r="X323" s="863">
        <v>-0.42</v>
      </c>
      <c r="Y323" s="863">
        <v>-0.38</v>
      </c>
      <c r="Z323" s="863">
        <v>-0.4</v>
      </c>
      <c r="AA323" s="863">
        <v>-0.38</v>
      </c>
      <c r="AB323" s="863">
        <v>-0.4</v>
      </c>
      <c r="AC323" s="863">
        <v>-0.38</v>
      </c>
      <c r="AD323" s="863">
        <v>-0.4</v>
      </c>
      <c r="AE323" s="863">
        <v>-0.38</v>
      </c>
      <c r="AF323" s="863">
        <v>-0.4</v>
      </c>
      <c r="AG323" s="863">
        <v>-0.38</v>
      </c>
      <c r="AH323" s="863">
        <v>-0.4</v>
      </c>
      <c r="AI323" s="863">
        <v>-0.38</v>
      </c>
      <c r="AJ323" s="863">
        <v>-0.4</v>
      </c>
      <c r="AK323" s="191">
        <v>-0.3</v>
      </c>
      <c r="AL323" s="191">
        <v>-0.3</v>
      </c>
      <c r="AM323" s="191">
        <v>-0.3</v>
      </c>
      <c r="AN323" s="191">
        <v>-0.3</v>
      </c>
    </row>
    <row r="324" spans="2:40" s="199" customFormat="1">
      <c r="B324" s="862"/>
      <c r="C324" s="82"/>
      <c r="D324" s="212"/>
      <c r="E324" s="213"/>
      <c r="F324" s="213"/>
      <c r="G324" s="215"/>
      <c r="H324" s="215"/>
      <c r="I324" s="215"/>
      <c r="J324" s="215"/>
      <c r="K324" s="215"/>
      <c r="L324" s="215"/>
      <c r="M324" s="215"/>
      <c r="N324" s="215"/>
      <c r="O324" s="215"/>
      <c r="P324" s="215"/>
      <c r="Q324" s="215"/>
      <c r="R324" s="215"/>
      <c r="S324" s="519">
        <f t="shared" ref="S324:U324" si="199">30*30%</f>
        <v>9</v>
      </c>
      <c r="T324" s="519">
        <f t="shared" si="199"/>
        <v>9</v>
      </c>
      <c r="U324" s="519">
        <f t="shared" si="199"/>
        <v>9</v>
      </c>
      <c r="V324" s="519">
        <f>30*30%</f>
        <v>9</v>
      </c>
      <c r="W324" s="519">
        <f t="shared" ref="W324:AJ324" si="200">30*30%</f>
        <v>9</v>
      </c>
      <c r="X324" s="519">
        <f t="shared" si="200"/>
        <v>9</v>
      </c>
      <c r="Y324" s="519">
        <f t="shared" si="200"/>
        <v>9</v>
      </c>
      <c r="Z324" s="519">
        <f t="shared" si="200"/>
        <v>9</v>
      </c>
      <c r="AA324" s="519">
        <f t="shared" si="200"/>
        <v>9</v>
      </c>
      <c r="AB324" s="519">
        <f t="shared" si="200"/>
        <v>9</v>
      </c>
      <c r="AC324" s="519">
        <f t="shared" si="200"/>
        <v>9</v>
      </c>
      <c r="AD324" s="519">
        <f t="shared" si="200"/>
        <v>9</v>
      </c>
      <c r="AE324" s="519">
        <f t="shared" si="200"/>
        <v>9</v>
      </c>
      <c r="AF324" s="519">
        <f t="shared" si="200"/>
        <v>9</v>
      </c>
      <c r="AG324" s="519">
        <f t="shared" si="200"/>
        <v>9</v>
      </c>
      <c r="AH324" s="519">
        <f t="shared" si="200"/>
        <v>9</v>
      </c>
      <c r="AI324" s="519">
        <f t="shared" si="200"/>
        <v>9</v>
      </c>
      <c r="AJ324" s="519">
        <f t="shared" si="200"/>
        <v>9</v>
      </c>
      <c r="AK324" s="191"/>
      <c r="AL324" s="191"/>
      <c r="AM324" s="191"/>
      <c r="AN324" s="191"/>
    </row>
    <row r="325" spans="2:40" s="199" customFormat="1">
      <c r="B325" s="862"/>
      <c r="C325" s="82"/>
      <c r="D325" s="212"/>
      <c r="E325" s="213"/>
      <c r="F325" s="213"/>
      <c r="G325" s="215"/>
      <c r="H325" s="215"/>
      <c r="I325" s="215"/>
      <c r="J325" s="215"/>
      <c r="K325" s="215"/>
      <c r="L325" s="215"/>
      <c r="M325" s="215"/>
      <c r="N325" s="215"/>
      <c r="O325" s="215"/>
      <c r="P325" s="215"/>
      <c r="Q325" s="215"/>
      <c r="R325" s="215"/>
      <c r="S325" s="519">
        <f t="shared" ref="S325:U325" si="201">S322+S324</f>
        <v>-15.100000000000001</v>
      </c>
      <c r="T325" s="519">
        <f t="shared" si="201"/>
        <v>-18.399999999999999</v>
      </c>
      <c r="U325" s="519">
        <f t="shared" si="201"/>
        <v>-18</v>
      </c>
      <c r="V325" s="519">
        <f>V322+V324</f>
        <v>-22.4</v>
      </c>
      <c r="W325" s="519">
        <f t="shared" ref="W325:AF325" si="202">W322+W324</f>
        <v>-26.871081446062369</v>
      </c>
      <c r="X325" s="519">
        <f t="shared" si="202"/>
        <v>-16.999188928283477</v>
      </c>
      <c r="Y325" s="519">
        <f t="shared" si="202"/>
        <v>-27.957197879351874</v>
      </c>
      <c r="Z325" s="519">
        <f t="shared" si="202"/>
        <v>-24.192698480692613</v>
      </c>
      <c r="AA325" s="519">
        <f t="shared" si="202"/>
        <v>-32.359385413544643</v>
      </c>
      <c r="AB325" s="519">
        <f t="shared" si="202"/>
        <v>-26.451017517616833</v>
      </c>
      <c r="AC325" s="519">
        <f t="shared" si="202"/>
        <v>-37.791384207036423</v>
      </c>
      <c r="AD325" s="519">
        <f t="shared" si="202"/>
        <v>-31.764946337617467</v>
      </c>
      <c r="AE325" s="519">
        <f t="shared" si="202"/>
        <v>-41.543193540214929</v>
      </c>
      <c r="AF325" s="519">
        <f t="shared" si="202"/>
        <v>-35.384310683821433</v>
      </c>
      <c r="AG325" s="519">
        <f t="shared" ref="AG325" si="203">AG322+AG324</f>
        <v>-44.467041946109013</v>
      </c>
      <c r="AH325" s="519">
        <f t="shared" ref="AH325" si="204">AH322+AH324</f>
        <v>-38.416916041663484</v>
      </c>
      <c r="AI325" s="519">
        <f t="shared" ref="AI325" si="205">AI322+AI324</f>
        <v>-47.503075337409655</v>
      </c>
      <c r="AJ325" s="519">
        <f t="shared" ref="AJ325" si="206">AJ322+AJ324</f>
        <v>-41.511480985308872</v>
      </c>
      <c r="AK325" s="191"/>
      <c r="AL325" s="191"/>
      <c r="AM325" s="191"/>
      <c r="AN325" s="191"/>
    </row>
    <row r="326" spans="2:40" s="199" customFormat="1">
      <c r="B326" s="862"/>
      <c r="C326" s="82"/>
      <c r="D326" s="212"/>
      <c r="E326" s="213"/>
      <c r="F326" s="213"/>
      <c r="G326" s="215"/>
      <c r="H326" s="215"/>
      <c r="I326" s="215"/>
      <c r="J326" s="215"/>
      <c r="K326" s="215"/>
      <c r="L326" s="215"/>
      <c r="M326" s="215"/>
      <c r="N326" s="215"/>
      <c r="O326" s="215"/>
      <c r="P326" s="215"/>
      <c r="Q326" s="215"/>
      <c r="R326" s="215"/>
      <c r="S326" s="864">
        <f t="shared" ref="S326:U326" si="207">S325/S320</f>
        <v>-0.32683982683982687</v>
      </c>
      <c r="T326" s="864">
        <f t="shared" si="207"/>
        <v>-0.33576642335766432</v>
      </c>
      <c r="U326" s="864">
        <f t="shared" si="207"/>
        <v>-0.2870813397129186</v>
      </c>
      <c r="V326" s="864">
        <f>V325/V320</f>
        <v>-0.33532934131736536</v>
      </c>
      <c r="W326" s="864">
        <f t="shared" ref="W326:AF326" si="208">W325/W320</f>
        <v>-0.29964060588992425</v>
      </c>
      <c r="X326" s="864">
        <f t="shared" si="208"/>
        <v>-0.27461084919122652</v>
      </c>
      <c r="Y326" s="864">
        <f t="shared" si="208"/>
        <v>-0.28746051659098409</v>
      </c>
      <c r="Z326" s="864">
        <f t="shared" si="208"/>
        <v>-0.29154241249490359</v>
      </c>
      <c r="AA326" s="864">
        <f t="shared" si="208"/>
        <v>-0.2973101832678588</v>
      </c>
      <c r="AB326" s="864">
        <f t="shared" si="208"/>
        <v>-0.29845143377870503</v>
      </c>
      <c r="AC326" s="864">
        <f t="shared" si="208"/>
        <v>-0.30690962112025522</v>
      </c>
      <c r="AD326" s="864">
        <f t="shared" si="208"/>
        <v>-0.31168883260179941</v>
      </c>
      <c r="AE326" s="864">
        <f t="shared" si="208"/>
        <v>-0.31233510270222914</v>
      </c>
      <c r="AF326" s="864">
        <f t="shared" si="208"/>
        <v>-0.31889025773893032</v>
      </c>
      <c r="AG326" s="864">
        <f t="shared" ref="AG326" si="209">AG325/AG320</f>
        <v>-0.31603536168230295</v>
      </c>
      <c r="AH326" s="864">
        <f t="shared" ref="AH326" si="210">AH325/AH320</f>
        <v>-0.32407772793918499</v>
      </c>
      <c r="AI326" s="864">
        <f t="shared" ref="AI326" si="211">AI325/AI320</f>
        <v>-0.31947232111566715</v>
      </c>
      <c r="AJ326" s="864">
        <f t="shared" ref="AJ326" si="212">AJ325/AJ320</f>
        <v>-0.32872907446433713</v>
      </c>
      <c r="AK326" s="191"/>
      <c r="AL326" s="191"/>
      <c r="AM326" s="191"/>
      <c r="AN326" s="191"/>
    </row>
    <row r="327" spans="2:40" s="199" customFormat="1">
      <c r="C327" s="201"/>
      <c r="E327" s="217"/>
      <c r="F327" s="217"/>
      <c r="G327" s="217"/>
      <c r="H327" s="217"/>
      <c r="I327" s="217"/>
      <c r="J327" s="217"/>
      <c r="K327" s="217"/>
      <c r="L327" s="217"/>
      <c r="M327" s="217"/>
      <c r="N327" s="217"/>
      <c r="O327" s="217"/>
      <c r="P327" s="217"/>
      <c r="Q327" s="217"/>
      <c r="R327" s="217"/>
      <c r="S327" s="217"/>
      <c r="T327" s="217"/>
      <c r="U327" s="217"/>
      <c r="V327" s="217"/>
      <c r="W327" s="217"/>
      <c r="X327" s="217"/>
      <c r="Y327" s="217"/>
      <c r="Z327" s="217"/>
      <c r="AA327" s="217"/>
      <c r="AB327" s="217"/>
      <c r="AC327" s="217"/>
      <c r="AD327" s="217"/>
      <c r="AE327" s="217"/>
      <c r="AF327" s="217"/>
      <c r="AG327" s="217"/>
      <c r="AH327" s="217"/>
      <c r="AI327" s="217"/>
      <c r="AJ327" s="217"/>
      <c r="AK327" s="217"/>
      <c r="AL327" s="217"/>
      <c r="AM327" s="217"/>
      <c r="AN327" s="217"/>
    </row>
    <row r="328" spans="2:40" s="199" customFormat="1">
      <c r="B328" s="225" t="s">
        <v>987</v>
      </c>
      <c r="C328" s="484" t="s">
        <v>900</v>
      </c>
      <c r="E328" s="497"/>
      <c r="F328" s="497"/>
      <c r="G328" s="497"/>
      <c r="H328" s="497"/>
      <c r="I328" s="497"/>
      <c r="J328" s="497"/>
      <c r="K328" s="497"/>
      <c r="L328" s="497"/>
      <c r="M328" s="207"/>
      <c r="N328" s="207"/>
      <c r="O328" s="207">
        <v>47.3</v>
      </c>
      <c r="P328" s="207">
        <f>84.3-O328</f>
        <v>37</v>
      </c>
      <c r="Q328" s="207">
        <v>17.600000000000001</v>
      </c>
      <c r="R328" s="207">
        <f>28-Q328</f>
        <v>10.399999999999999</v>
      </c>
      <c r="S328" s="207">
        <v>22.1</v>
      </c>
      <c r="T328" s="207">
        <f>49.5-S328</f>
        <v>27.4</v>
      </c>
      <c r="U328" s="207">
        <v>35.700000000000003</v>
      </c>
      <c r="V328" s="207">
        <f>71.1-U328</f>
        <v>35.399999999999991</v>
      </c>
      <c r="W328" s="203">
        <f t="shared" ref="W328:AN328" si="213">W320+W322</f>
        <v>53.806622169093551</v>
      </c>
      <c r="X328" s="203">
        <f t="shared" si="213"/>
        <v>35.903641853343856</v>
      </c>
      <c r="Y328" s="203">
        <f t="shared" si="213"/>
        <v>60.298586013679376</v>
      </c>
      <c r="Z328" s="203">
        <f t="shared" si="213"/>
        <v>49.789047721038912</v>
      </c>
      <c r="AA328" s="203">
        <f t="shared" si="213"/>
        <v>67.481102516836003</v>
      </c>
      <c r="AB328" s="203">
        <f t="shared" si="213"/>
        <v>53.17652627642525</v>
      </c>
      <c r="AC328" s="203">
        <f t="shared" si="213"/>
        <v>76.343837390427836</v>
      </c>
      <c r="AD328" s="203">
        <f t="shared" si="213"/>
        <v>61.147419506426196</v>
      </c>
      <c r="AE328" s="203">
        <f t="shared" si="213"/>
        <v>82.465210512982253</v>
      </c>
      <c r="AF328" s="203">
        <f t="shared" si="213"/>
        <v>66.576466025732145</v>
      </c>
      <c r="AG328" s="203">
        <f t="shared" si="213"/>
        <v>87.235700017335745</v>
      </c>
      <c r="AH328" s="203">
        <f t="shared" si="213"/>
        <v>71.125374062495212</v>
      </c>
      <c r="AI328" s="203">
        <f t="shared" si="213"/>
        <v>92.189228182089437</v>
      </c>
      <c r="AJ328" s="203">
        <f t="shared" si="213"/>
        <v>75.76722147796329</v>
      </c>
      <c r="AK328" s="203">
        <f t="shared" si="213"/>
        <v>109.44937046441444</v>
      </c>
      <c r="AL328" s="203">
        <f t="shared" si="213"/>
        <v>93.618213854589527</v>
      </c>
      <c r="AM328" s="203">
        <f t="shared" si="213"/>
        <v>114.97109136126227</v>
      </c>
      <c r="AN328" s="203">
        <f t="shared" si="213"/>
        <v>100.25350118735628</v>
      </c>
    </row>
    <row r="329" spans="2:40" s="199" customFormat="1">
      <c r="B329" s="226" t="s">
        <v>886</v>
      </c>
      <c r="C329" s="201"/>
      <c r="E329" s="217"/>
      <c r="F329" s="217"/>
      <c r="G329" s="217"/>
      <c r="H329" s="217"/>
      <c r="I329" s="217"/>
      <c r="J329" s="217"/>
      <c r="K329" s="217"/>
      <c r="L329" s="217"/>
      <c r="M329" s="217"/>
      <c r="N329" s="217"/>
      <c r="O329" s="217">
        <f t="shared" ref="O329:AN329" si="214">O328-(O271+O277+O288+O301+O315+O318+O322)</f>
        <v>9.9475983006414026E-14</v>
      </c>
      <c r="P329" s="217">
        <f t="shared" si="214"/>
        <v>0.199999999999946</v>
      </c>
      <c r="Q329" s="217">
        <f t="shared" si="214"/>
        <v>-0.89999999999999503</v>
      </c>
      <c r="R329" s="217">
        <f t="shared" si="214"/>
        <v>9.5923269327613525E-14</v>
      </c>
      <c r="S329" s="217">
        <f t="shared" si="214"/>
        <v>0</v>
      </c>
      <c r="T329" s="217">
        <f t="shared" si="214"/>
        <v>3.4106051316484809E-13</v>
      </c>
      <c r="U329" s="217">
        <f t="shared" si="214"/>
        <v>0</v>
      </c>
      <c r="V329" s="217">
        <f t="shared" si="214"/>
        <v>-3.6237679523765109E-13</v>
      </c>
      <c r="W329" s="217">
        <f t="shared" si="214"/>
        <v>-8.5265128291212022E-14</v>
      </c>
      <c r="X329" s="217">
        <f t="shared" si="214"/>
        <v>-5.6843418860808015E-14</v>
      </c>
      <c r="Y329" s="217">
        <f t="shared" si="214"/>
        <v>0</v>
      </c>
      <c r="Z329" s="217">
        <f t="shared" si="214"/>
        <v>-1.7053025658242404E-13</v>
      </c>
      <c r="AA329" s="217">
        <f t="shared" si="214"/>
        <v>0</v>
      </c>
      <c r="AB329" s="217">
        <f t="shared" si="214"/>
        <v>-1.7053025658242404E-13</v>
      </c>
      <c r="AC329" s="217">
        <f t="shared" si="214"/>
        <v>0</v>
      </c>
      <c r="AD329" s="217">
        <f t="shared" si="214"/>
        <v>-1.9895196601282805E-13</v>
      </c>
      <c r="AE329" s="217">
        <f t="shared" si="214"/>
        <v>0</v>
      </c>
      <c r="AF329" s="217">
        <f t="shared" si="214"/>
        <v>0</v>
      </c>
      <c r="AG329" s="217">
        <f t="shared" si="214"/>
        <v>0</v>
      </c>
      <c r="AH329" s="217">
        <f t="shared" si="214"/>
        <v>0</v>
      </c>
      <c r="AI329" s="217">
        <f t="shared" si="214"/>
        <v>0</v>
      </c>
      <c r="AJ329" s="217">
        <f t="shared" si="214"/>
        <v>-1.7053025658242404E-13</v>
      </c>
      <c r="AK329" s="217">
        <f t="shared" si="214"/>
        <v>-1.1368683772161603E-13</v>
      </c>
      <c r="AL329" s="217">
        <f t="shared" si="214"/>
        <v>0</v>
      </c>
      <c r="AM329" s="217">
        <f t="shared" si="214"/>
        <v>0</v>
      </c>
      <c r="AN329" s="217">
        <f t="shared" si="214"/>
        <v>-1.4210854715202004E-13</v>
      </c>
    </row>
    <row r="330" spans="2:40" s="199" customFormat="1">
      <c r="C330" s="201"/>
      <c r="E330" s="217"/>
      <c r="F330" s="217"/>
      <c r="G330" s="217"/>
      <c r="H330" s="217"/>
      <c r="I330" s="217"/>
      <c r="J330" s="217"/>
      <c r="K330" s="217"/>
      <c r="L330" s="217"/>
      <c r="M330" s="217"/>
      <c r="N330" s="217"/>
      <c r="O330" s="217"/>
      <c r="P330" s="217"/>
      <c r="Q330" s="217"/>
      <c r="R330" s="217"/>
      <c r="S330" s="217"/>
      <c r="T330" s="217"/>
      <c r="U330" s="217"/>
      <c r="V330" s="217"/>
      <c r="W330" s="217"/>
      <c r="X330" s="217"/>
      <c r="Y330" s="217"/>
      <c r="Z330" s="217"/>
      <c r="AA330" s="217"/>
      <c r="AB330" s="217"/>
      <c r="AC330" s="217"/>
      <c r="AD330" s="217"/>
      <c r="AE330" s="217"/>
      <c r="AF330" s="217"/>
      <c r="AG330" s="217"/>
      <c r="AH330" s="217"/>
      <c r="AI330" s="217"/>
      <c r="AJ330" s="217"/>
      <c r="AK330" s="217"/>
      <c r="AL330" s="217"/>
      <c r="AM330" s="217"/>
      <c r="AN330" s="217"/>
    </row>
    <row r="331" spans="2:40" s="177" customFormat="1">
      <c r="B331" s="178" t="s">
        <v>1616</v>
      </c>
      <c r="C331" s="833"/>
      <c r="E331" s="834"/>
      <c r="F331" s="834"/>
      <c r="G331" s="834"/>
      <c r="H331" s="834"/>
      <c r="I331" s="834"/>
      <c r="J331" s="834"/>
      <c r="K331" s="834"/>
      <c r="L331" s="834"/>
      <c r="M331" s="834"/>
      <c r="N331" s="834"/>
      <c r="O331" s="834"/>
      <c r="P331" s="834"/>
      <c r="Q331" s="835"/>
      <c r="R331" s="835"/>
      <c r="S331" s="835"/>
      <c r="T331" s="835"/>
      <c r="U331" s="835"/>
      <c r="V331" s="835"/>
      <c r="W331" s="835"/>
      <c r="X331" s="835"/>
      <c r="Y331" s="835"/>
      <c r="Z331" s="835"/>
      <c r="AA331" s="835"/>
      <c r="AB331" s="835"/>
      <c r="AC331" s="835"/>
      <c r="AD331" s="835"/>
      <c r="AE331" s="835"/>
      <c r="AF331" s="835"/>
      <c r="AG331" s="835"/>
      <c r="AH331" s="835"/>
      <c r="AI331" s="835"/>
      <c r="AJ331" s="835"/>
      <c r="AK331" s="835"/>
      <c r="AL331" s="835"/>
      <c r="AM331" s="835"/>
      <c r="AN331" s="835"/>
    </row>
    <row r="332" spans="2:40">
      <c r="B332" s="161"/>
      <c r="C332" s="131"/>
      <c r="E332" s="135"/>
      <c r="F332" s="135"/>
      <c r="G332" s="135"/>
      <c r="H332" s="135"/>
      <c r="I332" s="135"/>
      <c r="J332" s="135"/>
      <c r="K332" s="135"/>
      <c r="L332" s="135"/>
      <c r="M332" s="135"/>
      <c r="N332" s="135"/>
      <c r="O332" s="135"/>
      <c r="P332" s="135"/>
      <c r="Q332" s="136"/>
      <c r="R332" s="136"/>
      <c r="S332" s="136"/>
      <c r="T332" s="136"/>
      <c r="U332" s="136"/>
      <c r="V332" s="136"/>
      <c r="W332" s="136"/>
      <c r="X332" s="136"/>
      <c r="Y332" s="136"/>
      <c r="Z332" s="136"/>
      <c r="AA332" s="136"/>
      <c r="AB332" s="136"/>
      <c r="AC332" s="136"/>
      <c r="AD332" s="136"/>
      <c r="AE332" s="136"/>
      <c r="AF332" s="136"/>
      <c r="AG332" s="136"/>
      <c r="AH332" s="136"/>
      <c r="AI332" s="136"/>
      <c r="AJ332" s="136"/>
      <c r="AK332" s="136"/>
      <c r="AL332" s="136"/>
      <c r="AM332" s="136"/>
      <c r="AN332" s="136"/>
    </row>
    <row r="333" spans="2:40">
      <c r="B333" s="185" t="s">
        <v>1629</v>
      </c>
      <c r="C333" s="131"/>
      <c r="E333" s="135"/>
      <c r="F333" s="135"/>
      <c r="G333" s="135"/>
      <c r="H333" s="135"/>
      <c r="I333" s="135"/>
      <c r="J333" s="135"/>
      <c r="K333" s="135"/>
      <c r="L333" s="135"/>
      <c r="M333" s="135"/>
      <c r="N333" s="135"/>
      <c r="O333" s="135"/>
      <c r="P333" s="135"/>
      <c r="Q333" s="136"/>
      <c r="R333" s="136"/>
      <c r="S333" s="136"/>
      <c r="T333" s="136"/>
      <c r="U333" s="136"/>
      <c r="V333" s="136"/>
      <c r="W333" s="136"/>
      <c r="X333" s="136"/>
      <c r="Y333" s="136"/>
      <c r="Z333" s="136"/>
      <c r="AA333" s="136"/>
      <c r="AB333" s="136"/>
      <c r="AC333" s="136"/>
      <c r="AD333" s="136"/>
      <c r="AE333" s="136"/>
      <c r="AF333" s="136"/>
      <c r="AG333" s="136"/>
      <c r="AH333" s="136"/>
      <c r="AI333" s="136"/>
      <c r="AJ333" s="136"/>
      <c r="AK333" s="136"/>
      <c r="AL333" s="136"/>
      <c r="AM333" s="136"/>
      <c r="AN333" s="136"/>
    </row>
    <row r="334" spans="2:40" s="3" customFormat="1">
      <c r="B334" s="482" t="s">
        <v>1</v>
      </c>
      <c r="C334" s="484"/>
      <c r="E334" s="485"/>
      <c r="F334" s="485"/>
      <c r="G334" s="485"/>
      <c r="H334" s="485"/>
      <c r="I334" s="485"/>
      <c r="J334" s="485"/>
      <c r="K334" s="485"/>
      <c r="L334" s="485"/>
      <c r="M334" s="485"/>
      <c r="N334" s="485"/>
      <c r="O334" s="485"/>
      <c r="P334" s="485"/>
      <c r="Q334" s="485">
        <v>51.4</v>
      </c>
      <c r="R334" s="485">
        <v>43.8</v>
      </c>
      <c r="S334" s="485">
        <v>41.4</v>
      </c>
      <c r="T334" s="485">
        <v>43.7</v>
      </c>
      <c r="U334" s="485">
        <v>46.1</v>
      </c>
      <c r="V334" s="136"/>
      <c r="W334" s="136"/>
      <c r="X334" s="136"/>
      <c r="Y334" s="222"/>
      <c r="Z334" s="222"/>
      <c r="AA334" s="222"/>
      <c r="AB334" s="222"/>
      <c r="AC334" s="222"/>
      <c r="AD334" s="222"/>
      <c r="AE334" s="222"/>
      <c r="AF334" s="222"/>
      <c r="AG334" s="222"/>
      <c r="AH334" s="222"/>
      <c r="AI334" s="222"/>
      <c r="AJ334" s="222"/>
      <c r="AK334" s="222"/>
      <c r="AL334" s="222"/>
      <c r="AM334" s="222"/>
      <c r="AN334" s="222"/>
    </row>
    <row r="335" spans="2:40">
      <c r="B335" s="162" t="s">
        <v>313</v>
      </c>
      <c r="C335" s="131"/>
      <c r="E335" s="135"/>
      <c r="F335" s="135"/>
      <c r="G335" s="135"/>
      <c r="H335" s="135"/>
      <c r="I335" s="135"/>
      <c r="J335" s="135"/>
      <c r="K335" s="135"/>
      <c r="L335" s="135"/>
      <c r="M335" s="135"/>
      <c r="N335" s="135"/>
      <c r="O335" s="135"/>
      <c r="P335" s="135"/>
      <c r="Q335" s="135">
        <v>-18.3</v>
      </c>
      <c r="R335" s="135">
        <v>-19.5</v>
      </c>
      <c r="S335" s="135">
        <v>-16.7</v>
      </c>
      <c r="T335" s="135">
        <v>-13.9</v>
      </c>
      <c r="U335" s="135">
        <v>-16.7</v>
      </c>
      <c r="V335" s="136"/>
      <c r="W335" s="136"/>
      <c r="X335" s="136"/>
      <c r="Y335" s="136"/>
      <c r="Z335" s="136"/>
      <c r="AA335" s="136"/>
      <c r="AB335" s="136"/>
      <c r="AC335" s="136"/>
      <c r="AD335" s="136"/>
      <c r="AE335" s="136"/>
      <c r="AF335" s="136"/>
      <c r="AG335" s="136"/>
      <c r="AH335" s="136"/>
      <c r="AI335" s="136"/>
      <c r="AJ335" s="136"/>
      <c r="AK335" s="136"/>
      <c r="AL335" s="136"/>
      <c r="AM335" s="136"/>
      <c r="AN335" s="136"/>
    </row>
    <row r="336" spans="2:40" s="3" customFormat="1">
      <c r="B336" s="482" t="s">
        <v>1617</v>
      </c>
      <c r="C336" s="484"/>
      <c r="E336" s="485"/>
      <c r="F336" s="485"/>
      <c r="G336" s="485"/>
      <c r="H336" s="485"/>
      <c r="I336" s="485"/>
      <c r="J336" s="485"/>
      <c r="K336" s="485"/>
      <c r="L336" s="485"/>
      <c r="M336" s="485"/>
      <c r="N336" s="485"/>
      <c r="O336" s="485"/>
      <c r="P336" s="485"/>
      <c r="Q336" s="485">
        <v>33.1</v>
      </c>
      <c r="R336" s="485">
        <v>24.3</v>
      </c>
      <c r="S336" s="485">
        <v>24.7</v>
      </c>
      <c r="T336" s="485">
        <v>29.8</v>
      </c>
      <c r="U336" s="485">
        <v>29.4</v>
      </c>
      <c r="V336" s="485"/>
      <c r="W336" s="222"/>
      <c r="X336" s="222"/>
      <c r="Y336" s="222"/>
      <c r="Z336" s="222"/>
      <c r="AA336" s="222"/>
      <c r="AB336" s="222"/>
      <c r="AC336" s="222"/>
      <c r="AD336" s="222"/>
      <c r="AE336" s="222"/>
      <c r="AF336" s="222"/>
      <c r="AG336" s="222"/>
      <c r="AH336" s="222"/>
      <c r="AI336" s="222"/>
      <c r="AJ336" s="222"/>
      <c r="AK336" s="222"/>
      <c r="AL336" s="222"/>
      <c r="AM336" s="222"/>
      <c r="AN336" s="222"/>
    </row>
    <row r="337" spans="2:40">
      <c r="B337" s="162" t="s">
        <v>1618</v>
      </c>
      <c r="C337" s="131"/>
      <c r="E337" s="135"/>
      <c r="F337" s="135"/>
      <c r="G337" s="135"/>
      <c r="H337" s="135"/>
      <c r="I337" s="135"/>
      <c r="J337" s="135"/>
      <c r="K337" s="135"/>
      <c r="L337" s="135"/>
      <c r="M337" s="135"/>
      <c r="N337" s="135"/>
      <c r="O337" s="135"/>
      <c r="P337" s="135"/>
      <c r="Q337" s="135">
        <v>-34.5</v>
      </c>
      <c r="R337" s="135">
        <v>-30.8</v>
      </c>
      <c r="S337" s="135">
        <v>-26</v>
      </c>
      <c r="T337" s="135">
        <v>-24.6</v>
      </c>
      <c r="U337" s="135">
        <v>-23.4</v>
      </c>
      <c r="V337" s="135"/>
      <c r="W337" s="136"/>
      <c r="X337" s="136"/>
      <c r="Y337" s="136"/>
      <c r="Z337" s="136"/>
      <c r="AA337" s="136"/>
      <c r="AB337" s="136"/>
      <c r="AC337" s="136"/>
      <c r="AD337" s="136"/>
      <c r="AE337" s="136"/>
      <c r="AF337" s="136"/>
      <c r="AG337" s="136"/>
      <c r="AH337" s="136"/>
      <c r="AI337" s="136"/>
      <c r="AJ337" s="136"/>
      <c r="AK337" s="136"/>
      <c r="AL337" s="136"/>
      <c r="AM337" s="136"/>
      <c r="AN337" s="136"/>
    </row>
    <row r="338" spans="2:40" s="3" customFormat="1">
      <c r="B338" s="482" t="s">
        <v>1619</v>
      </c>
      <c r="C338" s="484"/>
      <c r="E338" s="485"/>
      <c r="F338" s="485"/>
      <c r="G338" s="485"/>
      <c r="H338" s="485"/>
      <c r="I338" s="485"/>
      <c r="J338" s="485"/>
      <c r="K338" s="485"/>
      <c r="L338" s="485"/>
      <c r="M338" s="485"/>
      <c r="N338" s="485"/>
      <c r="O338" s="485"/>
      <c r="P338" s="485"/>
      <c r="Q338" s="485">
        <v>-0.9</v>
      </c>
      <c r="R338" s="485">
        <v>-6.3</v>
      </c>
      <c r="S338" s="485">
        <v>-1.3</v>
      </c>
      <c r="T338" s="485">
        <v>5.9</v>
      </c>
      <c r="U338" s="485">
        <v>6</v>
      </c>
      <c r="V338" s="485">
        <v>7.9</v>
      </c>
      <c r="W338" s="222"/>
      <c r="X338" s="222"/>
      <c r="Y338" s="222"/>
      <c r="Z338" s="222"/>
      <c r="AA338" s="222"/>
      <c r="AB338" s="222"/>
      <c r="AC338" s="222"/>
      <c r="AD338" s="222"/>
      <c r="AE338" s="222"/>
      <c r="AF338" s="222"/>
      <c r="AG338" s="222"/>
      <c r="AH338" s="222"/>
      <c r="AI338" s="222"/>
      <c r="AJ338" s="222"/>
      <c r="AK338" s="222"/>
      <c r="AL338" s="222"/>
      <c r="AM338" s="222"/>
      <c r="AN338" s="222"/>
    </row>
    <row r="339" spans="2:40">
      <c r="B339" s="162" t="s">
        <v>1620</v>
      </c>
      <c r="C339" s="131"/>
      <c r="E339" s="135"/>
      <c r="F339" s="135"/>
      <c r="G339" s="135"/>
      <c r="H339" s="135"/>
      <c r="I339" s="135"/>
      <c r="J339" s="135"/>
      <c r="K339" s="135"/>
      <c r="L339" s="135"/>
      <c r="M339" s="135"/>
      <c r="N339" s="135"/>
      <c r="O339" s="135"/>
      <c r="P339" s="135"/>
      <c r="Q339" s="135">
        <v>-6.5</v>
      </c>
      <c r="R339" s="135">
        <v>8.5</v>
      </c>
      <c r="S339" s="135">
        <v>-0.8</v>
      </c>
      <c r="T339" s="135">
        <v>-2.4</v>
      </c>
      <c r="U339" s="135">
        <v>-1.5</v>
      </c>
      <c r="V339" s="135"/>
      <c r="W339" s="136"/>
      <c r="X339" s="136"/>
      <c r="Y339" s="136"/>
      <c r="Z339" s="136"/>
      <c r="AA339" s="136"/>
      <c r="AB339" s="136"/>
      <c r="AC339" s="136"/>
      <c r="AD339" s="136"/>
      <c r="AE339" s="136"/>
      <c r="AF339" s="136"/>
      <c r="AG339" s="136"/>
      <c r="AH339" s="136"/>
      <c r="AI339" s="136"/>
      <c r="AJ339" s="136"/>
      <c r="AK339" s="136"/>
      <c r="AL339" s="136"/>
      <c r="AM339" s="136"/>
      <c r="AN339" s="136"/>
    </row>
    <row r="340" spans="2:40" s="3" customFormat="1">
      <c r="B340" s="482" t="s">
        <v>1621</v>
      </c>
      <c r="C340" s="484"/>
      <c r="E340" s="485"/>
      <c r="F340" s="485"/>
      <c r="G340" s="485"/>
      <c r="H340" s="485"/>
      <c r="I340" s="485"/>
      <c r="J340" s="485"/>
      <c r="K340" s="485"/>
      <c r="L340" s="485"/>
      <c r="M340" s="485"/>
      <c r="N340" s="485"/>
      <c r="O340" s="485"/>
      <c r="P340" s="485"/>
      <c r="Q340" s="485">
        <v>-7.4</v>
      </c>
      <c r="R340" s="485">
        <v>2.2000000000000002</v>
      </c>
      <c r="S340" s="485">
        <v>-2.1</v>
      </c>
      <c r="T340" s="485">
        <v>3.5</v>
      </c>
      <c r="U340" s="485">
        <v>4.5</v>
      </c>
      <c r="V340" s="485"/>
      <c r="W340" s="222"/>
      <c r="X340" s="222"/>
      <c r="Y340" s="222"/>
      <c r="Z340" s="222"/>
      <c r="AA340" s="222"/>
      <c r="AB340" s="222"/>
      <c r="AC340" s="222"/>
      <c r="AD340" s="222"/>
      <c r="AE340" s="222"/>
      <c r="AF340" s="222"/>
      <c r="AG340" s="222"/>
      <c r="AH340" s="222"/>
      <c r="AI340" s="222"/>
      <c r="AJ340" s="222"/>
      <c r="AK340" s="222"/>
      <c r="AL340" s="222"/>
      <c r="AM340" s="222"/>
      <c r="AN340" s="222"/>
    </row>
    <row r="341" spans="2:40">
      <c r="B341" s="162" t="s">
        <v>1622</v>
      </c>
      <c r="C341" s="131"/>
      <c r="E341" s="135"/>
      <c r="F341" s="135"/>
      <c r="G341" s="135"/>
      <c r="H341" s="135"/>
      <c r="I341" s="135"/>
      <c r="J341" s="135"/>
      <c r="K341" s="135"/>
      <c r="L341" s="135"/>
      <c r="M341" s="135"/>
      <c r="N341" s="135"/>
      <c r="O341" s="135"/>
      <c r="P341" s="135"/>
      <c r="Q341" s="135">
        <v>-5.3</v>
      </c>
      <c r="R341" s="135">
        <v>-6.9</v>
      </c>
      <c r="S341" s="135">
        <v>-6.1</v>
      </c>
      <c r="T341" s="135">
        <v>-9.9</v>
      </c>
      <c r="U341" s="135">
        <v>-7.7</v>
      </c>
      <c r="V341" s="135"/>
      <c r="W341" s="136"/>
      <c r="X341" s="136"/>
      <c r="Y341" s="136"/>
      <c r="Z341" s="136"/>
      <c r="AA341" s="136"/>
      <c r="AB341" s="136"/>
      <c r="AC341" s="136"/>
      <c r="AD341" s="136"/>
      <c r="AE341" s="136"/>
      <c r="AF341" s="136"/>
      <c r="AG341" s="136"/>
      <c r="AH341" s="136"/>
      <c r="AI341" s="136"/>
      <c r="AJ341" s="136"/>
      <c r="AK341" s="136"/>
      <c r="AL341" s="136"/>
      <c r="AM341" s="136"/>
      <c r="AN341" s="136"/>
    </row>
    <row r="342" spans="2:40">
      <c r="B342" s="162" t="s">
        <v>1623</v>
      </c>
      <c r="C342" s="131"/>
      <c r="E342" s="135"/>
      <c r="F342" s="135"/>
      <c r="G342" s="135"/>
      <c r="H342" s="135"/>
      <c r="I342" s="135"/>
      <c r="J342" s="135"/>
      <c r="K342" s="135"/>
      <c r="L342" s="135"/>
      <c r="M342" s="135"/>
      <c r="N342" s="135"/>
      <c r="O342" s="135"/>
      <c r="P342" s="135"/>
      <c r="Q342" s="135">
        <v>-0.2</v>
      </c>
      <c r="R342" s="135">
        <v>-0.2</v>
      </c>
      <c r="S342" s="135">
        <v>-0.3</v>
      </c>
      <c r="T342" s="135">
        <v>-0.2</v>
      </c>
      <c r="U342" s="135">
        <v>0</v>
      </c>
      <c r="V342" s="135"/>
      <c r="W342" s="136"/>
      <c r="X342" s="136"/>
      <c r="Y342" s="136"/>
      <c r="Z342" s="136"/>
      <c r="AA342" s="136"/>
      <c r="AB342" s="136"/>
      <c r="AC342" s="136"/>
      <c r="AD342" s="136"/>
      <c r="AE342" s="136"/>
      <c r="AF342" s="136"/>
      <c r="AG342" s="136"/>
      <c r="AH342" s="136"/>
      <c r="AI342" s="136"/>
      <c r="AJ342" s="136"/>
      <c r="AK342" s="136"/>
      <c r="AL342" s="136"/>
      <c r="AM342" s="136"/>
      <c r="AN342" s="136"/>
    </row>
    <row r="343" spans="2:40">
      <c r="B343" s="162" t="s">
        <v>1624</v>
      </c>
      <c r="C343" s="131"/>
      <c r="E343" s="135"/>
      <c r="F343" s="135"/>
      <c r="G343" s="135"/>
      <c r="H343" s="135"/>
      <c r="I343" s="135"/>
      <c r="J343" s="135"/>
      <c r="K343" s="135"/>
      <c r="L343" s="135"/>
      <c r="M343" s="135"/>
      <c r="N343" s="135"/>
      <c r="O343" s="135"/>
      <c r="P343" s="135"/>
      <c r="Q343" s="135">
        <v>-0.6</v>
      </c>
      <c r="R343" s="135">
        <v>-20.2</v>
      </c>
      <c r="S343" s="135">
        <v>-8.6</v>
      </c>
      <c r="T343" s="135">
        <v>-2.6</v>
      </c>
      <c r="U343" s="135">
        <v>-0.3</v>
      </c>
      <c r="V343" s="135"/>
      <c r="W343" s="136"/>
      <c r="X343" s="136"/>
      <c r="Y343" s="136"/>
      <c r="Z343" s="136"/>
      <c r="AA343" s="136"/>
      <c r="AB343" s="136"/>
      <c r="AC343" s="136"/>
      <c r="AD343" s="136"/>
      <c r="AE343" s="136"/>
      <c r="AF343" s="136"/>
      <c r="AG343" s="136"/>
      <c r="AH343" s="136"/>
      <c r="AI343" s="136"/>
      <c r="AJ343" s="136"/>
      <c r="AK343" s="136"/>
      <c r="AL343" s="136"/>
      <c r="AM343" s="136"/>
      <c r="AN343" s="136"/>
    </row>
    <row r="344" spans="2:40" s="3" customFormat="1">
      <c r="B344" s="482" t="s">
        <v>1625</v>
      </c>
      <c r="C344" s="484"/>
      <c r="E344" s="485"/>
      <c r="F344" s="485"/>
      <c r="G344" s="485"/>
      <c r="H344" s="485"/>
      <c r="I344" s="485"/>
      <c r="J344" s="485"/>
      <c r="K344" s="485"/>
      <c r="L344" s="485"/>
      <c r="M344" s="485"/>
      <c r="N344" s="485"/>
      <c r="O344" s="485"/>
      <c r="P344" s="485"/>
      <c r="Q344" s="485">
        <v>-13.5</v>
      </c>
      <c r="R344" s="485">
        <v>-25.2</v>
      </c>
      <c r="S344" s="485">
        <v>-17.100000000000001</v>
      </c>
      <c r="T344" s="485">
        <v>-9.3000000000000007</v>
      </c>
      <c r="U344" s="485">
        <v>-3.5</v>
      </c>
      <c r="V344" s="485"/>
      <c r="W344" s="222"/>
      <c r="X344" s="222"/>
      <c r="Y344" s="222"/>
      <c r="Z344" s="222"/>
      <c r="AA344" s="222"/>
      <c r="AB344" s="222"/>
      <c r="AC344" s="222"/>
      <c r="AD344" s="222"/>
      <c r="AE344" s="222"/>
      <c r="AF344" s="222"/>
      <c r="AG344" s="222"/>
      <c r="AH344" s="222"/>
      <c r="AI344" s="222"/>
      <c r="AJ344" s="222"/>
      <c r="AK344" s="222"/>
      <c r="AL344" s="222"/>
      <c r="AM344" s="222"/>
      <c r="AN344" s="222"/>
    </row>
    <row r="345" spans="2:40">
      <c r="B345" s="161"/>
      <c r="C345" s="131"/>
      <c r="E345" s="135"/>
      <c r="F345" s="135"/>
      <c r="G345" s="135"/>
      <c r="H345" s="135"/>
      <c r="I345" s="135"/>
      <c r="J345" s="135"/>
      <c r="K345" s="135"/>
      <c r="L345" s="135"/>
      <c r="M345" s="135"/>
      <c r="N345" s="135"/>
      <c r="O345" s="135"/>
      <c r="P345" s="135"/>
      <c r="Q345" s="136"/>
      <c r="R345" s="136"/>
      <c r="S345" s="136"/>
      <c r="T345" s="136"/>
      <c r="U345" s="136"/>
      <c r="V345" s="136"/>
      <c r="W345" s="136"/>
      <c r="X345" s="136"/>
      <c r="Y345" s="136"/>
      <c r="Z345" s="136"/>
      <c r="AA345" s="136"/>
      <c r="AB345" s="136"/>
      <c r="AC345" s="136"/>
      <c r="AD345" s="136"/>
      <c r="AE345" s="136"/>
      <c r="AF345" s="136"/>
      <c r="AG345" s="136"/>
      <c r="AH345" s="136"/>
      <c r="AI345" s="136"/>
      <c r="AJ345" s="136"/>
      <c r="AK345" s="136"/>
      <c r="AL345" s="136"/>
      <c r="AM345" s="136"/>
      <c r="AN345" s="136"/>
    </row>
    <row r="346" spans="2:40">
      <c r="B346" s="185" t="s">
        <v>1628</v>
      </c>
      <c r="C346" s="131"/>
      <c r="E346" s="135"/>
      <c r="F346" s="135"/>
      <c r="G346" s="135"/>
      <c r="H346" s="135"/>
      <c r="I346" s="135"/>
      <c r="J346" s="135"/>
      <c r="K346" s="135"/>
      <c r="L346" s="135"/>
      <c r="M346" s="135"/>
      <c r="N346" s="135"/>
      <c r="O346" s="135"/>
      <c r="P346" s="135"/>
      <c r="Q346" s="136"/>
      <c r="R346" s="136"/>
      <c r="S346" s="136"/>
      <c r="T346" s="136"/>
      <c r="U346" s="136"/>
      <c r="V346" s="136"/>
      <c r="W346" s="136"/>
      <c r="X346" s="136"/>
      <c r="Y346" s="136"/>
      <c r="Z346" s="136"/>
      <c r="AA346" s="136"/>
      <c r="AB346" s="136"/>
      <c r="AC346" s="136"/>
      <c r="AD346" s="136"/>
      <c r="AE346" s="136"/>
      <c r="AF346" s="136"/>
      <c r="AG346" s="136"/>
      <c r="AH346" s="136"/>
      <c r="AI346" s="136"/>
      <c r="AJ346" s="136"/>
      <c r="AK346" s="136"/>
      <c r="AL346" s="136"/>
      <c r="AM346" s="136"/>
      <c r="AN346" s="136"/>
    </row>
    <row r="347" spans="2:40" s="3" customFormat="1">
      <c r="B347" s="482" t="s">
        <v>1</v>
      </c>
      <c r="C347" s="484"/>
      <c r="E347" s="485"/>
      <c r="F347" s="485"/>
      <c r="G347" s="485"/>
      <c r="H347" s="485"/>
      <c r="I347" s="485"/>
      <c r="J347" s="485"/>
      <c r="K347" s="485"/>
      <c r="L347" s="485"/>
      <c r="M347" s="485"/>
      <c r="N347" s="485"/>
      <c r="O347" s="485"/>
      <c r="P347" s="485"/>
      <c r="Q347" s="494">
        <f>Q334</f>
        <v>51.4</v>
      </c>
      <c r="R347" s="494">
        <f>R334</f>
        <v>43.8</v>
      </c>
      <c r="S347" s="494">
        <f>S334</f>
        <v>41.4</v>
      </c>
      <c r="T347" s="494">
        <f>T334</f>
        <v>43.7</v>
      </c>
      <c r="U347" s="494">
        <f>U334</f>
        <v>46.1</v>
      </c>
      <c r="V347" s="485">
        <v>47.6</v>
      </c>
      <c r="W347" s="766">
        <v>49</v>
      </c>
      <c r="X347" s="766">
        <v>50.5</v>
      </c>
      <c r="Y347" s="222">
        <f>W347*(1+Y354)</f>
        <v>50.47</v>
      </c>
      <c r="Z347" s="222">
        <f>X347*(1+Z354)</f>
        <v>52.015000000000001</v>
      </c>
      <c r="AA347" s="222">
        <f t="shared" ref="AA347:AN347" si="215">Y347*(1+AA354)</f>
        <v>51.984099999999998</v>
      </c>
      <c r="AB347" s="222">
        <f t="shared" si="215"/>
        <v>53.575450000000004</v>
      </c>
      <c r="AC347" s="222">
        <f t="shared" si="215"/>
        <v>53.543622999999997</v>
      </c>
      <c r="AD347" s="222">
        <f t="shared" si="215"/>
        <v>55.182713500000006</v>
      </c>
      <c r="AE347" s="222">
        <f t="shared" si="215"/>
        <v>55.149931689999995</v>
      </c>
      <c r="AF347" s="222">
        <f t="shared" si="215"/>
        <v>56.838194905000009</v>
      </c>
      <c r="AG347" s="222">
        <f t="shared" si="215"/>
        <v>56.804429640699993</v>
      </c>
      <c r="AH347" s="222">
        <f t="shared" si="215"/>
        <v>58.543340752150009</v>
      </c>
      <c r="AI347" s="222">
        <f t="shared" si="215"/>
        <v>58.508562529920994</v>
      </c>
      <c r="AJ347" s="222">
        <f t="shared" si="215"/>
        <v>60.299640974714514</v>
      </c>
      <c r="AK347" s="222">
        <f t="shared" si="215"/>
        <v>60.263819405818623</v>
      </c>
      <c r="AL347" s="222">
        <f t="shared" si="215"/>
        <v>62.108630203955954</v>
      </c>
      <c r="AM347" s="222">
        <f t="shared" si="215"/>
        <v>62.071733987993184</v>
      </c>
      <c r="AN347" s="222">
        <f t="shared" si="215"/>
        <v>63.971889110074635</v>
      </c>
    </row>
    <row r="348" spans="2:40">
      <c r="B348" s="162" t="s">
        <v>313</v>
      </c>
      <c r="C348" s="131"/>
      <c r="E348" s="135"/>
      <c r="F348" s="135"/>
      <c r="G348" s="135"/>
      <c r="H348" s="135"/>
      <c r="I348" s="135"/>
      <c r="J348" s="135"/>
      <c r="K348" s="135"/>
      <c r="L348" s="135"/>
      <c r="M348" s="135"/>
      <c r="N348" s="135"/>
      <c r="O348" s="135"/>
      <c r="P348" s="135"/>
      <c r="Q348" s="488">
        <f t="shared" ref="Q348:U351" si="216">Q335</f>
        <v>-18.3</v>
      </c>
      <c r="R348" s="488">
        <f t="shared" si="216"/>
        <v>-19.5</v>
      </c>
      <c r="S348" s="488">
        <f t="shared" si="216"/>
        <v>-16.7</v>
      </c>
      <c r="T348" s="488">
        <f t="shared" si="216"/>
        <v>-13.9</v>
      </c>
      <c r="U348" s="488">
        <f t="shared" si="216"/>
        <v>-16.7</v>
      </c>
      <c r="V348" s="256">
        <f>U348</f>
        <v>-16.7</v>
      </c>
      <c r="W348" s="256">
        <f t="shared" ref="W348:X350" si="217">V348</f>
        <v>-16.7</v>
      </c>
      <c r="X348" s="256">
        <f t="shared" si="217"/>
        <v>-16.7</v>
      </c>
      <c r="Y348" s="136">
        <f>W348*(1+Y355)</f>
        <v>-17.201000000000001</v>
      </c>
      <c r="Z348" s="136">
        <f>X348*(1+Z355)</f>
        <v>-17.201000000000001</v>
      </c>
      <c r="AA348" s="136">
        <f t="shared" ref="AA348:AN348" si="218">Y348*(1+AA355)</f>
        <v>-17.717030000000001</v>
      </c>
      <c r="AB348" s="136">
        <f t="shared" si="218"/>
        <v>-17.717030000000001</v>
      </c>
      <c r="AC348" s="136">
        <f t="shared" si="218"/>
        <v>-18.248540900000002</v>
      </c>
      <c r="AD348" s="136">
        <f t="shared" si="218"/>
        <v>-18.248540900000002</v>
      </c>
      <c r="AE348" s="136">
        <f t="shared" si="218"/>
        <v>-18.795997127000003</v>
      </c>
      <c r="AF348" s="136">
        <f t="shared" si="218"/>
        <v>-18.795997127000003</v>
      </c>
      <c r="AG348" s="136">
        <f t="shared" si="218"/>
        <v>-19.359877040810005</v>
      </c>
      <c r="AH348" s="136">
        <f t="shared" si="218"/>
        <v>-19.359877040810005</v>
      </c>
      <c r="AI348" s="136">
        <f t="shared" si="218"/>
        <v>-19.940673352034306</v>
      </c>
      <c r="AJ348" s="136">
        <f t="shared" si="218"/>
        <v>-19.940673352034306</v>
      </c>
      <c r="AK348" s="136">
        <f t="shared" si="218"/>
        <v>-20.538893552595336</v>
      </c>
      <c r="AL348" s="136">
        <f t="shared" si="218"/>
        <v>-20.538893552595336</v>
      </c>
      <c r="AM348" s="136">
        <f t="shared" si="218"/>
        <v>-21.155060359173198</v>
      </c>
      <c r="AN348" s="136">
        <f t="shared" si="218"/>
        <v>-21.155060359173198</v>
      </c>
    </row>
    <row r="349" spans="2:40" s="3" customFormat="1">
      <c r="B349" s="482" t="s">
        <v>1617</v>
      </c>
      <c r="C349" s="484"/>
      <c r="E349" s="485"/>
      <c r="F349" s="485"/>
      <c r="G349" s="485"/>
      <c r="H349" s="485"/>
      <c r="I349" s="485"/>
      <c r="J349" s="485"/>
      <c r="K349" s="485"/>
      <c r="L349" s="485"/>
      <c r="M349" s="485"/>
      <c r="N349" s="485"/>
      <c r="O349" s="485"/>
      <c r="P349" s="485"/>
      <c r="Q349" s="494">
        <f t="shared" si="216"/>
        <v>33.1</v>
      </c>
      <c r="R349" s="494">
        <f t="shared" si="216"/>
        <v>24.3</v>
      </c>
      <c r="S349" s="494">
        <f t="shared" si="216"/>
        <v>24.7</v>
      </c>
      <c r="T349" s="494">
        <f t="shared" si="216"/>
        <v>29.8</v>
      </c>
      <c r="U349" s="494">
        <f t="shared" si="216"/>
        <v>29.4</v>
      </c>
      <c r="V349" s="222">
        <f t="shared" ref="V349:AN349" si="219">SUM(V347:V348)</f>
        <v>30.900000000000002</v>
      </c>
      <c r="W349" s="222">
        <f t="shared" si="219"/>
        <v>32.299999999999997</v>
      </c>
      <c r="X349" s="222">
        <f t="shared" si="219"/>
        <v>33.799999999999997</v>
      </c>
      <c r="Y349" s="222">
        <f t="shared" si="219"/>
        <v>33.268999999999998</v>
      </c>
      <c r="Z349" s="222">
        <f t="shared" si="219"/>
        <v>34.814</v>
      </c>
      <c r="AA349" s="222">
        <f t="shared" si="219"/>
        <v>34.267069999999997</v>
      </c>
      <c r="AB349" s="222">
        <f t="shared" si="219"/>
        <v>35.858420000000002</v>
      </c>
      <c r="AC349" s="222">
        <f t="shared" si="219"/>
        <v>35.295082099999995</v>
      </c>
      <c r="AD349" s="222">
        <f t="shared" si="219"/>
        <v>36.934172600000004</v>
      </c>
      <c r="AE349" s="222">
        <f t="shared" si="219"/>
        <v>36.353934562999996</v>
      </c>
      <c r="AF349" s="222">
        <f t="shared" si="219"/>
        <v>38.042197778000002</v>
      </c>
      <c r="AG349" s="222">
        <f t="shared" si="219"/>
        <v>37.444552599889988</v>
      </c>
      <c r="AH349" s="222">
        <f t="shared" si="219"/>
        <v>39.183463711340003</v>
      </c>
      <c r="AI349" s="222">
        <f t="shared" si="219"/>
        <v>38.567889177886684</v>
      </c>
      <c r="AJ349" s="222">
        <f t="shared" si="219"/>
        <v>40.358967622680211</v>
      </c>
      <c r="AK349" s="222">
        <f t="shared" si="219"/>
        <v>39.724925853223283</v>
      </c>
      <c r="AL349" s="222">
        <f t="shared" si="219"/>
        <v>41.569736651360614</v>
      </c>
      <c r="AM349" s="222">
        <f t="shared" si="219"/>
        <v>40.916673628819986</v>
      </c>
      <c r="AN349" s="222">
        <f t="shared" si="219"/>
        <v>42.816828750901436</v>
      </c>
    </row>
    <row r="350" spans="2:40">
      <c r="B350" s="162" t="s">
        <v>1618</v>
      </c>
      <c r="C350" s="131"/>
      <c r="E350" s="135"/>
      <c r="F350" s="135"/>
      <c r="G350" s="135"/>
      <c r="H350" s="135"/>
      <c r="I350" s="135"/>
      <c r="J350" s="135"/>
      <c r="K350" s="135"/>
      <c r="L350" s="135"/>
      <c r="M350" s="135"/>
      <c r="N350" s="135"/>
      <c r="O350" s="135"/>
      <c r="P350" s="135"/>
      <c r="Q350" s="488">
        <f t="shared" si="216"/>
        <v>-34.5</v>
      </c>
      <c r="R350" s="488">
        <f t="shared" si="216"/>
        <v>-30.8</v>
      </c>
      <c r="S350" s="488">
        <f t="shared" si="216"/>
        <v>-26</v>
      </c>
      <c r="T350" s="488">
        <f t="shared" si="216"/>
        <v>-24.6</v>
      </c>
      <c r="U350" s="488">
        <f t="shared" si="216"/>
        <v>-23.4</v>
      </c>
      <c r="V350" s="256">
        <f>U350</f>
        <v>-23.4</v>
      </c>
      <c r="W350" s="256">
        <f t="shared" si="217"/>
        <v>-23.4</v>
      </c>
      <c r="X350" s="256">
        <f t="shared" si="217"/>
        <v>-23.4</v>
      </c>
      <c r="Y350" s="136">
        <f t="shared" ref="Y350:AN350" si="220">W350*(1+Y357)</f>
        <v>-24.102</v>
      </c>
      <c r="Z350" s="136">
        <f t="shared" si="220"/>
        <v>-24.102</v>
      </c>
      <c r="AA350" s="136">
        <f t="shared" si="220"/>
        <v>-24.825060000000001</v>
      </c>
      <c r="AB350" s="136">
        <f t="shared" si="220"/>
        <v>-24.825060000000001</v>
      </c>
      <c r="AC350" s="136">
        <f t="shared" si="220"/>
        <v>-25.5698118</v>
      </c>
      <c r="AD350" s="136">
        <f t="shared" si="220"/>
        <v>-25.5698118</v>
      </c>
      <c r="AE350" s="136">
        <f t="shared" si="220"/>
        <v>-26.336906154000001</v>
      </c>
      <c r="AF350" s="136">
        <f t="shared" si="220"/>
        <v>-26.336906154000001</v>
      </c>
      <c r="AG350" s="136">
        <f t="shared" si="220"/>
        <v>-27.127013338620003</v>
      </c>
      <c r="AH350" s="136">
        <f t="shared" si="220"/>
        <v>-27.127013338620003</v>
      </c>
      <c r="AI350" s="136">
        <f t="shared" si="220"/>
        <v>-27.940823738778604</v>
      </c>
      <c r="AJ350" s="136">
        <f t="shared" si="220"/>
        <v>-27.940823738778604</v>
      </c>
      <c r="AK350" s="136">
        <f t="shared" si="220"/>
        <v>-28.779048450941964</v>
      </c>
      <c r="AL350" s="136">
        <f t="shared" si="220"/>
        <v>-28.779048450941964</v>
      </c>
      <c r="AM350" s="136">
        <f t="shared" si="220"/>
        <v>-29.642419904470223</v>
      </c>
      <c r="AN350" s="136">
        <f t="shared" si="220"/>
        <v>-29.642419904470223</v>
      </c>
    </row>
    <row r="351" spans="2:40" s="3" customFormat="1">
      <c r="B351" s="482" t="s">
        <v>1619</v>
      </c>
      <c r="C351" s="484"/>
      <c r="E351" s="485"/>
      <c r="F351" s="485"/>
      <c r="G351" s="485"/>
      <c r="H351" s="485"/>
      <c r="I351" s="485"/>
      <c r="J351" s="485"/>
      <c r="K351" s="485"/>
      <c r="L351" s="485"/>
      <c r="M351" s="485"/>
      <c r="N351" s="485"/>
      <c r="O351" s="485"/>
      <c r="P351" s="485"/>
      <c r="Q351" s="494">
        <f t="shared" si="216"/>
        <v>-0.9</v>
      </c>
      <c r="R351" s="494">
        <f t="shared" si="216"/>
        <v>-6.3</v>
      </c>
      <c r="S351" s="494">
        <f t="shared" si="216"/>
        <v>-1.3</v>
      </c>
      <c r="T351" s="494">
        <f t="shared" si="216"/>
        <v>5.9</v>
      </c>
      <c r="U351" s="494">
        <f t="shared" si="216"/>
        <v>6</v>
      </c>
      <c r="V351" s="485">
        <v>7.9</v>
      </c>
      <c r="W351" s="222">
        <f t="shared" ref="W351:AN351" si="221">SUM(W349:W350)</f>
        <v>8.8999999999999986</v>
      </c>
      <c r="X351" s="222">
        <f t="shared" si="221"/>
        <v>10.399999999999999</v>
      </c>
      <c r="Y351" s="222">
        <f t="shared" si="221"/>
        <v>9.166999999999998</v>
      </c>
      <c r="Z351" s="222">
        <f t="shared" si="221"/>
        <v>10.712</v>
      </c>
      <c r="AA351" s="222">
        <f t="shared" si="221"/>
        <v>9.4420099999999962</v>
      </c>
      <c r="AB351" s="222">
        <f t="shared" si="221"/>
        <v>11.033360000000002</v>
      </c>
      <c r="AC351" s="222">
        <f t="shared" si="221"/>
        <v>9.7252702999999947</v>
      </c>
      <c r="AD351" s="222">
        <f t="shared" si="221"/>
        <v>11.364360800000004</v>
      </c>
      <c r="AE351" s="222">
        <f t="shared" si="221"/>
        <v>10.017028408999995</v>
      </c>
      <c r="AF351" s="222">
        <f t="shared" si="221"/>
        <v>11.705291624000001</v>
      </c>
      <c r="AG351" s="222">
        <f t="shared" si="221"/>
        <v>10.317539261269985</v>
      </c>
      <c r="AH351" s="222">
        <f t="shared" si="221"/>
        <v>12.056450372720001</v>
      </c>
      <c r="AI351" s="222">
        <f t="shared" si="221"/>
        <v>10.62706543910808</v>
      </c>
      <c r="AJ351" s="222">
        <f t="shared" si="221"/>
        <v>12.418143883901607</v>
      </c>
      <c r="AK351" s="222">
        <f t="shared" si="221"/>
        <v>10.945877402281319</v>
      </c>
      <c r="AL351" s="222">
        <f t="shared" si="221"/>
        <v>12.79068820041865</v>
      </c>
      <c r="AM351" s="222">
        <f t="shared" si="221"/>
        <v>11.274253724349762</v>
      </c>
      <c r="AN351" s="222">
        <f t="shared" si="221"/>
        <v>13.174408846431213</v>
      </c>
    </row>
    <row r="352" spans="2:40">
      <c r="C352" s="131"/>
      <c r="E352" s="135"/>
      <c r="F352" s="135"/>
      <c r="G352" s="135"/>
      <c r="H352" s="135"/>
      <c r="I352" s="135"/>
      <c r="J352" s="135"/>
      <c r="K352" s="135"/>
      <c r="L352" s="135"/>
      <c r="M352" s="135"/>
      <c r="N352" s="135"/>
      <c r="O352" s="135"/>
      <c r="P352" s="135"/>
      <c r="Q352" s="136"/>
      <c r="R352" s="136"/>
      <c r="S352" s="136"/>
      <c r="T352" s="136"/>
      <c r="U352" s="136"/>
      <c r="V352" s="136"/>
      <c r="W352" s="136"/>
      <c r="X352" s="136"/>
      <c r="Y352" s="136"/>
      <c r="Z352" s="136"/>
      <c r="AA352" s="136"/>
      <c r="AB352" s="136"/>
      <c r="AC352" s="136"/>
      <c r="AD352" s="136"/>
      <c r="AE352" s="136"/>
      <c r="AF352" s="136"/>
      <c r="AG352" s="136"/>
      <c r="AH352" s="136"/>
      <c r="AI352" s="136"/>
      <c r="AJ352" s="136"/>
      <c r="AK352" s="136"/>
      <c r="AL352" s="136"/>
      <c r="AM352" s="136"/>
      <c r="AN352" s="136"/>
    </row>
    <row r="353" spans="2:40">
      <c r="B353" s="184" t="s">
        <v>1627</v>
      </c>
      <c r="C353" s="131"/>
      <c r="E353" s="135"/>
      <c r="F353" s="135"/>
      <c r="G353" s="135"/>
      <c r="H353" s="135"/>
      <c r="I353" s="135"/>
      <c r="J353" s="135"/>
      <c r="K353" s="135"/>
      <c r="L353" s="135"/>
      <c r="M353" s="135"/>
      <c r="N353" s="135"/>
      <c r="O353" s="135"/>
      <c r="P353" s="135"/>
      <c r="Q353" s="136"/>
      <c r="R353" s="136"/>
      <c r="S353" s="136"/>
      <c r="T353" s="136"/>
      <c r="U353" s="136"/>
      <c r="V353" s="136"/>
      <c r="W353" s="136"/>
      <c r="X353" s="136"/>
      <c r="Y353" s="136"/>
      <c r="Z353" s="136"/>
      <c r="AA353" s="136"/>
      <c r="AB353" s="136"/>
      <c r="AC353" s="136"/>
      <c r="AD353" s="136"/>
      <c r="AE353" s="136"/>
      <c r="AF353" s="136"/>
      <c r="AG353" s="136"/>
      <c r="AH353" s="136"/>
      <c r="AI353" s="136"/>
      <c r="AJ353" s="136"/>
      <c r="AK353" s="136"/>
      <c r="AL353" s="136"/>
      <c r="AM353" s="136"/>
      <c r="AN353" s="136"/>
    </row>
    <row r="354" spans="2:40">
      <c r="B354" s="161" t="s">
        <v>1</v>
      </c>
      <c r="C354" s="131"/>
      <c r="E354" s="135"/>
      <c r="F354" s="135"/>
      <c r="G354" s="135"/>
      <c r="H354" s="135"/>
      <c r="I354" s="135"/>
      <c r="J354" s="135"/>
      <c r="K354" s="135"/>
      <c r="L354" s="135"/>
      <c r="M354" s="135"/>
      <c r="N354" s="135"/>
      <c r="O354" s="135"/>
      <c r="P354" s="135"/>
      <c r="Q354" s="136"/>
      <c r="R354" s="136"/>
      <c r="S354" s="136"/>
      <c r="T354" s="136"/>
      <c r="U354" s="136"/>
      <c r="V354" s="136"/>
      <c r="W354" s="136"/>
      <c r="X354" s="136"/>
      <c r="Y354" s="158">
        <v>0.03</v>
      </c>
      <c r="Z354" s="158">
        <v>0.03</v>
      </c>
      <c r="AA354" s="158">
        <v>0.03</v>
      </c>
      <c r="AB354" s="158">
        <v>0.03</v>
      </c>
      <c r="AC354" s="158">
        <v>0.03</v>
      </c>
      <c r="AD354" s="158">
        <v>0.03</v>
      </c>
      <c r="AE354" s="158">
        <v>0.03</v>
      </c>
      <c r="AF354" s="158">
        <v>0.03</v>
      </c>
      <c r="AG354" s="158">
        <v>0.03</v>
      </c>
      <c r="AH354" s="158">
        <v>0.03</v>
      </c>
      <c r="AI354" s="158">
        <v>0.03</v>
      </c>
      <c r="AJ354" s="158">
        <v>0.03</v>
      </c>
      <c r="AK354" s="158">
        <v>0.03</v>
      </c>
      <c r="AL354" s="158">
        <v>0.03</v>
      </c>
      <c r="AM354" s="158">
        <v>0.03</v>
      </c>
      <c r="AN354" s="158">
        <v>0.03</v>
      </c>
    </row>
    <row r="355" spans="2:40">
      <c r="B355" s="161" t="s">
        <v>313</v>
      </c>
      <c r="C355" s="131"/>
      <c r="E355" s="135"/>
      <c r="F355" s="135"/>
      <c r="G355" s="135"/>
      <c r="H355" s="135"/>
      <c r="I355" s="135"/>
      <c r="J355" s="135"/>
      <c r="K355" s="135"/>
      <c r="L355" s="135"/>
      <c r="M355" s="135"/>
      <c r="N355" s="135"/>
      <c r="O355" s="135"/>
      <c r="P355" s="135"/>
      <c r="Q355" s="136"/>
      <c r="R355" s="136"/>
      <c r="S355" s="136"/>
      <c r="T355" s="136"/>
      <c r="U355" s="136"/>
      <c r="V355" s="136"/>
      <c r="W355" s="136"/>
      <c r="X355" s="136"/>
      <c r="Y355" s="158">
        <v>0.03</v>
      </c>
      <c r="Z355" s="158">
        <v>0.03</v>
      </c>
      <c r="AA355" s="158">
        <v>0.03</v>
      </c>
      <c r="AB355" s="158">
        <v>0.03</v>
      </c>
      <c r="AC355" s="158">
        <v>0.03</v>
      </c>
      <c r="AD355" s="158">
        <v>0.03</v>
      </c>
      <c r="AE355" s="158">
        <v>0.03</v>
      </c>
      <c r="AF355" s="158">
        <v>0.03</v>
      </c>
      <c r="AG355" s="158">
        <v>0.03</v>
      </c>
      <c r="AH355" s="158">
        <v>0.03</v>
      </c>
      <c r="AI355" s="158">
        <v>0.03</v>
      </c>
      <c r="AJ355" s="158">
        <v>0.03</v>
      </c>
      <c r="AK355" s="158">
        <v>0.03</v>
      </c>
      <c r="AL355" s="158">
        <v>0.03</v>
      </c>
      <c r="AM355" s="158">
        <v>0.03</v>
      </c>
      <c r="AN355" s="158">
        <v>0.03</v>
      </c>
    </row>
    <row r="356" spans="2:40">
      <c r="B356" s="161" t="s">
        <v>1617</v>
      </c>
      <c r="C356" s="131"/>
      <c r="E356" s="135"/>
      <c r="F356" s="135"/>
      <c r="G356" s="135"/>
      <c r="H356" s="135"/>
      <c r="I356" s="135"/>
      <c r="J356" s="135"/>
      <c r="K356" s="135"/>
      <c r="L356" s="135"/>
      <c r="M356" s="135"/>
      <c r="N356" s="135"/>
      <c r="O356" s="135"/>
      <c r="P356" s="135"/>
      <c r="Q356" s="136"/>
      <c r="R356" s="136"/>
      <c r="S356" s="136"/>
      <c r="T356" s="136"/>
      <c r="U356" s="136"/>
      <c r="V356" s="136"/>
      <c r="W356" s="136"/>
      <c r="X356" s="136"/>
      <c r="Y356" s="510">
        <f>Y349/W349-1</f>
        <v>3.0000000000000027E-2</v>
      </c>
      <c r="Z356" s="510">
        <f t="shared" ref="Z356:AN356" si="222">Z349/X349-1</f>
        <v>3.0000000000000027E-2</v>
      </c>
      <c r="AA356" s="510">
        <f t="shared" si="222"/>
        <v>3.0000000000000027E-2</v>
      </c>
      <c r="AB356" s="510">
        <f t="shared" si="222"/>
        <v>3.0000000000000027E-2</v>
      </c>
      <c r="AC356" s="510">
        <f t="shared" si="222"/>
        <v>3.0000000000000027E-2</v>
      </c>
      <c r="AD356" s="510">
        <f t="shared" si="222"/>
        <v>3.0000000000000027E-2</v>
      </c>
      <c r="AE356" s="510">
        <f t="shared" si="222"/>
        <v>3.0000000000000027E-2</v>
      </c>
      <c r="AF356" s="510">
        <f t="shared" si="222"/>
        <v>3.0000000000000027E-2</v>
      </c>
      <c r="AG356" s="510">
        <f t="shared" si="222"/>
        <v>2.9999999999999805E-2</v>
      </c>
      <c r="AH356" s="510">
        <f t="shared" si="222"/>
        <v>3.0000000000000027E-2</v>
      </c>
      <c r="AI356" s="510">
        <f t="shared" si="222"/>
        <v>2.9999999999999805E-2</v>
      </c>
      <c r="AJ356" s="510">
        <f t="shared" si="222"/>
        <v>3.0000000000000249E-2</v>
      </c>
      <c r="AK356" s="510">
        <f t="shared" si="222"/>
        <v>3.0000000000000027E-2</v>
      </c>
      <c r="AL356" s="510">
        <f t="shared" si="222"/>
        <v>2.9999999999999805E-2</v>
      </c>
      <c r="AM356" s="510">
        <f t="shared" si="222"/>
        <v>3.0000000000000027E-2</v>
      </c>
      <c r="AN356" s="510">
        <f t="shared" si="222"/>
        <v>3.0000000000000027E-2</v>
      </c>
    </row>
    <row r="357" spans="2:40">
      <c r="B357" s="161" t="s">
        <v>1618</v>
      </c>
      <c r="C357" s="131"/>
      <c r="E357" s="135"/>
      <c r="F357" s="135"/>
      <c r="G357" s="135"/>
      <c r="H357" s="135"/>
      <c r="I357" s="135"/>
      <c r="J357" s="135"/>
      <c r="K357" s="135"/>
      <c r="L357" s="135"/>
      <c r="M357" s="135"/>
      <c r="N357" s="135"/>
      <c r="O357" s="135"/>
      <c r="P357" s="135"/>
      <c r="Q357" s="136"/>
      <c r="R357" s="136"/>
      <c r="S357" s="136"/>
      <c r="T357" s="136"/>
      <c r="U357" s="136"/>
      <c r="V357" s="136"/>
      <c r="W357" s="136"/>
      <c r="X357" s="136"/>
      <c r="Y357" s="158">
        <v>0.03</v>
      </c>
      <c r="Z357" s="158">
        <v>0.03</v>
      </c>
      <c r="AA357" s="158">
        <v>0.03</v>
      </c>
      <c r="AB357" s="158">
        <v>0.03</v>
      </c>
      <c r="AC357" s="158">
        <v>0.03</v>
      </c>
      <c r="AD357" s="158">
        <v>0.03</v>
      </c>
      <c r="AE357" s="158">
        <v>0.03</v>
      </c>
      <c r="AF357" s="158">
        <v>0.03</v>
      </c>
      <c r="AG357" s="158">
        <v>0.03</v>
      </c>
      <c r="AH357" s="158">
        <v>0.03</v>
      </c>
      <c r="AI357" s="158">
        <v>0.03</v>
      </c>
      <c r="AJ357" s="158">
        <v>0.03</v>
      </c>
      <c r="AK357" s="158">
        <v>0.03</v>
      </c>
      <c r="AL357" s="158">
        <v>0.03</v>
      </c>
      <c r="AM357" s="158">
        <v>0.03</v>
      </c>
      <c r="AN357" s="158">
        <v>0.03</v>
      </c>
    </row>
    <row r="358" spans="2:40">
      <c r="B358" s="161" t="s">
        <v>1619</v>
      </c>
      <c r="C358" s="131"/>
      <c r="E358" s="135"/>
      <c r="F358" s="135"/>
      <c r="G358" s="135"/>
      <c r="H358" s="135"/>
      <c r="I358" s="135"/>
      <c r="J358" s="135"/>
      <c r="K358" s="135"/>
      <c r="L358" s="135"/>
      <c r="M358" s="135"/>
      <c r="N358" s="135"/>
      <c r="O358" s="135"/>
      <c r="P358" s="135"/>
      <c r="Q358" s="136"/>
      <c r="R358" s="136"/>
      <c r="S358" s="136"/>
      <c r="T358" s="136"/>
      <c r="U358" s="136"/>
      <c r="V358" s="136"/>
      <c r="W358" s="136"/>
      <c r="X358" s="136"/>
      <c r="Y358" s="510">
        <f t="shared" ref="Y358:AN358" si="223">Y351/W351-1</f>
        <v>3.0000000000000027E-2</v>
      </c>
      <c r="Z358" s="510">
        <f t="shared" si="223"/>
        <v>3.0000000000000027E-2</v>
      </c>
      <c r="AA358" s="510">
        <f t="shared" si="223"/>
        <v>2.9999999999999805E-2</v>
      </c>
      <c r="AB358" s="510">
        <f t="shared" si="223"/>
        <v>3.0000000000000249E-2</v>
      </c>
      <c r="AC358" s="510">
        <f t="shared" si="223"/>
        <v>2.9999999999999805E-2</v>
      </c>
      <c r="AD358" s="510">
        <f t="shared" si="223"/>
        <v>3.0000000000000249E-2</v>
      </c>
      <c r="AE358" s="510">
        <f t="shared" si="223"/>
        <v>3.0000000000000027E-2</v>
      </c>
      <c r="AF358" s="510">
        <f t="shared" si="223"/>
        <v>2.9999999999999805E-2</v>
      </c>
      <c r="AG358" s="510">
        <f t="shared" si="223"/>
        <v>2.9999999999999138E-2</v>
      </c>
      <c r="AH358" s="510">
        <f t="shared" si="223"/>
        <v>3.0000000000000027E-2</v>
      </c>
      <c r="AI358" s="510">
        <f t="shared" si="223"/>
        <v>2.9999999999999583E-2</v>
      </c>
      <c r="AJ358" s="510">
        <f t="shared" si="223"/>
        <v>3.0000000000000471E-2</v>
      </c>
      <c r="AK358" s="510">
        <f t="shared" si="223"/>
        <v>2.9999999999999583E-2</v>
      </c>
      <c r="AL358" s="510">
        <f t="shared" si="223"/>
        <v>2.9999999999999583E-2</v>
      </c>
      <c r="AM358" s="510">
        <f t="shared" si="223"/>
        <v>3.0000000000000249E-2</v>
      </c>
      <c r="AN358" s="510">
        <f t="shared" si="223"/>
        <v>3.0000000000000249E-2</v>
      </c>
    </row>
    <row r="359" spans="2:40">
      <c r="B359" s="161"/>
      <c r="C359" s="131"/>
      <c r="E359" s="135"/>
      <c r="F359" s="135"/>
      <c r="G359" s="135"/>
      <c r="H359" s="135"/>
      <c r="I359" s="135"/>
      <c r="J359" s="135"/>
      <c r="K359" s="135"/>
      <c r="L359" s="135"/>
      <c r="M359" s="135"/>
      <c r="N359" s="135"/>
      <c r="O359" s="135"/>
      <c r="P359" s="135"/>
      <c r="Q359" s="136"/>
      <c r="R359" s="136"/>
      <c r="S359" s="136"/>
      <c r="T359" s="136"/>
      <c r="U359" s="136"/>
      <c r="V359" s="136"/>
      <c r="W359" s="136"/>
      <c r="X359" s="136"/>
      <c r="Y359" s="136"/>
      <c r="Z359" s="136"/>
      <c r="AA359" s="136"/>
      <c r="AB359" s="136"/>
      <c r="AC359" s="136"/>
      <c r="AD359" s="136"/>
      <c r="AE359" s="136"/>
      <c r="AF359" s="136"/>
      <c r="AG359" s="136"/>
      <c r="AH359" s="136"/>
      <c r="AI359" s="136"/>
      <c r="AJ359" s="136"/>
      <c r="AK359" s="136"/>
      <c r="AL359" s="136"/>
      <c r="AM359" s="136"/>
      <c r="AN359" s="136"/>
    </row>
    <row r="360" spans="2:40">
      <c r="B360" s="161"/>
      <c r="C360" s="131"/>
      <c r="E360" s="135"/>
      <c r="F360" s="135"/>
      <c r="G360" s="135"/>
      <c r="H360" s="135"/>
      <c r="I360" s="135"/>
      <c r="J360" s="135"/>
      <c r="K360" s="135"/>
      <c r="L360" s="135"/>
      <c r="M360" s="135"/>
      <c r="N360" s="135"/>
      <c r="O360" s="135"/>
      <c r="P360" s="135"/>
      <c r="Q360" s="136"/>
      <c r="R360" s="136"/>
      <c r="S360" s="136"/>
      <c r="T360" s="136"/>
      <c r="U360" s="136"/>
      <c r="V360" s="136"/>
      <c r="W360" s="136"/>
      <c r="X360" s="158">
        <v>0.5</v>
      </c>
      <c r="Y360" s="158">
        <v>1</v>
      </c>
      <c r="Z360" s="158">
        <v>1</v>
      </c>
      <c r="AA360" s="158">
        <v>1</v>
      </c>
      <c r="AB360" s="158">
        <v>1</v>
      </c>
      <c r="AC360" s="158">
        <v>1</v>
      </c>
      <c r="AD360" s="158">
        <v>1</v>
      </c>
      <c r="AE360" s="158">
        <v>1</v>
      </c>
      <c r="AF360" s="158">
        <v>1</v>
      </c>
      <c r="AG360" s="158">
        <v>1</v>
      </c>
      <c r="AH360" s="158">
        <v>1</v>
      </c>
      <c r="AI360" s="158">
        <v>1</v>
      </c>
      <c r="AJ360" s="158">
        <v>1</v>
      </c>
      <c r="AK360" s="158">
        <v>1</v>
      </c>
      <c r="AL360" s="158">
        <v>1</v>
      </c>
      <c r="AM360" s="158">
        <v>1</v>
      </c>
      <c r="AN360" s="158">
        <v>1</v>
      </c>
    </row>
    <row r="361" spans="2:40">
      <c r="B361" s="161"/>
      <c r="C361" s="131"/>
      <c r="E361" s="135"/>
      <c r="F361" s="135"/>
      <c r="G361" s="135"/>
      <c r="H361" s="135"/>
      <c r="I361" s="135"/>
      <c r="J361" s="135"/>
      <c r="K361" s="135"/>
      <c r="L361" s="135"/>
      <c r="M361" s="135"/>
      <c r="N361" s="135"/>
      <c r="O361" s="135"/>
      <c r="P361" s="135"/>
      <c r="Q361" s="136"/>
      <c r="R361" s="136"/>
      <c r="S361" s="136"/>
      <c r="T361" s="136"/>
      <c r="U361" s="136"/>
      <c r="V361" s="136"/>
      <c r="W361" s="136"/>
      <c r="X361" s="136"/>
      <c r="Y361" s="136"/>
      <c r="Z361" s="136"/>
      <c r="AA361" s="136"/>
      <c r="AB361" s="136"/>
      <c r="AC361" s="136"/>
      <c r="AD361" s="136"/>
      <c r="AE361" s="136"/>
      <c r="AF361" s="136"/>
      <c r="AG361" s="136"/>
      <c r="AH361" s="136"/>
      <c r="AI361" s="136"/>
      <c r="AJ361" s="136"/>
      <c r="AK361" s="136"/>
      <c r="AL361" s="136"/>
      <c r="AM361" s="136"/>
      <c r="AN361" s="136"/>
    </row>
    <row r="362" spans="2:40">
      <c r="B362" s="185" t="s">
        <v>1631</v>
      </c>
      <c r="C362" s="131"/>
      <c r="E362" s="135"/>
      <c r="F362" s="135"/>
      <c r="G362" s="135"/>
      <c r="H362" s="135"/>
      <c r="I362" s="135"/>
      <c r="J362" s="135"/>
      <c r="K362" s="135"/>
      <c r="L362" s="135"/>
      <c r="M362" s="135"/>
      <c r="N362" s="135"/>
      <c r="O362" s="135"/>
      <c r="P362" s="135"/>
      <c r="Q362" s="136"/>
      <c r="R362" s="136"/>
      <c r="S362" s="136"/>
      <c r="T362" s="136"/>
      <c r="U362" s="136"/>
      <c r="V362" s="136"/>
      <c r="W362" s="136"/>
      <c r="X362" s="136"/>
      <c r="Y362" s="136"/>
      <c r="Z362" s="837" t="s">
        <v>1635</v>
      </c>
      <c r="AA362" s="136"/>
      <c r="AB362" s="837" t="s">
        <v>1633</v>
      </c>
      <c r="AC362" s="136"/>
      <c r="AD362" s="837" t="s">
        <v>1634</v>
      </c>
      <c r="AE362" s="136"/>
      <c r="AF362" s="136"/>
      <c r="AG362" s="136"/>
      <c r="AH362" s="136"/>
      <c r="AI362" s="136"/>
      <c r="AJ362" s="136"/>
      <c r="AK362" s="136"/>
      <c r="AL362" s="136"/>
      <c r="AM362" s="136"/>
      <c r="AN362" s="136"/>
    </row>
    <row r="363" spans="2:40" s="3" customFormat="1">
      <c r="B363" s="482" t="s">
        <v>1</v>
      </c>
      <c r="C363" s="484"/>
      <c r="E363" s="485"/>
      <c r="F363" s="485"/>
      <c r="G363" s="485"/>
      <c r="H363" s="485"/>
      <c r="I363" s="485"/>
      <c r="J363" s="485"/>
      <c r="K363" s="485"/>
      <c r="L363" s="485"/>
      <c r="M363" s="485"/>
      <c r="N363" s="485"/>
      <c r="O363" s="485"/>
      <c r="P363" s="485"/>
      <c r="Q363" s="222"/>
      <c r="R363" s="222"/>
      <c r="S363" s="222"/>
      <c r="T363" s="222"/>
      <c r="U363" s="222"/>
      <c r="V363" s="222"/>
      <c r="W363" s="222"/>
      <c r="X363" s="222">
        <f t="shared" ref="X363:AN363" si="224">X347*X$360</f>
        <v>25.25</v>
      </c>
      <c r="Y363" s="222">
        <f t="shared" si="224"/>
        <v>50.47</v>
      </c>
      <c r="Z363" s="222">
        <f t="shared" si="224"/>
        <v>52.015000000000001</v>
      </c>
      <c r="AA363" s="222">
        <f t="shared" si="224"/>
        <v>51.984099999999998</v>
      </c>
      <c r="AB363" s="222">
        <f t="shared" si="224"/>
        <v>53.575450000000004</v>
      </c>
      <c r="AC363" s="222">
        <f t="shared" si="224"/>
        <v>53.543622999999997</v>
      </c>
      <c r="AD363" s="222">
        <f t="shared" si="224"/>
        <v>55.182713500000006</v>
      </c>
      <c r="AE363" s="222">
        <f t="shared" si="224"/>
        <v>55.149931689999995</v>
      </c>
      <c r="AF363" s="222">
        <f t="shared" si="224"/>
        <v>56.838194905000009</v>
      </c>
      <c r="AG363" s="222">
        <f t="shared" si="224"/>
        <v>56.804429640699993</v>
      </c>
      <c r="AH363" s="222">
        <f t="shared" si="224"/>
        <v>58.543340752150009</v>
      </c>
      <c r="AI363" s="222">
        <f t="shared" si="224"/>
        <v>58.508562529920994</v>
      </c>
      <c r="AJ363" s="222">
        <f t="shared" si="224"/>
        <v>60.299640974714514</v>
      </c>
      <c r="AK363" s="222">
        <f t="shared" si="224"/>
        <v>60.263819405818623</v>
      </c>
      <c r="AL363" s="222">
        <f t="shared" si="224"/>
        <v>62.108630203955954</v>
      </c>
      <c r="AM363" s="222">
        <f t="shared" si="224"/>
        <v>62.071733987993184</v>
      </c>
      <c r="AN363" s="222">
        <f t="shared" si="224"/>
        <v>63.971889110074635</v>
      </c>
    </row>
    <row r="364" spans="2:40">
      <c r="B364" s="162" t="s">
        <v>313</v>
      </c>
      <c r="C364" s="131"/>
      <c r="E364" s="135"/>
      <c r="F364" s="135"/>
      <c r="G364" s="135"/>
      <c r="H364" s="135"/>
      <c r="I364" s="135"/>
      <c r="J364" s="135"/>
      <c r="K364" s="135"/>
      <c r="L364" s="135"/>
      <c r="M364" s="135"/>
      <c r="N364" s="135"/>
      <c r="O364" s="135"/>
      <c r="P364" s="135"/>
      <c r="Q364" s="136"/>
      <c r="R364" s="136"/>
      <c r="S364" s="136"/>
      <c r="T364" s="136"/>
      <c r="U364" s="136"/>
      <c r="V364" s="136"/>
      <c r="W364" s="136"/>
      <c r="X364" s="136">
        <f t="shared" ref="X364:AN364" si="225">X348*X$360</f>
        <v>-8.35</v>
      </c>
      <c r="Y364" s="136">
        <f t="shared" si="225"/>
        <v>-17.201000000000001</v>
      </c>
      <c r="Z364" s="136">
        <f t="shared" si="225"/>
        <v>-17.201000000000001</v>
      </c>
      <c r="AA364" s="136">
        <f t="shared" si="225"/>
        <v>-17.717030000000001</v>
      </c>
      <c r="AB364" s="136">
        <f t="shared" si="225"/>
        <v>-17.717030000000001</v>
      </c>
      <c r="AC364" s="136">
        <f t="shared" si="225"/>
        <v>-18.248540900000002</v>
      </c>
      <c r="AD364" s="136">
        <f t="shared" si="225"/>
        <v>-18.248540900000002</v>
      </c>
      <c r="AE364" s="136">
        <f t="shared" si="225"/>
        <v>-18.795997127000003</v>
      </c>
      <c r="AF364" s="136">
        <f t="shared" si="225"/>
        <v>-18.795997127000003</v>
      </c>
      <c r="AG364" s="136">
        <f t="shared" si="225"/>
        <v>-19.359877040810005</v>
      </c>
      <c r="AH364" s="136">
        <f t="shared" si="225"/>
        <v>-19.359877040810005</v>
      </c>
      <c r="AI364" s="136">
        <f t="shared" si="225"/>
        <v>-19.940673352034306</v>
      </c>
      <c r="AJ364" s="136">
        <f t="shared" si="225"/>
        <v>-19.940673352034306</v>
      </c>
      <c r="AK364" s="136">
        <f t="shared" si="225"/>
        <v>-20.538893552595336</v>
      </c>
      <c r="AL364" s="136">
        <f t="shared" si="225"/>
        <v>-20.538893552595336</v>
      </c>
      <c r="AM364" s="136">
        <f t="shared" si="225"/>
        <v>-21.155060359173198</v>
      </c>
      <c r="AN364" s="136">
        <f t="shared" si="225"/>
        <v>-21.155060359173198</v>
      </c>
    </row>
    <row r="365" spans="2:40" s="3" customFormat="1">
      <c r="B365" s="482" t="s">
        <v>1617</v>
      </c>
      <c r="C365" s="484"/>
      <c r="E365" s="485"/>
      <c r="F365" s="485"/>
      <c r="G365" s="485"/>
      <c r="H365" s="485"/>
      <c r="I365" s="485"/>
      <c r="J365" s="485"/>
      <c r="K365" s="485"/>
      <c r="L365" s="485"/>
      <c r="M365" s="485"/>
      <c r="N365" s="485"/>
      <c r="O365" s="485"/>
      <c r="P365" s="485"/>
      <c r="Q365" s="222"/>
      <c r="R365" s="222"/>
      <c r="S365" s="222"/>
      <c r="T365" s="222"/>
      <c r="U365" s="222"/>
      <c r="V365" s="222"/>
      <c r="W365" s="222"/>
      <c r="X365" s="222">
        <f t="shared" ref="X365:AN365" si="226">X349*X$360</f>
        <v>16.899999999999999</v>
      </c>
      <c r="Y365" s="222">
        <f t="shared" si="226"/>
        <v>33.268999999999998</v>
      </c>
      <c r="Z365" s="222">
        <f t="shared" si="226"/>
        <v>34.814</v>
      </c>
      <c r="AA365" s="222">
        <f t="shared" si="226"/>
        <v>34.267069999999997</v>
      </c>
      <c r="AB365" s="222">
        <f t="shared" si="226"/>
        <v>35.858420000000002</v>
      </c>
      <c r="AC365" s="222">
        <f t="shared" si="226"/>
        <v>35.295082099999995</v>
      </c>
      <c r="AD365" s="222">
        <f t="shared" si="226"/>
        <v>36.934172600000004</v>
      </c>
      <c r="AE365" s="222">
        <f t="shared" si="226"/>
        <v>36.353934562999996</v>
      </c>
      <c r="AF365" s="222">
        <f t="shared" si="226"/>
        <v>38.042197778000002</v>
      </c>
      <c r="AG365" s="222">
        <f t="shared" si="226"/>
        <v>37.444552599889988</v>
      </c>
      <c r="AH365" s="222">
        <f t="shared" si="226"/>
        <v>39.183463711340003</v>
      </c>
      <c r="AI365" s="222">
        <f t="shared" si="226"/>
        <v>38.567889177886684</v>
      </c>
      <c r="AJ365" s="222">
        <f t="shared" si="226"/>
        <v>40.358967622680211</v>
      </c>
      <c r="AK365" s="222">
        <f t="shared" si="226"/>
        <v>39.724925853223283</v>
      </c>
      <c r="AL365" s="222">
        <f t="shared" si="226"/>
        <v>41.569736651360614</v>
      </c>
      <c r="AM365" s="222">
        <f t="shared" si="226"/>
        <v>40.916673628819986</v>
      </c>
      <c r="AN365" s="222">
        <f t="shared" si="226"/>
        <v>42.816828750901436</v>
      </c>
    </row>
    <row r="366" spans="2:40">
      <c r="B366" s="162" t="s">
        <v>1618</v>
      </c>
      <c r="C366" s="131"/>
      <c r="E366" s="135"/>
      <c r="F366" s="135"/>
      <c r="G366" s="135"/>
      <c r="H366" s="135"/>
      <c r="I366" s="135"/>
      <c r="J366" s="135"/>
      <c r="K366" s="135"/>
      <c r="L366" s="135"/>
      <c r="M366" s="135"/>
      <c r="N366" s="135"/>
      <c r="O366" s="135"/>
      <c r="P366" s="135"/>
      <c r="Q366" s="136"/>
      <c r="R366" s="136"/>
      <c r="S366" s="136"/>
      <c r="T366" s="136"/>
      <c r="U366" s="136"/>
      <c r="V366" s="136"/>
      <c r="W366" s="136"/>
      <c r="X366" s="136">
        <f t="shared" ref="X366:AN366" si="227">X350*X$360</f>
        <v>-11.7</v>
      </c>
      <c r="Y366" s="136">
        <f t="shared" si="227"/>
        <v>-24.102</v>
      </c>
      <c r="Z366" s="136">
        <f t="shared" si="227"/>
        <v>-24.102</v>
      </c>
      <c r="AA366" s="136">
        <f t="shared" si="227"/>
        <v>-24.825060000000001</v>
      </c>
      <c r="AB366" s="136">
        <f t="shared" si="227"/>
        <v>-24.825060000000001</v>
      </c>
      <c r="AC366" s="136">
        <f t="shared" si="227"/>
        <v>-25.5698118</v>
      </c>
      <c r="AD366" s="136">
        <f t="shared" si="227"/>
        <v>-25.5698118</v>
      </c>
      <c r="AE366" s="136">
        <f t="shared" si="227"/>
        <v>-26.336906154000001</v>
      </c>
      <c r="AF366" s="136">
        <f t="shared" si="227"/>
        <v>-26.336906154000001</v>
      </c>
      <c r="AG366" s="136">
        <f t="shared" si="227"/>
        <v>-27.127013338620003</v>
      </c>
      <c r="AH366" s="136">
        <f t="shared" si="227"/>
        <v>-27.127013338620003</v>
      </c>
      <c r="AI366" s="136">
        <f t="shared" si="227"/>
        <v>-27.940823738778604</v>
      </c>
      <c r="AJ366" s="136">
        <f t="shared" si="227"/>
        <v>-27.940823738778604</v>
      </c>
      <c r="AK366" s="136">
        <f t="shared" si="227"/>
        <v>-28.779048450941964</v>
      </c>
      <c r="AL366" s="136">
        <f t="shared" si="227"/>
        <v>-28.779048450941964</v>
      </c>
      <c r="AM366" s="136">
        <f t="shared" si="227"/>
        <v>-29.642419904470223</v>
      </c>
      <c r="AN366" s="136">
        <f t="shared" si="227"/>
        <v>-29.642419904470223</v>
      </c>
    </row>
    <row r="367" spans="2:40" s="3" customFormat="1">
      <c r="B367" s="482" t="s">
        <v>1619</v>
      </c>
      <c r="C367" s="484"/>
      <c r="E367" s="485"/>
      <c r="F367" s="485"/>
      <c r="G367" s="485"/>
      <c r="H367" s="485"/>
      <c r="I367" s="485"/>
      <c r="J367" s="485"/>
      <c r="K367" s="485"/>
      <c r="L367" s="485"/>
      <c r="M367" s="485"/>
      <c r="N367" s="485"/>
      <c r="O367" s="485"/>
      <c r="P367" s="485"/>
      <c r="Q367" s="222"/>
      <c r="R367" s="222"/>
      <c r="S367" s="222"/>
      <c r="T367" s="222"/>
      <c r="U367" s="222"/>
      <c r="V367" s="222"/>
      <c r="W367" s="222"/>
      <c r="X367" s="222">
        <f t="shared" ref="X367:AN367" si="228">X351*X$360</f>
        <v>5.1999999999999993</v>
      </c>
      <c r="Y367" s="222">
        <f t="shared" si="228"/>
        <v>9.166999999999998</v>
      </c>
      <c r="Z367" s="222">
        <f t="shared" si="228"/>
        <v>10.712</v>
      </c>
      <c r="AA367" s="222">
        <f t="shared" si="228"/>
        <v>9.4420099999999962</v>
      </c>
      <c r="AB367" s="222">
        <f t="shared" si="228"/>
        <v>11.033360000000002</v>
      </c>
      <c r="AC367" s="222">
        <f t="shared" si="228"/>
        <v>9.7252702999999947</v>
      </c>
      <c r="AD367" s="222">
        <f t="shared" si="228"/>
        <v>11.364360800000004</v>
      </c>
      <c r="AE367" s="222">
        <f t="shared" si="228"/>
        <v>10.017028408999995</v>
      </c>
      <c r="AF367" s="222">
        <f t="shared" si="228"/>
        <v>11.705291624000001</v>
      </c>
      <c r="AG367" s="222">
        <f t="shared" si="228"/>
        <v>10.317539261269985</v>
      </c>
      <c r="AH367" s="222">
        <f t="shared" si="228"/>
        <v>12.056450372720001</v>
      </c>
      <c r="AI367" s="222">
        <f t="shared" si="228"/>
        <v>10.62706543910808</v>
      </c>
      <c r="AJ367" s="222">
        <f t="shared" si="228"/>
        <v>12.418143883901607</v>
      </c>
      <c r="AK367" s="222">
        <f t="shared" si="228"/>
        <v>10.945877402281319</v>
      </c>
      <c r="AL367" s="222">
        <f t="shared" si="228"/>
        <v>12.79068820041865</v>
      </c>
      <c r="AM367" s="222">
        <f t="shared" si="228"/>
        <v>11.274253724349762</v>
      </c>
      <c r="AN367" s="222">
        <f t="shared" si="228"/>
        <v>13.174408846431213</v>
      </c>
    </row>
    <row r="368" spans="2:40" s="3" customFormat="1">
      <c r="B368" s="482"/>
      <c r="C368" s="484"/>
      <c r="E368" s="485"/>
      <c r="F368" s="485"/>
      <c r="G368" s="485"/>
      <c r="H368" s="485"/>
      <c r="I368" s="485"/>
      <c r="J368" s="485"/>
      <c r="K368" s="485"/>
      <c r="L368" s="485"/>
      <c r="M368" s="485"/>
      <c r="N368" s="485"/>
      <c r="O368" s="485"/>
      <c r="P368" s="485"/>
      <c r="Q368" s="222"/>
      <c r="R368" s="222"/>
      <c r="S368" s="222"/>
      <c r="T368" s="222"/>
      <c r="U368" s="222"/>
      <c r="V368" s="222"/>
      <c r="W368" s="222"/>
      <c r="X368" s="222"/>
      <c r="Y368" s="222"/>
      <c r="Z368" s="222"/>
      <c r="AA368" s="222"/>
      <c r="AB368" s="222"/>
      <c r="AC368" s="222"/>
      <c r="AD368" s="222"/>
      <c r="AE368" s="222"/>
      <c r="AF368" s="222"/>
      <c r="AG368" s="222"/>
      <c r="AH368" s="222"/>
      <c r="AI368" s="222"/>
      <c r="AJ368" s="222"/>
      <c r="AK368" s="222"/>
      <c r="AL368" s="222"/>
      <c r="AM368" s="222"/>
      <c r="AN368" s="222"/>
    </row>
    <row r="369" spans="2:40" s="3" customFormat="1">
      <c r="B369" s="185" t="s">
        <v>1632</v>
      </c>
      <c r="C369" s="484"/>
      <c r="E369" s="485"/>
      <c r="F369" s="485"/>
      <c r="G369" s="485"/>
      <c r="H369" s="485"/>
      <c r="I369" s="485"/>
      <c r="J369" s="485"/>
      <c r="K369" s="485"/>
      <c r="L369" s="485"/>
      <c r="M369" s="485"/>
      <c r="N369" s="485"/>
      <c r="O369" s="485"/>
      <c r="P369" s="485"/>
      <c r="Q369" s="222"/>
      <c r="R369" s="222"/>
      <c r="S369" s="222"/>
      <c r="T369" s="222"/>
      <c r="U369" s="222"/>
      <c r="V369" s="222"/>
      <c r="W369" s="222"/>
      <c r="X369" s="222"/>
      <c r="Y369" s="222"/>
      <c r="Z369" s="222"/>
      <c r="AA369" s="222"/>
      <c r="AB369" s="222"/>
      <c r="AC369" s="222"/>
      <c r="AD369" s="222"/>
      <c r="AE369" s="222"/>
      <c r="AF369" s="222"/>
      <c r="AG369" s="222"/>
      <c r="AH369" s="222"/>
      <c r="AI369" s="222"/>
      <c r="AJ369" s="222"/>
      <c r="AK369" s="222"/>
      <c r="AL369" s="222"/>
      <c r="AM369" s="222"/>
      <c r="AN369" s="222"/>
    </row>
    <row r="370" spans="2:40" s="3" customFormat="1">
      <c r="B370" s="482" t="s">
        <v>1</v>
      </c>
      <c r="C370" s="484"/>
      <c r="E370" s="485"/>
      <c r="F370" s="485"/>
      <c r="G370" s="485"/>
      <c r="H370" s="485"/>
      <c r="I370" s="485"/>
      <c r="J370" s="485"/>
      <c r="K370" s="485"/>
      <c r="L370" s="485"/>
      <c r="M370" s="485"/>
      <c r="N370" s="485"/>
      <c r="O370" s="485"/>
      <c r="P370" s="485"/>
      <c r="Q370" s="222"/>
      <c r="R370" s="222"/>
      <c r="S370" s="222"/>
      <c r="T370" s="222"/>
      <c r="U370" s="222"/>
      <c r="V370" s="222"/>
      <c r="W370" s="222"/>
      <c r="X370" s="222"/>
      <c r="Y370" s="222"/>
      <c r="Z370" s="222"/>
      <c r="AA370" s="222"/>
      <c r="AB370" s="222"/>
      <c r="AC370" s="222"/>
      <c r="AD370" s="222"/>
      <c r="AE370" s="222"/>
      <c r="AF370" s="222"/>
      <c r="AG370" s="222"/>
      <c r="AH370" s="222"/>
      <c r="AI370" s="222"/>
      <c r="AJ370" s="222"/>
      <c r="AK370" s="222"/>
      <c r="AL370" s="222"/>
      <c r="AM370" s="222"/>
      <c r="AN370" s="222"/>
    </row>
    <row r="371" spans="2:40" s="3" customFormat="1">
      <c r="B371" s="162" t="s">
        <v>313</v>
      </c>
      <c r="C371" s="484"/>
      <c r="E371" s="485"/>
      <c r="F371" s="485"/>
      <c r="G371" s="485"/>
      <c r="H371" s="485"/>
      <c r="I371" s="485"/>
      <c r="J371" s="485"/>
      <c r="K371" s="485"/>
      <c r="L371" s="485"/>
      <c r="M371" s="485"/>
      <c r="N371" s="485"/>
      <c r="O371" s="485"/>
      <c r="P371" s="485"/>
      <c r="Q371" s="222"/>
      <c r="R371" s="222"/>
      <c r="S371" s="222"/>
      <c r="T371" s="222"/>
      <c r="U371" s="222"/>
      <c r="V371" s="222"/>
      <c r="W371" s="222"/>
      <c r="X371" s="222"/>
      <c r="Y371" s="766">
        <v>2</v>
      </c>
      <c r="Z371" s="766">
        <v>5</v>
      </c>
      <c r="AA371" s="766">
        <v>7.5</v>
      </c>
      <c r="AB371" s="766">
        <v>7.5</v>
      </c>
      <c r="AC371" s="838">
        <f>AA371*1.03</f>
        <v>7.7250000000000005</v>
      </c>
      <c r="AD371" s="838">
        <f t="shared" ref="AD371:AN371" si="229">AB371*1.03</f>
        <v>7.7250000000000005</v>
      </c>
      <c r="AE371" s="838">
        <f t="shared" si="229"/>
        <v>7.9567500000000004</v>
      </c>
      <c r="AF371" s="838">
        <f t="shared" si="229"/>
        <v>7.9567500000000004</v>
      </c>
      <c r="AG371" s="838">
        <f t="shared" si="229"/>
        <v>8.1954525</v>
      </c>
      <c r="AH371" s="838">
        <f t="shared" si="229"/>
        <v>8.1954525</v>
      </c>
      <c r="AI371" s="838">
        <f t="shared" si="229"/>
        <v>8.4413160749999996</v>
      </c>
      <c r="AJ371" s="838">
        <f t="shared" si="229"/>
        <v>8.4413160749999996</v>
      </c>
      <c r="AK371" s="838">
        <f t="shared" si="229"/>
        <v>8.6945555572500002</v>
      </c>
      <c r="AL371" s="838">
        <f t="shared" si="229"/>
        <v>8.6945555572500002</v>
      </c>
      <c r="AM371" s="838">
        <f t="shared" si="229"/>
        <v>8.9553922239675003</v>
      </c>
      <c r="AN371" s="838">
        <f t="shared" si="229"/>
        <v>8.9553922239675003</v>
      </c>
    </row>
    <row r="372" spans="2:40" s="3" customFormat="1">
      <c r="B372" s="162" t="s">
        <v>1618</v>
      </c>
      <c r="C372" s="484"/>
      <c r="E372" s="485"/>
      <c r="F372" s="485"/>
      <c r="G372" s="485"/>
      <c r="H372" s="485"/>
      <c r="I372" s="485"/>
      <c r="J372" s="485"/>
      <c r="K372" s="485"/>
      <c r="L372" s="485"/>
      <c r="M372" s="485"/>
      <c r="N372" s="485"/>
      <c r="O372" s="485"/>
      <c r="P372" s="485"/>
      <c r="Q372" s="222"/>
      <c r="R372" s="222"/>
      <c r="S372" s="222"/>
      <c r="T372" s="222"/>
      <c r="U372" s="222"/>
      <c r="V372" s="222"/>
      <c r="W372" s="222"/>
      <c r="X372" s="222"/>
      <c r="Y372" s="766">
        <v>2</v>
      </c>
      <c r="Z372" s="766">
        <v>5</v>
      </c>
      <c r="AA372" s="766">
        <v>7.5</v>
      </c>
      <c r="AB372" s="766">
        <v>7.5</v>
      </c>
      <c r="AC372" s="838">
        <f>AA372*1.03</f>
        <v>7.7250000000000005</v>
      </c>
      <c r="AD372" s="838">
        <f t="shared" ref="AD372:AN372" si="230">AB372*1.03</f>
        <v>7.7250000000000005</v>
      </c>
      <c r="AE372" s="838">
        <f t="shared" si="230"/>
        <v>7.9567500000000004</v>
      </c>
      <c r="AF372" s="838">
        <f t="shared" si="230"/>
        <v>7.9567500000000004</v>
      </c>
      <c r="AG372" s="838">
        <f t="shared" si="230"/>
        <v>8.1954525</v>
      </c>
      <c r="AH372" s="838">
        <f t="shared" si="230"/>
        <v>8.1954525</v>
      </c>
      <c r="AI372" s="838">
        <f t="shared" si="230"/>
        <v>8.4413160749999996</v>
      </c>
      <c r="AJ372" s="838">
        <f t="shared" si="230"/>
        <v>8.4413160749999996</v>
      </c>
      <c r="AK372" s="838">
        <f t="shared" si="230"/>
        <v>8.6945555572500002</v>
      </c>
      <c r="AL372" s="838">
        <f t="shared" si="230"/>
        <v>8.6945555572500002</v>
      </c>
      <c r="AM372" s="838">
        <f t="shared" si="230"/>
        <v>8.9553922239675003</v>
      </c>
      <c r="AN372" s="838">
        <f t="shared" si="230"/>
        <v>8.9553922239675003</v>
      </c>
    </row>
    <row r="373" spans="2:40" s="3" customFormat="1">
      <c r="B373" s="482"/>
      <c r="C373" s="484"/>
      <c r="E373" s="485"/>
      <c r="F373" s="485"/>
      <c r="G373" s="485"/>
      <c r="H373" s="485"/>
      <c r="I373" s="485"/>
      <c r="J373" s="485"/>
      <c r="K373" s="485"/>
      <c r="L373" s="485"/>
      <c r="M373" s="485"/>
      <c r="N373" s="485"/>
      <c r="O373" s="485"/>
      <c r="P373" s="485"/>
      <c r="Q373" s="222"/>
      <c r="R373" s="222"/>
      <c r="S373" s="222"/>
      <c r="T373" s="222"/>
      <c r="U373" s="222"/>
      <c r="V373" s="222"/>
      <c r="W373" s="222"/>
      <c r="X373" s="222"/>
      <c r="Y373" s="222"/>
      <c r="Z373" s="222"/>
      <c r="AA373" s="222"/>
      <c r="AB373" s="222"/>
      <c r="AC373" s="222"/>
      <c r="AD373" s="222"/>
      <c r="AE373" s="222"/>
      <c r="AF373" s="222"/>
      <c r="AG373" s="222"/>
      <c r="AH373" s="222"/>
      <c r="AI373" s="222"/>
      <c r="AJ373" s="222"/>
      <c r="AK373" s="222"/>
      <c r="AL373" s="222"/>
      <c r="AM373" s="222"/>
      <c r="AN373" s="222"/>
    </row>
    <row r="374" spans="2:40" s="3" customFormat="1">
      <c r="B374" s="185" t="s">
        <v>1626</v>
      </c>
      <c r="C374" s="484"/>
      <c r="E374" s="485"/>
      <c r="F374" s="485"/>
      <c r="G374" s="485"/>
      <c r="H374" s="485"/>
      <c r="I374" s="485"/>
      <c r="J374" s="485"/>
      <c r="K374" s="485"/>
      <c r="L374" s="485"/>
      <c r="M374" s="485"/>
      <c r="N374" s="485"/>
      <c r="O374" s="485"/>
      <c r="P374" s="485"/>
      <c r="Q374" s="222"/>
      <c r="R374" s="222"/>
      <c r="S374" s="222"/>
      <c r="T374" s="222"/>
      <c r="U374" s="222"/>
      <c r="V374" s="222"/>
      <c r="W374" s="222"/>
      <c r="X374" s="222"/>
      <c r="Y374" s="222"/>
      <c r="Z374" s="222"/>
      <c r="AA374" s="222"/>
      <c r="AB374" s="222"/>
      <c r="AC374" s="222"/>
      <c r="AD374" s="222"/>
      <c r="AE374" s="222"/>
      <c r="AF374" s="222"/>
      <c r="AG374" s="222"/>
      <c r="AH374" s="222"/>
      <c r="AI374" s="222"/>
      <c r="AJ374" s="222"/>
      <c r="AK374" s="222"/>
      <c r="AL374" s="222"/>
      <c r="AM374" s="222"/>
      <c r="AN374" s="222"/>
    </row>
    <row r="375" spans="2:40" s="3" customFormat="1">
      <c r="B375" s="482" t="s">
        <v>1</v>
      </c>
      <c r="C375" s="484"/>
      <c r="E375" s="485"/>
      <c r="F375" s="485"/>
      <c r="G375" s="485"/>
      <c r="H375" s="485"/>
      <c r="I375" s="485"/>
      <c r="J375" s="485"/>
      <c r="K375" s="485"/>
      <c r="L375" s="485"/>
      <c r="M375" s="485"/>
      <c r="N375" s="485"/>
      <c r="O375" s="485"/>
      <c r="P375" s="485"/>
      <c r="Q375" s="222"/>
      <c r="R375" s="222"/>
      <c r="S375" s="222"/>
      <c r="T375" s="222"/>
      <c r="U375" s="222"/>
      <c r="V375" s="222"/>
      <c r="W375" s="222"/>
      <c r="X375" s="222">
        <f>X363+X370</f>
        <v>25.25</v>
      </c>
      <c r="Y375" s="222">
        <f t="shared" ref="Y375:AN375" si="231">Y363+Y370</f>
        <v>50.47</v>
      </c>
      <c r="Z375" s="222">
        <f t="shared" si="231"/>
        <v>52.015000000000001</v>
      </c>
      <c r="AA375" s="222">
        <f t="shared" si="231"/>
        <v>51.984099999999998</v>
      </c>
      <c r="AB375" s="222">
        <f t="shared" si="231"/>
        <v>53.575450000000004</v>
      </c>
      <c r="AC375" s="222">
        <f t="shared" si="231"/>
        <v>53.543622999999997</v>
      </c>
      <c r="AD375" s="222">
        <f t="shared" si="231"/>
        <v>55.182713500000006</v>
      </c>
      <c r="AE375" s="222">
        <f t="shared" si="231"/>
        <v>55.149931689999995</v>
      </c>
      <c r="AF375" s="222">
        <f t="shared" si="231"/>
        <v>56.838194905000009</v>
      </c>
      <c r="AG375" s="222">
        <f t="shared" si="231"/>
        <v>56.804429640699993</v>
      </c>
      <c r="AH375" s="222">
        <f t="shared" si="231"/>
        <v>58.543340752150009</v>
      </c>
      <c r="AI375" s="222">
        <f t="shared" si="231"/>
        <v>58.508562529920994</v>
      </c>
      <c r="AJ375" s="222">
        <f t="shared" si="231"/>
        <v>60.299640974714514</v>
      </c>
      <c r="AK375" s="222">
        <f t="shared" si="231"/>
        <v>60.263819405818623</v>
      </c>
      <c r="AL375" s="222">
        <f t="shared" si="231"/>
        <v>62.108630203955954</v>
      </c>
      <c r="AM375" s="222">
        <f t="shared" si="231"/>
        <v>62.071733987993184</v>
      </c>
      <c r="AN375" s="222">
        <f t="shared" si="231"/>
        <v>63.971889110074635</v>
      </c>
    </row>
    <row r="376" spans="2:40">
      <c r="B376" s="162" t="s">
        <v>313</v>
      </c>
      <c r="C376" s="131"/>
      <c r="E376" s="135"/>
      <c r="F376" s="135"/>
      <c r="G376" s="135"/>
      <c r="H376" s="135"/>
      <c r="I376" s="135"/>
      <c r="J376" s="135"/>
      <c r="K376" s="135"/>
      <c r="L376" s="135"/>
      <c r="M376" s="135"/>
      <c r="N376" s="135"/>
      <c r="O376" s="135"/>
      <c r="P376" s="135"/>
      <c r="Q376" s="136"/>
      <c r="R376" s="136"/>
      <c r="S376" s="136"/>
      <c r="T376" s="136"/>
      <c r="U376" s="136"/>
      <c r="V376" s="136"/>
      <c r="W376" s="136"/>
      <c r="X376" s="136">
        <f>X364+X371</f>
        <v>-8.35</v>
      </c>
      <c r="Y376" s="136">
        <f t="shared" ref="Y376:AN376" si="232">Y364+Y371</f>
        <v>-15.201000000000001</v>
      </c>
      <c r="Z376" s="136">
        <f t="shared" si="232"/>
        <v>-12.201000000000001</v>
      </c>
      <c r="AA376" s="136">
        <f t="shared" si="232"/>
        <v>-10.217030000000001</v>
      </c>
      <c r="AB376" s="136">
        <f t="shared" si="232"/>
        <v>-10.217030000000001</v>
      </c>
      <c r="AC376" s="136">
        <f t="shared" si="232"/>
        <v>-10.5235409</v>
      </c>
      <c r="AD376" s="136">
        <f t="shared" si="232"/>
        <v>-10.5235409</v>
      </c>
      <c r="AE376" s="136">
        <f t="shared" si="232"/>
        <v>-10.839247127000004</v>
      </c>
      <c r="AF376" s="136">
        <f t="shared" si="232"/>
        <v>-10.839247127000004</v>
      </c>
      <c r="AG376" s="136">
        <f t="shared" si="232"/>
        <v>-11.164424540810005</v>
      </c>
      <c r="AH376" s="136">
        <f t="shared" si="232"/>
        <v>-11.164424540810005</v>
      </c>
      <c r="AI376" s="136">
        <f t="shared" si="232"/>
        <v>-11.499357277034306</v>
      </c>
      <c r="AJ376" s="136">
        <f t="shared" si="232"/>
        <v>-11.499357277034306</v>
      </c>
      <c r="AK376" s="136">
        <f t="shared" si="232"/>
        <v>-11.844337995345336</v>
      </c>
      <c r="AL376" s="136">
        <f t="shared" si="232"/>
        <v>-11.844337995345336</v>
      </c>
      <c r="AM376" s="136">
        <f t="shared" si="232"/>
        <v>-12.199668135205698</v>
      </c>
      <c r="AN376" s="136">
        <f t="shared" si="232"/>
        <v>-12.199668135205698</v>
      </c>
    </row>
    <row r="377" spans="2:40" s="3" customFormat="1">
      <c r="B377" s="482" t="s">
        <v>1617</v>
      </c>
      <c r="C377" s="484"/>
      <c r="E377" s="485"/>
      <c r="F377" s="485"/>
      <c r="G377" s="485"/>
      <c r="H377" s="485"/>
      <c r="I377" s="485"/>
      <c r="J377" s="485"/>
      <c r="K377" s="485"/>
      <c r="L377" s="485"/>
      <c r="M377" s="485"/>
      <c r="N377" s="485"/>
      <c r="O377" s="485"/>
      <c r="P377" s="485"/>
      <c r="Q377" s="222"/>
      <c r="R377" s="222"/>
      <c r="S377" s="222"/>
      <c r="T377" s="222"/>
      <c r="U377" s="222"/>
      <c r="V377" s="222"/>
      <c r="W377" s="222"/>
      <c r="X377" s="494">
        <f>SUM(X375:X376)</f>
        <v>16.899999999999999</v>
      </c>
      <c r="Y377" s="494">
        <f t="shared" ref="Y377:AN377" si="233">SUM(Y375:Y376)</f>
        <v>35.268999999999998</v>
      </c>
      <c r="Z377" s="494">
        <f t="shared" si="233"/>
        <v>39.814</v>
      </c>
      <c r="AA377" s="494">
        <f t="shared" si="233"/>
        <v>41.767069999999997</v>
      </c>
      <c r="AB377" s="494">
        <f t="shared" si="233"/>
        <v>43.358420000000002</v>
      </c>
      <c r="AC377" s="494">
        <f t="shared" si="233"/>
        <v>43.020082099999996</v>
      </c>
      <c r="AD377" s="494">
        <f t="shared" si="233"/>
        <v>44.659172600000005</v>
      </c>
      <c r="AE377" s="494">
        <f t="shared" si="233"/>
        <v>44.310684562999995</v>
      </c>
      <c r="AF377" s="494">
        <f t="shared" si="233"/>
        <v>45.998947778000002</v>
      </c>
      <c r="AG377" s="494">
        <f t="shared" si="233"/>
        <v>45.64000509988999</v>
      </c>
      <c r="AH377" s="494">
        <f t="shared" si="233"/>
        <v>47.378916211340005</v>
      </c>
      <c r="AI377" s="494">
        <f t="shared" si="233"/>
        <v>47.009205252886687</v>
      </c>
      <c r="AJ377" s="494">
        <f t="shared" si="233"/>
        <v>48.800283697680207</v>
      </c>
      <c r="AK377" s="494">
        <f t="shared" si="233"/>
        <v>48.419481410473288</v>
      </c>
      <c r="AL377" s="494">
        <f t="shared" si="233"/>
        <v>50.26429220861062</v>
      </c>
      <c r="AM377" s="494">
        <f t="shared" si="233"/>
        <v>49.872065852787486</v>
      </c>
      <c r="AN377" s="494">
        <f t="shared" si="233"/>
        <v>51.772220974868937</v>
      </c>
    </row>
    <row r="378" spans="2:40">
      <c r="B378" s="162" t="s">
        <v>1618</v>
      </c>
      <c r="C378" s="131"/>
      <c r="E378" s="135"/>
      <c r="F378" s="135"/>
      <c r="G378" s="135"/>
      <c r="H378" s="135"/>
      <c r="I378" s="135"/>
      <c r="J378" s="135"/>
      <c r="K378" s="135"/>
      <c r="L378" s="135"/>
      <c r="M378" s="135"/>
      <c r="N378" s="135"/>
      <c r="O378" s="135"/>
      <c r="P378" s="135"/>
      <c r="Q378" s="136"/>
      <c r="R378" s="136"/>
      <c r="S378" s="136"/>
      <c r="T378" s="136"/>
      <c r="U378" s="136"/>
      <c r="V378" s="136"/>
      <c r="W378" s="136"/>
      <c r="X378" s="136">
        <f>X366+X372</f>
        <v>-11.7</v>
      </c>
      <c r="Y378" s="136">
        <f t="shared" ref="Y378:AN378" si="234">Y366+Y372</f>
        <v>-22.102</v>
      </c>
      <c r="Z378" s="136">
        <f t="shared" si="234"/>
        <v>-19.102</v>
      </c>
      <c r="AA378" s="136">
        <f t="shared" si="234"/>
        <v>-17.325060000000001</v>
      </c>
      <c r="AB378" s="136">
        <f t="shared" si="234"/>
        <v>-17.325060000000001</v>
      </c>
      <c r="AC378" s="136">
        <f t="shared" si="234"/>
        <v>-17.844811799999999</v>
      </c>
      <c r="AD378" s="136">
        <f t="shared" si="234"/>
        <v>-17.844811799999999</v>
      </c>
      <c r="AE378" s="136">
        <f t="shared" si="234"/>
        <v>-18.380156154000002</v>
      </c>
      <c r="AF378" s="136">
        <f t="shared" si="234"/>
        <v>-18.380156154000002</v>
      </c>
      <c r="AG378" s="136">
        <f t="shared" si="234"/>
        <v>-18.931560838620001</v>
      </c>
      <c r="AH378" s="136">
        <f t="shared" si="234"/>
        <v>-18.931560838620001</v>
      </c>
      <c r="AI378" s="136">
        <f t="shared" si="234"/>
        <v>-19.499507663778605</v>
      </c>
      <c r="AJ378" s="136">
        <f t="shared" si="234"/>
        <v>-19.499507663778605</v>
      </c>
      <c r="AK378" s="136">
        <f t="shared" si="234"/>
        <v>-20.084492893691966</v>
      </c>
      <c r="AL378" s="136">
        <f t="shared" si="234"/>
        <v>-20.084492893691966</v>
      </c>
      <c r="AM378" s="136">
        <f t="shared" si="234"/>
        <v>-20.687027680502723</v>
      </c>
      <c r="AN378" s="136">
        <f t="shared" si="234"/>
        <v>-20.687027680502723</v>
      </c>
    </row>
    <row r="379" spans="2:40" s="3" customFormat="1">
      <c r="B379" s="482" t="s">
        <v>1619</v>
      </c>
      <c r="C379" s="484"/>
      <c r="E379" s="485"/>
      <c r="F379" s="485"/>
      <c r="G379" s="485"/>
      <c r="H379" s="485"/>
      <c r="I379" s="485"/>
      <c r="J379" s="485"/>
      <c r="K379" s="485"/>
      <c r="L379" s="485"/>
      <c r="M379" s="485"/>
      <c r="N379" s="485"/>
      <c r="O379" s="485"/>
      <c r="P379" s="485"/>
      <c r="Q379" s="222"/>
      <c r="R379" s="222"/>
      <c r="S379" s="222"/>
      <c r="T379" s="222"/>
      <c r="U379" s="222"/>
      <c r="V379" s="222"/>
      <c r="W379" s="222"/>
      <c r="X379" s="494">
        <f t="shared" ref="X379:AN379" si="235">SUM(X377:X378)</f>
        <v>5.1999999999999993</v>
      </c>
      <c r="Y379" s="494">
        <f t="shared" si="235"/>
        <v>13.166999999999998</v>
      </c>
      <c r="Z379" s="494">
        <f t="shared" si="235"/>
        <v>20.712</v>
      </c>
      <c r="AA379" s="494">
        <f t="shared" si="235"/>
        <v>24.442009999999996</v>
      </c>
      <c r="AB379" s="494">
        <f t="shared" si="235"/>
        <v>26.033360000000002</v>
      </c>
      <c r="AC379" s="494">
        <f t="shared" si="235"/>
        <v>25.175270299999998</v>
      </c>
      <c r="AD379" s="494">
        <f t="shared" si="235"/>
        <v>26.814360800000006</v>
      </c>
      <c r="AE379" s="494">
        <f t="shared" si="235"/>
        <v>25.930528408999994</v>
      </c>
      <c r="AF379" s="494">
        <f t="shared" si="235"/>
        <v>27.618791624</v>
      </c>
      <c r="AG379" s="494">
        <f t="shared" si="235"/>
        <v>26.708444261269989</v>
      </c>
      <c r="AH379" s="494">
        <f t="shared" si="235"/>
        <v>28.447355372720004</v>
      </c>
      <c r="AI379" s="494">
        <f t="shared" si="235"/>
        <v>27.509697589108082</v>
      </c>
      <c r="AJ379" s="494">
        <f t="shared" si="235"/>
        <v>29.300776033901602</v>
      </c>
      <c r="AK379" s="494">
        <f t="shared" si="235"/>
        <v>28.334988516781323</v>
      </c>
      <c r="AL379" s="494">
        <f t="shared" si="235"/>
        <v>30.179799314918654</v>
      </c>
      <c r="AM379" s="494">
        <f t="shared" si="235"/>
        <v>29.185038172284763</v>
      </c>
      <c r="AN379" s="494">
        <f t="shared" si="235"/>
        <v>31.085193294366213</v>
      </c>
    </row>
    <row r="380" spans="2:40" s="3" customFormat="1">
      <c r="B380" s="482"/>
      <c r="C380" s="484"/>
      <c r="E380" s="485"/>
      <c r="F380" s="485"/>
      <c r="G380" s="485"/>
      <c r="H380" s="485"/>
      <c r="I380" s="485"/>
      <c r="J380" s="485"/>
      <c r="K380" s="485"/>
      <c r="L380" s="485"/>
      <c r="M380" s="485"/>
      <c r="N380" s="485"/>
      <c r="O380" s="485"/>
      <c r="P380" s="485"/>
      <c r="Q380" s="222"/>
      <c r="R380" s="222"/>
      <c r="S380" s="222"/>
      <c r="T380" s="222"/>
      <c r="U380" s="222"/>
      <c r="V380" s="222"/>
      <c r="W380" s="222"/>
      <c r="X380" s="222"/>
      <c r="Y380" s="222"/>
      <c r="Z380" s="222"/>
      <c r="AA380" s="222"/>
      <c r="AB380" s="222"/>
      <c r="AC380" s="222"/>
      <c r="AD380" s="222"/>
      <c r="AE380" s="222"/>
      <c r="AF380" s="222"/>
      <c r="AG380" s="222"/>
      <c r="AH380" s="222"/>
      <c r="AI380" s="222"/>
      <c r="AJ380" s="222"/>
      <c r="AK380" s="222"/>
      <c r="AL380" s="222"/>
      <c r="AM380" s="222"/>
      <c r="AN380" s="222"/>
    </row>
    <row r="381" spans="2:40" s="177" customFormat="1" ht="12" thickBot="1">
      <c r="C381" s="836"/>
    </row>
    <row r="382" spans="2:40" s="258" customFormat="1">
      <c r="B382" s="259"/>
      <c r="C382" s="260"/>
      <c r="D382" s="261"/>
      <c r="E382" s="262"/>
      <c r="F382" s="262"/>
      <c r="G382" s="262"/>
      <c r="H382" s="262"/>
      <c r="I382" s="262"/>
      <c r="J382" s="262"/>
      <c r="K382" s="262"/>
      <c r="L382" s="262"/>
      <c r="M382" s="262"/>
      <c r="N382" s="262"/>
      <c r="O382" s="262"/>
      <c r="P382" s="262"/>
      <c r="Q382" s="263"/>
      <c r="R382" s="263"/>
      <c r="S382" s="263"/>
      <c r="T382" s="263"/>
      <c r="U382" s="263"/>
      <c r="V382" s="263"/>
      <c r="W382" s="263"/>
      <c r="X382" s="263"/>
      <c r="Y382" s="263"/>
      <c r="Z382" s="263"/>
      <c r="AA382" s="263"/>
      <c r="AB382" s="263"/>
      <c r="AC382" s="263"/>
      <c r="AD382" s="263"/>
      <c r="AE382" s="263"/>
      <c r="AF382" s="263"/>
      <c r="AG382" s="263"/>
      <c r="AH382" s="263"/>
      <c r="AI382" s="263"/>
      <c r="AJ382" s="263"/>
      <c r="AK382" s="263"/>
      <c r="AL382" s="263"/>
      <c r="AM382" s="263"/>
      <c r="AN382" s="263"/>
    </row>
    <row r="383" spans="2:40" s="199" customFormat="1">
      <c r="B383" s="257" t="s">
        <v>1011</v>
      </c>
      <c r="C383" s="82"/>
      <c r="D383" s="212"/>
      <c r="E383" s="507"/>
      <c r="F383" s="507"/>
      <c r="G383" s="507"/>
      <c r="H383" s="507"/>
      <c r="I383" s="507"/>
      <c r="J383" s="507"/>
      <c r="K383" s="507"/>
      <c r="L383" s="507"/>
      <c r="M383" s="507"/>
      <c r="N383" s="507"/>
      <c r="O383" s="507"/>
      <c r="P383" s="507"/>
      <c r="Q383" s="256"/>
      <c r="R383" s="256"/>
      <c r="S383" s="256"/>
      <c r="T383" s="256"/>
      <c r="U383" s="256"/>
      <c r="V383" s="256"/>
      <c r="W383" s="256"/>
      <c r="X383" s="256"/>
      <c r="Y383" s="256"/>
      <c r="Z383" s="256"/>
      <c r="AA383" s="256"/>
      <c r="AB383" s="256"/>
      <c r="AC383" s="256"/>
      <c r="AD383" s="256"/>
      <c r="AE383" s="256"/>
      <c r="AF383" s="256"/>
      <c r="AG383" s="256"/>
      <c r="AH383" s="256"/>
      <c r="AI383" s="256"/>
      <c r="AJ383" s="256"/>
      <c r="AK383" s="256"/>
      <c r="AL383" s="256"/>
      <c r="AM383" s="256"/>
      <c r="AN383" s="256"/>
    </row>
    <row r="384" spans="2:40" s="199" customFormat="1">
      <c r="B384" s="257"/>
      <c r="C384" s="82"/>
      <c r="D384" s="212"/>
      <c r="E384" s="507"/>
      <c r="F384" s="507"/>
      <c r="G384" s="507"/>
      <c r="H384" s="507"/>
      <c r="I384" s="507"/>
      <c r="J384" s="507"/>
      <c r="K384" s="507"/>
      <c r="L384" s="507"/>
      <c r="M384" s="507"/>
      <c r="N384" s="507"/>
      <c r="O384" s="507"/>
      <c r="P384" s="507"/>
      <c r="Q384" s="256"/>
      <c r="R384" s="256"/>
      <c r="S384" s="256"/>
      <c r="T384" s="256"/>
      <c r="U384" s="256"/>
      <c r="V384" s="256"/>
      <c r="W384" s="256"/>
      <c r="X384" s="256"/>
      <c r="Y384" s="256"/>
      <c r="Z384" s="256"/>
      <c r="AA384" s="256"/>
      <c r="AB384" s="256"/>
      <c r="AC384" s="256"/>
      <c r="AD384" s="256"/>
      <c r="AE384" s="256"/>
      <c r="AF384" s="256"/>
      <c r="AG384" s="256"/>
      <c r="AH384" s="256"/>
      <c r="AI384" s="256"/>
      <c r="AJ384" s="256"/>
      <c r="AK384" s="256"/>
      <c r="AL384" s="256"/>
      <c r="AM384" s="256"/>
      <c r="AN384" s="256"/>
    </row>
    <row r="385" spans="1:16384" s="199" customFormat="1">
      <c r="B385" s="257" t="s">
        <v>1568</v>
      </c>
      <c r="C385" s="82"/>
      <c r="D385" s="212"/>
      <c r="E385" s="507"/>
      <c r="F385" s="507"/>
      <c r="G385" s="507"/>
      <c r="H385" s="507"/>
      <c r="I385" s="507"/>
      <c r="J385" s="507"/>
      <c r="K385" s="507"/>
      <c r="L385" s="507"/>
      <c r="M385" s="507"/>
      <c r="N385" s="507"/>
      <c r="O385" s="507"/>
      <c r="P385" s="507"/>
      <c r="Q385" s="256"/>
      <c r="R385" s="256"/>
      <c r="S385" s="256"/>
      <c r="T385" s="256"/>
      <c r="U385" s="256"/>
      <c r="V385" s="256"/>
      <c r="W385" s="256"/>
      <c r="X385" s="256"/>
      <c r="Y385" s="256"/>
      <c r="Z385" s="256"/>
      <c r="AA385" s="256"/>
      <c r="AB385" s="256"/>
      <c r="AC385" s="256"/>
      <c r="AD385" s="256"/>
      <c r="AE385" s="256"/>
      <c r="AF385" s="256"/>
      <c r="AG385" s="256"/>
      <c r="AH385" s="256"/>
      <c r="AI385" s="256"/>
      <c r="AJ385" s="256"/>
      <c r="AK385" s="256"/>
      <c r="AL385" s="256"/>
      <c r="AM385" s="256"/>
      <c r="AN385" s="256"/>
    </row>
    <row r="386" spans="1:16384" s="199" customFormat="1">
      <c r="A386" s="1"/>
      <c r="B386" s="192" t="s">
        <v>1565</v>
      </c>
      <c r="C386" s="82" t="s">
        <v>842</v>
      </c>
      <c r="D386" s="507"/>
      <c r="E386" s="507"/>
      <c r="F386" s="507"/>
      <c r="G386" s="507"/>
      <c r="H386" s="507"/>
      <c r="I386" s="507"/>
      <c r="J386" s="507"/>
      <c r="K386" s="507"/>
      <c r="L386" s="507"/>
      <c r="M386" s="507"/>
      <c r="N386" s="215"/>
      <c r="O386" s="215"/>
      <c r="P386" s="215"/>
      <c r="Q386" s="215"/>
      <c r="R386" s="215"/>
      <c r="S386" s="215">
        <f t="shared" ref="S386:AN386" si="236">S391/S271</f>
        <v>0</v>
      </c>
      <c r="T386" s="215">
        <f t="shared" si="236"/>
        <v>0</v>
      </c>
      <c r="U386" s="215">
        <f t="shared" si="236"/>
        <v>0</v>
      </c>
      <c r="V386" s="215">
        <f t="shared" si="236"/>
        <v>0</v>
      </c>
      <c r="W386" s="215">
        <f t="shared" si="236"/>
        <v>0</v>
      </c>
      <c r="X386" s="215">
        <f t="shared" si="236"/>
        <v>0</v>
      </c>
      <c r="Y386" s="215">
        <f t="shared" si="236"/>
        <v>0</v>
      </c>
      <c r="Z386" s="215">
        <f t="shared" si="236"/>
        <v>0</v>
      </c>
      <c r="AA386" s="215">
        <f t="shared" si="236"/>
        <v>0</v>
      </c>
      <c r="AB386" s="215">
        <f t="shared" si="236"/>
        <v>0</v>
      </c>
      <c r="AC386" s="215">
        <f t="shared" si="236"/>
        <v>0</v>
      </c>
      <c r="AD386" s="215">
        <f t="shared" si="236"/>
        <v>0</v>
      </c>
      <c r="AE386" s="215">
        <f t="shared" si="236"/>
        <v>0</v>
      </c>
      <c r="AF386" s="215">
        <f t="shared" si="236"/>
        <v>0</v>
      </c>
      <c r="AG386" s="215">
        <f t="shared" si="236"/>
        <v>0</v>
      </c>
      <c r="AH386" s="215">
        <f t="shared" si="236"/>
        <v>0</v>
      </c>
      <c r="AI386" s="215">
        <f t="shared" si="236"/>
        <v>0</v>
      </c>
      <c r="AJ386" s="215">
        <f t="shared" si="236"/>
        <v>0</v>
      </c>
      <c r="AK386" s="215">
        <f t="shared" si="236"/>
        <v>0</v>
      </c>
      <c r="AL386" s="215">
        <f t="shared" si="236"/>
        <v>0</v>
      </c>
      <c r="AM386" s="215">
        <f t="shared" si="236"/>
        <v>0</v>
      </c>
      <c r="AN386" s="215">
        <f t="shared" si="236"/>
        <v>0</v>
      </c>
      <c r="AO386" s="215" t="e">
        <f t="shared" ref="AO386:BE386" si="237">AO391/AO267</f>
        <v>#DIV/0!</v>
      </c>
      <c r="AP386" s="215" t="e">
        <f t="shared" si="237"/>
        <v>#DIV/0!</v>
      </c>
      <c r="AQ386" s="215" t="e">
        <f t="shared" si="237"/>
        <v>#DIV/0!</v>
      </c>
      <c r="AR386" s="215" t="e">
        <f t="shared" si="237"/>
        <v>#DIV/0!</v>
      </c>
      <c r="AS386" s="215" t="e">
        <f t="shared" si="237"/>
        <v>#DIV/0!</v>
      </c>
      <c r="AT386" s="215" t="e">
        <f t="shared" si="237"/>
        <v>#DIV/0!</v>
      </c>
      <c r="AU386" s="215" t="e">
        <f t="shared" si="237"/>
        <v>#DIV/0!</v>
      </c>
      <c r="AV386" s="215" t="e">
        <f t="shared" si="237"/>
        <v>#DIV/0!</v>
      </c>
      <c r="AW386" s="215" t="e">
        <f t="shared" si="237"/>
        <v>#DIV/0!</v>
      </c>
      <c r="AX386" s="215" t="e">
        <f t="shared" si="237"/>
        <v>#DIV/0!</v>
      </c>
      <c r="AY386" s="215" t="e">
        <f t="shared" si="237"/>
        <v>#DIV/0!</v>
      </c>
      <c r="AZ386" s="215" t="e">
        <f t="shared" si="237"/>
        <v>#DIV/0!</v>
      </c>
      <c r="BA386" s="215" t="e">
        <f t="shared" si="237"/>
        <v>#DIV/0!</v>
      </c>
      <c r="BB386" s="215" t="e">
        <f t="shared" si="237"/>
        <v>#DIV/0!</v>
      </c>
      <c r="BC386" s="215" t="e">
        <f t="shared" si="237"/>
        <v>#DIV/0!</v>
      </c>
      <c r="BD386" s="215" t="e">
        <f t="shared" si="237"/>
        <v>#DIV/0!</v>
      </c>
      <c r="BE386" s="215" t="e">
        <f t="shared" si="237"/>
        <v>#DIV/0!</v>
      </c>
    </row>
    <row r="387" spans="1:16384" s="199" customFormat="1">
      <c r="A387" s="171"/>
      <c r="B387" s="192" t="s">
        <v>1010</v>
      </c>
      <c r="C387" s="82" t="s">
        <v>1009</v>
      </c>
      <c r="D387" s="507"/>
      <c r="E387" s="507"/>
      <c r="F387" s="507"/>
      <c r="G387" s="507"/>
      <c r="H387" s="507"/>
      <c r="I387" s="507"/>
      <c r="J387" s="507"/>
      <c r="K387" s="507"/>
      <c r="L387" s="507"/>
      <c r="M387" s="507"/>
      <c r="N387" s="519"/>
      <c r="O387" s="519"/>
      <c r="P387" s="519"/>
      <c r="Q387" s="519"/>
      <c r="R387" s="519"/>
      <c r="S387" s="519">
        <f t="shared" ref="S387:AN387" si="238">-S394/S388</f>
        <v>38.720689655172414</v>
      </c>
      <c r="T387" s="519">
        <f t="shared" si="238"/>
        <v>36.935810810810636</v>
      </c>
      <c r="U387" s="519">
        <f t="shared" si="238"/>
        <v>35.201986754966832</v>
      </c>
      <c r="V387" s="519">
        <f t="shared" ref="V387" si="239">-V394/V388</f>
        <v>34.794612794613009</v>
      </c>
      <c r="W387" s="519">
        <f t="shared" si="238"/>
        <v>33.794612794613009</v>
      </c>
      <c r="X387" s="519">
        <f t="shared" si="238"/>
        <v>32.794612794613009</v>
      </c>
      <c r="Y387" s="519">
        <f t="shared" si="238"/>
        <v>31.794612794613009</v>
      </c>
      <c r="Z387" s="519">
        <f t="shared" si="238"/>
        <v>30.794612794613009</v>
      </c>
      <c r="AA387" s="519">
        <f t="shared" si="238"/>
        <v>29.794612794613009</v>
      </c>
      <c r="AB387" s="519">
        <f t="shared" si="238"/>
        <v>28.794612794613009</v>
      </c>
      <c r="AC387" s="519">
        <f t="shared" si="238"/>
        <v>27.794612794613009</v>
      </c>
      <c r="AD387" s="519">
        <f t="shared" si="238"/>
        <v>26.794612794613009</v>
      </c>
      <c r="AE387" s="519">
        <f t="shared" si="238"/>
        <v>25.794612794613009</v>
      </c>
      <c r="AF387" s="519">
        <f t="shared" si="238"/>
        <v>24.794612794613009</v>
      </c>
      <c r="AG387" s="519">
        <f t="shared" si="238"/>
        <v>23.794612794613009</v>
      </c>
      <c r="AH387" s="519">
        <f t="shared" si="238"/>
        <v>22.794612794613009</v>
      </c>
      <c r="AI387" s="519">
        <f t="shared" si="238"/>
        <v>21.794612794613009</v>
      </c>
      <c r="AJ387" s="519">
        <f t="shared" si="238"/>
        <v>20.794612794613009</v>
      </c>
      <c r="AK387" s="519">
        <f t="shared" si="238"/>
        <v>19.794612794613009</v>
      </c>
      <c r="AL387" s="519">
        <f t="shared" si="238"/>
        <v>18.794612794613009</v>
      </c>
      <c r="AM387" s="519">
        <f t="shared" si="238"/>
        <v>17.794612794613009</v>
      </c>
      <c r="AN387" s="519">
        <f t="shared" si="238"/>
        <v>16.794612794613009</v>
      </c>
      <c r="AO387" s="256">
        <f t="shared" ref="W387:BE388" si="240">AN387</f>
        <v>16.794612794613009</v>
      </c>
      <c r="AP387" s="256">
        <f t="shared" si="240"/>
        <v>16.794612794613009</v>
      </c>
      <c r="AQ387" s="256">
        <f t="shared" si="240"/>
        <v>16.794612794613009</v>
      </c>
      <c r="AR387" s="256">
        <f t="shared" si="240"/>
        <v>16.794612794613009</v>
      </c>
      <c r="AS387" s="256">
        <f t="shared" si="240"/>
        <v>16.794612794613009</v>
      </c>
      <c r="AT387" s="256">
        <f t="shared" si="240"/>
        <v>16.794612794613009</v>
      </c>
      <c r="AU387" s="256">
        <f t="shared" si="240"/>
        <v>16.794612794613009</v>
      </c>
      <c r="AV387" s="256">
        <f t="shared" si="240"/>
        <v>16.794612794613009</v>
      </c>
      <c r="AW387" s="256">
        <f t="shared" si="240"/>
        <v>16.794612794613009</v>
      </c>
      <c r="AX387" s="256">
        <f t="shared" si="240"/>
        <v>16.794612794613009</v>
      </c>
      <c r="AY387" s="256">
        <f t="shared" si="240"/>
        <v>16.794612794613009</v>
      </c>
      <c r="AZ387" s="256">
        <f t="shared" si="240"/>
        <v>16.794612794613009</v>
      </c>
      <c r="BA387" s="256">
        <f t="shared" si="240"/>
        <v>16.794612794613009</v>
      </c>
      <c r="BB387" s="256">
        <f t="shared" si="240"/>
        <v>16.794612794613009</v>
      </c>
      <c r="BC387" s="256">
        <f t="shared" si="240"/>
        <v>16.794612794613009</v>
      </c>
      <c r="BD387" s="256">
        <f t="shared" si="240"/>
        <v>16.794612794613009</v>
      </c>
      <c r="BE387" s="256">
        <f t="shared" si="240"/>
        <v>16.794612794613009</v>
      </c>
    </row>
    <row r="388" spans="1:16384" s="199" customFormat="1">
      <c r="A388" s="516"/>
      <c r="B388" s="192" t="s">
        <v>1577</v>
      </c>
      <c r="C388" s="82" t="s">
        <v>900</v>
      </c>
      <c r="D388" s="507"/>
      <c r="E388" s="507"/>
      <c r="F388" s="507"/>
      <c r="G388" s="507"/>
      <c r="H388" s="507"/>
      <c r="I388" s="507"/>
      <c r="J388" s="507"/>
      <c r="K388" s="507"/>
      <c r="L388" s="507"/>
      <c r="M388" s="507"/>
      <c r="N388" s="135"/>
      <c r="O388" s="135"/>
      <c r="P388" s="135"/>
      <c r="Q388" s="135"/>
      <c r="R388" s="135"/>
      <c r="S388" s="256">
        <f>S394-R394</f>
        <v>-29</v>
      </c>
      <c r="T388" s="256">
        <f>T394-S394</f>
        <v>-29.600000000000136</v>
      </c>
      <c r="U388" s="256">
        <f>U394-T394</f>
        <v>-30.200000000000045</v>
      </c>
      <c r="V388" s="256">
        <f>V394-U394</f>
        <v>-29.699999999999818</v>
      </c>
      <c r="W388" s="256">
        <f t="shared" si="240"/>
        <v>-29.699999999999818</v>
      </c>
      <c r="X388" s="256">
        <f t="shared" si="240"/>
        <v>-29.699999999999818</v>
      </c>
      <c r="Y388" s="256">
        <f t="shared" si="240"/>
        <v>-29.699999999999818</v>
      </c>
      <c r="Z388" s="256">
        <f t="shared" si="240"/>
        <v>-29.699999999999818</v>
      </c>
      <c r="AA388" s="256">
        <f t="shared" si="240"/>
        <v>-29.699999999999818</v>
      </c>
      <c r="AB388" s="256">
        <f t="shared" si="240"/>
        <v>-29.699999999999818</v>
      </c>
      <c r="AC388" s="256">
        <f t="shared" si="240"/>
        <v>-29.699999999999818</v>
      </c>
      <c r="AD388" s="256">
        <f t="shared" si="240"/>
        <v>-29.699999999999818</v>
      </c>
      <c r="AE388" s="256">
        <f t="shared" si="240"/>
        <v>-29.699999999999818</v>
      </c>
      <c r="AF388" s="256">
        <f t="shared" si="240"/>
        <v>-29.699999999999818</v>
      </c>
      <c r="AG388" s="256">
        <f t="shared" si="240"/>
        <v>-29.699999999999818</v>
      </c>
      <c r="AH388" s="256">
        <f t="shared" si="240"/>
        <v>-29.699999999999818</v>
      </c>
      <c r="AI388" s="256">
        <f t="shared" si="240"/>
        <v>-29.699999999999818</v>
      </c>
      <c r="AJ388" s="256">
        <f t="shared" si="240"/>
        <v>-29.699999999999818</v>
      </c>
      <c r="AK388" s="256">
        <f t="shared" si="240"/>
        <v>-29.699999999999818</v>
      </c>
      <c r="AL388" s="256">
        <f t="shared" si="240"/>
        <v>-29.699999999999818</v>
      </c>
      <c r="AM388" s="256">
        <f t="shared" si="240"/>
        <v>-29.699999999999818</v>
      </c>
      <c r="AN388" s="256">
        <f t="shared" si="240"/>
        <v>-29.699999999999818</v>
      </c>
      <c r="AO388" s="136">
        <f t="shared" ref="AO388:BE388" si="241">AN394/-AO387</f>
        <v>-29.699999999999822</v>
      </c>
      <c r="AP388" s="136">
        <f t="shared" si="241"/>
        <v>-27.931575781876358</v>
      </c>
      <c r="AQ388" s="136">
        <f t="shared" si="241"/>
        <v>-26.268448675377325</v>
      </c>
      <c r="AR388" s="136">
        <f t="shared" si="241"/>
        <v>-24.704348984802554</v>
      </c>
      <c r="AS388" s="136">
        <f t="shared" si="241"/>
        <v>-23.23338033033458</v>
      </c>
      <c r="AT388" s="136">
        <f t="shared" si="241"/>
        <v>-21.849997419727263</v>
      </c>
      <c r="AU388" s="136">
        <f t="shared" si="241"/>
        <v>-20.548985143532612</v>
      </c>
      <c r="AV388" s="136">
        <f t="shared" si="241"/>
        <v>-19.325438915058456</v>
      </c>
      <c r="AW388" s="136">
        <f t="shared" si="241"/>
        <v>-18.174746180942119</v>
      </c>
      <c r="AX388" s="136">
        <f t="shared" si="241"/>
        <v>-17.092569032638242</v>
      </c>
      <c r="AY388" s="136">
        <f t="shared" si="241"/>
        <v>-16.074827853269053</v>
      </c>
      <c r="AZ388" s="136">
        <f t="shared" si="241"/>
        <v>-15.117685938188691</v>
      </c>
      <c r="BA388" s="136">
        <f t="shared" si="241"/>
        <v>-14.217535031283724</v>
      </c>
      <c r="BB388" s="136">
        <f t="shared" si="241"/>
        <v>-13.370981722484363</v>
      </c>
      <c r="BC388" s="136">
        <f t="shared" si="241"/>
        <v>-12.574834655207336</v>
      </c>
      <c r="BD388" s="136">
        <f t="shared" si="241"/>
        <v>-11.826092495504744</v>
      </c>
      <c r="BE388" s="136">
        <f t="shared" si="241"/>
        <v>-11.121932617564715</v>
      </c>
    </row>
    <row r="389" spans="1:16384" s="199" customFormat="1">
      <c r="A389" s="516"/>
      <c r="B389" s="192" t="s">
        <v>1579</v>
      </c>
      <c r="C389" s="82"/>
      <c r="D389" s="507"/>
      <c r="E389" s="507"/>
      <c r="F389" s="507"/>
      <c r="G389" s="507"/>
      <c r="H389" s="507"/>
      <c r="I389" s="507"/>
      <c r="J389" s="507"/>
      <c r="K389" s="507"/>
      <c r="L389" s="507"/>
      <c r="M389" s="507"/>
      <c r="N389" s="135"/>
      <c r="O389" s="135"/>
      <c r="P389" s="135"/>
      <c r="Q389" s="135"/>
      <c r="R389" s="135"/>
      <c r="S389" s="214">
        <f t="shared" ref="S389:AN389" si="242">S132</f>
        <v>0</v>
      </c>
      <c r="T389" s="214">
        <f t="shared" si="242"/>
        <v>0</v>
      </c>
      <c r="U389" s="214">
        <f t="shared" si="242"/>
        <v>0</v>
      </c>
      <c r="V389" s="214">
        <f t="shared" si="242"/>
        <v>0</v>
      </c>
      <c r="W389" s="214">
        <f t="shared" si="242"/>
        <v>0</v>
      </c>
      <c r="X389" s="214">
        <f t="shared" si="242"/>
        <v>0</v>
      </c>
      <c r="Y389" s="214">
        <f t="shared" si="242"/>
        <v>0</v>
      </c>
      <c r="Z389" s="214">
        <f t="shared" si="242"/>
        <v>0</v>
      </c>
      <c r="AA389" s="214">
        <f t="shared" si="242"/>
        <v>0</v>
      </c>
      <c r="AB389" s="214">
        <f t="shared" si="242"/>
        <v>0</v>
      </c>
      <c r="AC389" s="214">
        <f t="shared" si="242"/>
        <v>0</v>
      </c>
      <c r="AD389" s="214">
        <f t="shared" si="242"/>
        <v>0</v>
      </c>
      <c r="AE389" s="214">
        <f t="shared" si="242"/>
        <v>0</v>
      </c>
      <c r="AF389" s="214">
        <f t="shared" si="242"/>
        <v>0</v>
      </c>
      <c r="AG389" s="214">
        <f t="shared" si="242"/>
        <v>0</v>
      </c>
      <c r="AH389" s="214">
        <f t="shared" si="242"/>
        <v>0</v>
      </c>
      <c r="AI389" s="214">
        <f t="shared" si="242"/>
        <v>0</v>
      </c>
      <c r="AJ389" s="214">
        <f t="shared" si="242"/>
        <v>0</v>
      </c>
      <c r="AK389" s="214">
        <f t="shared" si="242"/>
        <v>0</v>
      </c>
      <c r="AL389" s="214">
        <f t="shared" si="242"/>
        <v>0</v>
      </c>
      <c r="AM389" s="214">
        <f t="shared" si="242"/>
        <v>0</v>
      </c>
      <c r="AN389" s="214">
        <f t="shared" si="242"/>
        <v>0</v>
      </c>
      <c r="AO389" s="136"/>
      <c r="AP389" s="136"/>
      <c r="AQ389" s="136"/>
      <c r="AR389" s="136"/>
      <c r="AS389" s="136"/>
      <c r="AT389" s="136"/>
      <c r="AU389" s="136"/>
      <c r="AV389" s="136"/>
      <c r="AW389" s="136"/>
      <c r="AX389" s="136"/>
      <c r="AY389" s="136"/>
      <c r="AZ389" s="136"/>
      <c r="BA389" s="136"/>
      <c r="BB389" s="136"/>
      <c r="BC389" s="136"/>
      <c r="BD389" s="136"/>
      <c r="BE389" s="136"/>
    </row>
    <row r="390" spans="1:16384" s="199" customFormat="1">
      <c r="A390" s="1"/>
      <c r="B390" s="192" t="s">
        <v>1578</v>
      </c>
      <c r="C390" s="82" t="s">
        <v>900</v>
      </c>
      <c r="D390" s="507"/>
      <c r="E390" s="507"/>
      <c r="F390" s="507"/>
      <c r="G390" s="507"/>
      <c r="H390" s="507"/>
      <c r="I390" s="507"/>
      <c r="J390" s="507"/>
      <c r="K390" s="507"/>
      <c r="L390" s="507"/>
      <c r="M390" s="507"/>
      <c r="N390" s="214"/>
      <c r="O390" s="214"/>
      <c r="P390" s="214"/>
      <c r="Q390" s="214"/>
      <c r="R390" s="214"/>
      <c r="S390" s="214">
        <f t="shared" ref="S390:AN390" si="243">S129</f>
        <v>0</v>
      </c>
      <c r="T390" s="214">
        <f t="shared" si="243"/>
        <v>0</v>
      </c>
      <c r="U390" s="214">
        <f t="shared" si="243"/>
        <v>0</v>
      </c>
      <c r="V390" s="214">
        <f t="shared" si="243"/>
        <v>0</v>
      </c>
      <c r="W390" s="214">
        <f t="shared" si="243"/>
        <v>0</v>
      </c>
      <c r="X390" s="214">
        <f t="shared" si="243"/>
        <v>0</v>
      </c>
      <c r="Y390" s="214">
        <f t="shared" si="243"/>
        <v>0</v>
      </c>
      <c r="Z390" s="214">
        <f t="shared" si="243"/>
        <v>0</v>
      </c>
      <c r="AA390" s="214">
        <f t="shared" si="243"/>
        <v>0</v>
      </c>
      <c r="AB390" s="214">
        <f t="shared" si="243"/>
        <v>0</v>
      </c>
      <c r="AC390" s="214">
        <f t="shared" si="243"/>
        <v>0</v>
      </c>
      <c r="AD390" s="214">
        <f t="shared" si="243"/>
        <v>0</v>
      </c>
      <c r="AE390" s="214">
        <f t="shared" si="243"/>
        <v>0</v>
      </c>
      <c r="AF390" s="214">
        <f t="shared" si="243"/>
        <v>0</v>
      </c>
      <c r="AG390" s="214">
        <f t="shared" si="243"/>
        <v>0</v>
      </c>
      <c r="AH390" s="214">
        <f t="shared" si="243"/>
        <v>0</v>
      </c>
      <c r="AI390" s="214">
        <f t="shared" si="243"/>
        <v>0</v>
      </c>
      <c r="AJ390" s="214">
        <f t="shared" si="243"/>
        <v>0</v>
      </c>
      <c r="AK390" s="214">
        <f t="shared" si="243"/>
        <v>0</v>
      </c>
      <c r="AL390" s="214">
        <f t="shared" si="243"/>
        <v>0</v>
      </c>
      <c r="AM390" s="214">
        <f t="shared" si="243"/>
        <v>0</v>
      </c>
      <c r="AN390" s="214">
        <f t="shared" si="243"/>
        <v>0</v>
      </c>
      <c r="AO390" s="160">
        <v>0</v>
      </c>
      <c r="AP390" s="160">
        <v>0</v>
      </c>
      <c r="AQ390" s="160">
        <v>0</v>
      </c>
      <c r="AR390" s="160">
        <v>0</v>
      </c>
      <c r="AS390" s="160">
        <v>0</v>
      </c>
      <c r="AT390" s="160">
        <v>0</v>
      </c>
      <c r="AU390" s="160">
        <v>0</v>
      </c>
      <c r="AV390" s="160">
        <v>0</v>
      </c>
      <c r="AW390" s="160">
        <v>0</v>
      </c>
      <c r="AX390" s="160">
        <v>0</v>
      </c>
      <c r="AY390" s="160">
        <v>0</v>
      </c>
      <c r="AZ390" s="160">
        <v>0</v>
      </c>
      <c r="BA390" s="160">
        <v>0</v>
      </c>
      <c r="BB390" s="160">
        <v>0</v>
      </c>
      <c r="BC390" s="160">
        <v>0</v>
      </c>
      <c r="BD390" s="160">
        <v>0</v>
      </c>
      <c r="BE390" s="160">
        <v>0</v>
      </c>
    </row>
    <row r="391" spans="1:16384" s="199" customFormat="1">
      <c r="A391" s="516"/>
      <c r="B391" s="192" t="s">
        <v>1573</v>
      </c>
      <c r="C391" s="82" t="s">
        <v>900</v>
      </c>
      <c r="D391" s="507"/>
      <c r="E391" s="507"/>
      <c r="F391" s="507"/>
      <c r="G391" s="507"/>
      <c r="H391" s="507"/>
      <c r="I391" s="507"/>
      <c r="J391" s="507"/>
      <c r="K391" s="507"/>
      <c r="L391" s="507"/>
      <c r="M391" s="507"/>
      <c r="N391" s="518"/>
      <c r="O391" s="518"/>
      <c r="P391" s="256"/>
      <c r="Q391" s="256"/>
      <c r="R391" s="256"/>
      <c r="S391" s="160">
        <v>0</v>
      </c>
      <c r="T391" s="160">
        <v>0</v>
      </c>
      <c r="U391" s="160">
        <v>0</v>
      </c>
      <c r="V391" s="160">
        <v>0</v>
      </c>
      <c r="W391" s="160">
        <v>0</v>
      </c>
      <c r="X391" s="160">
        <v>0</v>
      </c>
      <c r="Y391" s="160">
        <v>0</v>
      </c>
      <c r="Z391" s="160">
        <v>0</v>
      </c>
      <c r="AA391" s="160">
        <v>0</v>
      </c>
      <c r="AB391" s="160">
        <v>0</v>
      </c>
      <c r="AC391" s="160">
        <v>0</v>
      </c>
      <c r="AD391" s="160">
        <v>0</v>
      </c>
      <c r="AE391" s="160">
        <v>0</v>
      </c>
      <c r="AF391" s="160">
        <v>0</v>
      </c>
      <c r="AG391" s="160">
        <v>0</v>
      </c>
      <c r="AH391" s="160">
        <v>0</v>
      </c>
      <c r="AI391" s="160">
        <v>0</v>
      </c>
      <c r="AJ391" s="160">
        <v>0</v>
      </c>
      <c r="AK391" s="160">
        <v>0</v>
      </c>
      <c r="AL391" s="160">
        <v>0</v>
      </c>
      <c r="AM391" s="160">
        <v>0</v>
      </c>
      <c r="AN391" s="160">
        <v>0</v>
      </c>
      <c r="AO391" s="160">
        <v>0</v>
      </c>
      <c r="AP391" s="160">
        <v>0</v>
      </c>
      <c r="AQ391" s="160">
        <v>0</v>
      </c>
      <c r="AR391" s="160">
        <v>0</v>
      </c>
      <c r="AS391" s="160">
        <v>0</v>
      </c>
      <c r="AT391" s="160">
        <v>0</v>
      </c>
      <c r="AU391" s="160">
        <v>0</v>
      </c>
      <c r="AV391" s="160">
        <v>0</v>
      </c>
      <c r="AW391" s="160">
        <v>0</v>
      </c>
      <c r="AX391" s="160">
        <v>0</v>
      </c>
      <c r="AY391" s="160">
        <v>0</v>
      </c>
      <c r="AZ391" s="160">
        <v>0</v>
      </c>
      <c r="BA391" s="160">
        <v>0</v>
      </c>
      <c r="BB391" s="160">
        <v>0</v>
      </c>
      <c r="BC391" s="160">
        <v>0</v>
      </c>
      <c r="BD391" s="160">
        <v>0</v>
      </c>
      <c r="BE391" s="160">
        <v>0</v>
      </c>
      <c r="BF391" s="160">
        <v>0</v>
      </c>
      <c r="BG391" s="160">
        <v>0</v>
      </c>
      <c r="BH391" s="160">
        <v>0</v>
      </c>
      <c r="BI391" s="160">
        <v>0</v>
      </c>
      <c r="BJ391" s="160">
        <v>0</v>
      </c>
      <c r="BK391" s="160">
        <v>0</v>
      </c>
      <c r="BL391" s="160">
        <v>0</v>
      </c>
      <c r="BM391" s="160">
        <v>0</v>
      </c>
      <c r="BN391" s="160">
        <v>0</v>
      </c>
      <c r="BO391" s="160">
        <v>0</v>
      </c>
      <c r="BP391" s="160">
        <v>0</v>
      </c>
      <c r="BQ391" s="160">
        <v>0</v>
      </c>
      <c r="BR391" s="160">
        <v>0</v>
      </c>
      <c r="BS391" s="160">
        <v>0</v>
      </c>
      <c r="BT391" s="160">
        <v>0</v>
      </c>
      <c r="BU391" s="160">
        <v>0</v>
      </c>
      <c r="BV391" s="160">
        <v>0</v>
      </c>
      <c r="BW391" s="160">
        <v>0</v>
      </c>
      <c r="BX391" s="160">
        <v>0</v>
      </c>
      <c r="BY391" s="160">
        <v>0</v>
      </c>
      <c r="BZ391" s="160">
        <v>0</v>
      </c>
      <c r="CA391" s="160">
        <v>0</v>
      </c>
      <c r="CB391" s="160">
        <v>0</v>
      </c>
      <c r="CC391" s="160">
        <v>0</v>
      </c>
      <c r="CD391" s="160">
        <v>0</v>
      </c>
      <c r="CE391" s="160">
        <v>0</v>
      </c>
      <c r="CF391" s="160">
        <v>0</v>
      </c>
      <c r="CG391" s="160">
        <v>0</v>
      </c>
      <c r="CH391" s="160">
        <v>0</v>
      </c>
      <c r="CI391" s="160">
        <v>0</v>
      </c>
      <c r="CJ391" s="160">
        <v>0</v>
      </c>
      <c r="CK391" s="160">
        <v>0</v>
      </c>
      <c r="CL391" s="160">
        <v>0</v>
      </c>
      <c r="CM391" s="160">
        <v>0</v>
      </c>
      <c r="CN391" s="160">
        <v>0</v>
      </c>
      <c r="CO391" s="160">
        <v>0</v>
      </c>
      <c r="CP391" s="160">
        <v>0</v>
      </c>
      <c r="CQ391" s="160">
        <v>0</v>
      </c>
      <c r="CR391" s="160">
        <v>0</v>
      </c>
      <c r="CS391" s="160">
        <v>0</v>
      </c>
      <c r="CT391" s="160">
        <v>0</v>
      </c>
      <c r="CU391" s="160">
        <v>0</v>
      </c>
      <c r="CV391" s="160">
        <v>0</v>
      </c>
      <c r="CW391" s="160">
        <v>0</v>
      </c>
      <c r="CX391" s="160">
        <v>0</v>
      </c>
      <c r="CY391" s="160">
        <v>0</v>
      </c>
      <c r="CZ391" s="160">
        <v>0</v>
      </c>
      <c r="DA391" s="160">
        <v>0</v>
      </c>
      <c r="DB391" s="160">
        <v>0</v>
      </c>
      <c r="DC391" s="160">
        <v>0</v>
      </c>
      <c r="DD391" s="160">
        <v>0</v>
      </c>
      <c r="DE391" s="160">
        <v>0</v>
      </c>
      <c r="DF391" s="160">
        <v>0</v>
      </c>
      <c r="DG391" s="160">
        <v>0</v>
      </c>
      <c r="DH391" s="160">
        <v>0</v>
      </c>
      <c r="DI391" s="160">
        <v>0</v>
      </c>
      <c r="DJ391" s="160">
        <v>0</v>
      </c>
      <c r="DK391" s="160">
        <v>0</v>
      </c>
      <c r="DL391" s="160">
        <v>0</v>
      </c>
      <c r="DM391" s="160">
        <v>0</v>
      </c>
      <c r="DN391" s="160">
        <v>0</v>
      </c>
      <c r="DO391" s="160">
        <v>0</v>
      </c>
      <c r="DP391" s="160">
        <v>0</v>
      </c>
      <c r="DQ391" s="160">
        <v>0</v>
      </c>
      <c r="DR391" s="160">
        <v>0</v>
      </c>
      <c r="DS391" s="160">
        <v>0</v>
      </c>
      <c r="DT391" s="160">
        <v>0</v>
      </c>
      <c r="DU391" s="160">
        <v>0</v>
      </c>
      <c r="DV391" s="160">
        <v>0</v>
      </c>
      <c r="DW391" s="160">
        <v>0</v>
      </c>
      <c r="DX391" s="160">
        <v>0</v>
      </c>
      <c r="DY391" s="160">
        <v>0</v>
      </c>
      <c r="DZ391" s="160">
        <v>0</v>
      </c>
      <c r="EA391" s="160">
        <v>0</v>
      </c>
      <c r="EB391" s="160">
        <v>0</v>
      </c>
      <c r="EC391" s="160">
        <v>0</v>
      </c>
      <c r="ED391" s="160">
        <v>0</v>
      </c>
      <c r="EE391" s="160">
        <v>0</v>
      </c>
      <c r="EF391" s="160">
        <v>0</v>
      </c>
      <c r="EG391" s="160">
        <v>0</v>
      </c>
      <c r="EH391" s="160">
        <v>0</v>
      </c>
      <c r="EI391" s="160">
        <v>0</v>
      </c>
      <c r="EJ391" s="160">
        <v>0</v>
      </c>
      <c r="EK391" s="160">
        <v>0</v>
      </c>
      <c r="EL391" s="160">
        <v>0</v>
      </c>
      <c r="EM391" s="160">
        <v>0</v>
      </c>
      <c r="EN391" s="160">
        <v>0</v>
      </c>
      <c r="EO391" s="160">
        <v>0</v>
      </c>
      <c r="EP391" s="160">
        <v>0</v>
      </c>
      <c r="EQ391" s="160">
        <v>0</v>
      </c>
      <c r="ER391" s="160">
        <v>0</v>
      </c>
      <c r="ES391" s="160">
        <v>0</v>
      </c>
      <c r="ET391" s="160">
        <v>0</v>
      </c>
      <c r="EU391" s="160">
        <v>0</v>
      </c>
      <c r="EV391" s="160">
        <v>0</v>
      </c>
      <c r="EW391" s="160">
        <v>0</v>
      </c>
      <c r="EX391" s="160">
        <v>0</v>
      </c>
      <c r="EY391" s="160">
        <v>0</v>
      </c>
      <c r="EZ391" s="160">
        <v>0</v>
      </c>
      <c r="FA391" s="160">
        <v>0</v>
      </c>
      <c r="FB391" s="160">
        <v>0</v>
      </c>
      <c r="FC391" s="160">
        <v>0</v>
      </c>
      <c r="FD391" s="160">
        <v>0</v>
      </c>
      <c r="FE391" s="160">
        <v>0</v>
      </c>
      <c r="FF391" s="160">
        <v>0</v>
      </c>
      <c r="FG391" s="160">
        <v>0</v>
      </c>
      <c r="FH391" s="160">
        <v>0</v>
      </c>
      <c r="FI391" s="160">
        <v>0</v>
      </c>
      <c r="FJ391" s="160">
        <v>0</v>
      </c>
      <c r="FK391" s="160">
        <v>0</v>
      </c>
      <c r="FL391" s="160">
        <v>0</v>
      </c>
      <c r="FM391" s="160">
        <v>0</v>
      </c>
      <c r="FN391" s="160">
        <v>0</v>
      </c>
      <c r="FO391" s="160">
        <v>0</v>
      </c>
      <c r="FP391" s="160">
        <v>0</v>
      </c>
      <c r="FQ391" s="160">
        <v>0</v>
      </c>
      <c r="FR391" s="160">
        <v>0</v>
      </c>
      <c r="FS391" s="160">
        <v>0</v>
      </c>
      <c r="FT391" s="160">
        <v>0</v>
      </c>
      <c r="FU391" s="160">
        <v>0</v>
      </c>
      <c r="FV391" s="160">
        <v>0</v>
      </c>
      <c r="FW391" s="160">
        <v>0</v>
      </c>
      <c r="FX391" s="160">
        <v>0</v>
      </c>
      <c r="FY391" s="160">
        <v>0</v>
      </c>
      <c r="FZ391" s="160">
        <v>0</v>
      </c>
      <c r="GA391" s="160">
        <v>0</v>
      </c>
      <c r="GB391" s="160">
        <v>0</v>
      </c>
      <c r="GC391" s="160">
        <v>0</v>
      </c>
      <c r="GD391" s="160">
        <v>0</v>
      </c>
      <c r="GE391" s="160">
        <v>0</v>
      </c>
      <c r="GF391" s="160">
        <v>0</v>
      </c>
      <c r="GG391" s="160">
        <v>0</v>
      </c>
      <c r="GH391" s="160">
        <v>0</v>
      </c>
      <c r="GI391" s="160">
        <v>0</v>
      </c>
      <c r="GJ391" s="160">
        <v>0</v>
      </c>
      <c r="GK391" s="160">
        <v>0</v>
      </c>
      <c r="GL391" s="160">
        <v>0</v>
      </c>
      <c r="GM391" s="160">
        <v>0</v>
      </c>
      <c r="GN391" s="160">
        <v>0</v>
      </c>
      <c r="GO391" s="160">
        <v>0</v>
      </c>
      <c r="GP391" s="160">
        <v>0</v>
      </c>
      <c r="GQ391" s="160">
        <v>0</v>
      </c>
      <c r="GR391" s="160">
        <v>0</v>
      </c>
      <c r="GS391" s="160">
        <v>0</v>
      </c>
      <c r="GT391" s="160">
        <v>0</v>
      </c>
      <c r="GU391" s="160">
        <v>0</v>
      </c>
      <c r="GV391" s="160">
        <v>0</v>
      </c>
      <c r="GW391" s="160">
        <v>0</v>
      </c>
      <c r="GX391" s="160">
        <v>0</v>
      </c>
      <c r="GY391" s="160">
        <v>0</v>
      </c>
      <c r="GZ391" s="160">
        <v>0</v>
      </c>
      <c r="HA391" s="160">
        <v>0</v>
      </c>
      <c r="HB391" s="160">
        <v>0</v>
      </c>
      <c r="HC391" s="160">
        <v>0</v>
      </c>
      <c r="HD391" s="160">
        <v>0</v>
      </c>
      <c r="HE391" s="160">
        <v>0</v>
      </c>
      <c r="HF391" s="160">
        <v>0</v>
      </c>
      <c r="HG391" s="160">
        <v>0</v>
      </c>
      <c r="HH391" s="160">
        <v>0</v>
      </c>
      <c r="HI391" s="160">
        <v>0</v>
      </c>
      <c r="HJ391" s="160">
        <v>0</v>
      </c>
      <c r="HK391" s="160">
        <v>0</v>
      </c>
      <c r="HL391" s="160">
        <v>0</v>
      </c>
      <c r="HM391" s="160">
        <v>0</v>
      </c>
      <c r="HN391" s="160">
        <v>0</v>
      </c>
      <c r="HO391" s="160">
        <v>0</v>
      </c>
      <c r="HP391" s="160">
        <v>0</v>
      </c>
      <c r="HQ391" s="160">
        <v>0</v>
      </c>
      <c r="HR391" s="160">
        <v>0</v>
      </c>
      <c r="HS391" s="160">
        <v>0</v>
      </c>
      <c r="HT391" s="160">
        <v>0</v>
      </c>
      <c r="HU391" s="160">
        <v>0</v>
      </c>
      <c r="HV391" s="160">
        <v>0</v>
      </c>
      <c r="HW391" s="160">
        <v>0</v>
      </c>
      <c r="HX391" s="160">
        <v>0</v>
      </c>
      <c r="HY391" s="160">
        <v>0</v>
      </c>
      <c r="HZ391" s="160">
        <v>0</v>
      </c>
      <c r="IA391" s="160">
        <v>0</v>
      </c>
      <c r="IB391" s="160">
        <v>0</v>
      </c>
      <c r="IC391" s="160">
        <v>0</v>
      </c>
      <c r="ID391" s="160">
        <v>0</v>
      </c>
      <c r="IE391" s="160">
        <v>0</v>
      </c>
      <c r="IF391" s="160">
        <v>0</v>
      </c>
      <c r="IG391" s="160">
        <v>0</v>
      </c>
      <c r="IH391" s="160">
        <v>0</v>
      </c>
      <c r="II391" s="160">
        <v>0</v>
      </c>
      <c r="IJ391" s="160">
        <v>0</v>
      </c>
      <c r="IK391" s="160">
        <v>0</v>
      </c>
      <c r="IL391" s="160">
        <v>0</v>
      </c>
      <c r="IM391" s="160">
        <v>0</v>
      </c>
      <c r="IN391" s="160">
        <v>0</v>
      </c>
      <c r="IO391" s="160">
        <v>0</v>
      </c>
      <c r="IP391" s="160">
        <v>0</v>
      </c>
      <c r="IQ391" s="160">
        <v>0</v>
      </c>
      <c r="IR391" s="160">
        <v>0</v>
      </c>
      <c r="IS391" s="160">
        <v>0</v>
      </c>
      <c r="IT391" s="160">
        <v>0</v>
      </c>
      <c r="IU391" s="160">
        <v>0</v>
      </c>
      <c r="IV391" s="160">
        <v>0</v>
      </c>
      <c r="IW391" s="160">
        <v>0</v>
      </c>
      <c r="IX391" s="160">
        <v>0</v>
      </c>
      <c r="IY391" s="160">
        <v>0</v>
      </c>
      <c r="IZ391" s="160">
        <v>0</v>
      </c>
      <c r="JA391" s="160">
        <v>0</v>
      </c>
      <c r="JB391" s="160">
        <v>0</v>
      </c>
      <c r="JC391" s="160">
        <v>0</v>
      </c>
      <c r="JD391" s="160">
        <v>0</v>
      </c>
      <c r="JE391" s="160">
        <v>0</v>
      </c>
      <c r="JF391" s="160">
        <v>0</v>
      </c>
      <c r="JG391" s="160">
        <v>0</v>
      </c>
      <c r="JH391" s="160">
        <v>0</v>
      </c>
      <c r="JI391" s="160">
        <v>0</v>
      </c>
      <c r="JJ391" s="160">
        <v>0</v>
      </c>
      <c r="JK391" s="160">
        <v>0</v>
      </c>
      <c r="JL391" s="160">
        <v>0</v>
      </c>
      <c r="JM391" s="160">
        <v>0</v>
      </c>
      <c r="JN391" s="160">
        <v>0</v>
      </c>
      <c r="JO391" s="160">
        <v>0</v>
      </c>
      <c r="JP391" s="160">
        <v>0</v>
      </c>
      <c r="JQ391" s="160">
        <v>0</v>
      </c>
      <c r="JR391" s="160">
        <v>0</v>
      </c>
      <c r="JS391" s="160">
        <v>0</v>
      </c>
      <c r="JT391" s="160">
        <v>0</v>
      </c>
      <c r="JU391" s="160">
        <v>0</v>
      </c>
      <c r="JV391" s="160">
        <v>0</v>
      </c>
      <c r="JW391" s="160">
        <v>0</v>
      </c>
      <c r="JX391" s="160">
        <v>0</v>
      </c>
      <c r="JY391" s="160">
        <v>0</v>
      </c>
      <c r="JZ391" s="160">
        <v>0</v>
      </c>
      <c r="KA391" s="160">
        <v>0</v>
      </c>
      <c r="KB391" s="160">
        <v>0</v>
      </c>
      <c r="KC391" s="160">
        <v>0</v>
      </c>
      <c r="KD391" s="160">
        <v>0</v>
      </c>
      <c r="KE391" s="160">
        <v>0</v>
      </c>
      <c r="KF391" s="160">
        <v>0</v>
      </c>
      <c r="KG391" s="160">
        <v>0</v>
      </c>
      <c r="KH391" s="160">
        <v>0</v>
      </c>
      <c r="KI391" s="160">
        <v>0</v>
      </c>
      <c r="KJ391" s="160">
        <v>0</v>
      </c>
      <c r="KK391" s="160">
        <v>0</v>
      </c>
      <c r="KL391" s="160">
        <v>0</v>
      </c>
      <c r="KM391" s="160">
        <v>0</v>
      </c>
      <c r="KN391" s="160">
        <v>0</v>
      </c>
      <c r="KO391" s="160">
        <v>0</v>
      </c>
      <c r="KP391" s="160">
        <v>0</v>
      </c>
      <c r="KQ391" s="160">
        <v>0</v>
      </c>
      <c r="KR391" s="160">
        <v>0</v>
      </c>
      <c r="KS391" s="160">
        <v>0</v>
      </c>
      <c r="KT391" s="160">
        <v>0</v>
      </c>
      <c r="KU391" s="160">
        <v>0</v>
      </c>
      <c r="KV391" s="160">
        <v>0</v>
      </c>
      <c r="KW391" s="160">
        <v>0</v>
      </c>
      <c r="KX391" s="160">
        <v>0</v>
      </c>
      <c r="KY391" s="160">
        <v>0</v>
      </c>
      <c r="KZ391" s="160">
        <v>0</v>
      </c>
      <c r="LA391" s="160">
        <v>0</v>
      </c>
      <c r="LB391" s="160">
        <v>0</v>
      </c>
      <c r="LC391" s="160">
        <v>0</v>
      </c>
      <c r="LD391" s="160">
        <v>0</v>
      </c>
      <c r="LE391" s="160">
        <v>0</v>
      </c>
      <c r="LF391" s="160">
        <v>0</v>
      </c>
      <c r="LG391" s="160">
        <v>0</v>
      </c>
      <c r="LH391" s="160">
        <v>0</v>
      </c>
      <c r="LI391" s="160">
        <v>0</v>
      </c>
      <c r="LJ391" s="160">
        <v>0</v>
      </c>
      <c r="LK391" s="160">
        <v>0</v>
      </c>
      <c r="LL391" s="160">
        <v>0</v>
      </c>
      <c r="LM391" s="160">
        <v>0</v>
      </c>
      <c r="LN391" s="160">
        <v>0</v>
      </c>
      <c r="LO391" s="160">
        <v>0</v>
      </c>
      <c r="LP391" s="160">
        <v>0</v>
      </c>
      <c r="LQ391" s="160">
        <v>0</v>
      </c>
      <c r="LR391" s="160">
        <v>0</v>
      </c>
      <c r="LS391" s="160">
        <v>0</v>
      </c>
      <c r="LT391" s="160">
        <v>0</v>
      </c>
      <c r="LU391" s="160">
        <v>0</v>
      </c>
      <c r="LV391" s="160">
        <v>0</v>
      </c>
      <c r="LW391" s="160">
        <v>0</v>
      </c>
      <c r="LX391" s="160">
        <v>0</v>
      </c>
      <c r="LY391" s="160">
        <v>0</v>
      </c>
      <c r="LZ391" s="160">
        <v>0</v>
      </c>
      <c r="MA391" s="160">
        <v>0</v>
      </c>
      <c r="MB391" s="160">
        <v>0</v>
      </c>
      <c r="MC391" s="160">
        <v>0</v>
      </c>
      <c r="MD391" s="160">
        <v>0</v>
      </c>
      <c r="ME391" s="160">
        <v>0</v>
      </c>
      <c r="MF391" s="160">
        <v>0</v>
      </c>
      <c r="MG391" s="160">
        <v>0</v>
      </c>
      <c r="MH391" s="160">
        <v>0</v>
      </c>
      <c r="MI391" s="160">
        <v>0</v>
      </c>
      <c r="MJ391" s="160">
        <v>0</v>
      </c>
      <c r="MK391" s="160">
        <v>0</v>
      </c>
      <c r="ML391" s="160">
        <v>0</v>
      </c>
      <c r="MM391" s="160">
        <v>0</v>
      </c>
      <c r="MN391" s="160">
        <v>0</v>
      </c>
      <c r="MO391" s="160">
        <v>0</v>
      </c>
      <c r="MP391" s="160">
        <v>0</v>
      </c>
      <c r="MQ391" s="160">
        <v>0</v>
      </c>
      <c r="MR391" s="160">
        <v>0</v>
      </c>
      <c r="MS391" s="160">
        <v>0</v>
      </c>
      <c r="MT391" s="160">
        <v>0</v>
      </c>
      <c r="MU391" s="160">
        <v>0</v>
      </c>
      <c r="MV391" s="160">
        <v>0</v>
      </c>
      <c r="MW391" s="160">
        <v>0</v>
      </c>
      <c r="MX391" s="160">
        <v>0</v>
      </c>
      <c r="MY391" s="160">
        <v>0</v>
      </c>
      <c r="MZ391" s="160">
        <v>0</v>
      </c>
      <c r="NA391" s="160">
        <v>0</v>
      </c>
      <c r="NB391" s="160">
        <v>0</v>
      </c>
      <c r="NC391" s="160">
        <v>0</v>
      </c>
      <c r="ND391" s="160">
        <v>0</v>
      </c>
      <c r="NE391" s="160">
        <v>0</v>
      </c>
      <c r="NF391" s="160">
        <v>0</v>
      </c>
      <c r="NG391" s="160">
        <v>0</v>
      </c>
      <c r="NH391" s="160">
        <v>0</v>
      </c>
      <c r="NI391" s="160">
        <v>0</v>
      </c>
      <c r="NJ391" s="160">
        <v>0</v>
      </c>
      <c r="NK391" s="160">
        <v>0</v>
      </c>
      <c r="NL391" s="160">
        <v>0</v>
      </c>
      <c r="NM391" s="160">
        <v>0</v>
      </c>
      <c r="NN391" s="160">
        <v>0</v>
      </c>
      <c r="NO391" s="160">
        <v>0</v>
      </c>
      <c r="NP391" s="160">
        <v>0</v>
      </c>
      <c r="NQ391" s="160">
        <v>0</v>
      </c>
      <c r="NR391" s="160">
        <v>0</v>
      </c>
      <c r="NS391" s="160">
        <v>0</v>
      </c>
      <c r="NT391" s="160">
        <v>0</v>
      </c>
      <c r="NU391" s="160">
        <v>0</v>
      </c>
      <c r="NV391" s="160">
        <v>0</v>
      </c>
      <c r="NW391" s="160">
        <v>0</v>
      </c>
      <c r="NX391" s="160">
        <v>0</v>
      </c>
      <c r="NY391" s="160">
        <v>0</v>
      </c>
      <c r="NZ391" s="160">
        <v>0</v>
      </c>
      <c r="OA391" s="160">
        <v>0</v>
      </c>
      <c r="OB391" s="160">
        <v>0</v>
      </c>
      <c r="OC391" s="160">
        <v>0</v>
      </c>
      <c r="OD391" s="160">
        <v>0</v>
      </c>
      <c r="OE391" s="160">
        <v>0</v>
      </c>
      <c r="OF391" s="160">
        <v>0</v>
      </c>
      <c r="OG391" s="160">
        <v>0</v>
      </c>
      <c r="OH391" s="160">
        <v>0</v>
      </c>
      <c r="OI391" s="160">
        <v>0</v>
      </c>
      <c r="OJ391" s="160">
        <v>0</v>
      </c>
      <c r="OK391" s="160">
        <v>0</v>
      </c>
      <c r="OL391" s="160">
        <v>0</v>
      </c>
      <c r="OM391" s="160">
        <v>0</v>
      </c>
      <c r="ON391" s="160">
        <v>0</v>
      </c>
      <c r="OO391" s="160">
        <v>0</v>
      </c>
      <c r="OP391" s="160">
        <v>0</v>
      </c>
      <c r="OQ391" s="160">
        <v>0</v>
      </c>
      <c r="OR391" s="160">
        <v>0</v>
      </c>
      <c r="OS391" s="160">
        <v>0</v>
      </c>
      <c r="OT391" s="160">
        <v>0</v>
      </c>
      <c r="OU391" s="160">
        <v>0</v>
      </c>
      <c r="OV391" s="160">
        <v>0</v>
      </c>
      <c r="OW391" s="160">
        <v>0</v>
      </c>
      <c r="OX391" s="160">
        <v>0</v>
      </c>
      <c r="OY391" s="160">
        <v>0</v>
      </c>
      <c r="OZ391" s="160">
        <v>0</v>
      </c>
      <c r="PA391" s="160">
        <v>0</v>
      </c>
      <c r="PB391" s="160">
        <v>0</v>
      </c>
      <c r="PC391" s="160">
        <v>0</v>
      </c>
      <c r="PD391" s="160">
        <v>0</v>
      </c>
      <c r="PE391" s="160">
        <v>0</v>
      </c>
      <c r="PF391" s="160">
        <v>0</v>
      </c>
      <c r="PG391" s="160">
        <v>0</v>
      </c>
      <c r="PH391" s="160">
        <v>0</v>
      </c>
      <c r="PI391" s="160">
        <v>0</v>
      </c>
      <c r="PJ391" s="160">
        <v>0</v>
      </c>
      <c r="PK391" s="160">
        <v>0</v>
      </c>
      <c r="PL391" s="160">
        <v>0</v>
      </c>
      <c r="PM391" s="160">
        <v>0</v>
      </c>
      <c r="PN391" s="160">
        <v>0</v>
      </c>
      <c r="PO391" s="160">
        <v>0</v>
      </c>
      <c r="PP391" s="160">
        <v>0</v>
      </c>
      <c r="PQ391" s="160">
        <v>0</v>
      </c>
      <c r="PR391" s="160">
        <v>0</v>
      </c>
      <c r="PS391" s="160">
        <v>0</v>
      </c>
      <c r="PT391" s="160">
        <v>0</v>
      </c>
      <c r="PU391" s="160">
        <v>0</v>
      </c>
      <c r="PV391" s="160">
        <v>0</v>
      </c>
      <c r="PW391" s="160">
        <v>0</v>
      </c>
      <c r="PX391" s="160">
        <v>0</v>
      </c>
      <c r="PY391" s="160">
        <v>0</v>
      </c>
      <c r="PZ391" s="160">
        <v>0</v>
      </c>
      <c r="QA391" s="160">
        <v>0</v>
      </c>
      <c r="QB391" s="160">
        <v>0</v>
      </c>
      <c r="QC391" s="160">
        <v>0</v>
      </c>
      <c r="QD391" s="160">
        <v>0</v>
      </c>
      <c r="QE391" s="160">
        <v>0</v>
      </c>
      <c r="QF391" s="160">
        <v>0</v>
      </c>
      <c r="QG391" s="160">
        <v>0</v>
      </c>
      <c r="QH391" s="160">
        <v>0</v>
      </c>
      <c r="QI391" s="160">
        <v>0</v>
      </c>
      <c r="QJ391" s="160">
        <v>0</v>
      </c>
      <c r="QK391" s="160">
        <v>0</v>
      </c>
      <c r="QL391" s="160">
        <v>0</v>
      </c>
      <c r="QM391" s="160">
        <v>0</v>
      </c>
      <c r="QN391" s="160">
        <v>0</v>
      </c>
      <c r="QO391" s="160">
        <v>0</v>
      </c>
      <c r="QP391" s="160">
        <v>0</v>
      </c>
      <c r="QQ391" s="160">
        <v>0</v>
      </c>
      <c r="QR391" s="160">
        <v>0</v>
      </c>
      <c r="QS391" s="160">
        <v>0</v>
      </c>
      <c r="QT391" s="160">
        <v>0</v>
      </c>
      <c r="QU391" s="160">
        <v>0</v>
      </c>
      <c r="QV391" s="160">
        <v>0</v>
      </c>
      <c r="QW391" s="160">
        <v>0</v>
      </c>
      <c r="QX391" s="160">
        <v>0</v>
      </c>
      <c r="QY391" s="160">
        <v>0</v>
      </c>
      <c r="QZ391" s="160">
        <v>0</v>
      </c>
      <c r="RA391" s="160">
        <v>0</v>
      </c>
      <c r="RB391" s="160">
        <v>0</v>
      </c>
      <c r="RC391" s="160">
        <v>0</v>
      </c>
      <c r="RD391" s="160">
        <v>0</v>
      </c>
      <c r="RE391" s="160">
        <v>0</v>
      </c>
      <c r="RF391" s="160">
        <v>0</v>
      </c>
      <c r="RG391" s="160">
        <v>0</v>
      </c>
      <c r="RH391" s="160">
        <v>0</v>
      </c>
      <c r="RI391" s="160">
        <v>0</v>
      </c>
      <c r="RJ391" s="160">
        <v>0</v>
      </c>
      <c r="RK391" s="160">
        <v>0</v>
      </c>
      <c r="RL391" s="160">
        <v>0</v>
      </c>
      <c r="RM391" s="160">
        <v>0</v>
      </c>
      <c r="RN391" s="160">
        <v>0</v>
      </c>
      <c r="RO391" s="160">
        <v>0</v>
      </c>
      <c r="RP391" s="160">
        <v>0</v>
      </c>
      <c r="RQ391" s="160">
        <v>0</v>
      </c>
      <c r="RR391" s="160">
        <v>0</v>
      </c>
      <c r="RS391" s="160">
        <v>0</v>
      </c>
      <c r="RT391" s="160">
        <v>0</v>
      </c>
      <c r="RU391" s="160">
        <v>0</v>
      </c>
      <c r="RV391" s="160">
        <v>0</v>
      </c>
      <c r="RW391" s="160">
        <v>0</v>
      </c>
      <c r="RX391" s="160">
        <v>0</v>
      </c>
      <c r="RY391" s="160">
        <v>0</v>
      </c>
      <c r="RZ391" s="160">
        <v>0</v>
      </c>
      <c r="SA391" s="160">
        <v>0</v>
      </c>
      <c r="SB391" s="160">
        <v>0</v>
      </c>
      <c r="SC391" s="160">
        <v>0</v>
      </c>
      <c r="SD391" s="160">
        <v>0</v>
      </c>
      <c r="SE391" s="160">
        <v>0</v>
      </c>
      <c r="SF391" s="160">
        <v>0</v>
      </c>
      <c r="SG391" s="160">
        <v>0</v>
      </c>
      <c r="SH391" s="160">
        <v>0</v>
      </c>
      <c r="SI391" s="160">
        <v>0</v>
      </c>
      <c r="SJ391" s="160">
        <v>0</v>
      </c>
      <c r="SK391" s="160">
        <v>0</v>
      </c>
      <c r="SL391" s="160">
        <v>0</v>
      </c>
      <c r="SM391" s="160">
        <v>0</v>
      </c>
      <c r="SN391" s="160">
        <v>0</v>
      </c>
      <c r="SO391" s="160">
        <v>0</v>
      </c>
      <c r="SP391" s="160">
        <v>0</v>
      </c>
      <c r="SQ391" s="160">
        <v>0</v>
      </c>
      <c r="SR391" s="160">
        <v>0</v>
      </c>
      <c r="SS391" s="160">
        <v>0</v>
      </c>
      <c r="ST391" s="160">
        <v>0</v>
      </c>
      <c r="SU391" s="160">
        <v>0</v>
      </c>
      <c r="SV391" s="160">
        <v>0</v>
      </c>
      <c r="SW391" s="160">
        <v>0</v>
      </c>
      <c r="SX391" s="160">
        <v>0</v>
      </c>
      <c r="SY391" s="160">
        <v>0</v>
      </c>
      <c r="SZ391" s="160">
        <v>0</v>
      </c>
      <c r="TA391" s="160">
        <v>0</v>
      </c>
      <c r="TB391" s="160">
        <v>0</v>
      </c>
      <c r="TC391" s="160">
        <v>0</v>
      </c>
      <c r="TD391" s="160">
        <v>0</v>
      </c>
      <c r="TE391" s="160">
        <v>0</v>
      </c>
      <c r="TF391" s="160">
        <v>0</v>
      </c>
      <c r="TG391" s="160">
        <v>0</v>
      </c>
      <c r="TH391" s="160">
        <v>0</v>
      </c>
      <c r="TI391" s="160">
        <v>0</v>
      </c>
      <c r="TJ391" s="160">
        <v>0</v>
      </c>
      <c r="TK391" s="160">
        <v>0</v>
      </c>
      <c r="TL391" s="160">
        <v>0</v>
      </c>
      <c r="TM391" s="160">
        <v>0</v>
      </c>
      <c r="TN391" s="160">
        <v>0</v>
      </c>
      <c r="TO391" s="160">
        <v>0</v>
      </c>
      <c r="TP391" s="160">
        <v>0</v>
      </c>
      <c r="TQ391" s="160">
        <v>0</v>
      </c>
      <c r="TR391" s="160">
        <v>0</v>
      </c>
      <c r="TS391" s="160">
        <v>0</v>
      </c>
      <c r="TT391" s="160">
        <v>0</v>
      </c>
      <c r="TU391" s="160">
        <v>0</v>
      </c>
      <c r="TV391" s="160">
        <v>0</v>
      </c>
      <c r="TW391" s="160">
        <v>0</v>
      </c>
      <c r="TX391" s="160">
        <v>0</v>
      </c>
      <c r="TY391" s="160">
        <v>0</v>
      </c>
      <c r="TZ391" s="160">
        <v>0</v>
      </c>
      <c r="UA391" s="160">
        <v>0</v>
      </c>
      <c r="UB391" s="160">
        <v>0</v>
      </c>
      <c r="UC391" s="160">
        <v>0</v>
      </c>
      <c r="UD391" s="160">
        <v>0</v>
      </c>
      <c r="UE391" s="160">
        <v>0</v>
      </c>
      <c r="UF391" s="160">
        <v>0</v>
      </c>
      <c r="UG391" s="160">
        <v>0</v>
      </c>
      <c r="UH391" s="160">
        <v>0</v>
      </c>
      <c r="UI391" s="160">
        <v>0</v>
      </c>
      <c r="UJ391" s="160">
        <v>0</v>
      </c>
      <c r="UK391" s="160">
        <v>0</v>
      </c>
      <c r="UL391" s="160">
        <v>0</v>
      </c>
      <c r="UM391" s="160">
        <v>0</v>
      </c>
      <c r="UN391" s="160">
        <v>0</v>
      </c>
      <c r="UO391" s="160">
        <v>0</v>
      </c>
      <c r="UP391" s="160">
        <v>0</v>
      </c>
      <c r="UQ391" s="160">
        <v>0</v>
      </c>
      <c r="UR391" s="160">
        <v>0</v>
      </c>
      <c r="US391" s="160">
        <v>0</v>
      </c>
      <c r="UT391" s="160">
        <v>0</v>
      </c>
      <c r="UU391" s="160">
        <v>0</v>
      </c>
      <c r="UV391" s="160">
        <v>0</v>
      </c>
      <c r="UW391" s="160">
        <v>0</v>
      </c>
      <c r="UX391" s="160">
        <v>0</v>
      </c>
      <c r="UY391" s="160">
        <v>0</v>
      </c>
      <c r="UZ391" s="160">
        <v>0</v>
      </c>
      <c r="VA391" s="160">
        <v>0</v>
      </c>
      <c r="VB391" s="160">
        <v>0</v>
      </c>
      <c r="VC391" s="160">
        <v>0</v>
      </c>
      <c r="VD391" s="160">
        <v>0</v>
      </c>
      <c r="VE391" s="160">
        <v>0</v>
      </c>
      <c r="VF391" s="160">
        <v>0</v>
      </c>
      <c r="VG391" s="160">
        <v>0</v>
      </c>
      <c r="VH391" s="160">
        <v>0</v>
      </c>
      <c r="VI391" s="160">
        <v>0</v>
      </c>
      <c r="VJ391" s="160">
        <v>0</v>
      </c>
      <c r="VK391" s="160">
        <v>0</v>
      </c>
      <c r="VL391" s="160">
        <v>0</v>
      </c>
      <c r="VM391" s="160">
        <v>0</v>
      </c>
      <c r="VN391" s="160">
        <v>0</v>
      </c>
      <c r="VO391" s="160">
        <v>0</v>
      </c>
      <c r="VP391" s="160">
        <v>0</v>
      </c>
      <c r="VQ391" s="160">
        <v>0</v>
      </c>
      <c r="VR391" s="160">
        <v>0</v>
      </c>
      <c r="VS391" s="160">
        <v>0</v>
      </c>
      <c r="VT391" s="160">
        <v>0</v>
      </c>
      <c r="VU391" s="160">
        <v>0</v>
      </c>
      <c r="VV391" s="160">
        <v>0</v>
      </c>
      <c r="VW391" s="160">
        <v>0</v>
      </c>
      <c r="VX391" s="160">
        <v>0</v>
      </c>
      <c r="VY391" s="160">
        <v>0</v>
      </c>
      <c r="VZ391" s="160">
        <v>0</v>
      </c>
      <c r="WA391" s="160">
        <v>0</v>
      </c>
      <c r="WB391" s="160">
        <v>0</v>
      </c>
      <c r="WC391" s="160">
        <v>0</v>
      </c>
      <c r="WD391" s="160">
        <v>0</v>
      </c>
      <c r="WE391" s="160">
        <v>0</v>
      </c>
      <c r="WF391" s="160">
        <v>0</v>
      </c>
      <c r="WG391" s="160">
        <v>0</v>
      </c>
      <c r="WH391" s="160">
        <v>0</v>
      </c>
      <c r="WI391" s="160">
        <v>0</v>
      </c>
      <c r="WJ391" s="160">
        <v>0</v>
      </c>
      <c r="WK391" s="160">
        <v>0</v>
      </c>
      <c r="WL391" s="160">
        <v>0</v>
      </c>
      <c r="WM391" s="160">
        <v>0</v>
      </c>
      <c r="WN391" s="160">
        <v>0</v>
      </c>
      <c r="WO391" s="160">
        <v>0</v>
      </c>
      <c r="WP391" s="160">
        <v>0</v>
      </c>
      <c r="WQ391" s="160">
        <v>0</v>
      </c>
      <c r="WR391" s="160">
        <v>0</v>
      </c>
      <c r="WS391" s="160">
        <v>0</v>
      </c>
      <c r="WT391" s="160">
        <v>0</v>
      </c>
      <c r="WU391" s="160">
        <v>0</v>
      </c>
      <c r="WV391" s="160">
        <v>0</v>
      </c>
      <c r="WW391" s="160">
        <v>0</v>
      </c>
      <c r="WX391" s="160">
        <v>0</v>
      </c>
      <c r="WY391" s="160">
        <v>0</v>
      </c>
      <c r="WZ391" s="160">
        <v>0</v>
      </c>
      <c r="XA391" s="160">
        <v>0</v>
      </c>
      <c r="XB391" s="160">
        <v>0</v>
      </c>
      <c r="XC391" s="160">
        <v>0</v>
      </c>
      <c r="XD391" s="160">
        <v>0</v>
      </c>
      <c r="XE391" s="160">
        <v>0</v>
      </c>
      <c r="XF391" s="160">
        <v>0</v>
      </c>
      <c r="XG391" s="160">
        <v>0</v>
      </c>
      <c r="XH391" s="160">
        <v>0</v>
      </c>
      <c r="XI391" s="160">
        <v>0</v>
      </c>
      <c r="XJ391" s="160">
        <v>0</v>
      </c>
      <c r="XK391" s="160">
        <v>0</v>
      </c>
      <c r="XL391" s="160">
        <v>0</v>
      </c>
      <c r="XM391" s="160">
        <v>0</v>
      </c>
      <c r="XN391" s="160">
        <v>0</v>
      </c>
      <c r="XO391" s="160">
        <v>0</v>
      </c>
      <c r="XP391" s="160">
        <v>0</v>
      </c>
      <c r="XQ391" s="160">
        <v>0</v>
      </c>
      <c r="XR391" s="160">
        <v>0</v>
      </c>
      <c r="XS391" s="160">
        <v>0</v>
      </c>
      <c r="XT391" s="160">
        <v>0</v>
      </c>
      <c r="XU391" s="160">
        <v>0</v>
      </c>
      <c r="XV391" s="160">
        <v>0</v>
      </c>
      <c r="XW391" s="160">
        <v>0</v>
      </c>
      <c r="XX391" s="160">
        <v>0</v>
      </c>
      <c r="XY391" s="160">
        <v>0</v>
      </c>
      <c r="XZ391" s="160">
        <v>0</v>
      </c>
      <c r="YA391" s="160">
        <v>0</v>
      </c>
      <c r="YB391" s="160">
        <v>0</v>
      </c>
      <c r="YC391" s="160">
        <v>0</v>
      </c>
      <c r="YD391" s="160">
        <v>0</v>
      </c>
      <c r="YE391" s="160">
        <v>0</v>
      </c>
      <c r="YF391" s="160">
        <v>0</v>
      </c>
      <c r="YG391" s="160">
        <v>0</v>
      </c>
      <c r="YH391" s="160">
        <v>0</v>
      </c>
      <c r="YI391" s="160">
        <v>0</v>
      </c>
      <c r="YJ391" s="160">
        <v>0</v>
      </c>
      <c r="YK391" s="160">
        <v>0</v>
      </c>
      <c r="YL391" s="160">
        <v>0</v>
      </c>
      <c r="YM391" s="160">
        <v>0</v>
      </c>
      <c r="YN391" s="160">
        <v>0</v>
      </c>
      <c r="YO391" s="160">
        <v>0</v>
      </c>
      <c r="YP391" s="160">
        <v>0</v>
      </c>
      <c r="YQ391" s="160">
        <v>0</v>
      </c>
      <c r="YR391" s="160">
        <v>0</v>
      </c>
      <c r="YS391" s="160">
        <v>0</v>
      </c>
      <c r="YT391" s="160">
        <v>0</v>
      </c>
      <c r="YU391" s="160">
        <v>0</v>
      </c>
      <c r="YV391" s="160">
        <v>0</v>
      </c>
      <c r="YW391" s="160">
        <v>0</v>
      </c>
      <c r="YX391" s="160">
        <v>0</v>
      </c>
      <c r="YY391" s="160">
        <v>0</v>
      </c>
      <c r="YZ391" s="160">
        <v>0</v>
      </c>
      <c r="ZA391" s="160">
        <v>0</v>
      </c>
      <c r="ZB391" s="160">
        <v>0</v>
      </c>
      <c r="ZC391" s="160">
        <v>0</v>
      </c>
      <c r="ZD391" s="160">
        <v>0</v>
      </c>
      <c r="ZE391" s="160">
        <v>0</v>
      </c>
      <c r="ZF391" s="160">
        <v>0</v>
      </c>
      <c r="ZG391" s="160">
        <v>0</v>
      </c>
      <c r="ZH391" s="160">
        <v>0</v>
      </c>
      <c r="ZI391" s="160">
        <v>0</v>
      </c>
      <c r="ZJ391" s="160">
        <v>0</v>
      </c>
      <c r="ZK391" s="160">
        <v>0</v>
      </c>
      <c r="ZL391" s="160">
        <v>0</v>
      </c>
      <c r="ZM391" s="160">
        <v>0</v>
      </c>
      <c r="ZN391" s="160">
        <v>0</v>
      </c>
      <c r="ZO391" s="160">
        <v>0</v>
      </c>
      <c r="ZP391" s="160">
        <v>0</v>
      </c>
      <c r="ZQ391" s="160">
        <v>0</v>
      </c>
      <c r="ZR391" s="160">
        <v>0</v>
      </c>
      <c r="ZS391" s="160">
        <v>0</v>
      </c>
      <c r="ZT391" s="160">
        <v>0</v>
      </c>
      <c r="ZU391" s="160">
        <v>0</v>
      </c>
      <c r="ZV391" s="160">
        <v>0</v>
      </c>
      <c r="ZW391" s="160">
        <v>0</v>
      </c>
      <c r="ZX391" s="160">
        <v>0</v>
      </c>
      <c r="ZY391" s="160">
        <v>0</v>
      </c>
      <c r="ZZ391" s="160">
        <v>0</v>
      </c>
      <c r="AAA391" s="160">
        <v>0</v>
      </c>
      <c r="AAB391" s="160">
        <v>0</v>
      </c>
      <c r="AAC391" s="160">
        <v>0</v>
      </c>
      <c r="AAD391" s="160">
        <v>0</v>
      </c>
      <c r="AAE391" s="160">
        <v>0</v>
      </c>
      <c r="AAF391" s="160">
        <v>0</v>
      </c>
      <c r="AAG391" s="160">
        <v>0</v>
      </c>
      <c r="AAH391" s="160">
        <v>0</v>
      </c>
      <c r="AAI391" s="160">
        <v>0</v>
      </c>
      <c r="AAJ391" s="160">
        <v>0</v>
      </c>
      <c r="AAK391" s="160">
        <v>0</v>
      </c>
      <c r="AAL391" s="160">
        <v>0</v>
      </c>
      <c r="AAM391" s="160">
        <v>0</v>
      </c>
      <c r="AAN391" s="160">
        <v>0</v>
      </c>
      <c r="AAO391" s="160">
        <v>0</v>
      </c>
      <c r="AAP391" s="160">
        <v>0</v>
      </c>
      <c r="AAQ391" s="160">
        <v>0</v>
      </c>
      <c r="AAR391" s="160">
        <v>0</v>
      </c>
      <c r="AAS391" s="160">
        <v>0</v>
      </c>
      <c r="AAT391" s="160">
        <v>0</v>
      </c>
      <c r="AAU391" s="160">
        <v>0</v>
      </c>
      <c r="AAV391" s="160">
        <v>0</v>
      </c>
      <c r="AAW391" s="160">
        <v>0</v>
      </c>
      <c r="AAX391" s="160">
        <v>0</v>
      </c>
      <c r="AAY391" s="160">
        <v>0</v>
      </c>
      <c r="AAZ391" s="160">
        <v>0</v>
      </c>
      <c r="ABA391" s="160">
        <v>0</v>
      </c>
      <c r="ABB391" s="160">
        <v>0</v>
      </c>
      <c r="ABC391" s="160">
        <v>0</v>
      </c>
      <c r="ABD391" s="160">
        <v>0</v>
      </c>
      <c r="ABE391" s="160">
        <v>0</v>
      </c>
      <c r="ABF391" s="160">
        <v>0</v>
      </c>
      <c r="ABG391" s="160">
        <v>0</v>
      </c>
      <c r="ABH391" s="160">
        <v>0</v>
      </c>
      <c r="ABI391" s="160">
        <v>0</v>
      </c>
      <c r="ABJ391" s="160">
        <v>0</v>
      </c>
      <c r="ABK391" s="160">
        <v>0</v>
      </c>
      <c r="ABL391" s="160">
        <v>0</v>
      </c>
      <c r="ABM391" s="160">
        <v>0</v>
      </c>
      <c r="ABN391" s="160">
        <v>0</v>
      </c>
      <c r="ABO391" s="160">
        <v>0</v>
      </c>
      <c r="ABP391" s="160">
        <v>0</v>
      </c>
      <c r="ABQ391" s="160">
        <v>0</v>
      </c>
      <c r="ABR391" s="160">
        <v>0</v>
      </c>
      <c r="ABS391" s="160">
        <v>0</v>
      </c>
      <c r="ABT391" s="160">
        <v>0</v>
      </c>
      <c r="ABU391" s="160">
        <v>0</v>
      </c>
      <c r="ABV391" s="160">
        <v>0</v>
      </c>
      <c r="ABW391" s="160">
        <v>0</v>
      </c>
      <c r="ABX391" s="160">
        <v>0</v>
      </c>
      <c r="ABY391" s="160">
        <v>0</v>
      </c>
      <c r="ABZ391" s="160">
        <v>0</v>
      </c>
      <c r="ACA391" s="160">
        <v>0</v>
      </c>
      <c r="ACB391" s="160">
        <v>0</v>
      </c>
      <c r="ACC391" s="160">
        <v>0</v>
      </c>
      <c r="ACD391" s="160">
        <v>0</v>
      </c>
      <c r="ACE391" s="160">
        <v>0</v>
      </c>
      <c r="ACF391" s="160">
        <v>0</v>
      </c>
      <c r="ACG391" s="160">
        <v>0</v>
      </c>
      <c r="ACH391" s="160">
        <v>0</v>
      </c>
      <c r="ACI391" s="160">
        <v>0</v>
      </c>
      <c r="ACJ391" s="160">
        <v>0</v>
      </c>
      <c r="ACK391" s="160">
        <v>0</v>
      </c>
      <c r="ACL391" s="160">
        <v>0</v>
      </c>
      <c r="ACM391" s="160">
        <v>0</v>
      </c>
      <c r="ACN391" s="160">
        <v>0</v>
      </c>
      <c r="ACO391" s="160">
        <v>0</v>
      </c>
      <c r="ACP391" s="160">
        <v>0</v>
      </c>
      <c r="ACQ391" s="160">
        <v>0</v>
      </c>
      <c r="ACR391" s="160">
        <v>0</v>
      </c>
      <c r="ACS391" s="160">
        <v>0</v>
      </c>
      <c r="ACT391" s="160">
        <v>0</v>
      </c>
      <c r="ACU391" s="160">
        <v>0</v>
      </c>
      <c r="ACV391" s="160">
        <v>0</v>
      </c>
      <c r="ACW391" s="160">
        <v>0</v>
      </c>
      <c r="ACX391" s="160">
        <v>0</v>
      </c>
      <c r="ACY391" s="160">
        <v>0</v>
      </c>
      <c r="ACZ391" s="160">
        <v>0</v>
      </c>
      <c r="ADA391" s="160">
        <v>0</v>
      </c>
      <c r="ADB391" s="160">
        <v>0</v>
      </c>
      <c r="ADC391" s="160">
        <v>0</v>
      </c>
      <c r="ADD391" s="160">
        <v>0</v>
      </c>
      <c r="ADE391" s="160">
        <v>0</v>
      </c>
      <c r="ADF391" s="160">
        <v>0</v>
      </c>
      <c r="ADG391" s="160">
        <v>0</v>
      </c>
      <c r="ADH391" s="160">
        <v>0</v>
      </c>
      <c r="ADI391" s="160">
        <v>0</v>
      </c>
      <c r="ADJ391" s="160">
        <v>0</v>
      </c>
      <c r="ADK391" s="160">
        <v>0</v>
      </c>
      <c r="ADL391" s="160">
        <v>0</v>
      </c>
      <c r="ADM391" s="160">
        <v>0</v>
      </c>
      <c r="ADN391" s="160">
        <v>0</v>
      </c>
      <c r="ADO391" s="160">
        <v>0</v>
      </c>
      <c r="ADP391" s="160">
        <v>0</v>
      </c>
      <c r="ADQ391" s="160">
        <v>0</v>
      </c>
      <c r="ADR391" s="160">
        <v>0</v>
      </c>
      <c r="ADS391" s="160">
        <v>0</v>
      </c>
      <c r="ADT391" s="160">
        <v>0</v>
      </c>
      <c r="ADU391" s="160">
        <v>0</v>
      </c>
      <c r="ADV391" s="160">
        <v>0</v>
      </c>
      <c r="ADW391" s="160">
        <v>0</v>
      </c>
      <c r="ADX391" s="160">
        <v>0</v>
      </c>
      <c r="ADY391" s="160">
        <v>0</v>
      </c>
      <c r="ADZ391" s="160">
        <v>0</v>
      </c>
      <c r="AEA391" s="160">
        <v>0</v>
      </c>
      <c r="AEB391" s="160">
        <v>0</v>
      </c>
      <c r="AEC391" s="160">
        <v>0</v>
      </c>
      <c r="AED391" s="160">
        <v>0</v>
      </c>
      <c r="AEE391" s="160">
        <v>0</v>
      </c>
      <c r="AEF391" s="160">
        <v>0</v>
      </c>
      <c r="AEG391" s="160">
        <v>0</v>
      </c>
      <c r="AEH391" s="160">
        <v>0</v>
      </c>
      <c r="AEI391" s="160">
        <v>0</v>
      </c>
      <c r="AEJ391" s="160">
        <v>0</v>
      </c>
      <c r="AEK391" s="160">
        <v>0</v>
      </c>
      <c r="AEL391" s="160">
        <v>0</v>
      </c>
      <c r="AEM391" s="160">
        <v>0</v>
      </c>
      <c r="AEN391" s="160">
        <v>0</v>
      </c>
      <c r="AEO391" s="160">
        <v>0</v>
      </c>
      <c r="AEP391" s="160">
        <v>0</v>
      </c>
      <c r="AEQ391" s="160">
        <v>0</v>
      </c>
      <c r="AER391" s="160">
        <v>0</v>
      </c>
      <c r="AES391" s="160">
        <v>0</v>
      </c>
      <c r="AET391" s="160">
        <v>0</v>
      </c>
      <c r="AEU391" s="160">
        <v>0</v>
      </c>
      <c r="AEV391" s="160">
        <v>0</v>
      </c>
      <c r="AEW391" s="160">
        <v>0</v>
      </c>
      <c r="AEX391" s="160">
        <v>0</v>
      </c>
      <c r="AEY391" s="160">
        <v>0</v>
      </c>
      <c r="AEZ391" s="160">
        <v>0</v>
      </c>
      <c r="AFA391" s="160">
        <v>0</v>
      </c>
      <c r="AFB391" s="160">
        <v>0</v>
      </c>
      <c r="AFC391" s="160">
        <v>0</v>
      </c>
      <c r="AFD391" s="160">
        <v>0</v>
      </c>
      <c r="AFE391" s="160">
        <v>0</v>
      </c>
      <c r="AFF391" s="160">
        <v>0</v>
      </c>
      <c r="AFG391" s="160">
        <v>0</v>
      </c>
      <c r="AFH391" s="160">
        <v>0</v>
      </c>
      <c r="AFI391" s="160">
        <v>0</v>
      </c>
      <c r="AFJ391" s="160">
        <v>0</v>
      </c>
      <c r="AFK391" s="160">
        <v>0</v>
      </c>
      <c r="AFL391" s="160">
        <v>0</v>
      </c>
      <c r="AFM391" s="160">
        <v>0</v>
      </c>
      <c r="AFN391" s="160">
        <v>0</v>
      </c>
      <c r="AFO391" s="160">
        <v>0</v>
      </c>
      <c r="AFP391" s="160">
        <v>0</v>
      </c>
      <c r="AFQ391" s="160">
        <v>0</v>
      </c>
      <c r="AFR391" s="160">
        <v>0</v>
      </c>
      <c r="AFS391" s="160">
        <v>0</v>
      </c>
      <c r="AFT391" s="160">
        <v>0</v>
      </c>
      <c r="AFU391" s="160">
        <v>0</v>
      </c>
      <c r="AFV391" s="160">
        <v>0</v>
      </c>
      <c r="AFW391" s="160">
        <v>0</v>
      </c>
      <c r="AFX391" s="160">
        <v>0</v>
      </c>
      <c r="AFY391" s="160">
        <v>0</v>
      </c>
      <c r="AFZ391" s="160">
        <v>0</v>
      </c>
      <c r="AGA391" s="160">
        <v>0</v>
      </c>
      <c r="AGB391" s="160">
        <v>0</v>
      </c>
      <c r="AGC391" s="160">
        <v>0</v>
      </c>
      <c r="AGD391" s="160">
        <v>0</v>
      </c>
      <c r="AGE391" s="160">
        <v>0</v>
      </c>
      <c r="AGF391" s="160">
        <v>0</v>
      </c>
      <c r="AGG391" s="160">
        <v>0</v>
      </c>
      <c r="AGH391" s="160">
        <v>0</v>
      </c>
      <c r="AGI391" s="160">
        <v>0</v>
      </c>
      <c r="AGJ391" s="160">
        <v>0</v>
      </c>
      <c r="AGK391" s="160">
        <v>0</v>
      </c>
      <c r="AGL391" s="160">
        <v>0</v>
      </c>
      <c r="AGM391" s="160">
        <v>0</v>
      </c>
      <c r="AGN391" s="160">
        <v>0</v>
      </c>
      <c r="AGO391" s="160">
        <v>0</v>
      </c>
      <c r="AGP391" s="160">
        <v>0</v>
      </c>
      <c r="AGQ391" s="160">
        <v>0</v>
      </c>
      <c r="AGR391" s="160">
        <v>0</v>
      </c>
      <c r="AGS391" s="160">
        <v>0</v>
      </c>
      <c r="AGT391" s="160">
        <v>0</v>
      </c>
      <c r="AGU391" s="160">
        <v>0</v>
      </c>
      <c r="AGV391" s="160">
        <v>0</v>
      </c>
      <c r="AGW391" s="160">
        <v>0</v>
      </c>
      <c r="AGX391" s="160">
        <v>0</v>
      </c>
      <c r="AGY391" s="160">
        <v>0</v>
      </c>
      <c r="AGZ391" s="160">
        <v>0</v>
      </c>
      <c r="AHA391" s="160">
        <v>0</v>
      </c>
      <c r="AHB391" s="160">
        <v>0</v>
      </c>
      <c r="AHC391" s="160">
        <v>0</v>
      </c>
      <c r="AHD391" s="160">
        <v>0</v>
      </c>
      <c r="AHE391" s="160">
        <v>0</v>
      </c>
      <c r="AHF391" s="160">
        <v>0</v>
      </c>
      <c r="AHG391" s="160">
        <v>0</v>
      </c>
      <c r="AHH391" s="160">
        <v>0</v>
      </c>
      <c r="AHI391" s="160">
        <v>0</v>
      </c>
      <c r="AHJ391" s="160">
        <v>0</v>
      </c>
      <c r="AHK391" s="160">
        <v>0</v>
      </c>
      <c r="AHL391" s="160">
        <v>0</v>
      </c>
      <c r="AHM391" s="160">
        <v>0</v>
      </c>
      <c r="AHN391" s="160">
        <v>0</v>
      </c>
      <c r="AHO391" s="160">
        <v>0</v>
      </c>
      <c r="AHP391" s="160">
        <v>0</v>
      </c>
      <c r="AHQ391" s="160">
        <v>0</v>
      </c>
      <c r="AHR391" s="160">
        <v>0</v>
      </c>
      <c r="AHS391" s="160">
        <v>0</v>
      </c>
      <c r="AHT391" s="160">
        <v>0</v>
      </c>
      <c r="AHU391" s="160">
        <v>0</v>
      </c>
      <c r="AHV391" s="160">
        <v>0</v>
      </c>
      <c r="AHW391" s="160">
        <v>0</v>
      </c>
      <c r="AHX391" s="160">
        <v>0</v>
      </c>
      <c r="AHY391" s="160">
        <v>0</v>
      </c>
      <c r="AHZ391" s="160">
        <v>0</v>
      </c>
      <c r="AIA391" s="160">
        <v>0</v>
      </c>
      <c r="AIB391" s="160">
        <v>0</v>
      </c>
      <c r="AIC391" s="160">
        <v>0</v>
      </c>
      <c r="AID391" s="160">
        <v>0</v>
      </c>
      <c r="AIE391" s="160">
        <v>0</v>
      </c>
      <c r="AIF391" s="160">
        <v>0</v>
      </c>
      <c r="AIG391" s="160">
        <v>0</v>
      </c>
      <c r="AIH391" s="160">
        <v>0</v>
      </c>
      <c r="AII391" s="160">
        <v>0</v>
      </c>
      <c r="AIJ391" s="160">
        <v>0</v>
      </c>
      <c r="AIK391" s="160">
        <v>0</v>
      </c>
      <c r="AIL391" s="160">
        <v>0</v>
      </c>
      <c r="AIM391" s="160">
        <v>0</v>
      </c>
      <c r="AIN391" s="160">
        <v>0</v>
      </c>
      <c r="AIO391" s="160">
        <v>0</v>
      </c>
      <c r="AIP391" s="160">
        <v>0</v>
      </c>
      <c r="AIQ391" s="160">
        <v>0</v>
      </c>
      <c r="AIR391" s="160">
        <v>0</v>
      </c>
      <c r="AIS391" s="160">
        <v>0</v>
      </c>
      <c r="AIT391" s="160">
        <v>0</v>
      </c>
      <c r="AIU391" s="160">
        <v>0</v>
      </c>
      <c r="AIV391" s="160">
        <v>0</v>
      </c>
      <c r="AIW391" s="160">
        <v>0</v>
      </c>
      <c r="AIX391" s="160">
        <v>0</v>
      </c>
      <c r="AIY391" s="160">
        <v>0</v>
      </c>
      <c r="AIZ391" s="160">
        <v>0</v>
      </c>
      <c r="AJA391" s="160">
        <v>0</v>
      </c>
      <c r="AJB391" s="160">
        <v>0</v>
      </c>
      <c r="AJC391" s="160">
        <v>0</v>
      </c>
      <c r="AJD391" s="160">
        <v>0</v>
      </c>
      <c r="AJE391" s="160">
        <v>0</v>
      </c>
      <c r="AJF391" s="160">
        <v>0</v>
      </c>
      <c r="AJG391" s="160">
        <v>0</v>
      </c>
      <c r="AJH391" s="160">
        <v>0</v>
      </c>
      <c r="AJI391" s="160">
        <v>0</v>
      </c>
      <c r="AJJ391" s="160">
        <v>0</v>
      </c>
      <c r="AJK391" s="160">
        <v>0</v>
      </c>
      <c r="AJL391" s="160">
        <v>0</v>
      </c>
      <c r="AJM391" s="160">
        <v>0</v>
      </c>
      <c r="AJN391" s="160">
        <v>0</v>
      </c>
      <c r="AJO391" s="160">
        <v>0</v>
      </c>
      <c r="AJP391" s="160">
        <v>0</v>
      </c>
      <c r="AJQ391" s="160">
        <v>0</v>
      </c>
      <c r="AJR391" s="160">
        <v>0</v>
      </c>
      <c r="AJS391" s="160">
        <v>0</v>
      </c>
      <c r="AJT391" s="160">
        <v>0</v>
      </c>
      <c r="AJU391" s="160">
        <v>0</v>
      </c>
      <c r="AJV391" s="160">
        <v>0</v>
      </c>
      <c r="AJW391" s="160">
        <v>0</v>
      </c>
      <c r="AJX391" s="160">
        <v>0</v>
      </c>
      <c r="AJY391" s="160">
        <v>0</v>
      </c>
      <c r="AJZ391" s="160">
        <v>0</v>
      </c>
      <c r="AKA391" s="160">
        <v>0</v>
      </c>
      <c r="AKB391" s="160">
        <v>0</v>
      </c>
      <c r="AKC391" s="160">
        <v>0</v>
      </c>
      <c r="AKD391" s="160">
        <v>0</v>
      </c>
      <c r="AKE391" s="160">
        <v>0</v>
      </c>
      <c r="AKF391" s="160">
        <v>0</v>
      </c>
      <c r="AKG391" s="160">
        <v>0</v>
      </c>
      <c r="AKH391" s="160">
        <v>0</v>
      </c>
      <c r="AKI391" s="160">
        <v>0</v>
      </c>
      <c r="AKJ391" s="160">
        <v>0</v>
      </c>
      <c r="AKK391" s="160">
        <v>0</v>
      </c>
      <c r="AKL391" s="160">
        <v>0</v>
      </c>
      <c r="AKM391" s="160">
        <v>0</v>
      </c>
      <c r="AKN391" s="160">
        <v>0</v>
      </c>
      <c r="AKO391" s="160">
        <v>0</v>
      </c>
      <c r="AKP391" s="160">
        <v>0</v>
      </c>
      <c r="AKQ391" s="160">
        <v>0</v>
      </c>
      <c r="AKR391" s="160">
        <v>0</v>
      </c>
      <c r="AKS391" s="160">
        <v>0</v>
      </c>
      <c r="AKT391" s="160">
        <v>0</v>
      </c>
      <c r="AKU391" s="160">
        <v>0</v>
      </c>
      <c r="AKV391" s="160">
        <v>0</v>
      </c>
      <c r="AKW391" s="160">
        <v>0</v>
      </c>
      <c r="AKX391" s="160">
        <v>0</v>
      </c>
      <c r="AKY391" s="160">
        <v>0</v>
      </c>
      <c r="AKZ391" s="160">
        <v>0</v>
      </c>
      <c r="ALA391" s="160">
        <v>0</v>
      </c>
      <c r="ALB391" s="160">
        <v>0</v>
      </c>
      <c r="ALC391" s="160">
        <v>0</v>
      </c>
      <c r="ALD391" s="160">
        <v>0</v>
      </c>
      <c r="ALE391" s="160">
        <v>0</v>
      </c>
      <c r="ALF391" s="160">
        <v>0</v>
      </c>
      <c r="ALG391" s="160">
        <v>0</v>
      </c>
      <c r="ALH391" s="160">
        <v>0</v>
      </c>
      <c r="ALI391" s="160">
        <v>0</v>
      </c>
      <c r="ALJ391" s="160">
        <v>0</v>
      </c>
      <c r="ALK391" s="160">
        <v>0</v>
      </c>
      <c r="ALL391" s="160">
        <v>0</v>
      </c>
      <c r="ALM391" s="160">
        <v>0</v>
      </c>
      <c r="ALN391" s="160">
        <v>0</v>
      </c>
      <c r="ALO391" s="160">
        <v>0</v>
      </c>
      <c r="ALP391" s="160">
        <v>0</v>
      </c>
      <c r="ALQ391" s="160">
        <v>0</v>
      </c>
      <c r="ALR391" s="160">
        <v>0</v>
      </c>
      <c r="ALS391" s="160">
        <v>0</v>
      </c>
      <c r="ALT391" s="160">
        <v>0</v>
      </c>
      <c r="ALU391" s="160">
        <v>0</v>
      </c>
      <c r="ALV391" s="160">
        <v>0</v>
      </c>
      <c r="ALW391" s="160">
        <v>0</v>
      </c>
      <c r="ALX391" s="160">
        <v>0</v>
      </c>
      <c r="ALY391" s="160">
        <v>0</v>
      </c>
      <c r="ALZ391" s="160">
        <v>0</v>
      </c>
      <c r="AMA391" s="160">
        <v>0</v>
      </c>
      <c r="AMB391" s="160">
        <v>0</v>
      </c>
      <c r="AMC391" s="160">
        <v>0</v>
      </c>
      <c r="AMD391" s="160">
        <v>0</v>
      </c>
      <c r="AME391" s="160">
        <v>0</v>
      </c>
      <c r="AMF391" s="160">
        <v>0</v>
      </c>
      <c r="AMG391" s="160">
        <v>0</v>
      </c>
      <c r="AMH391" s="160">
        <v>0</v>
      </c>
      <c r="AMI391" s="160">
        <v>0</v>
      </c>
      <c r="AMJ391" s="160">
        <v>0</v>
      </c>
      <c r="AMK391" s="160">
        <v>0</v>
      </c>
      <c r="AML391" s="160">
        <v>0</v>
      </c>
      <c r="AMM391" s="160">
        <v>0</v>
      </c>
      <c r="AMN391" s="160">
        <v>0</v>
      </c>
      <c r="AMO391" s="160">
        <v>0</v>
      </c>
      <c r="AMP391" s="160">
        <v>0</v>
      </c>
      <c r="AMQ391" s="160">
        <v>0</v>
      </c>
      <c r="AMR391" s="160">
        <v>0</v>
      </c>
      <c r="AMS391" s="160">
        <v>0</v>
      </c>
      <c r="AMT391" s="160">
        <v>0</v>
      </c>
      <c r="AMU391" s="160">
        <v>0</v>
      </c>
      <c r="AMV391" s="160">
        <v>0</v>
      </c>
      <c r="AMW391" s="160">
        <v>0</v>
      </c>
      <c r="AMX391" s="160">
        <v>0</v>
      </c>
      <c r="AMY391" s="160">
        <v>0</v>
      </c>
      <c r="AMZ391" s="160">
        <v>0</v>
      </c>
      <c r="ANA391" s="160">
        <v>0</v>
      </c>
      <c r="ANB391" s="160">
        <v>0</v>
      </c>
      <c r="ANC391" s="160">
        <v>0</v>
      </c>
      <c r="AND391" s="160">
        <v>0</v>
      </c>
      <c r="ANE391" s="160">
        <v>0</v>
      </c>
      <c r="ANF391" s="160">
        <v>0</v>
      </c>
      <c r="ANG391" s="160">
        <v>0</v>
      </c>
      <c r="ANH391" s="160">
        <v>0</v>
      </c>
      <c r="ANI391" s="160">
        <v>0</v>
      </c>
      <c r="ANJ391" s="160">
        <v>0</v>
      </c>
      <c r="ANK391" s="160">
        <v>0</v>
      </c>
      <c r="ANL391" s="160">
        <v>0</v>
      </c>
      <c r="ANM391" s="160">
        <v>0</v>
      </c>
      <c r="ANN391" s="160">
        <v>0</v>
      </c>
      <c r="ANO391" s="160">
        <v>0</v>
      </c>
      <c r="ANP391" s="160">
        <v>0</v>
      </c>
      <c r="ANQ391" s="160">
        <v>0</v>
      </c>
      <c r="ANR391" s="160">
        <v>0</v>
      </c>
      <c r="ANS391" s="160">
        <v>0</v>
      </c>
      <c r="ANT391" s="160">
        <v>0</v>
      </c>
      <c r="ANU391" s="160">
        <v>0</v>
      </c>
      <c r="ANV391" s="160">
        <v>0</v>
      </c>
      <c r="ANW391" s="160">
        <v>0</v>
      </c>
      <c r="ANX391" s="160">
        <v>0</v>
      </c>
      <c r="ANY391" s="160">
        <v>0</v>
      </c>
      <c r="ANZ391" s="160">
        <v>0</v>
      </c>
      <c r="AOA391" s="160">
        <v>0</v>
      </c>
      <c r="AOB391" s="160">
        <v>0</v>
      </c>
      <c r="AOC391" s="160">
        <v>0</v>
      </c>
      <c r="AOD391" s="160">
        <v>0</v>
      </c>
      <c r="AOE391" s="160">
        <v>0</v>
      </c>
      <c r="AOF391" s="160">
        <v>0</v>
      </c>
      <c r="AOG391" s="160">
        <v>0</v>
      </c>
      <c r="AOH391" s="160">
        <v>0</v>
      </c>
      <c r="AOI391" s="160">
        <v>0</v>
      </c>
      <c r="AOJ391" s="160">
        <v>0</v>
      </c>
      <c r="AOK391" s="160">
        <v>0</v>
      </c>
      <c r="AOL391" s="160">
        <v>0</v>
      </c>
      <c r="AOM391" s="160">
        <v>0</v>
      </c>
      <c r="AON391" s="160">
        <v>0</v>
      </c>
      <c r="AOO391" s="160">
        <v>0</v>
      </c>
      <c r="AOP391" s="160">
        <v>0</v>
      </c>
      <c r="AOQ391" s="160">
        <v>0</v>
      </c>
      <c r="AOR391" s="160">
        <v>0</v>
      </c>
      <c r="AOS391" s="160">
        <v>0</v>
      </c>
      <c r="AOT391" s="160">
        <v>0</v>
      </c>
      <c r="AOU391" s="160">
        <v>0</v>
      </c>
      <c r="AOV391" s="160">
        <v>0</v>
      </c>
      <c r="AOW391" s="160">
        <v>0</v>
      </c>
      <c r="AOX391" s="160">
        <v>0</v>
      </c>
      <c r="AOY391" s="160">
        <v>0</v>
      </c>
      <c r="AOZ391" s="160">
        <v>0</v>
      </c>
      <c r="APA391" s="160">
        <v>0</v>
      </c>
      <c r="APB391" s="160">
        <v>0</v>
      </c>
      <c r="APC391" s="160">
        <v>0</v>
      </c>
      <c r="APD391" s="160">
        <v>0</v>
      </c>
      <c r="APE391" s="160">
        <v>0</v>
      </c>
      <c r="APF391" s="160">
        <v>0</v>
      </c>
      <c r="APG391" s="160">
        <v>0</v>
      </c>
      <c r="APH391" s="160">
        <v>0</v>
      </c>
      <c r="API391" s="160">
        <v>0</v>
      </c>
      <c r="APJ391" s="160">
        <v>0</v>
      </c>
      <c r="APK391" s="160">
        <v>0</v>
      </c>
      <c r="APL391" s="160">
        <v>0</v>
      </c>
      <c r="APM391" s="160">
        <v>0</v>
      </c>
      <c r="APN391" s="160">
        <v>0</v>
      </c>
      <c r="APO391" s="160">
        <v>0</v>
      </c>
      <c r="APP391" s="160">
        <v>0</v>
      </c>
      <c r="APQ391" s="160">
        <v>0</v>
      </c>
      <c r="APR391" s="160">
        <v>0</v>
      </c>
      <c r="APS391" s="160">
        <v>0</v>
      </c>
      <c r="APT391" s="160">
        <v>0</v>
      </c>
      <c r="APU391" s="160">
        <v>0</v>
      </c>
      <c r="APV391" s="160">
        <v>0</v>
      </c>
      <c r="APW391" s="160">
        <v>0</v>
      </c>
      <c r="APX391" s="160">
        <v>0</v>
      </c>
      <c r="APY391" s="160">
        <v>0</v>
      </c>
      <c r="APZ391" s="160">
        <v>0</v>
      </c>
      <c r="AQA391" s="160">
        <v>0</v>
      </c>
      <c r="AQB391" s="160">
        <v>0</v>
      </c>
      <c r="AQC391" s="160">
        <v>0</v>
      </c>
      <c r="AQD391" s="160">
        <v>0</v>
      </c>
      <c r="AQE391" s="160">
        <v>0</v>
      </c>
      <c r="AQF391" s="160">
        <v>0</v>
      </c>
      <c r="AQG391" s="160">
        <v>0</v>
      </c>
      <c r="AQH391" s="160">
        <v>0</v>
      </c>
      <c r="AQI391" s="160">
        <v>0</v>
      </c>
      <c r="AQJ391" s="160">
        <v>0</v>
      </c>
      <c r="AQK391" s="160">
        <v>0</v>
      </c>
      <c r="AQL391" s="160">
        <v>0</v>
      </c>
      <c r="AQM391" s="160">
        <v>0</v>
      </c>
      <c r="AQN391" s="160">
        <v>0</v>
      </c>
      <c r="AQO391" s="160">
        <v>0</v>
      </c>
      <c r="AQP391" s="160">
        <v>0</v>
      </c>
      <c r="AQQ391" s="160">
        <v>0</v>
      </c>
      <c r="AQR391" s="160">
        <v>0</v>
      </c>
      <c r="AQS391" s="160">
        <v>0</v>
      </c>
      <c r="AQT391" s="160">
        <v>0</v>
      </c>
      <c r="AQU391" s="160">
        <v>0</v>
      </c>
      <c r="AQV391" s="160">
        <v>0</v>
      </c>
      <c r="AQW391" s="160">
        <v>0</v>
      </c>
      <c r="AQX391" s="160">
        <v>0</v>
      </c>
      <c r="AQY391" s="160">
        <v>0</v>
      </c>
      <c r="AQZ391" s="160">
        <v>0</v>
      </c>
      <c r="ARA391" s="160">
        <v>0</v>
      </c>
      <c r="ARB391" s="160">
        <v>0</v>
      </c>
      <c r="ARC391" s="160">
        <v>0</v>
      </c>
      <c r="ARD391" s="160">
        <v>0</v>
      </c>
      <c r="ARE391" s="160">
        <v>0</v>
      </c>
      <c r="ARF391" s="160">
        <v>0</v>
      </c>
      <c r="ARG391" s="160">
        <v>0</v>
      </c>
      <c r="ARH391" s="160">
        <v>0</v>
      </c>
      <c r="ARI391" s="160">
        <v>0</v>
      </c>
      <c r="ARJ391" s="160">
        <v>0</v>
      </c>
      <c r="ARK391" s="160">
        <v>0</v>
      </c>
      <c r="ARL391" s="160">
        <v>0</v>
      </c>
      <c r="ARM391" s="160">
        <v>0</v>
      </c>
      <c r="ARN391" s="160">
        <v>0</v>
      </c>
      <c r="ARO391" s="160">
        <v>0</v>
      </c>
      <c r="ARP391" s="160">
        <v>0</v>
      </c>
      <c r="ARQ391" s="160">
        <v>0</v>
      </c>
      <c r="ARR391" s="160">
        <v>0</v>
      </c>
      <c r="ARS391" s="160">
        <v>0</v>
      </c>
      <c r="ART391" s="160">
        <v>0</v>
      </c>
      <c r="ARU391" s="160">
        <v>0</v>
      </c>
      <c r="ARV391" s="160">
        <v>0</v>
      </c>
      <c r="ARW391" s="160">
        <v>0</v>
      </c>
      <c r="ARX391" s="160">
        <v>0</v>
      </c>
      <c r="ARY391" s="160">
        <v>0</v>
      </c>
      <c r="ARZ391" s="160">
        <v>0</v>
      </c>
      <c r="ASA391" s="160">
        <v>0</v>
      </c>
      <c r="ASB391" s="160">
        <v>0</v>
      </c>
      <c r="ASC391" s="160">
        <v>0</v>
      </c>
      <c r="ASD391" s="160">
        <v>0</v>
      </c>
      <c r="ASE391" s="160">
        <v>0</v>
      </c>
      <c r="ASF391" s="160">
        <v>0</v>
      </c>
      <c r="ASG391" s="160">
        <v>0</v>
      </c>
      <c r="ASH391" s="160">
        <v>0</v>
      </c>
      <c r="ASI391" s="160">
        <v>0</v>
      </c>
      <c r="ASJ391" s="160">
        <v>0</v>
      </c>
      <c r="ASK391" s="160">
        <v>0</v>
      </c>
      <c r="ASL391" s="160">
        <v>0</v>
      </c>
      <c r="ASM391" s="160">
        <v>0</v>
      </c>
      <c r="ASN391" s="160">
        <v>0</v>
      </c>
      <c r="ASO391" s="160">
        <v>0</v>
      </c>
      <c r="ASP391" s="160">
        <v>0</v>
      </c>
      <c r="ASQ391" s="160">
        <v>0</v>
      </c>
      <c r="ASR391" s="160">
        <v>0</v>
      </c>
      <c r="ASS391" s="160">
        <v>0</v>
      </c>
      <c r="AST391" s="160">
        <v>0</v>
      </c>
      <c r="ASU391" s="160">
        <v>0</v>
      </c>
      <c r="ASV391" s="160">
        <v>0</v>
      </c>
      <c r="ASW391" s="160">
        <v>0</v>
      </c>
      <c r="ASX391" s="160">
        <v>0</v>
      </c>
      <c r="ASY391" s="160">
        <v>0</v>
      </c>
      <c r="ASZ391" s="160">
        <v>0</v>
      </c>
      <c r="ATA391" s="160">
        <v>0</v>
      </c>
      <c r="ATB391" s="160">
        <v>0</v>
      </c>
      <c r="ATC391" s="160">
        <v>0</v>
      </c>
      <c r="ATD391" s="160">
        <v>0</v>
      </c>
      <c r="ATE391" s="160">
        <v>0</v>
      </c>
      <c r="ATF391" s="160">
        <v>0</v>
      </c>
      <c r="ATG391" s="160">
        <v>0</v>
      </c>
      <c r="ATH391" s="160">
        <v>0</v>
      </c>
      <c r="ATI391" s="160">
        <v>0</v>
      </c>
      <c r="ATJ391" s="160">
        <v>0</v>
      </c>
      <c r="ATK391" s="160">
        <v>0</v>
      </c>
      <c r="ATL391" s="160">
        <v>0</v>
      </c>
      <c r="ATM391" s="160">
        <v>0</v>
      </c>
      <c r="ATN391" s="160">
        <v>0</v>
      </c>
      <c r="ATO391" s="160">
        <v>0</v>
      </c>
      <c r="ATP391" s="160">
        <v>0</v>
      </c>
      <c r="ATQ391" s="160">
        <v>0</v>
      </c>
      <c r="ATR391" s="160">
        <v>0</v>
      </c>
      <c r="ATS391" s="160">
        <v>0</v>
      </c>
      <c r="ATT391" s="160">
        <v>0</v>
      </c>
      <c r="ATU391" s="160">
        <v>0</v>
      </c>
      <c r="ATV391" s="160">
        <v>0</v>
      </c>
      <c r="ATW391" s="160">
        <v>0</v>
      </c>
      <c r="ATX391" s="160">
        <v>0</v>
      </c>
      <c r="ATY391" s="160">
        <v>0</v>
      </c>
      <c r="ATZ391" s="160">
        <v>0</v>
      </c>
      <c r="AUA391" s="160">
        <v>0</v>
      </c>
      <c r="AUB391" s="160">
        <v>0</v>
      </c>
      <c r="AUC391" s="160">
        <v>0</v>
      </c>
      <c r="AUD391" s="160">
        <v>0</v>
      </c>
      <c r="AUE391" s="160">
        <v>0</v>
      </c>
      <c r="AUF391" s="160">
        <v>0</v>
      </c>
      <c r="AUG391" s="160">
        <v>0</v>
      </c>
      <c r="AUH391" s="160">
        <v>0</v>
      </c>
      <c r="AUI391" s="160">
        <v>0</v>
      </c>
      <c r="AUJ391" s="160">
        <v>0</v>
      </c>
      <c r="AUK391" s="160">
        <v>0</v>
      </c>
      <c r="AUL391" s="160">
        <v>0</v>
      </c>
      <c r="AUM391" s="160">
        <v>0</v>
      </c>
      <c r="AUN391" s="160">
        <v>0</v>
      </c>
      <c r="AUO391" s="160">
        <v>0</v>
      </c>
      <c r="AUP391" s="160">
        <v>0</v>
      </c>
      <c r="AUQ391" s="160">
        <v>0</v>
      </c>
      <c r="AUR391" s="160">
        <v>0</v>
      </c>
      <c r="AUS391" s="160">
        <v>0</v>
      </c>
      <c r="AUT391" s="160">
        <v>0</v>
      </c>
      <c r="AUU391" s="160">
        <v>0</v>
      </c>
      <c r="AUV391" s="160">
        <v>0</v>
      </c>
      <c r="AUW391" s="160">
        <v>0</v>
      </c>
      <c r="AUX391" s="160">
        <v>0</v>
      </c>
      <c r="AUY391" s="160">
        <v>0</v>
      </c>
      <c r="AUZ391" s="160">
        <v>0</v>
      </c>
      <c r="AVA391" s="160">
        <v>0</v>
      </c>
      <c r="AVB391" s="160">
        <v>0</v>
      </c>
      <c r="AVC391" s="160">
        <v>0</v>
      </c>
      <c r="AVD391" s="160">
        <v>0</v>
      </c>
      <c r="AVE391" s="160">
        <v>0</v>
      </c>
      <c r="AVF391" s="160">
        <v>0</v>
      </c>
      <c r="AVG391" s="160">
        <v>0</v>
      </c>
      <c r="AVH391" s="160">
        <v>0</v>
      </c>
      <c r="AVI391" s="160">
        <v>0</v>
      </c>
      <c r="AVJ391" s="160">
        <v>0</v>
      </c>
      <c r="AVK391" s="160">
        <v>0</v>
      </c>
      <c r="AVL391" s="160">
        <v>0</v>
      </c>
      <c r="AVM391" s="160">
        <v>0</v>
      </c>
      <c r="AVN391" s="160">
        <v>0</v>
      </c>
      <c r="AVO391" s="160">
        <v>0</v>
      </c>
      <c r="AVP391" s="160">
        <v>0</v>
      </c>
      <c r="AVQ391" s="160">
        <v>0</v>
      </c>
      <c r="AVR391" s="160">
        <v>0</v>
      </c>
      <c r="AVS391" s="160">
        <v>0</v>
      </c>
      <c r="AVT391" s="160">
        <v>0</v>
      </c>
      <c r="AVU391" s="160">
        <v>0</v>
      </c>
      <c r="AVV391" s="160">
        <v>0</v>
      </c>
      <c r="AVW391" s="160">
        <v>0</v>
      </c>
      <c r="AVX391" s="160">
        <v>0</v>
      </c>
      <c r="AVY391" s="160">
        <v>0</v>
      </c>
      <c r="AVZ391" s="160">
        <v>0</v>
      </c>
      <c r="AWA391" s="160">
        <v>0</v>
      </c>
      <c r="AWB391" s="160">
        <v>0</v>
      </c>
      <c r="AWC391" s="160">
        <v>0</v>
      </c>
      <c r="AWD391" s="160">
        <v>0</v>
      </c>
      <c r="AWE391" s="160">
        <v>0</v>
      </c>
      <c r="AWF391" s="160">
        <v>0</v>
      </c>
      <c r="AWG391" s="160">
        <v>0</v>
      </c>
      <c r="AWH391" s="160">
        <v>0</v>
      </c>
      <c r="AWI391" s="160">
        <v>0</v>
      </c>
      <c r="AWJ391" s="160">
        <v>0</v>
      </c>
      <c r="AWK391" s="160">
        <v>0</v>
      </c>
      <c r="AWL391" s="160">
        <v>0</v>
      </c>
      <c r="AWM391" s="160">
        <v>0</v>
      </c>
      <c r="AWN391" s="160">
        <v>0</v>
      </c>
      <c r="AWO391" s="160">
        <v>0</v>
      </c>
      <c r="AWP391" s="160">
        <v>0</v>
      </c>
      <c r="AWQ391" s="160">
        <v>0</v>
      </c>
      <c r="AWR391" s="160">
        <v>0</v>
      </c>
      <c r="AWS391" s="160">
        <v>0</v>
      </c>
      <c r="AWT391" s="160">
        <v>0</v>
      </c>
      <c r="AWU391" s="160">
        <v>0</v>
      </c>
      <c r="AWV391" s="160">
        <v>0</v>
      </c>
      <c r="AWW391" s="160">
        <v>0</v>
      </c>
      <c r="AWX391" s="160">
        <v>0</v>
      </c>
      <c r="AWY391" s="160">
        <v>0</v>
      </c>
      <c r="AWZ391" s="160">
        <v>0</v>
      </c>
      <c r="AXA391" s="160">
        <v>0</v>
      </c>
      <c r="AXB391" s="160">
        <v>0</v>
      </c>
      <c r="AXC391" s="160">
        <v>0</v>
      </c>
      <c r="AXD391" s="160">
        <v>0</v>
      </c>
      <c r="AXE391" s="160">
        <v>0</v>
      </c>
      <c r="AXF391" s="160">
        <v>0</v>
      </c>
      <c r="AXG391" s="160">
        <v>0</v>
      </c>
      <c r="AXH391" s="160">
        <v>0</v>
      </c>
      <c r="AXI391" s="160">
        <v>0</v>
      </c>
      <c r="AXJ391" s="160">
        <v>0</v>
      </c>
      <c r="AXK391" s="160">
        <v>0</v>
      </c>
      <c r="AXL391" s="160">
        <v>0</v>
      </c>
      <c r="AXM391" s="160">
        <v>0</v>
      </c>
      <c r="AXN391" s="160">
        <v>0</v>
      </c>
      <c r="AXO391" s="160">
        <v>0</v>
      </c>
      <c r="AXP391" s="160">
        <v>0</v>
      </c>
      <c r="AXQ391" s="160">
        <v>0</v>
      </c>
      <c r="AXR391" s="160">
        <v>0</v>
      </c>
      <c r="AXS391" s="160">
        <v>0</v>
      </c>
      <c r="AXT391" s="160">
        <v>0</v>
      </c>
      <c r="AXU391" s="160">
        <v>0</v>
      </c>
      <c r="AXV391" s="160">
        <v>0</v>
      </c>
      <c r="AXW391" s="160">
        <v>0</v>
      </c>
      <c r="AXX391" s="160">
        <v>0</v>
      </c>
      <c r="AXY391" s="160">
        <v>0</v>
      </c>
      <c r="AXZ391" s="160">
        <v>0</v>
      </c>
      <c r="AYA391" s="160">
        <v>0</v>
      </c>
      <c r="AYB391" s="160">
        <v>0</v>
      </c>
      <c r="AYC391" s="160">
        <v>0</v>
      </c>
      <c r="AYD391" s="160">
        <v>0</v>
      </c>
      <c r="AYE391" s="160">
        <v>0</v>
      </c>
      <c r="AYF391" s="160">
        <v>0</v>
      </c>
      <c r="AYG391" s="160">
        <v>0</v>
      </c>
      <c r="AYH391" s="160">
        <v>0</v>
      </c>
      <c r="AYI391" s="160">
        <v>0</v>
      </c>
      <c r="AYJ391" s="160">
        <v>0</v>
      </c>
      <c r="AYK391" s="160">
        <v>0</v>
      </c>
      <c r="AYL391" s="160">
        <v>0</v>
      </c>
      <c r="AYM391" s="160">
        <v>0</v>
      </c>
      <c r="AYN391" s="160">
        <v>0</v>
      </c>
      <c r="AYO391" s="160">
        <v>0</v>
      </c>
      <c r="AYP391" s="160">
        <v>0</v>
      </c>
      <c r="AYQ391" s="160">
        <v>0</v>
      </c>
      <c r="AYR391" s="160">
        <v>0</v>
      </c>
      <c r="AYS391" s="160">
        <v>0</v>
      </c>
      <c r="AYT391" s="160">
        <v>0</v>
      </c>
      <c r="AYU391" s="160">
        <v>0</v>
      </c>
      <c r="AYV391" s="160">
        <v>0</v>
      </c>
      <c r="AYW391" s="160">
        <v>0</v>
      </c>
      <c r="AYX391" s="160">
        <v>0</v>
      </c>
      <c r="AYY391" s="160">
        <v>0</v>
      </c>
      <c r="AYZ391" s="160">
        <v>0</v>
      </c>
      <c r="AZA391" s="160">
        <v>0</v>
      </c>
      <c r="AZB391" s="160">
        <v>0</v>
      </c>
      <c r="AZC391" s="160">
        <v>0</v>
      </c>
      <c r="AZD391" s="160">
        <v>0</v>
      </c>
      <c r="AZE391" s="160">
        <v>0</v>
      </c>
      <c r="AZF391" s="160">
        <v>0</v>
      </c>
      <c r="AZG391" s="160">
        <v>0</v>
      </c>
      <c r="AZH391" s="160">
        <v>0</v>
      </c>
      <c r="AZI391" s="160">
        <v>0</v>
      </c>
      <c r="AZJ391" s="160">
        <v>0</v>
      </c>
      <c r="AZK391" s="160">
        <v>0</v>
      </c>
      <c r="AZL391" s="160">
        <v>0</v>
      </c>
      <c r="AZM391" s="160">
        <v>0</v>
      </c>
      <c r="AZN391" s="160">
        <v>0</v>
      </c>
      <c r="AZO391" s="160">
        <v>0</v>
      </c>
      <c r="AZP391" s="160">
        <v>0</v>
      </c>
      <c r="AZQ391" s="160">
        <v>0</v>
      </c>
      <c r="AZR391" s="160">
        <v>0</v>
      </c>
      <c r="AZS391" s="160">
        <v>0</v>
      </c>
      <c r="AZT391" s="160">
        <v>0</v>
      </c>
      <c r="AZU391" s="160">
        <v>0</v>
      </c>
      <c r="AZV391" s="160">
        <v>0</v>
      </c>
      <c r="AZW391" s="160">
        <v>0</v>
      </c>
      <c r="AZX391" s="160">
        <v>0</v>
      </c>
      <c r="AZY391" s="160">
        <v>0</v>
      </c>
      <c r="AZZ391" s="160">
        <v>0</v>
      </c>
      <c r="BAA391" s="160">
        <v>0</v>
      </c>
      <c r="BAB391" s="160">
        <v>0</v>
      </c>
      <c r="BAC391" s="160">
        <v>0</v>
      </c>
      <c r="BAD391" s="160">
        <v>0</v>
      </c>
      <c r="BAE391" s="160">
        <v>0</v>
      </c>
      <c r="BAF391" s="160">
        <v>0</v>
      </c>
      <c r="BAG391" s="160">
        <v>0</v>
      </c>
      <c r="BAH391" s="160">
        <v>0</v>
      </c>
      <c r="BAI391" s="160">
        <v>0</v>
      </c>
      <c r="BAJ391" s="160">
        <v>0</v>
      </c>
      <c r="BAK391" s="160">
        <v>0</v>
      </c>
      <c r="BAL391" s="160">
        <v>0</v>
      </c>
      <c r="BAM391" s="160">
        <v>0</v>
      </c>
      <c r="BAN391" s="160">
        <v>0</v>
      </c>
      <c r="BAO391" s="160">
        <v>0</v>
      </c>
      <c r="BAP391" s="160">
        <v>0</v>
      </c>
      <c r="BAQ391" s="160">
        <v>0</v>
      </c>
      <c r="BAR391" s="160">
        <v>0</v>
      </c>
      <c r="BAS391" s="160">
        <v>0</v>
      </c>
      <c r="BAT391" s="160">
        <v>0</v>
      </c>
      <c r="BAU391" s="160">
        <v>0</v>
      </c>
      <c r="BAV391" s="160">
        <v>0</v>
      </c>
      <c r="BAW391" s="160">
        <v>0</v>
      </c>
      <c r="BAX391" s="160">
        <v>0</v>
      </c>
      <c r="BAY391" s="160">
        <v>0</v>
      </c>
      <c r="BAZ391" s="160">
        <v>0</v>
      </c>
      <c r="BBA391" s="160">
        <v>0</v>
      </c>
      <c r="BBB391" s="160">
        <v>0</v>
      </c>
      <c r="BBC391" s="160">
        <v>0</v>
      </c>
      <c r="BBD391" s="160">
        <v>0</v>
      </c>
      <c r="BBE391" s="160">
        <v>0</v>
      </c>
      <c r="BBF391" s="160">
        <v>0</v>
      </c>
      <c r="BBG391" s="160">
        <v>0</v>
      </c>
      <c r="BBH391" s="160">
        <v>0</v>
      </c>
      <c r="BBI391" s="160">
        <v>0</v>
      </c>
      <c r="BBJ391" s="160">
        <v>0</v>
      </c>
      <c r="BBK391" s="160">
        <v>0</v>
      </c>
      <c r="BBL391" s="160">
        <v>0</v>
      </c>
      <c r="BBM391" s="160">
        <v>0</v>
      </c>
      <c r="BBN391" s="160">
        <v>0</v>
      </c>
      <c r="BBO391" s="160">
        <v>0</v>
      </c>
      <c r="BBP391" s="160">
        <v>0</v>
      </c>
      <c r="BBQ391" s="160">
        <v>0</v>
      </c>
      <c r="BBR391" s="160">
        <v>0</v>
      </c>
      <c r="BBS391" s="160">
        <v>0</v>
      </c>
      <c r="BBT391" s="160">
        <v>0</v>
      </c>
      <c r="BBU391" s="160">
        <v>0</v>
      </c>
      <c r="BBV391" s="160">
        <v>0</v>
      </c>
      <c r="BBW391" s="160">
        <v>0</v>
      </c>
      <c r="BBX391" s="160">
        <v>0</v>
      </c>
      <c r="BBY391" s="160">
        <v>0</v>
      </c>
      <c r="BBZ391" s="160">
        <v>0</v>
      </c>
      <c r="BCA391" s="160">
        <v>0</v>
      </c>
      <c r="BCB391" s="160">
        <v>0</v>
      </c>
      <c r="BCC391" s="160">
        <v>0</v>
      </c>
      <c r="BCD391" s="160">
        <v>0</v>
      </c>
      <c r="BCE391" s="160">
        <v>0</v>
      </c>
      <c r="BCF391" s="160">
        <v>0</v>
      </c>
      <c r="BCG391" s="160">
        <v>0</v>
      </c>
      <c r="BCH391" s="160">
        <v>0</v>
      </c>
      <c r="BCI391" s="160">
        <v>0</v>
      </c>
      <c r="BCJ391" s="160">
        <v>0</v>
      </c>
      <c r="BCK391" s="160">
        <v>0</v>
      </c>
      <c r="BCL391" s="160">
        <v>0</v>
      </c>
      <c r="BCM391" s="160">
        <v>0</v>
      </c>
      <c r="BCN391" s="160">
        <v>0</v>
      </c>
      <c r="BCO391" s="160">
        <v>0</v>
      </c>
      <c r="BCP391" s="160">
        <v>0</v>
      </c>
      <c r="BCQ391" s="160">
        <v>0</v>
      </c>
      <c r="BCR391" s="160">
        <v>0</v>
      </c>
      <c r="BCS391" s="160">
        <v>0</v>
      </c>
      <c r="BCT391" s="160">
        <v>0</v>
      </c>
      <c r="BCU391" s="160">
        <v>0</v>
      </c>
      <c r="BCV391" s="160">
        <v>0</v>
      </c>
      <c r="BCW391" s="160">
        <v>0</v>
      </c>
      <c r="BCX391" s="160">
        <v>0</v>
      </c>
      <c r="BCY391" s="160">
        <v>0</v>
      </c>
      <c r="BCZ391" s="160">
        <v>0</v>
      </c>
      <c r="BDA391" s="160">
        <v>0</v>
      </c>
      <c r="BDB391" s="160">
        <v>0</v>
      </c>
      <c r="BDC391" s="160">
        <v>0</v>
      </c>
      <c r="BDD391" s="160">
        <v>0</v>
      </c>
      <c r="BDE391" s="160">
        <v>0</v>
      </c>
      <c r="BDF391" s="160">
        <v>0</v>
      </c>
      <c r="BDG391" s="160">
        <v>0</v>
      </c>
      <c r="BDH391" s="160">
        <v>0</v>
      </c>
      <c r="BDI391" s="160">
        <v>0</v>
      </c>
      <c r="BDJ391" s="160">
        <v>0</v>
      </c>
      <c r="BDK391" s="160">
        <v>0</v>
      </c>
      <c r="BDL391" s="160">
        <v>0</v>
      </c>
      <c r="BDM391" s="160">
        <v>0</v>
      </c>
      <c r="BDN391" s="160">
        <v>0</v>
      </c>
      <c r="BDO391" s="160">
        <v>0</v>
      </c>
      <c r="BDP391" s="160">
        <v>0</v>
      </c>
      <c r="BDQ391" s="160">
        <v>0</v>
      </c>
      <c r="BDR391" s="160">
        <v>0</v>
      </c>
      <c r="BDS391" s="160">
        <v>0</v>
      </c>
      <c r="BDT391" s="160">
        <v>0</v>
      </c>
      <c r="BDU391" s="160">
        <v>0</v>
      </c>
      <c r="BDV391" s="160">
        <v>0</v>
      </c>
      <c r="BDW391" s="160">
        <v>0</v>
      </c>
      <c r="BDX391" s="160">
        <v>0</v>
      </c>
      <c r="BDY391" s="160">
        <v>0</v>
      </c>
      <c r="BDZ391" s="160">
        <v>0</v>
      </c>
      <c r="BEA391" s="160">
        <v>0</v>
      </c>
      <c r="BEB391" s="160">
        <v>0</v>
      </c>
      <c r="BEC391" s="160">
        <v>0</v>
      </c>
      <c r="BED391" s="160">
        <v>0</v>
      </c>
      <c r="BEE391" s="160">
        <v>0</v>
      </c>
      <c r="BEF391" s="160">
        <v>0</v>
      </c>
      <c r="BEG391" s="160">
        <v>0</v>
      </c>
      <c r="BEH391" s="160">
        <v>0</v>
      </c>
      <c r="BEI391" s="160">
        <v>0</v>
      </c>
      <c r="BEJ391" s="160">
        <v>0</v>
      </c>
      <c r="BEK391" s="160">
        <v>0</v>
      </c>
      <c r="BEL391" s="160">
        <v>0</v>
      </c>
      <c r="BEM391" s="160">
        <v>0</v>
      </c>
      <c r="BEN391" s="160">
        <v>0</v>
      </c>
      <c r="BEO391" s="160">
        <v>0</v>
      </c>
      <c r="BEP391" s="160">
        <v>0</v>
      </c>
      <c r="BEQ391" s="160">
        <v>0</v>
      </c>
      <c r="BER391" s="160">
        <v>0</v>
      </c>
      <c r="BES391" s="160">
        <v>0</v>
      </c>
      <c r="BET391" s="160">
        <v>0</v>
      </c>
      <c r="BEU391" s="160">
        <v>0</v>
      </c>
      <c r="BEV391" s="160">
        <v>0</v>
      </c>
      <c r="BEW391" s="160">
        <v>0</v>
      </c>
      <c r="BEX391" s="160">
        <v>0</v>
      </c>
      <c r="BEY391" s="160">
        <v>0</v>
      </c>
      <c r="BEZ391" s="160">
        <v>0</v>
      </c>
      <c r="BFA391" s="160">
        <v>0</v>
      </c>
      <c r="BFB391" s="160">
        <v>0</v>
      </c>
      <c r="BFC391" s="160">
        <v>0</v>
      </c>
      <c r="BFD391" s="160">
        <v>0</v>
      </c>
      <c r="BFE391" s="160">
        <v>0</v>
      </c>
      <c r="BFF391" s="160">
        <v>0</v>
      </c>
      <c r="BFG391" s="160">
        <v>0</v>
      </c>
      <c r="BFH391" s="160">
        <v>0</v>
      </c>
      <c r="BFI391" s="160">
        <v>0</v>
      </c>
      <c r="BFJ391" s="160">
        <v>0</v>
      </c>
      <c r="BFK391" s="160">
        <v>0</v>
      </c>
      <c r="BFL391" s="160">
        <v>0</v>
      </c>
      <c r="BFM391" s="160">
        <v>0</v>
      </c>
      <c r="BFN391" s="160">
        <v>0</v>
      </c>
      <c r="BFO391" s="160">
        <v>0</v>
      </c>
      <c r="BFP391" s="160">
        <v>0</v>
      </c>
      <c r="BFQ391" s="160">
        <v>0</v>
      </c>
      <c r="BFR391" s="160">
        <v>0</v>
      </c>
      <c r="BFS391" s="160">
        <v>0</v>
      </c>
      <c r="BFT391" s="160">
        <v>0</v>
      </c>
      <c r="BFU391" s="160">
        <v>0</v>
      </c>
      <c r="BFV391" s="160">
        <v>0</v>
      </c>
      <c r="BFW391" s="160">
        <v>0</v>
      </c>
      <c r="BFX391" s="160">
        <v>0</v>
      </c>
      <c r="BFY391" s="160">
        <v>0</v>
      </c>
      <c r="BFZ391" s="160">
        <v>0</v>
      </c>
      <c r="BGA391" s="160">
        <v>0</v>
      </c>
      <c r="BGB391" s="160">
        <v>0</v>
      </c>
      <c r="BGC391" s="160">
        <v>0</v>
      </c>
      <c r="BGD391" s="160">
        <v>0</v>
      </c>
      <c r="BGE391" s="160">
        <v>0</v>
      </c>
      <c r="BGF391" s="160">
        <v>0</v>
      </c>
      <c r="BGG391" s="160">
        <v>0</v>
      </c>
      <c r="BGH391" s="160">
        <v>0</v>
      </c>
      <c r="BGI391" s="160">
        <v>0</v>
      </c>
      <c r="BGJ391" s="160">
        <v>0</v>
      </c>
      <c r="BGK391" s="160">
        <v>0</v>
      </c>
      <c r="BGL391" s="160">
        <v>0</v>
      </c>
      <c r="BGM391" s="160">
        <v>0</v>
      </c>
      <c r="BGN391" s="160">
        <v>0</v>
      </c>
      <c r="BGO391" s="160">
        <v>0</v>
      </c>
      <c r="BGP391" s="160">
        <v>0</v>
      </c>
      <c r="BGQ391" s="160">
        <v>0</v>
      </c>
      <c r="BGR391" s="160">
        <v>0</v>
      </c>
      <c r="BGS391" s="160">
        <v>0</v>
      </c>
      <c r="BGT391" s="160">
        <v>0</v>
      </c>
      <c r="BGU391" s="160">
        <v>0</v>
      </c>
      <c r="BGV391" s="160">
        <v>0</v>
      </c>
      <c r="BGW391" s="160">
        <v>0</v>
      </c>
      <c r="BGX391" s="160">
        <v>0</v>
      </c>
      <c r="BGY391" s="160">
        <v>0</v>
      </c>
      <c r="BGZ391" s="160">
        <v>0</v>
      </c>
      <c r="BHA391" s="160">
        <v>0</v>
      </c>
      <c r="BHB391" s="160">
        <v>0</v>
      </c>
      <c r="BHC391" s="160">
        <v>0</v>
      </c>
      <c r="BHD391" s="160">
        <v>0</v>
      </c>
      <c r="BHE391" s="160">
        <v>0</v>
      </c>
      <c r="BHF391" s="160">
        <v>0</v>
      </c>
      <c r="BHG391" s="160">
        <v>0</v>
      </c>
      <c r="BHH391" s="160">
        <v>0</v>
      </c>
      <c r="BHI391" s="160">
        <v>0</v>
      </c>
      <c r="BHJ391" s="160">
        <v>0</v>
      </c>
      <c r="BHK391" s="160">
        <v>0</v>
      </c>
      <c r="BHL391" s="160">
        <v>0</v>
      </c>
      <c r="BHM391" s="160">
        <v>0</v>
      </c>
      <c r="BHN391" s="160">
        <v>0</v>
      </c>
      <c r="BHO391" s="160">
        <v>0</v>
      </c>
      <c r="BHP391" s="160">
        <v>0</v>
      </c>
      <c r="BHQ391" s="160">
        <v>0</v>
      </c>
      <c r="BHR391" s="160">
        <v>0</v>
      </c>
      <c r="BHS391" s="160">
        <v>0</v>
      </c>
      <c r="BHT391" s="160">
        <v>0</v>
      </c>
      <c r="BHU391" s="160">
        <v>0</v>
      </c>
      <c r="BHV391" s="160">
        <v>0</v>
      </c>
      <c r="BHW391" s="160">
        <v>0</v>
      </c>
      <c r="BHX391" s="160">
        <v>0</v>
      </c>
      <c r="BHY391" s="160">
        <v>0</v>
      </c>
      <c r="BHZ391" s="160">
        <v>0</v>
      </c>
      <c r="BIA391" s="160">
        <v>0</v>
      </c>
      <c r="BIB391" s="160">
        <v>0</v>
      </c>
      <c r="BIC391" s="160">
        <v>0</v>
      </c>
      <c r="BID391" s="160">
        <v>0</v>
      </c>
      <c r="BIE391" s="160">
        <v>0</v>
      </c>
      <c r="BIF391" s="160">
        <v>0</v>
      </c>
      <c r="BIG391" s="160">
        <v>0</v>
      </c>
      <c r="BIH391" s="160">
        <v>0</v>
      </c>
      <c r="BII391" s="160">
        <v>0</v>
      </c>
      <c r="BIJ391" s="160">
        <v>0</v>
      </c>
      <c r="BIK391" s="160">
        <v>0</v>
      </c>
      <c r="BIL391" s="160">
        <v>0</v>
      </c>
      <c r="BIM391" s="160">
        <v>0</v>
      </c>
      <c r="BIN391" s="160">
        <v>0</v>
      </c>
      <c r="BIO391" s="160">
        <v>0</v>
      </c>
      <c r="BIP391" s="160">
        <v>0</v>
      </c>
      <c r="BIQ391" s="160">
        <v>0</v>
      </c>
      <c r="BIR391" s="160">
        <v>0</v>
      </c>
      <c r="BIS391" s="160">
        <v>0</v>
      </c>
      <c r="BIT391" s="160">
        <v>0</v>
      </c>
      <c r="BIU391" s="160">
        <v>0</v>
      </c>
      <c r="BIV391" s="160">
        <v>0</v>
      </c>
      <c r="BIW391" s="160">
        <v>0</v>
      </c>
      <c r="BIX391" s="160">
        <v>0</v>
      </c>
      <c r="BIY391" s="160">
        <v>0</v>
      </c>
      <c r="BIZ391" s="160">
        <v>0</v>
      </c>
      <c r="BJA391" s="160">
        <v>0</v>
      </c>
      <c r="BJB391" s="160">
        <v>0</v>
      </c>
      <c r="BJC391" s="160">
        <v>0</v>
      </c>
      <c r="BJD391" s="160">
        <v>0</v>
      </c>
      <c r="BJE391" s="160">
        <v>0</v>
      </c>
      <c r="BJF391" s="160">
        <v>0</v>
      </c>
      <c r="BJG391" s="160">
        <v>0</v>
      </c>
      <c r="BJH391" s="160">
        <v>0</v>
      </c>
      <c r="BJI391" s="160">
        <v>0</v>
      </c>
      <c r="BJJ391" s="160">
        <v>0</v>
      </c>
      <c r="BJK391" s="160">
        <v>0</v>
      </c>
      <c r="BJL391" s="160">
        <v>0</v>
      </c>
      <c r="BJM391" s="160">
        <v>0</v>
      </c>
      <c r="BJN391" s="160">
        <v>0</v>
      </c>
      <c r="BJO391" s="160">
        <v>0</v>
      </c>
      <c r="BJP391" s="160">
        <v>0</v>
      </c>
      <c r="BJQ391" s="160">
        <v>0</v>
      </c>
      <c r="BJR391" s="160">
        <v>0</v>
      </c>
      <c r="BJS391" s="160">
        <v>0</v>
      </c>
      <c r="BJT391" s="160">
        <v>0</v>
      </c>
      <c r="BJU391" s="160">
        <v>0</v>
      </c>
      <c r="BJV391" s="160">
        <v>0</v>
      </c>
      <c r="BJW391" s="160">
        <v>0</v>
      </c>
      <c r="BJX391" s="160">
        <v>0</v>
      </c>
      <c r="BJY391" s="160">
        <v>0</v>
      </c>
      <c r="BJZ391" s="160">
        <v>0</v>
      </c>
      <c r="BKA391" s="160">
        <v>0</v>
      </c>
      <c r="BKB391" s="160">
        <v>0</v>
      </c>
      <c r="BKC391" s="160">
        <v>0</v>
      </c>
      <c r="BKD391" s="160">
        <v>0</v>
      </c>
      <c r="BKE391" s="160">
        <v>0</v>
      </c>
      <c r="BKF391" s="160">
        <v>0</v>
      </c>
      <c r="BKG391" s="160">
        <v>0</v>
      </c>
      <c r="BKH391" s="160">
        <v>0</v>
      </c>
      <c r="BKI391" s="160">
        <v>0</v>
      </c>
      <c r="BKJ391" s="160">
        <v>0</v>
      </c>
      <c r="BKK391" s="160">
        <v>0</v>
      </c>
      <c r="BKL391" s="160">
        <v>0</v>
      </c>
      <c r="BKM391" s="160">
        <v>0</v>
      </c>
      <c r="BKN391" s="160">
        <v>0</v>
      </c>
      <c r="BKO391" s="160">
        <v>0</v>
      </c>
      <c r="BKP391" s="160">
        <v>0</v>
      </c>
      <c r="BKQ391" s="160">
        <v>0</v>
      </c>
      <c r="BKR391" s="160">
        <v>0</v>
      </c>
      <c r="BKS391" s="160">
        <v>0</v>
      </c>
      <c r="BKT391" s="160">
        <v>0</v>
      </c>
      <c r="BKU391" s="160">
        <v>0</v>
      </c>
      <c r="BKV391" s="160">
        <v>0</v>
      </c>
      <c r="BKW391" s="160">
        <v>0</v>
      </c>
      <c r="BKX391" s="160">
        <v>0</v>
      </c>
      <c r="BKY391" s="160">
        <v>0</v>
      </c>
      <c r="BKZ391" s="160">
        <v>0</v>
      </c>
      <c r="BLA391" s="160">
        <v>0</v>
      </c>
      <c r="BLB391" s="160">
        <v>0</v>
      </c>
      <c r="BLC391" s="160">
        <v>0</v>
      </c>
      <c r="BLD391" s="160">
        <v>0</v>
      </c>
      <c r="BLE391" s="160">
        <v>0</v>
      </c>
      <c r="BLF391" s="160">
        <v>0</v>
      </c>
      <c r="BLG391" s="160">
        <v>0</v>
      </c>
      <c r="BLH391" s="160">
        <v>0</v>
      </c>
      <c r="BLI391" s="160">
        <v>0</v>
      </c>
      <c r="BLJ391" s="160">
        <v>0</v>
      </c>
      <c r="BLK391" s="160">
        <v>0</v>
      </c>
      <c r="BLL391" s="160">
        <v>0</v>
      </c>
      <c r="BLM391" s="160">
        <v>0</v>
      </c>
      <c r="BLN391" s="160">
        <v>0</v>
      </c>
      <c r="BLO391" s="160">
        <v>0</v>
      </c>
      <c r="BLP391" s="160">
        <v>0</v>
      </c>
      <c r="BLQ391" s="160">
        <v>0</v>
      </c>
      <c r="BLR391" s="160">
        <v>0</v>
      </c>
      <c r="BLS391" s="160">
        <v>0</v>
      </c>
      <c r="BLT391" s="160">
        <v>0</v>
      </c>
      <c r="BLU391" s="160">
        <v>0</v>
      </c>
      <c r="BLV391" s="160">
        <v>0</v>
      </c>
      <c r="BLW391" s="160">
        <v>0</v>
      </c>
      <c r="BLX391" s="160">
        <v>0</v>
      </c>
      <c r="BLY391" s="160">
        <v>0</v>
      </c>
      <c r="BLZ391" s="160">
        <v>0</v>
      </c>
      <c r="BMA391" s="160">
        <v>0</v>
      </c>
      <c r="BMB391" s="160">
        <v>0</v>
      </c>
      <c r="BMC391" s="160">
        <v>0</v>
      </c>
      <c r="BMD391" s="160">
        <v>0</v>
      </c>
      <c r="BME391" s="160">
        <v>0</v>
      </c>
      <c r="BMF391" s="160">
        <v>0</v>
      </c>
      <c r="BMG391" s="160">
        <v>0</v>
      </c>
      <c r="BMH391" s="160">
        <v>0</v>
      </c>
      <c r="BMI391" s="160">
        <v>0</v>
      </c>
      <c r="BMJ391" s="160">
        <v>0</v>
      </c>
      <c r="BMK391" s="160">
        <v>0</v>
      </c>
      <c r="BML391" s="160">
        <v>0</v>
      </c>
      <c r="BMM391" s="160">
        <v>0</v>
      </c>
      <c r="BMN391" s="160">
        <v>0</v>
      </c>
      <c r="BMO391" s="160">
        <v>0</v>
      </c>
      <c r="BMP391" s="160">
        <v>0</v>
      </c>
      <c r="BMQ391" s="160">
        <v>0</v>
      </c>
      <c r="BMR391" s="160">
        <v>0</v>
      </c>
      <c r="BMS391" s="160">
        <v>0</v>
      </c>
      <c r="BMT391" s="160">
        <v>0</v>
      </c>
      <c r="BMU391" s="160">
        <v>0</v>
      </c>
      <c r="BMV391" s="160">
        <v>0</v>
      </c>
      <c r="BMW391" s="160">
        <v>0</v>
      </c>
      <c r="BMX391" s="160">
        <v>0</v>
      </c>
      <c r="BMY391" s="160">
        <v>0</v>
      </c>
      <c r="BMZ391" s="160">
        <v>0</v>
      </c>
      <c r="BNA391" s="160">
        <v>0</v>
      </c>
      <c r="BNB391" s="160">
        <v>0</v>
      </c>
      <c r="BNC391" s="160">
        <v>0</v>
      </c>
      <c r="BND391" s="160">
        <v>0</v>
      </c>
      <c r="BNE391" s="160">
        <v>0</v>
      </c>
      <c r="BNF391" s="160">
        <v>0</v>
      </c>
      <c r="BNG391" s="160">
        <v>0</v>
      </c>
      <c r="BNH391" s="160">
        <v>0</v>
      </c>
      <c r="BNI391" s="160">
        <v>0</v>
      </c>
      <c r="BNJ391" s="160">
        <v>0</v>
      </c>
      <c r="BNK391" s="160">
        <v>0</v>
      </c>
      <c r="BNL391" s="160">
        <v>0</v>
      </c>
      <c r="BNM391" s="160">
        <v>0</v>
      </c>
      <c r="BNN391" s="160">
        <v>0</v>
      </c>
      <c r="BNO391" s="160">
        <v>0</v>
      </c>
      <c r="BNP391" s="160">
        <v>0</v>
      </c>
      <c r="BNQ391" s="160">
        <v>0</v>
      </c>
      <c r="BNR391" s="160">
        <v>0</v>
      </c>
      <c r="BNS391" s="160">
        <v>0</v>
      </c>
      <c r="BNT391" s="160">
        <v>0</v>
      </c>
      <c r="BNU391" s="160">
        <v>0</v>
      </c>
      <c r="BNV391" s="160">
        <v>0</v>
      </c>
      <c r="BNW391" s="160">
        <v>0</v>
      </c>
      <c r="BNX391" s="160">
        <v>0</v>
      </c>
      <c r="BNY391" s="160">
        <v>0</v>
      </c>
      <c r="BNZ391" s="160">
        <v>0</v>
      </c>
      <c r="BOA391" s="160">
        <v>0</v>
      </c>
      <c r="BOB391" s="160">
        <v>0</v>
      </c>
      <c r="BOC391" s="160">
        <v>0</v>
      </c>
      <c r="BOD391" s="160">
        <v>0</v>
      </c>
      <c r="BOE391" s="160">
        <v>0</v>
      </c>
      <c r="BOF391" s="160">
        <v>0</v>
      </c>
      <c r="BOG391" s="160">
        <v>0</v>
      </c>
      <c r="BOH391" s="160">
        <v>0</v>
      </c>
      <c r="BOI391" s="160">
        <v>0</v>
      </c>
      <c r="BOJ391" s="160">
        <v>0</v>
      </c>
      <c r="BOK391" s="160">
        <v>0</v>
      </c>
      <c r="BOL391" s="160">
        <v>0</v>
      </c>
      <c r="BOM391" s="160">
        <v>0</v>
      </c>
      <c r="BON391" s="160">
        <v>0</v>
      </c>
      <c r="BOO391" s="160">
        <v>0</v>
      </c>
      <c r="BOP391" s="160">
        <v>0</v>
      </c>
      <c r="BOQ391" s="160">
        <v>0</v>
      </c>
      <c r="BOR391" s="160">
        <v>0</v>
      </c>
      <c r="BOS391" s="160">
        <v>0</v>
      </c>
      <c r="BOT391" s="160">
        <v>0</v>
      </c>
      <c r="BOU391" s="160">
        <v>0</v>
      </c>
      <c r="BOV391" s="160">
        <v>0</v>
      </c>
      <c r="BOW391" s="160">
        <v>0</v>
      </c>
      <c r="BOX391" s="160">
        <v>0</v>
      </c>
      <c r="BOY391" s="160">
        <v>0</v>
      </c>
      <c r="BOZ391" s="160">
        <v>0</v>
      </c>
      <c r="BPA391" s="160">
        <v>0</v>
      </c>
      <c r="BPB391" s="160">
        <v>0</v>
      </c>
      <c r="BPC391" s="160">
        <v>0</v>
      </c>
      <c r="BPD391" s="160">
        <v>0</v>
      </c>
      <c r="BPE391" s="160">
        <v>0</v>
      </c>
      <c r="BPF391" s="160">
        <v>0</v>
      </c>
      <c r="BPG391" s="160">
        <v>0</v>
      </c>
      <c r="BPH391" s="160">
        <v>0</v>
      </c>
      <c r="BPI391" s="160">
        <v>0</v>
      </c>
      <c r="BPJ391" s="160">
        <v>0</v>
      </c>
      <c r="BPK391" s="160">
        <v>0</v>
      </c>
      <c r="BPL391" s="160">
        <v>0</v>
      </c>
      <c r="BPM391" s="160">
        <v>0</v>
      </c>
      <c r="BPN391" s="160">
        <v>0</v>
      </c>
      <c r="BPO391" s="160">
        <v>0</v>
      </c>
      <c r="BPP391" s="160">
        <v>0</v>
      </c>
      <c r="BPQ391" s="160">
        <v>0</v>
      </c>
      <c r="BPR391" s="160">
        <v>0</v>
      </c>
      <c r="BPS391" s="160">
        <v>0</v>
      </c>
      <c r="BPT391" s="160">
        <v>0</v>
      </c>
      <c r="BPU391" s="160">
        <v>0</v>
      </c>
      <c r="BPV391" s="160">
        <v>0</v>
      </c>
      <c r="BPW391" s="160">
        <v>0</v>
      </c>
      <c r="BPX391" s="160">
        <v>0</v>
      </c>
      <c r="BPY391" s="160">
        <v>0</v>
      </c>
      <c r="BPZ391" s="160">
        <v>0</v>
      </c>
      <c r="BQA391" s="160">
        <v>0</v>
      </c>
      <c r="BQB391" s="160">
        <v>0</v>
      </c>
      <c r="BQC391" s="160">
        <v>0</v>
      </c>
      <c r="BQD391" s="160">
        <v>0</v>
      </c>
      <c r="BQE391" s="160">
        <v>0</v>
      </c>
      <c r="BQF391" s="160">
        <v>0</v>
      </c>
      <c r="BQG391" s="160">
        <v>0</v>
      </c>
      <c r="BQH391" s="160">
        <v>0</v>
      </c>
      <c r="BQI391" s="160">
        <v>0</v>
      </c>
      <c r="BQJ391" s="160">
        <v>0</v>
      </c>
      <c r="BQK391" s="160">
        <v>0</v>
      </c>
      <c r="BQL391" s="160">
        <v>0</v>
      </c>
      <c r="BQM391" s="160">
        <v>0</v>
      </c>
      <c r="BQN391" s="160">
        <v>0</v>
      </c>
      <c r="BQO391" s="160">
        <v>0</v>
      </c>
      <c r="BQP391" s="160">
        <v>0</v>
      </c>
      <c r="BQQ391" s="160">
        <v>0</v>
      </c>
      <c r="BQR391" s="160">
        <v>0</v>
      </c>
      <c r="BQS391" s="160">
        <v>0</v>
      </c>
      <c r="BQT391" s="160">
        <v>0</v>
      </c>
      <c r="BQU391" s="160">
        <v>0</v>
      </c>
      <c r="BQV391" s="160">
        <v>0</v>
      </c>
      <c r="BQW391" s="160">
        <v>0</v>
      </c>
      <c r="BQX391" s="160">
        <v>0</v>
      </c>
      <c r="BQY391" s="160">
        <v>0</v>
      </c>
      <c r="BQZ391" s="160">
        <v>0</v>
      </c>
      <c r="BRA391" s="160">
        <v>0</v>
      </c>
      <c r="BRB391" s="160">
        <v>0</v>
      </c>
      <c r="BRC391" s="160">
        <v>0</v>
      </c>
      <c r="BRD391" s="160">
        <v>0</v>
      </c>
      <c r="BRE391" s="160">
        <v>0</v>
      </c>
      <c r="BRF391" s="160">
        <v>0</v>
      </c>
      <c r="BRG391" s="160">
        <v>0</v>
      </c>
      <c r="BRH391" s="160">
        <v>0</v>
      </c>
      <c r="BRI391" s="160">
        <v>0</v>
      </c>
      <c r="BRJ391" s="160">
        <v>0</v>
      </c>
      <c r="BRK391" s="160">
        <v>0</v>
      </c>
      <c r="BRL391" s="160">
        <v>0</v>
      </c>
      <c r="BRM391" s="160">
        <v>0</v>
      </c>
      <c r="BRN391" s="160">
        <v>0</v>
      </c>
      <c r="BRO391" s="160">
        <v>0</v>
      </c>
      <c r="BRP391" s="160">
        <v>0</v>
      </c>
      <c r="BRQ391" s="160">
        <v>0</v>
      </c>
      <c r="BRR391" s="160">
        <v>0</v>
      </c>
      <c r="BRS391" s="160">
        <v>0</v>
      </c>
      <c r="BRT391" s="160">
        <v>0</v>
      </c>
      <c r="BRU391" s="160">
        <v>0</v>
      </c>
      <c r="BRV391" s="160">
        <v>0</v>
      </c>
      <c r="BRW391" s="160">
        <v>0</v>
      </c>
      <c r="BRX391" s="160">
        <v>0</v>
      </c>
      <c r="BRY391" s="160">
        <v>0</v>
      </c>
      <c r="BRZ391" s="160">
        <v>0</v>
      </c>
      <c r="BSA391" s="160">
        <v>0</v>
      </c>
      <c r="BSB391" s="160">
        <v>0</v>
      </c>
      <c r="BSC391" s="160">
        <v>0</v>
      </c>
      <c r="BSD391" s="160">
        <v>0</v>
      </c>
      <c r="BSE391" s="160">
        <v>0</v>
      </c>
      <c r="BSF391" s="160">
        <v>0</v>
      </c>
      <c r="BSG391" s="160">
        <v>0</v>
      </c>
      <c r="BSH391" s="160">
        <v>0</v>
      </c>
      <c r="BSI391" s="160">
        <v>0</v>
      </c>
      <c r="BSJ391" s="160">
        <v>0</v>
      </c>
      <c r="BSK391" s="160">
        <v>0</v>
      </c>
      <c r="BSL391" s="160">
        <v>0</v>
      </c>
      <c r="BSM391" s="160">
        <v>0</v>
      </c>
      <c r="BSN391" s="160">
        <v>0</v>
      </c>
      <c r="BSO391" s="160">
        <v>0</v>
      </c>
      <c r="BSP391" s="160">
        <v>0</v>
      </c>
      <c r="BSQ391" s="160">
        <v>0</v>
      </c>
      <c r="BSR391" s="160">
        <v>0</v>
      </c>
      <c r="BSS391" s="160">
        <v>0</v>
      </c>
      <c r="BST391" s="160">
        <v>0</v>
      </c>
      <c r="BSU391" s="160">
        <v>0</v>
      </c>
      <c r="BSV391" s="160">
        <v>0</v>
      </c>
      <c r="BSW391" s="160">
        <v>0</v>
      </c>
      <c r="BSX391" s="160">
        <v>0</v>
      </c>
      <c r="BSY391" s="160">
        <v>0</v>
      </c>
      <c r="BSZ391" s="160">
        <v>0</v>
      </c>
      <c r="BTA391" s="160">
        <v>0</v>
      </c>
      <c r="BTB391" s="160">
        <v>0</v>
      </c>
      <c r="BTC391" s="160">
        <v>0</v>
      </c>
      <c r="BTD391" s="160">
        <v>0</v>
      </c>
      <c r="BTE391" s="160">
        <v>0</v>
      </c>
      <c r="BTF391" s="160">
        <v>0</v>
      </c>
      <c r="BTG391" s="160">
        <v>0</v>
      </c>
      <c r="BTH391" s="160">
        <v>0</v>
      </c>
      <c r="BTI391" s="160">
        <v>0</v>
      </c>
      <c r="BTJ391" s="160">
        <v>0</v>
      </c>
      <c r="BTK391" s="160">
        <v>0</v>
      </c>
      <c r="BTL391" s="160">
        <v>0</v>
      </c>
      <c r="BTM391" s="160">
        <v>0</v>
      </c>
      <c r="BTN391" s="160">
        <v>0</v>
      </c>
      <c r="BTO391" s="160">
        <v>0</v>
      </c>
      <c r="BTP391" s="160">
        <v>0</v>
      </c>
      <c r="BTQ391" s="160">
        <v>0</v>
      </c>
      <c r="BTR391" s="160">
        <v>0</v>
      </c>
      <c r="BTS391" s="160">
        <v>0</v>
      </c>
      <c r="BTT391" s="160">
        <v>0</v>
      </c>
      <c r="BTU391" s="160">
        <v>0</v>
      </c>
      <c r="BTV391" s="160">
        <v>0</v>
      </c>
      <c r="BTW391" s="160">
        <v>0</v>
      </c>
      <c r="BTX391" s="160">
        <v>0</v>
      </c>
      <c r="BTY391" s="160">
        <v>0</v>
      </c>
      <c r="BTZ391" s="160">
        <v>0</v>
      </c>
      <c r="BUA391" s="160">
        <v>0</v>
      </c>
      <c r="BUB391" s="160">
        <v>0</v>
      </c>
      <c r="BUC391" s="160">
        <v>0</v>
      </c>
      <c r="BUD391" s="160">
        <v>0</v>
      </c>
      <c r="BUE391" s="160">
        <v>0</v>
      </c>
      <c r="BUF391" s="160">
        <v>0</v>
      </c>
      <c r="BUG391" s="160">
        <v>0</v>
      </c>
      <c r="BUH391" s="160">
        <v>0</v>
      </c>
      <c r="BUI391" s="160">
        <v>0</v>
      </c>
      <c r="BUJ391" s="160">
        <v>0</v>
      </c>
      <c r="BUK391" s="160">
        <v>0</v>
      </c>
      <c r="BUL391" s="160">
        <v>0</v>
      </c>
      <c r="BUM391" s="160">
        <v>0</v>
      </c>
      <c r="BUN391" s="160">
        <v>0</v>
      </c>
      <c r="BUO391" s="160">
        <v>0</v>
      </c>
      <c r="BUP391" s="160">
        <v>0</v>
      </c>
      <c r="BUQ391" s="160">
        <v>0</v>
      </c>
      <c r="BUR391" s="160">
        <v>0</v>
      </c>
      <c r="BUS391" s="160">
        <v>0</v>
      </c>
      <c r="BUT391" s="160">
        <v>0</v>
      </c>
      <c r="BUU391" s="160">
        <v>0</v>
      </c>
      <c r="BUV391" s="160">
        <v>0</v>
      </c>
      <c r="BUW391" s="160">
        <v>0</v>
      </c>
      <c r="BUX391" s="160">
        <v>0</v>
      </c>
      <c r="BUY391" s="160">
        <v>0</v>
      </c>
      <c r="BUZ391" s="160">
        <v>0</v>
      </c>
      <c r="BVA391" s="160">
        <v>0</v>
      </c>
      <c r="BVB391" s="160">
        <v>0</v>
      </c>
      <c r="BVC391" s="160">
        <v>0</v>
      </c>
      <c r="BVD391" s="160">
        <v>0</v>
      </c>
      <c r="BVE391" s="160">
        <v>0</v>
      </c>
      <c r="BVF391" s="160">
        <v>0</v>
      </c>
      <c r="BVG391" s="160">
        <v>0</v>
      </c>
      <c r="BVH391" s="160">
        <v>0</v>
      </c>
      <c r="BVI391" s="160">
        <v>0</v>
      </c>
      <c r="BVJ391" s="160">
        <v>0</v>
      </c>
      <c r="BVK391" s="160">
        <v>0</v>
      </c>
      <c r="BVL391" s="160">
        <v>0</v>
      </c>
      <c r="BVM391" s="160">
        <v>0</v>
      </c>
      <c r="BVN391" s="160">
        <v>0</v>
      </c>
      <c r="BVO391" s="160">
        <v>0</v>
      </c>
      <c r="BVP391" s="160">
        <v>0</v>
      </c>
      <c r="BVQ391" s="160">
        <v>0</v>
      </c>
      <c r="BVR391" s="160">
        <v>0</v>
      </c>
      <c r="BVS391" s="160">
        <v>0</v>
      </c>
      <c r="BVT391" s="160">
        <v>0</v>
      </c>
      <c r="BVU391" s="160">
        <v>0</v>
      </c>
      <c r="BVV391" s="160">
        <v>0</v>
      </c>
      <c r="BVW391" s="160">
        <v>0</v>
      </c>
      <c r="BVX391" s="160">
        <v>0</v>
      </c>
      <c r="BVY391" s="160">
        <v>0</v>
      </c>
      <c r="BVZ391" s="160">
        <v>0</v>
      </c>
      <c r="BWA391" s="160">
        <v>0</v>
      </c>
      <c r="BWB391" s="160">
        <v>0</v>
      </c>
      <c r="BWC391" s="160">
        <v>0</v>
      </c>
      <c r="BWD391" s="160">
        <v>0</v>
      </c>
      <c r="BWE391" s="160">
        <v>0</v>
      </c>
      <c r="BWF391" s="160">
        <v>0</v>
      </c>
      <c r="BWG391" s="160">
        <v>0</v>
      </c>
      <c r="BWH391" s="160">
        <v>0</v>
      </c>
      <c r="BWI391" s="160">
        <v>0</v>
      </c>
      <c r="BWJ391" s="160">
        <v>0</v>
      </c>
      <c r="BWK391" s="160">
        <v>0</v>
      </c>
      <c r="BWL391" s="160">
        <v>0</v>
      </c>
      <c r="BWM391" s="160">
        <v>0</v>
      </c>
      <c r="BWN391" s="160">
        <v>0</v>
      </c>
      <c r="BWO391" s="160">
        <v>0</v>
      </c>
      <c r="BWP391" s="160">
        <v>0</v>
      </c>
      <c r="BWQ391" s="160">
        <v>0</v>
      </c>
      <c r="BWR391" s="160">
        <v>0</v>
      </c>
      <c r="BWS391" s="160">
        <v>0</v>
      </c>
      <c r="BWT391" s="160">
        <v>0</v>
      </c>
      <c r="BWU391" s="160">
        <v>0</v>
      </c>
      <c r="BWV391" s="160">
        <v>0</v>
      </c>
      <c r="BWW391" s="160">
        <v>0</v>
      </c>
      <c r="BWX391" s="160">
        <v>0</v>
      </c>
      <c r="BWY391" s="160">
        <v>0</v>
      </c>
      <c r="BWZ391" s="160">
        <v>0</v>
      </c>
      <c r="BXA391" s="160">
        <v>0</v>
      </c>
      <c r="BXB391" s="160">
        <v>0</v>
      </c>
      <c r="BXC391" s="160">
        <v>0</v>
      </c>
      <c r="BXD391" s="160">
        <v>0</v>
      </c>
      <c r="BXE391" s="160">
        <v>0</v>
      </c>
      <c r="BXF391" s="160">
        <v>0</v>
      </c>
      <c r="BXG391" s="160">
        <v>0</v>
      </c>
      <c r="BXH391" s="160">
        <v>0</v>
      </c>
      <c r="BXI391" s="160">
        <v>0</v>
      </c>
      <c r="BXJ391" s="160">
        <v>0</v>
      </c>
      <c r="BXK391" s="160">
        <v>0</v>
      </c>
      <c r="BXL391" s="160">
        <v>0</v>
      </c>
      <c r="BXM391" s="160">
        <v>0</v>
      </c>
      <c r="BXN391" s="160">
        <v>0</v>
      </c>
      <c r="BXO391" s="160">
        <v>0</v>
      </c>
      <c r="BXP391" s="160">
        <v>0</v>
      </c>
      <c r="BXQ391" s="160">
        <v>0</v>
      </c>
      <c r="BXR391" s="160">
        <v>0</v>
      </c>
      <c r="BXS391" s="160">
        <v>0</v>
      </c>
      <c r="BXT391" s="160">
        <v>0</v>
      </c>
      <c r="BXU391" s="160">
        <v>0</v>
      </c>
      <c r="BXV391" s="160">
        <v>0</v>
      </c>
      <c r="BXW391" s="160">
        <v>0</v>
      </c>
      <c r="BXX391" s="160">
        <v>0</v>
      </c>
      <c r="BXY391" s="160">
        <v>0</v>
      </c>
      <c r="BXZ391" s="160">
        <v>0</v>
      </c>
      <c r="BYA391" s="160">
        <v>0</v>
      </c>
      <c r="BYB391" s="160">
        <v>0</v>
      </c>
      <c r="BYC391" s="160">
        <v>0</v>
      </c>
      <c r="BYD391" s="160">
        <v>0</v>
      </c>
      <c r="BYE391" s="160">
        <v>0</v>
      </c>
      <c r="BYF391" s="160">
        <v>0</v>
      </c>
      <c r="BYG391" s="160">
        <v>0</v>
      </c>
      <c r="BYH391" s="160">
        <v>0</v>
      </c>
      <c r="BYI391" s="160">
        <v>0</v>
      </c>
      <c r="BYJ391" s="160">
        <v>0</v>
      </c>
      <c r="BYK391" s="160">
        <v>0</v>
      </c>
      <c r="BYL391" s="160">
        <v>0</v>
      </c>
      <c r="BYM391" s="160">
        <v>0</v>
      </c>
      <c r="BYN391" s="160">
        <v>0</v>
      </c>
      <c r="BYO391" s="160">
        <v>0</v>
      </c>
      <c r="BYP391" s="160">
        <v>0</v>
      </c>
      <c r="BYQ391" s="160">
        <v>0</v>
      </c>
      <c r="BYR391" s="160">
        <v>0</v>
      </c>
      <c r="BYS391" s="160">
        <v>0</v>
      </c>
      <c r="BYT391" s="160">
        <v>0</v>
      </c>
      <c r="BYU391" s="160">
        <v>0</v>
      </c>
      <c r="BYV391" s="160">
        <v>0</v>
      </c>
      <c r="BYW391" s="160">
        <v>0</v>
      </c>
      <c r="BYX391" s="160">
        <v>0</v>
      </c>
      <c r="BYY391" s="160">
        <v>0</v>
      </c>
      <c r="BYZ391" s="160">
        <v>0</v>
      </c>
      <c r="BZA391" s="160">
        <v>0</v>
      </c>
      <c r="BZB391" s="160">
        <v>0</v>
      </c>
      <c r="BZC391" s="160">
        <v>0</v>
      </c>
      <c r="BZD391" s="160">
        <v>0</v>
      </c>
      <c r="BZE391" s="160">
        <v>0</v>
      </c>
      <c r="BZF391" s="160">
        <v>0</v>
      </c>
      <c r="BZG391" s="160">
        <v>0</v>
      </c>
      <c r="BZH391" s="160">
        <v>0</v>
      </c>
      <c r="BZI391" s="160">
        <v>0</v>
      </c>
      <c r="BZJ391" s="160">
        <v>0</v>
      </c>
      <c r="BZK391" s="160">
        <v>0</v>
      </c>
      <c r="BZL391" s="160">
        <v>0</v>
      </c>
      <c r="BZM391" s="160">
        <v>0</v>
      </c>
      <c r="BZN391" s="160">
        <v>0</v>
      </c>
      <c r="BZO391" s="160">
        <v>0</v>
      </c>
      <c r="BZP391" s="160">
        <v>0</v>
      </c>
      <c r="BZQ391" s="160">
        <v>0</v>
      </c>
      <c r="BZR391" s="160">
        <v>0</v>
      </c>
      <c r="BZS391" s="160">
        <v>0</v>
      </c>
      <c r="BZT391" s="160">
        <v>0</v>
      </c>
      <c r="BZU391" s="160">
        <v>0</v>
      </c>
      <c r="BZV391" s="160">
        <v>0</v>
      </c>
      <c r="BZW391" s="160">
        <v>0</v>
      </c>
      <c r="BZX391" s="160">
        <v>0</v>
      </c>
      <c r="BZY391" s="160">
        <v>0</v>
      </c>
      <c r="BZZ391" s="160">
        <v>0</v>
      </c>
      <c r="CAA391" s="160">
        <v>0</v>
      </c>
      <c r="CAB391" s="160">
        <v>0</v>
      </c>
      <c r="CAC391" s="160">
        <v>0</v>
      </c>
      <c r="CAD391" s="160">
        <v>0</v>
      </c>
      <c r="CAE391" s="160">
        <v>0</v>
      </c>
      <c r="CAF391" s="160">
        <v>0</v>
      </c>
      <c r="CAG391" s="160">
        <v>0</v>
      </c>
      <c r="CAH391" s="160">
        <v>0</v>
      </c>
      <c r="CAI391" s="160">
        <v>0</v>
      </c>
      <c r="CAJ391" s="160">
        <v>0</v>
      </c>
      <c r="CAK391" s="160">
        <v>0</v>
      </c>
      <c r="CAL391" s="160">
        <v>0</v>
      </c>
      <c r="CAM391" s="160">
        <v>0</v>
      </c>
      <c r="CAN391" s="160">
        <v>0</v>
      </c>
      <c r="CAO391" s="160">
        <v>0</v>
      </c>
      <c r="CAP391" s="160">
        <v>0</v>
      </c>
      <c r="CAQ391" s="160">
        <v>0</v>
      </c>
      <c r="CAR391" s="160">
        <v>0</v>
      </c>
      <c r="CAS391" s="160">
        <v>0</v>
      </c>
      <c r="CAT391" s="160">
        <v>0</v>
      </c>
      <c r="CAU391" s="160">
        <v>0</v>
      </c>
      <c r="CAV391" s="160">
        <v>0</v>
      </c>
      <c r="CAW391" s="160">
        <v>0</v>
      </c>
      <c r="CAX391" s="160">
        <v>0</v>
      </c>
      <c r="CAY391" s="160">
        <v>0</v>
      </c>
      <c r="CAZ391" s="160">
        <v>0</v>
      </c>
      <c r="CBA391" s="160">
        <v>0</v>
      </c>
      <c r="CBB391" s="160">
        <v>0</v>
      </c>
      <c r="CBC391" s="160">
        <v>0</v>
      </c>
      <c r="CBD391" s="160">
        <v>0</v>
      </c>
      <c r="CBE391" s="160">
        <v>0</v>
      </c>
      <c r="CBF391" s="160">
        <v>0</v>
      </c>
      <c r="CBG391" s="160">
        <v>0</v>
      </c>
      <c r="CBH391" s="160">
        <v>0</v>
      </c>
      <c r="CBI391" s="160">
        <v>0</v>
      </c>
      <c r="CBJ391" s="160">
        <v>0</v>
      </c>
      <c r="CBK391" s="160">
        <v>0</v>
      </c>
      <c r="CBL391" s="160">
        <v>0</v>
      </c>
      <c r="CBM391" s="160">
        <v>0</v>
      </c>
      <c r="CBN391" s="160">
        <v>0</v>
      </c>
      <c r="CBO391" s="160">
        <v>0</v>
      </c>
      <c r="CBP391" s="160">
        <v>0</v>
      </c>
      <c r="CBQ391" s="160">
        <v>0</v>
      </c>
      <c r="CBR391" s="160">
        <v>0</v>
      </c>
      <c r="CBS391" s="160">
        <v>0</v>
      </c>
      <c r="CBT391" s="160">
        <v>0</v>
      </c>
      <c r="CBU391" s="160">
        <v>0</v>
      </c>
      <c r="CBV391" s="160">
        <v>0</v>
      </c>
      <c r="CBW391" s="160">
        <v>0</v>
      </c>
      <c r="CBX391" s="160">
        <v>0</v>
      </c>
      <c r="CBY391" s="160">
        <v>0</v>
      </c>
      <c r="CBZ391" s="160">
        <v>0</v>
      </c>
      <c r="CCA391" s="160">
        <v>0</v>
      </c>
      <c r="CCB391" s="160">
        <v>0</v>
      </c>
      <c r="CCC391" s="160">
        <v>0</v>
      </c>
      <c r="CCD391" s="160">
        <v>0</v>
      </c>
      <c r="CCE391" s="160">
        <v>0</v>
      </c>
      <c r="CCF391" s="160">
        <v>0</v>
      </c>
      <c r="CCG391" s="160">
        <v>0</v>
      </c>
      <c r="CCH391" s="160">
        <v>0</v>
      </c>
      <c r="CCI391" s="160">
        <v>0</v>
      </c>
      <c r="CCJ391" s="160">
        <v>0</v>
      </c>
      <c r="CCK391" s="160">
        <v>0</v>
      </c>
      <c r="CCL391" s="160">
        <v>0</v>
      </c>
      <c r="CCM391" s="160">
        <v>0</v>
      </c>
      <c r="CCN391" s="160">
        <v>0</v>
      </c>
      <c r="CCO391" s="160">
        <v>0</v>
      </c>
      <c r="CCP391" s="160">
        <v>0</v>
      </c>
      <c r="CCQ391" s="160">
        <v>0</v>
      </c>
      <c r="CCR391" s="160">
        <v>0</v>
      </c>
      <c r="CCS391" s="160">
        <v>0</v>
      </c>
      <c r="CCT391" s="160">
        <v>0</v>
      </c>
      <c r="CCU391" s="160">
        <v>0</v>
      </c>
      <c r="CCV391" s="160">
        <v>0</v>
      </c>
      <c r="CCW391" s="160">
        <v>0</v>
      </c>
      <c r="CCX391" s="160">
        <v>0</v>
      </c>
      <c r="CCY391" s="160">
        <v>0</v>
      </c>
      <c r="CCZ391" s="160">
        <v>0</v>
      </c>
      <c r="CDA391" s="160">
        <v>0</v>
      </c>
      <c r="CDB391" s="160">
        <v>0</v>
      </c>
      <c r="CDC391" s="160">
        <v>0</v>
      </c>
      <c r="CDD391" s="160">
        <v>0</v>
      </c>
      <c r="CDE391" s="160">
        <v>0</v>
      </c>
      <c r="CDF391" s="160">
        <v>0</v>
      </c>
      <c r="CDG391" s="160">
        <v>0</v>
      </c>
      <c r="CDH391" s="160">
        <v>0</v>
      </c>
      <c r="CDI391" s="160">
        <v>0</v>
      </c>
      <c r="CDJ391" s="160">
        <v>0</v>
      </c>
      <c r="CDK391" s="160">
        <v>0</v>
      </c>
      <c r="CDL391" s="160">
        <v>0</v>
      </c>
      <c r="CDM391" s="160">
        <v>0</v>
      </c>
      <c r="CDN391" s="160">
        <v>0</v>
      </c>
      <c r="CDO391" s="160">
        <v>0</v>
      </c>
      <c r="CDP391" s="160">
        <v>0</v>
      </c>
      <c r="CDQ391" s="160">
        <v>0</v>
      </c>
      <c r="CDR391" s="160">
        <v>0</v>
      </c>
      <c r="CDS391" s="160">
        <v>0</v>
      </c>
      <c r="CDT391" s="160">
        <v>0</v>
      </c>
      <c r="CDU391" s="160">
        <v>0</v>
      </c>
      <c r="CDV391" s="160">
        <v>0</v>
      </c>
      <c r="CDW391" s="160">
        <v>0</v>
      </c>
      <c r="CDX391" s="160">
        <v>0</v>
      </c>
      <c r="CDY391" s="160">
        <v>0</v>
      </c>
      <c r="CDZ391" s="160">
        <v>0</v>
      </c>
      <c r="CEA391" s="160">
        <v>0</v>
      </c>
      <c r="CEB391" s="160">
        <v>0</v>
      </c>
      <c r="CEC391" s="160">
        <v>0</v>
      </c>
      <c r="CED391" s="160">
        <v>0</v>
      </c>
      <c r="CEE391" s="160">
        <v>0</v>
      </c>
      <c r="CEF391" s="160">
        <v>0</v>
      </c>
      <c r="CEG391" s="160">
        <v>0</v>
      </c>
      <c r="CEH391" s="160">
        <v>0</v>
      </c>
      <c r="CEI391" s="160">
        <v>0</v>
      </c>
      <c r="CEJ391" s="160">
        <v>0</v>
      </c>
      <c r="CEK391" s="160">
        <v>0</v>
      </c>
      <c r="CEL391" s="160">
        <v>0</v>
      </c>
      <c r="CEM391" s="160">
        <v>0</v>
      </c>
      <c r="CEN391" s="160">
        <v>0</v>
      </c>
      <c r="CEO391" s="160">
        <v>0</v>
      </c>
      <c r="CEP391" s="160">
        <v>0</v>
      </c>
      <c r="CEQ391" s="160">
        <v>0</v>
      </c>
      <c r="CER391" s="160">
        <v>0</v>
      </c>
      <c r="CES391" s="160">
        <v>0</v>
      </c>
      <c r="CET391" s="160">
        <v>0</v>
      </c>
      <c r="CEU391" s="160">
        <v>0</v>
      </c>
      <c r="CEV391" s="160">
        <v>0</v>
      </c>
      <c r="CEW391" s="160">
        <v>0</v>
      </c>
      <c r="CEX391" s="160">
        <v>0</v>
      </c>
      <c r="CEY391" s="160">
        <v>0</v>
      </c>
      <c r="CEZ391" s="160">
        <v>0</v>
      </c>
      <c r="CFA391" s="160">
        <v>0</v>
      </c>
      <c r="CFB391" s="160">
        <v>0</v>
      </c>
      <c r="CFC391" s="160">
        <v>0</v>
      </c>
      <c r="CFD391" s="160">
        <v>0</v>
      </c>
      <c r="CFE391" s="160">
        <v>0</v>
      </c>
      <c r="CFF391" s="160">
        <v>0</v>
      </c>
      <c r="CFG391" s="160">
        <v>0</v>
      </c>
      <c r="CFH391" s="160">
        <v>0</v>
      </c>
      <c r="CFI391" s="160">
        <v>0</v>
      </c>
      <c r="CFJ391" s="160">
        <v>0</v>
      </c>
      <c r="CFK391" s="160">
        <v>0</v>
      </c>
      <c r="CFL391" s="160">
        <v>0</v>
      </c>
      <c r="CFM391" s="160">
        <v>0</v>
      </c>
      <c r="CFN391" s="160">
        <v>0</v>
      </c>
      <c r="CFO391" s="160">
        <v>0</v>
      </c>
      <c r="CFP391" s="160">
        <v>0</v>
      </c>
      <c r="CFQ391" s="160">
        <v>0</v>
      </c>
      <c r="CFR391" s="160">
        <v>0</v>
      </c>
      <c r="CFS391" s="160">
        <v>0</v>
      </c>
      <c r="CFT391" s="160">
        <v>0</v>
      </c>
      <c r="CFU391" s="160">
        <v>0</v>
      </c>
      <c r="CFV391" s="160">
        <v>0</v>
      </c>
      <c r="CFW391" s="160">
        <v>0</v>
      </c>
      <c r="CFX391" s="160">
        <v>0</v>
      </c>
      <c r="CFY391" s="160">
        <v>0</v>
      </c>
      <c r="CFZ391" s="160">
        <v>0</v>
      </c>
      <c r="CGA391" s="160">
        <v>0</v>
      </c>
      <c r="CGB391" s="160">
        <v>0</v>
      </c>
      <c r="CGC391" s="160">
        <v>0</v>
      </c>
      <c r="CGD391" s="160">
        <v>0</v>
      </c>
      <c r="CGE391" s="160">
        <v>0</v>
      </c>
      <c r="CGF391" s="160">
        <v>0</v>
      </c>
      <c r="CGG391" s="160">
        <v>0</v>
      </c>
      <c r="CGH391" s="160">
        <v>0</v>
      </c>
      <c r="CGI391" s="160">
        <v>0</v>
      </c>
      <c r="CGJ391" s="160">
        <v>0</v>
      </c>
      <c r="CGK391" s="160">
        <v>0</v>
      </c>
      <c r="CGL391" s="160">
        <v>0</v>
      </c>
      <c r="CGM391" s="160">
        <v>0</v>
      </c>
      <c r="CGN391" s="160">
        <v>0</v>
      </c>
      <c r="CGO391" s="160">
        <v>0</v>
      </c>
      <c r="CGP391" s="160">
        <v>0</v>
      </c>
      <c r="CGQ391" s="160">
        <v>0</v>
      </c>
      <c r="CGR391" s="160">
        <v>0</v>
      </c>
      <c r="CGS391" s="160">
        <v>0</v>
      </c>
      <c r="CGT391" s="160">
        <v>0</v>
      </c>
      <c r="CGU391" s="160">
        <v>0</v>
      </c>
      <c r="CGV391" s="160">
        <v>0</v>
      </c>
      <c r="CGW391" s="160">
        <v>0</v>
      </c>
      <c r="CGX391" s="160">
        <v>0</v>
      </c>
      <c r="CGY391" s="160">
        <v>0</v>
      </c>
      <c r="CGZ391" s="160">
        <v>0</v>
      </c>
      <c r="CHA391" s="160">
        <v>0</v>
      </c>
      <c r="CHB391" s="160">
        <v>0</v>
      </c>
      <c r="CHC391" s="160">
        <v>0</v>
      </c>
      <c r="CHD391" s="160">
        <v>0</v>
      </c>
      <c r="CHE391" s="160">
        <v>0</v>
      </c>
      <c r="CHF391" s="160">
        <v>0</v>
      </c>
      <c r="CHG391" s="160">
        <v>0</v>
      </c>
      <c r="CHH391" s="160">
        <v>0</v>
      </c>
      <c r="CHI391" s="160">
        <v>0</v>
      </c>
      <c r="CHJ391" s="160">
        <v>0</v>
      </c>
      <c r="CHK391" s="160">
        <v>0</v>
      </c>
      <c r="CHL391" s="160">
        <v>0</v>
      </c>
      <c r="CHM391" s="160">
        <v>0</v>
      </c>
      <c r="CHN391" s="160">
        <v>0</v>
      </c>
      <c r="CHO391" s="160">
        <v>0</v>
      </c>
      <c r="CHP391" s="160">
        <v>0</v>
      </c>
      <c r="CHQ391" s="160">
        <v>0</v>
      </c>
      <c r="CHR391" s="160">
        <v>0</v>
      </c>
      <c r="CHS391" s="160">
        <v>0</v>
      </c>
      <c r="CHT391" s="160">
        <v>0</v>
      </c>
      <c r="CHU391" s="160">
        <v>0</v>
      </c>
      <c r="CHV391" s="160">
        <v>0</v>
      </c>
      <c r="CHW391" s="160">
        <v>0</v>
      </c>
      <c r="CHX391" s="160">
        <v>0</v>
      </c>
      <c r="CHY391" s="160">
        <v>0</v>
      </c>
      <c r="CHZ391" s="160">
        <v>0</v>
      </c>
      <c r="CIA391" s="160">
        <v>0</v>
      </c>
      <c r="CIB391" s="160">
        <v>0</v>
      </c>
      <c r="CIC391" s="160">
        <v>0</v>
      </c>
      <c r="CID391" s="160">
        <v>0</v>
      </c>
      <c r="CIE391" s="160">
        <v>0</v>
      </c>
      <c r="CIF391" s="160">
        <v>0</v>
      </c>
      <c r="CIG391" s="160">
        <v>0</v>
      </c>
      <c r="CIH391" s="160">
        <v>0</v>
      </c>
      <c r="CII391" s="160">
        <v>0</v>
      </c>
      <c r="CIJ391" s="160">
        <v>0</v>
      </c>
      <c r="CIK391" s="160">
        <v>0</v>
      </c>
      <c r="CIL391" s="160">
        <v>0</v>
      </c>
      <c r="CIM391" s="160">
        <v>0</v>
      </c>
      <c r="CIN391" s="160">
        <v>0</v>
      </c>
      <c r="CIO391" s="160">
        <v>0</v>
      </c>
      <c r="CIP391" s="160">
        <v>0</v>
      </c>
      <c r="CIQ391" s="160">
        <v>0</v>
      </c>
      <c r="CIR391" s="160">
        <v>0</v>
      </c>
      <c r="CIS391" s="160">
        <v>0</v>
      </c>
      <c r="CIT391" s="160">
        <v>0</v>
      </c>
      <c r="CIU391" s="160">
        <v>0</v>
      </c>
      <c r="CIV391" s="160">
        <v>0</v>
      </c>
      <c r="CIW391" s="160">
        <v>0</v>
      </c>
      <c r="CIX391" s="160">
        <v>0</v>
      </c>
      <c r="CIY391" s="160">
        <v>0</v>
      </c>
      <c r="CIZ391" s="160">
        <v>0</v>
      </c>
      <c r="CJA391" s="160">
        <v>0</v>
      </c>
      <c r="CJB391" s="160">
        <v>0</v>
      </c>
      <c r="CJC391" s="160">
        <v>0</v>
      </c>
      <c r="CJD391" s="160">
        <v>0</v>
      </c>
      <c r="CJE391" s="160">
        <v>0</v>
      </c>
      <c r="CJF391" s="160">
        <v>0</v>
      </c>
      <c r="CJG391" s="160">
        <v>0</v>
      </c>
      <c r="CJH391" s="160">
        <v>0</v>
      </c>
      <c r="CJI391" s="160">
        <v>0</v>
      </c>
      <c r="CJJ391" s="160">
        <v>0</v>
      </c>
      <c r="CJK391" s="160">
        <v>0</v>
      </c>
      <c r="CJL391" s="160">
        <v>0</v>
      </c>
      <c r="CJM391" s="160">
        <v>0</v>
      </c>
      <c r="CJN391" s="160">
        <v>0</v>
      </c>
      <c r="CJO391" s="160">
        <v>0</v>
      </c>
      <c r="CJP391" s="160">
        <v>0</v>
      </c>
      <c r="CJQ391" s="160">
        <v>0</v>
      </c>
      <c r="CJR391" s="160">
        <v>0</v>
      </c>
      <c r="CJS391" s="160">
        <v>0</v>
      </c>
      <c r="CJT391" s="160">
        <v>0</v>
      </c>
      <c r="CJU391" s="160">
        <v>0</v>
      </c>
      <c r="CJV391" s="160">
        <v>0</v>
      </c>
      <c r="CJW391" s="160">
        <v>0</v>
      </c>
      <c r="CJX391" s="160">
        <v>0</v>
      </c>
      <c r="CJY391" s="160">
        <v>0</v>
      </c>
      <c r="CJZ391" s="160">
        <v>0</v>
      </c>
      <c r="CKA391" s="160">
        <v>0</v>
      </c>
      <c r="CKB391" s="160">
        <v>0</v>
      </c>
      <c r="CKC391" s="160">
        <v>0</v>
      </c>
      <c r="CKD391" s="160">
        <v>0</v>
      </c>
      <c r="CKE391" s="160">
        <v>0</v>
      </c>
      <c r="CKF391" s="160">
        <v>0</v>
      </c>
      <c r="CKG391" s="160">
        <v>0</v>
      </c>
      <c r="CKH391" s="160">
        <v>0</v>
      </c>
      <c r="CKI391" s="160">
        <v>0</v>
      </c>
      <c r="CKJ391" s="160">
        <v>0</v>
      </c>
      <c r="CKK391" s="160">
        <v>0</v>
      </c>
      <c r="CKL391" s="160">
        <v>0</v>
      </c>
      <c r="CKM391" s="160">
        <v>0</v>
      </c>
      <c r="CKN391" s="160">
        <v>0</v>
      </c>
      <c r="CKO391" s="160">
        <v>0</v>
      </c>
      <c r="CKP391" s="160">
        <v>0</v>
      </c>
      <c r="CKQ391" s="160">
        <v>0</v>
      </c>
      <c r="CKR391" s="160">
        <v>0</v>
      </c>
      <c r="CKS391" s="160">
        <v>0</v>
      </c>
      <c r="CKT391" s="160">
        <v>0</v>
      </c>
      <c r="CKU391" s="160">
        <v>0</v>
      </c>
      <c r="CKV391" s="160">
        <v>0</v>
      </c>
      <c r="CKW391" s="160">
        <v>0</v>
      </c>
      <c r="CKX391" s="160">
        <v>0</v>
      </c>
      <c r="CKY391" s="160">
        <v>0</v>
      </c>
      <c r="CKZ391" s="160">
        <v>0</v>
      </c>
      <c r="CLA391" s="160">
        <v>0</v>
      </c>
      <c r="CLB391" s="160">
        <v>0</v>
      </c>
      <c r="CLC391" s="160">
        <v>0</v>
      </c>
      <c r="CLD391" s="160">
        <v>0</v>
      </c>
      <c r="CLE391" s="160">
        <v>0</v>
      </c>
      <c r="CLF391" s="160">
        <v>0</v>
      </c>
      <c r="CLG391" s="160">
        <v>0</v>
      </c>
      <c r="CLH391" s="160">
        <v>0</v>
      </c>
      <c r="CLI391" s="160">
        <v>0</v>
      </c>
      <c r="CLJ391" s="160">
        <v>0</v>
      </c>
      <c r="CLK391" s="160">
        <v>0</v>
      </c>
      <c r="CLL391" s="160">
        <v>0</v>
      </c>
      <c r="CLM391" s="160">
        <v>0</v>
      </c>
      <c r="CLN391" s="160">
        <v>0</v>
      </c>
      <c r="CLO391" s="160">
        <v>0</v>
      </c>
      <c r="CLP391" s="160">
        <v>0</v>
      </c>
      <c r="CLQ391" s="160">
        <v>0</v>
      </c>
      <c r="CLR391" s="160">
        <v>0</v>
      </c>
      <c r="CLS391" s="160">
        <v>0</v>
      </c>
      <c r="CLT391" s="160">
        <v>0</v>
      </c>
      <c r="CLU391" s="160">
        <v>0</v>
      </c>
      <c r="CLV391" s="160">
        <v>0</v>
      </c>
      <c r="CLW391" s="160">
        <v>0</v>
      </c>
      <c r="CLX391" s="160">
        <v>0</v>
      </c>
      <c r="CLY391" s="160">
        <v>0</v>
      </c>
      <c r="CLZ391" s="160">
        <v>0</v>
      </c>
      <c r="CMA391" s="160">
        <v>0</v>
      </c>
      <c r="CMB391" s="160">
        <v>0</v>
      </c>
      <c r="CMC391" s="160">
        <v>0</v>
      </c>
      <c r="CMD391" s="160">
        <v>0</v>
      </c>
      <c r="CME391" s="160">
        <v>0</v>
      </c>
      <c r="CMF391" s="160">
        <v>0</v>
      </c>
      <c r="CMG391" s="160">
        <v>0</v>
      </c>
      <c r="CMH391" s="160">
        <v>0</v>
      </c>
      <c r="CMI391" s="160">
        <v>0</v>
      </c>
      <c r="CMJ391" s="160">
        <v>0</v>
      </c>
      <c r="CMK391" s="160">
        <v>0</v>
      </c>
      <c r="CML391" s="160">
        <v>0</v>
      </c>
      <c r="CMM391" s="160">
        <v>0</v>
      </c>
      <c r="CMN391" s="160">
        <v>0</v>
      </c>
      <c r="CMO391" s="160">
        <v>0</v>
      </c>
      <c r="CMP391" s="160">
        <v>0</v>
      </c>
      <c r="CMQ391" s="160">
        <v>0</v>
      </c>
      <c r="CMR391" s="160">
        <v>0</v>
      </c>
      <c r="CMS391" s="160">
        <v>0</v>
      </c>
      <c r="CMT391" s="160">
        <v>0</v>
      </c>
      <c r="CMU391" s="160">
        <v>0</v>
      </c>
      <c r="CMV391" s="160">
        <v>0</v>
      </c>
      <c r="CMW391" s="160">
        <v>0</v>
      </c>
      <c r="CMX391" s="160">
        <v>0</v>
      </c>
      <c r="CMY391" s="160">
        <v>0</v>
      </c>
      <c r="CMZ391" s="160">
        <v>0</v>
      </c>
      <c r="CNA391" s="160">
        <v>0</v>
      </c>
      <c r="CNB391" s="160">
        <v>0</v>
      </c>
      <c r="CNC391" s="160">
        <v>0</v>
      </c>
      <c r="CND391" s="160">
        <v>0</v>
      </c>
      <c r="CNE391" s="160">
        <v>0</v>
      </c>
      <c r="CNF391" s="160">
        <v>0</v>
      </c>
      <c r="CNG391" s="160">
        <v>0</v>
      </c>
      <c r="CNH391" s="160">
        <v>0</v>
      </c>
      <c r="CNI391" s="160">
        <v>0</v>
      </c>
      <c r="CNJ391" s="160">
        <v>0</v>
      </c>
      <c r="CNK391" s="160">
        <v>0</v>
      </c>
      <c r="CNL391" s="160">
        <v>0</v>
      </c>
      <c r="CNM391" s="160">
        <v>0</v>
      </c>
      <c r="CNN391" s="160">
        <v>0</v>
      </c>
      <c r="CNO391" s="160">
        <v>0</v>
      </c>
      <c r="CNP391" s="160">
        <v>0</v>
      </c>
      <c r="CNQ391" s="160">
        <v>0</v>
      </c>
      <c r="CNR391" s="160">
        <v>0</v>
      </c>
      <c r="CNS391" s="160">
        <v>0</v>
      </c>
      <c r="CNT391" s="160">
        <v>0</v>
      </c>
      <c r="CNU391" s="160">
        <v>0</v>
      </c>
      <c r="CNV391" s="160">
        <v>0</v>
      </c>
      <c r="CNW391" s="160">
        <v>0</v>
      </c>
      <c r="CNX391" s="160">
        <v>0</v>
      </c>
      <c r="CNY391" s="160">
        <v>0</v>
      </c>
      <c r="CNZ391" s="160">
        <v>0</v>
      </c>
      <c r="COA391" s="160">
        <v>0</v>
      </c>
      <c r="COB391" s="160">
        <v>0</v>
      </c>
      <c r="COC391" s="160">
        <v>0</v>
      </c>
      <c r="COD391" s="160">
        <v>0</v>
      </c>
      <c r="COE391" s="160">
        <v>0</v>
      </c>
      <c r="COF391" s="160">
        <v>0</v>
      </c>
      <c r="COG391" s="160">
        <v>0</v>
      </c>
      <c r="COH391" s="160">
        <v>0</v>
      </c>
      <c r="COI391" s="160">
        <v>0</v>
      </c>
      <c r="COJ391" s="160">
        <v>0</v>
      </c>
      <c r="COK391" s="160">
        <v>0</v>
      </c>
      <c r="COL391" s="160">
        <v>0</v>
      </c>
      <c r="COM391" s="160">
        <v>0</v>
      </c>
      <c r="CON391" s="160">
        <v>0</v>
      </c>
      <c r="COO391" s="160">
        <v>0</v>
      </c>
      <c r="COP391" s="160">
        <v>0</v>
      </c>
      <c r="COQ391" s="160">
        <v>0</v>
      </c>
      <c r="COR391" s="160">
        <v>0</v>
      </c>
      <c r="COS391" s="160">
        <v>0</v>
      </c>
      <c r="COT391" s="160">
        <v>0</v>
      </c>
      <c r="COU391" s="160">
        <v>0</v>
      </c>
      <c r="COV391" s="160">
        <v>0</v>
      </c>
      <c r="COW391" s="160">
        <v>0</v>
      </c>
      <c r="COX391" s="160">
        <v>0</v>
      </c>
      <c r="COY391" s="160">
        <v>0</v>
      </c>
      <c r="COZ391" s="160">
        <v>0</v>
      </c>
      <c r="CPA391" s="160">
        <v>0</v>
      </c>
      <c r="CPB391" s="160">
        <v>0</v>
      </c>
      <c r="CPC391" s="160">
        <v>0</v>
      </c>
      <c r="CPD391" s="160">
        <v>0</v>
      </c>
      <c r="CPE391" s="160">
        <v>0</v>
      </c>
      <c r="CPF391" s="160">
        <v>0</v>
      </c>
      <c r="CPG391" s="160">
        <v>0</v>
      </c>
      <c r="CPH391" s="160">
        <v>0</v>
      </c>
      <c r="CPI391" s="160">
        <v>0</v>
      </c>
      <c r="CPJ391" s="160">
        <v>0</v>
      </c>
      <c r="CPK391" s="160">
        <v>0</v>
      </c>
      <c r="CPL391" s="160">
        <v>0</v>
      </c>
      <c r="CPM391" s="160">
        <v>0</v>
      </c>
      <c r="CPN391" s="160">
        <v>0</v>
      </c>
      <c r="CPO391" s="160">
        <v>0</v>
      </c>
      <c r="CPP391" s="160">
        <v>0</v>
      </c>
      <c r="CPQ391" s="160">
        <v>0</v>
      </c>
      <c r="CPR391" s="160">
        <v>0</v>
      </c>
      <c r="CPS391" s="160">
        <v>0</v>
      </c>
      <c r="CPT391" s="160">
        <v>0</v>
      </c>
      <c r="CPU391" s="160">
        <v>0</v>
      </c>
      <c r="CPV391" s="160">
        <v>0</v>
      </c>
      <c r="CPW391" s="160">
        <v>0</v>
      </c>
      <c r="CPX391" s="160">
        <v>0</v>
      </c>
      <c r="CPY391" s="160">
        <v>0</v>
      </c>
      <c r="CPZ391" s="160">
        <v>0</v>
      </c>
      <c r="CQA391" s="160">
        <v>0</v>
      </c>
      <c r="CQB391" s="160">
        <v>0</v>
      </c>
      <c r="CQC391" s="160">
        <v>0</v>
      </c>
      <c r="CQD391" s="160">
        <v>0</v>
      </c>
      <c r="CQE391" s="160">
        <v>0</v>
      </c>
      <c r="CQF391" s="160">
        <v>0</v>
      </c>
      <c r="CQG391" s="160">
        <v>0</v>
      </c>
      <c r="CQH391" s="160">
        <v>0</v>
      </c>
      <c r="CQI391" s="160">
        <v>0</v>
      </c>
      <c r="CQJ391" s="160">
        <v>0</v>
      </c>
      <c r="CQK391" s="160">
        <v>0</v>
      </c>
      <c r="CQL391" s="160">
        <v>0</v>
      </c>
      <c r="CQM391" s="160">
        <v>0</v>
      </c>
      <c r="CQN391" s="160">
        <v>0</v>
      </c>
      <c r="CQO391" s="160">
        <v>0</v>
      </c>
      <c r="CQP391" s="160">
        <v>0</v>
      </c>
      <c r="CQQ391" s="160">
        <v>0</v>
      </c>
      <c r="CQR391" s="160">
        <v>0</v>
      </c>
      <c r="CQS391" s="160">
        <v>0</v>
      </c>
      <c r="CQT391" s="160">
        <v>0</v>
      </c>
      <c r="CQU391" s="160">
        <v>0</v>
      </c>
      <c r="CQV391" s="160">
        <v>0</v>
      </c>
      <c r="CQW391" s="160">
        <v>0</v>
      </c>
      <c r="CQX391" s="160">
        <v>0</v>
      </c>
      <c r="CQY391" s="160">
        <v>0</v>
      </c>
      <c r="CQZ391" s="160">
        <v>0</v>
      </c>
      <c r="CRA391" s="160">
        <v>0</v>
      </c>
      <c r="CRB391" s="160">
        <v>0</v>
      </c>
      <c r="CRC391" s="160">
        <v>0</v>
      </c>
      <c r="CRD391" s="160">
        <v>0</v>
      </c>
      <c r="CRE391" s="160">
        <v>0</v>
      </c>
      <c r="CRF391" s="160">
        <v>0</v>
      </c>
      <c r="CRG391" s="160">
        <v>0</v>
      </c>
      <c r="CRH391" s="160">
        <v>0</v>
      </c>
      <c r="CRI391" s="160">
        <v>0</v>
      </c>
      <c r="CRJ391" s="160">
        <v>0</v>
      </c>
      <c r="CRK391" s="160">
        <v>0</v>
      </c>
      <c r="CRL391" s="160">
        <v>0</v>
      </c>
      <c r="CRM391" s="160">
        <v>0</v>
      </c>
      <c r="CRN391" s="160">
        <v>0</v>
      </c>
      <c r="CRO391" s="160">
        <v>0</v>
      </c>
      <c r="CRP391" s="160">
        <v>0</v>
      </c>
      <c r="CRQ391" s="160">
        <v>0</v>
      </c>
      <c r="CRR391" s="160">
        <v>0</v>
      </c>
      <c r="CRS391" s="160">
        <v>0</v>
      </c>
      <c r="CRT391" s="160">
        <v>0</v>
      </c>
      <c r="CRU391" s="160">
        <v>0</v>
      </c>
      <c r="CRV391" s="160">
        <v>0</v>
      </c>
      <c r="CRW391" s="160">
        <v>0</v>
      </c>
      <c r="CRX391" s="160">
        <v>0</v>
      </c>
      <c r="CRY391" s="160">
        <v>0</v>
      </c>
      <c r="CRZ391" s="160">
        <v>0</v>
      </c>
      <c r="CSA391" s="160">
        <v>0</v>
      </c>
      <c r="CSB391" s="160">
        <v>0</v>
      </c>
      <c r="CSC391" s="160">
        <v>0</v>
      </c>
      <c r="CSD391" s="160">
        <v>0</v>
      </c>
      <c r="CSE391" s="160">
        <v>0</v>
      </c>
      <c r="CSF391" s="160">
        <v>0</v>
      </c>
      <c r="CSG391" s="160">
        <v>0</v>
      </c>
      <c r="CSH391" s="160">
        <v>0</v>
      </c>
      <c r="CSI391" s="160">
        <v>0</v>
      </c>
      <c r="CSJ391" s="160">
        <v>0</v>
      </c>
      <c r="CSK391" s="160">
        <v>0</v>
      </c>
      <c r="CSL391" s="160">
        <v>0</v>
      </c>
      <c r="CSM391" s="160">
        <v>0</v>
      </c>
      <c r="CSN391" s="160">
        <v>0</v>
      </c>
      <c r="CSO391" s="160">
        <v>0</v>
      </c>
      <c r="CSP391" s="160">
        <v>0</v>
      </c>
      <c r="CSQ391" s="160">
        <v>0</v>
      </c>
      <c r="CSR391" s="160">
        <v>0</v>
      </c>
      <c r="CSS391" s="160">
        <v>0</v>
      </c>
      <c r="CST391" s="160">
        <v>0</v>
      </c>
      <c r="CSU391" s="160">
        <v>0</v>
      </c>
      <c r="CSV391" s="160">
        <v>0</v>
      </c>
      <c r="CSW391" s="160">
        <v>0</v>
      </c>
      <c r="CSX391" s="160">
        <v>0</v>
      </c>
      <c r="CSY391" s="160">
        <v>0</v>
      </c>
      <c r="CSZ391" s="160">
        <v>0</v>
      </c>
      <c r="CTA391" s="160">
        <v>0</v>
      </c>
      <c r="CTB391" s="160">
        <v>0</v>
      </c>
      <c r="CTC391" s="160">
        <v>0</v>
      </c>
      <c r="CTD391" s="160">
        <v>0</v>
      </c>
      <c r="CTE391" s="160">
        <v>0</v>
      </c>
      <c r="CTF391" s="160">
        <v>0</v>
      </c>
      <c r="CTG391" s="160">
        <v>0</v>
      </c>
      <c r="CTH391" s="160">
        <v>0</v>
      </c>
      <c r="CTI391" s="160">
        <v>0</v>
      </c>
      <c r="CTJ391" s="160">
        <v>0</v>
      </c>
      <c r="CTK391" s="160">
        <v>0</v>
      </c>
      <c r="CTL391" s="160">
        <v>0</v>
      </c>
      <c r="CTM391" s="160">
        <v>0</v>
      </c>
      <c r="CTN391" s="160">
        <v>0</v>
      </c>
      <c r="CTO391" s="160">
        <v>0</v>
      </c>
      <c r="CTP391" s="160">
        <v>0</v>
      </c>
      <c r="CTQ391" s="160">
        <v>0</v>
      </c>
      <c r="CTR391" s="160">
        <v>0</v>
      </c>
      <c r="CTS391" s="160">
        <v>0</v>
      </c>
      <c r="CTT391" s="160">
        <v>0</v>
      </c>
      <c r="CTU391" s="160">
        <v>0</v>
      </c>
      <c r="CTV391" s="160">
        <v>0</v>
      </c>
      <c r="CTW391" s="160">
        <v>0</v>
      </c>
      <c r="CTX391" s="160">
        <v>0</v>
      </c>
      <c r="CTY391" s="160">
        <v>0</v>
      </c>
      <c r="CTZ391" s="160">
        <v>0</v>
      </c>
      <c r="CUA391" s="160">
        <v>0</v>
      </c>
      <c r="CUB391" s="160">
        <v>0</v>
      </c>
      <c r="CUC391" s="160">
        <v>0</v>
      </c>
      <c r="CUD391" s="160">
        <v>0</v>
      </c>
      <c r="CUE391" s="160">
        <v>0</v>
      </c>
      <c r="CUF391" s="160">
        <v>0</v>
      </c>
      <c r="CUG391" s="160">
        <v>0</v>
      </c>
      <c r="CUH391" s="160">
        <v>0</v>
      </c>
      <c r="CUI391" s="160">
        <v>0</v>
      </c>
      <c r="CUJ391" s="160">
        <v>0</v>
      </c>
      <c r="CUK391" s="160">
        <v>0</v>
      </c>
      <c r="CUL391" s="160">
        <v>0</v>
      </c>
      <c r="CUM391" s="160">
        <v>0</v>
      </c>
      <c r="CUN391" s="160">
        <v>0</v>
      </c>
      <c r="CUO391" s="160">
        <v>0</v>
      </c>
      <c r="CUP391" s="160">
        <v>0</v>
      </c>
      <c r="CUQ391" s="160">
        <v>0</v>
      </c>
      <c r="CUR391" s="160">
        <v>0</v>
      </c>
      <c r="CUS391" s="160">
        <v>0</v>
      </c>
      <c r="CUT391" s="160">
        <v>0</v>
      </c>
      <c r="CUU391" s="160">
        <v>0</v>
      </c>
      <c r="CUV391" s="160">
        <v>0</v>
      </c>
      <c r="CUW391" s="160">
        <v>0</v>
      </c>
      <c r="CUX391" s="160">
        <v>0</v>
      </c>
      <c r="CUY391" s="160">
        <v>0</v>
      </c>
      <c r="CUZ391" s="160">
        <v>0</v>
      </c>
      <c r="CVA391" s="160">
        <v>0</v>
      </c>
      <c r="CVB391" s="160">
        <v>0</v>
      </c>
      <c r="CVC391" s="160">
        <v>0</v>
      </c>
      <c r="CVD391" s="160">
        <v>0</v>
      </c>
      <c r="CVE391" s="160">
        <v>0</v>
      </c>
      <c r="CVF391" s="160">
        <v>0</v>
      </c>
      <c r="CVG391" s="160">
        <v>0</v>
      </c>
      <c r="CVH391" s="160">
        <v>0</v>
      </c>
      <c r="CVI391" s="160">
        <v>0</v>
      </c>
      <c r="CVJ391" s="160">
        <v>0</v>
      </c>
      <c r="CVK391" s="160">
        <v>0</v>
      </c>
      <c r="CVL391" s="160">
        <v>0</v>
      </c>
      <c r="CVM391" s="160">
        <v>0</v>
      </c>
      <c r="CVN391" s="160">
        <v>0</v>
      </c>
      <c r="CVO391" s="160">
        <v>0</v>
      </c>
      <c r="CVP391" s="160">
        <v>0</v>
      </c>
      <c r="CVQ391" s="160">
        <v>0</v>
      </c>
      <c r="CVR391" s="160">
        <v>0</v>
      </c>
      <c r="CVS391" s="160">
        <v>0</v>
      </c>
      <c r="CVT391" s="160">
        <v>0</v>
      </c>
      <c r="CVU391" s="160">
        <v>0</v>
      </c>
      <c r="CVV391" s="160">
        <v>0</v>
      </c>
      <c r="CVW391" s="160">
        <v>0</v>
      </c>
      <c r="CVX391" s="160">
        <v>0</v>
      </c>
      <c r="CVY391" s="160">
        <v>0</v>
      </c>
      <c r="CVZ391" s="160">
        <v>0</v>
      </c>
      <c r="CWA391" s="160">
        <v>0</v>
      </c>
      <c r="CWB391" s="160">
        <v>0</v>
      </c>
      <c r="CWC391" s="160">
        <v>0</v>
      </c>
      <c r="CWD391" s="160">
        <v>0</v>
      </c>
      <c r="CWE391" s="160">
        <v>0</v>
      </c>
      <c r="CWF391" s="160">
        <v>0</v>
      </c>
      <c r="CWG391" s="160">
        <v>0</v>
      </c>
      <c r="CWH391" s="160">
        <v>0</v>
      </c>
      <c r="CWI391" s="160">
        <v>0</v>
      </c>
      <c r="CWJ391" s="160">
        <v>0</v>
      </c>
      <c r="CWK391" s="160">
        <v>0</v>
      </c>
      <c r="CWL391" s="160">
        <v>0</v>
      </c>
      <c r="CWM391" s="160">
        <v>0</v>
      </c>
      <c r="CWN391" s="160">
        <v>0</v>
      </c>
      <c r="CWO391" s="160">
        <v>0</v>
      </c>
      <c r="CWP391" s="160">
        <v>0</v>
      </c>
      <c r="CWQ391" s="160">
        <v>0</v>
      </c>
      <c r="CWR391" s="160">
        <v>0</v>
      </c>
      <c r="CWS391" s="160">
        <v>0</v>
      </c>
      <c r="CWT391" s="160">
        <v>0</v>
      </c>
      <c r="CWU391" s="160">
        <v>0</v>
      </c>
      <c r="CWV391" s="160">
        <v>0</v>
      </c>
      <c r="CWW391" s="160">
        <v>0</v>
      </c>
      <c r="CWX391" s="160">
        <v>0</v>
      </c>
      <c r="CWY391" s="160">
        <v>0</v>
      </c>
      <c r="CWZ391" s="160">
        <v>0</v>
      </c>
      <c r="CXA391" s="160">
        <v>0</v>
      </c>
      <c r="CXB391" s="160">
        <v>0</v>
      </c>
      <c r="CXC391" s="160">
        <v>0</v>
      </c>
      <c r="CXD391" s="160">
        <v>0</v>
      </c>
      <c r="CXE391" s="160">
        <v>0</v>
      </c>
      <c r="CXF391" s="160">
        <v>0</v>
      </c>
      <c r="CXG391" s="160">
        <v>0</v>
      </c>
      <c r="CXH391" s="160">
        <v>0</v>
      </c>
      <c r="CXI391" s="160">
        <v>0</v>
      </c>
      <c r="CXJ391" s="160">
        <v>0</v>
      </c>
      <c r="CXK391" s="160">
        <v>0</v>
      </c>
      <c r="CXL391" s="160">
        <v>0</v>
      </c>
      <c r="CXM391" s="160">
        <v>0</v>
      </c>
      <c r="CXN391" s="160">
        <v>0</v>
      </c>
      <c r="CXO391" s="160">
        <v>0</v>
      </c>
      <c r="CXP391" s="160">
        <v>0</v>
      </c>
      <c r="CXQ391" s="160">
        <v>0</v>
      </c>
      <c r="CXR391" s="160">
        <v>0</v>
      </c>
      <c r="CXS391" s="160">
        <v>0</v>
      </c>
      <c r="CXT391" s="160">
        <v>0</v>
      </c>
      <c r="CXU391" s="160">
        <v>0</v>
      </c>
      <c r="CXV391" s="160">
        <v>0</v>
      </c>
      <c r="CXW391" s="160">
        <v>0</v>
      </c>
      <c r="CXX391" s="160">
        <v>0</v>
      </c>
      <c r="CXY391" s="160">
        <v>0</v>
      </c>
      <c r="CXZ391" s="160">
        <v>0</v>
      </c>
      <c r="CYA391" s="160">
        <v>0</v>
      </c>
      <c r="CYB391" s="160">
        <v>0</v>
      </c>
      <c r="CYC391" s="160">
        <v>0</v>
      </c>
      <c r="CYD391" s="160">
        <v>0</v>
      </c>
      <c r="CYE391" s="160">
        <v>0</v>
      </c>
      <c r="CYF391" s="160">
        <v>0</v>
      </c>
      <c r="CYG391" s="160">
        <v>0</v>
      </c>
      <c r="CYH391" s="160">
        <v>0</v>
      </c>
      <c r="CYI391" s="160">
        <v>0</v>
      </c>
      <c r="CYJ391" s="160">
        <v>0</v>
      </c>
      <c r="CYK391" s="160">
        <v>0</v>
      </c>
      <c r="CYL391" s="160">
        <v>0</v>
      </c>
      <c r="CYM391" s="160">
        <v>0</v>
      </c>
      <c r="CYN391" s="160">
        <v>0</v>
      </c>
      <c r="CYO391" s="160">
        <v>0</v>
      </c>
      <c r="CYP391" s="160">
        <v>0</v>
      </c>
      <c r="CYQ391" s="160">
        <v>0</v>
      </c>
      <c r="CYR391" s="160">
        <v>0</v>
      </c>
      <c r="CYS391" s="160">
        <v>0</v>
      </c>
      <c r="CYT391" s="160">
        <v>0</v>
      </c>
      <c r="CYU391" s="160">
        <v>0</v>
      </c>
      <c r="CYV391" s="160">
        <v>0</v>
      </c>
      <c r="CYW391" s="160">
        <v>0</v>
      </c>
      <c r="CYX391" s="160">
        <v>0</v>
      </c>
      <c r="CYY391" s="160">
        <v>0</v>
      </c>
      <c r="CYZ391" s="160">
        <v>0</v>
      </c>
      <c r="CZA391" s="160">
        <v>0</v>
      </c>
      <c r="CZB391" s="160">
        <v>0</v>
      </c>
      <c r="CZC391" s="160">
        <v>0</v>
      </c>
      <c r="CZD391" s="160">
        <v>0</v>
      </c>
      <c r="CZE391" s="160">
        <v>0</v>
      </c>
      <c r="CZF391" s="160">
        <v>0</v>
      </c>
      <c r="CZG391" s="160">
        <v>0</v>
      </c>
      <c r="CZH391" s="160">
        <v>0</v>
      </c>
      <c r="CZI391" s="160">
        <v>0</v>
      </c>
      <c r="CZJ391" s="160">
        <v>0</v>
      </c>
      <c r="CZK391" s="160">
        <v>0</v>
      </c>
      <c r="CZL391" s="160">
        <v>0</v>
      </c>
      <c r="CZM391" s="160">
        <v>0</v>
      </c>
      <c r="CZN391" s="160">
        <v>0</v>
      </c>
      <c r="CZO391" s="160">
        <v>0</v>
      </c>
      <c r="CZP391" s="160">
        <v>0</v>
      </c>
      <c r="CZQ391" s="160">
        <v>0</v>
      </c>
      <c r="CZR391" s="160">
        <v>0</v>
      </c>
      <c r="CZS391" s="160">
        <v>0</v>
      </c>
      <c r="CZT391" s="160">
        <v>0</v>
      </c>
      <c r="CZU391" s="160">
        <v>0</v>
      </c>
      <c r="CZV391" s="160">
        <v>0</v>
      </c>
      <c r="CZW391" s="160">
        <v>0</v>
      </c>
      <c r="CZX391" s="160">
        <v>0</v>
      </c>
      <c r="CZY391" s="160">
        <v>0</v>
      </c>
      <c r="CZZ391" s="160">
        <v>0</v>
      </c>
      <c r="DAA391" s="160">
        <v>0</v>
      </c>
      <c r="DAB391" s="160">
        <v>0</v>
      </c>
      <c r="DAC391" s="160">
        <v>0</v>
      </c>
      <c r="DAD391" s="160">
        <v>0</v>
      </c>
      <c r="DAE391" s="160">
        <v>0</v>
      </c>
      <c r="DAF391" s="160">
        <v>0</v>
      </c>
      <c r="DAG391" s="160">
        <v>0</v>
      </c>
      <c r="DAH391" s="160">
        <v>0</v>
      </c>
      <c r="DAI391" s="160">
        <v>0</v>
      </c>
      <c r="DAJ391" s="160">
        <v>0</v>
      </c>
      <c r="DAK391" s="160">
        <v>0</v>
      </c>
      <c r="DAL391" s="160">
        <v>0</v>
      </c>
      <c r="DAM391" s="160">
        <v>0</v>
      </c>
      <c r="DAN391" s="160">
        <v>0</v>
      </c>
      <c r="DAO391" s="160">
        <v>0</v>
      </c>
      <c r="DAP391" s="160">
        <v>0</v>
      </c>
      <c r="DAQ391" s="160">
        <v>0</v>
      </c>
      <c r="DAR391" s="160">
        <v>0</v>
      </c>
      <c r="DAS391" s="160">
        <v>0</v>
      </c>
      <c r="DAT391" s="160">
        <v>0</v>
      </c>
      <c r="DAU391" s="160">
        <v>0</v>
      </c>
      <c r="DAV391" s="160">
        <v>0</v>
      </c>
      <c r="DAW391" s="160">
        <v>0</v>
      </c>
      <c r="DAX391" s="160">
        <v>0</v>
      </c>
      <c r="DAY391" s="160">
        <v>0</v>
      </c>
      <c r="DAZ391" s="160">
        <v>0</v>
      </c>
      <c r="DBA391" s="160">
        <v>0</v>
      </c>
      <c r="DBB391" s="160">
        <v>0</v>
      </c>
      <c r="DBC391" s="160">
        <v>0</v>
      </c>
      <c r="DBD391" s="160">
        <v>0</v>
      </c>
      <c r="DBE391" s="160">
        <v>0</v>
      </c>
      <c r="DBF391" s="160">
        <v>0</v>
      </c>
      <c r="DBG391" s="160">
        <v>0</v>
      </c>
      <c r="DBH391" s="160">
        <v>0</v>
      </c>
      <c r="DBI391" s="160">
        <v>0</v>
      </c>
      <c r="DBJ391" s="160">
        <v>0</v>
      </c>
      <c r="DBK391" s="160">
        <v>0</v>
      </c>
      <c r="DBL391" s="160">
        <v>0</v>
      </c>
      <c r="DBM391" s="160">
        <v>0</v>
      </c>
      <c r="DBN391" s="160">
        <v>0</v>
      </c>
      <c r="DBO391" s="160">
        <v>0</v>
      </c>
      <c r="DBP391" s="160">
        <v>0</v>
      </c>
      <c r="DBQ391" s="160">
        <v>0</v>
      </c>
      <c r="DBR391" s="160">
        <v>0</v>
      </c>
      <c r="DBS391" s="160">
        <v>0</v>
      </c>
      <c r="DBT391" s="160">
        <v>0</v>
      </c>
      <c r="DBU391" s="160">
        <v>0</v>
      </c>
      <c r="DBV391" s="160">
        <v>0</v>
      </c>
      <c r="DBW391" s="160">
        <v>0</v>
      </c>
      <c r="DBX391" s="160">
        <v>0</v>
      </c>
      <c r="DBY391" s="160">
        <v>0</v>
      </c>
      <c r="DBZ391" s="160">
        <v>0</v>
      </c>
      <c r="DCA391" s="160">
        <v>0</v>
      </c>
      <c r="DCB391" s="160">
        <v>0</v>
      </c>
      <c r="DCC391" s="160">
        <v>0</v>
      </c>
      <c r="DCD391" s="160">
        <v>0</v>
      </c>
      <c r="DCE391" s="160">
        <v>0</v>
      </c>
      <c r="DCF391" s="160">
        <v>0</v>
      </c>
      <c r="DCG391" s="160">
        <v>0</v>
      </c>
      <c r="DCH391" s="160">
        <v>0</v>
      </c>
      <c r="DCI391" s="160">
        <v>0</v>
      </c>
      <c r="DCJ391" s="160">
        <v>0</v>
      </c>
      <c r="DCK391" s="160">
        <v>0</v>
      </c>
      <c r="DCL391" s="160">
        <v>0</v>
      </c>
      <c r="DCM391" s="160">
        <v>0</v>
      </c>
      <c r="DCN391" s="160">
        <v>0</v>
      </c>
      <c r="DCO391" s="160">
        <v>0</v>
      </c>
      <c r="DCP391" s="160">
        <v>0</v>
      </c>
      <c r="DCQ391" s="160">
        <v>0</v>
      </c>
      <c r="DCR391" s="160">
        <v>0</v>
      </c>
      <c r="DCS391" s="160">
        <v>0</v>
      </c>
      <c r="DCT391" s="160">
        <v>0</v>
      </c>
      <c r="DCU391" s="160">
        <v>0</v>
      </c>
      <c r="DCV391" s="160">
        <v>0</v>
      </c>
      <c r="DCW391" s="160">
        <v>0</v>
      </c>
      <c r="DCX391" s="160">
        <v>0</v>
      </c>
      <c r="DCY391" s="160">
        <v>0</v>
      </c>
      <c r="DCZ391" s="160">
        <v>0</v>
      </c>
      <c r="DDA391" s="160">
        <v>0</v>
      </c>
      <c r="DDB391" s="160">
        <v>0</v>
      </c>
      <c r="DDC391" s="160">
        <v>0</v>
      </c>
      <c r="DDD391" s="160">
        <v>0</v>
      </c>
      <c r="DDE391" s="160">
        <v>0</v>
      </c>
      <c r="DDF391" s="160">
        <v>0</v>
      </c>
      <c r="DDG391" s="160">
        <v>0</v>
      </c>
      <c r="DDH391" s="160">
        <v>0</v>
      </c>
      <c r="DDI391" s="160">
        <v>0</v>
      </c>
      <c r="DDJ391" s="160">
        <v>0</v>
      </c>
      <c r="DDK391" s="160">
        <v>0</v>
      </c>
      <c r="DDL391" s="160">
        <v>0</v>
      </c>
      <c r="DDM391" s="160">
        <v>0</v>
      </c>
      <c r="DDN391" s="160">
        <v>0</v>
      </c>
      <c r="DDO391" s="160">
        <v>0</v>
      </c>
      <c r="DDP391" s="160">
        <v>0</v>
      </c>
      <c r="DDQ391" s="160">
        <v>0</v>
      </c>
      <c r="DDR391" s="160">
        <v>0</v>
      </c>
      <c r="DDS391" s="160">
        <v>0</v>
      </c>
      <c r="DDT391" s="160">
        <v>0</v>
      </c>
      <c r="DDU391" s="160">
        <v>0</v>
      </c>
      <c r="DDV391" s="160">
        <v>0</v>
      </c>
      <c r="DDW391" s="160">
        <v>0</v>
      </c>
      <c r="DDX391" s="160">
        <v>0</v>
      </c>
      <c r="DDY391" s="160">
        <v>0</v>
      </c>
      <c r="DDZ391" s="160">
        <v>0</v>
      </c>
      <c r="DEA391" s="160">
        <v>0</v>
      </c>
      <c r="DEB391" s="160">
        <v>0</v>
      </c>
      <c r="DEC391" s="160">
        <v>0</v>
      </c>
      <c r="DED391" s="160">
        <v>0</v>
      </c>
      <c r="DEE391" s="160">
        <v>0</v>
      </c>
      <c r="DEF391" s="160">
        <v>0</v>
      </c>
      <c r="DEG391" s="160">
        <v>0</v>
      </c>
      <c r="DEH391" s="160">
        <v>0</v>
      </c>
      <c r="DEI391" s="160">
        <v>0</v>
      </c>
      <c r="DEJ391" s="160">
        <v>0</v>
      </c>
      <c r="DEK391" s="160">
        <v>0</v>
      </c>
      <c r="DEL391" s="160">
        <v>0</v>
      </c>
      <c r="DEM391" s="160">
        <v>0</v>
      </c>
      <c r="DEN391" s="160">
        <v>0</v>
      </c>
      <c r="DEO391" s="160">
        <v>0</v>
      </c>
      <c r="DEP391" s="160">
        <v>0</v>
      </c>
      <c r="DEQ391" s="160">
        <v>0</v>
      </c>
      <c r="DER391" s="160">
        <v>0</v>
      </c>
      <c r="DES391" s="160">
        <v>0</v>
      </c>
      <c r="DET391" s="160">
        <v>0</v>
      </c>
      <c r="DEU391" s="160">
        <v>0</v>
      </c>
      <c r="DEV391" s="160">
        <v>0</v>
      </c>
      <c r="DEW391" s="160">
        <v>0</v>
      </c>
      <c r="DEX391" s="160">
        <v>0</v>
      </c>
      <c r="DEY391" s="160">
        <v>0</v>
      </c>
      <c r="DEZ391" s="160">
        <v>0</v>
      </c>
      <c r="DFA391" s="160">
        <v>0</v>
      </c>
      <c r="DFB391" s="160">
        <v>0</v>
      </c>
      <c r="DFC391" s="160">
        <v>0</v>
      </c>
      <c r="DFD391" s="160">
        <v>0</v>
      </c>
      <c r="DFE391" s="160">
        <v>0</v>
      </c>
      <c r="DFF391" s="160">
        <v>0</v>
      </c>
      <c r="DFG391" s="160">
        <v>0</v>
      </c>
      <c r="DFH391" s="160">
        <v>0</v>
      </c>
      <c r="DFI391" s="160">
        <v>0</v>
      </c>
      <c r="DFJ391" s="160">
        <v>0</v>
      </c>
      <c r="DFK391" s="160">
        <v>0</v>
      </c>
      <c r="DFL391" s="160">
        <v>0</v>
      </c>
      <c r="DFM391" s="160">
        <v>0</v>
      </c>
      <c r="DFN391" s="160">
        <v>0</v>
      </c>
      <c r="DFO391" s="160">
        <v>0</v>
      </c>
      <c r="DFP391" s="160">
        <v>0</v>
      </c>
      <c r="DFQ391" s="160">
        <v>0</v>
      </c>
      <c r="DFR391" s="160">
        <v>0</v>
      </c>
      <c r="DFS391" s="160">
        <v>0</v>
      </c>
      <c r="DFT391" s="160">
        <v>0</v>
      </c>
      <c r="DFU391" s="160">
        <v>0</v>
      </c>
      <c r="DFV391" s="160">
        <v>0</v>
      </c>
      <c r="DFW391" s="160">
        <v>0</v>
      </c>
      <c r="DFX391" s="160">
        <v>0</v>
      </c>
      <c r="DFY391" s="160">
        <v>0</v>
      </c>
      <c r="DFZ391" s="160">
        <v>0</v>
      </c>
      <c r="DGA391" s="160">
        <v>0</v>
      </c>
      <c r="DGB391" s="160">
        <v>0</v>
      </c>
      <c r="DGC391" s="160">
        <v>0</v>
      </c>
      <c r="DGD391" s="160">
        <v>0</v>
      </c>
      <c r="DGE391" s="160">
        <v>0</v>
      </c>
      <c r="DGF391" s="160">
        <v>0</v>
      </c>
      <c r="DGG391" s="160">
        <v>0</v>
      </c>
      <c r="DGH391" s="160">
        <v>0</v>
      </c>
      <c r="DGI391" s="160">
        <v>0</v>
      </c>
      <c r="DGJ391" s="160">
        <v>0</v>
      </c>
      <c r="DGK391" s="160">
        <v>0</v>
      </c>
      <c r="DGL391" s="160">
        <v>0</v>
      </c>
      <c r="DGM391" s="160">
        <v>0</v>
      </c>
      <c r="DGN391" s="160">
        <v>0</v>
      </c>
      <c r="DGO391" s="160">
        <v>0</v>
      </c>
      <c r="DGP391" s="160">
        <v>0</v>
      </c>
      <c r="DGQ391" s="160">
        <v>0</v>
      </c>
      <c r="DGR391" s="160">
        <v>0</v>
      </c>
      <c r="DGS391" s="160">
        <v>0</v>
      </c>
      <c r="DGT391" s="160">
        <v>0</v>
      </c>
      <c r="DGU391" s="160">
        <v>0</v>
      </c>
      <c r="DGV391" s="160">
        <v>0</v>
      </c>
      <c r="DGW391" s="160">
        <v>0</v>
      </c>
      <c r="DGX391" s="160">
        <v>0</v>
      </c>
      <c r="DGY391" s="160">
        <v>0</v>
      </c>
      <c r="DGZ391" s="160">
        <v>0</v>
      </c>
      <c r="DHA391" s="160">
        <v>0</v>
      </c>
      <c r="DHB391" s="160">
        <v>0</v>
      </c>
      <c r="DHC391" s="160">
        <v>0</v>
      </c>
      <c r="DHD391" s="160">
        <v>0</v>
      </c>
      <c r="DHE391" s="160">
        <v>0</v>
      </c>
      <c r="DHF391" s="160">
        <v>0</v>
      </c>
      <c r="DHG391" s="160">
        <v>0</v>
      </c>
      <c r="DHH391" s="160">
        <v>0</v>
      </c>
      <c r="DHI391" s="160">
        <v>0</v>
      </c>
      <c r="DHJ391" s="160">
        <v>0</v>
      </c>
      <c r="DHK391" s="160">
        <v>0</v>
      </c>
      <c r="DHL391" s="160">
        <v>0</v>
      </c>
      <c r="DHM391" s="160">
        <v>0</v>
      </c>
      <c r="DHN391" s="160">
        <v>0</v>
      </c>
      <c r="DHO391" s="160">
        <v>0</v>
      </c>
      <c r="DHP391" s="160">
        <v>0</v>
      </c>
      <c r="DHQ391" s="160">
        <v>0</v>
      </c>
      <c r="DHR391" s="160">
        <v>0</v>
      </c>
      <c r="DHS391" s="160">
        <v>0</v>
      </c>
      <c r="DHT391" s="160">
        <v>0</v>
      </c>
      <c r="DHU391" s="160">
        <v>0</v>
      </c>
      <c r="DHV391" s="160">
        <v>0</v>
      </c>
      <c r="DHW391" s="160">
        <v>0</v>
      </c>
      <c r="DHX391" s="160">
        <v>0</v>
      </c>
      <c r="DHY391" s="160">
        <v>0</v>
      </c>
      <c r="DHZ391" s="160">
        <v>0</v>
      </c>
      <c r="DIA391" s="160">
        <v>0</v>
      </c>
      <c r="DIB391" s="160">
        <v>0</v>
      </c>
      <c r="DIC391" s="160">
        <v>0</v>
      </c>
      <c r="DID391" s="160">
        <v>0</v>
      </c>
      <c r="DIE391" s="160">
        <v>0</v>
      </c>
      <c r="DIF391" s="160">
        <v>0</v>
      </c>
      <c r="DIG391" s="160">
        <v>0</v>
      </c>
      <c r="DIH391" s="160">
        <v>0</v>
      </c>
      <c r="DII391" s="160">
        <v>0</v>
      </c>
      <c r="DIJ391" s="160">
        <v>0</v>
      </c>
      <c r="DIK391" s="160">
        <v>0</v>
      </c>
      <c r="DIL391" s="160">
        <v>0</v>
      </c>
      <c r="DIM391" s="160">
        <v>0</v>
      </c>
      <c r="DIN391" s="160">
        <v>0</v>
      </c>
      <c r="DIO391" s="160">
        <v>0</v>
      </c>
      <c r="DIP391" s="160">
        <v>0</v>
      </c>
      <c r="DIQ391" s="160">
        <v>0</v>
      </c>
      <c r="DIR391" s="160">
        <v>0</v>
      </c>
      <c r="DIS391" s="160">
        <v>0</v>
      </c>
      <c r="DIT391" s="160">
        <v>0</v>
      </c>
      <c r="DIU391" s="160">
        <v>0</v>
      </c>
      <c r="DIV391" s="160">
        <v>0</v>
      </c>
      <c r="DIW391" s="160">
        <v>0</v>
      </c>
      <c r="DIX391" s="160">
        <v>0</v>
      </c>
      <c r="DIY391" s="160">
        <v>0</v>
      </c>
      <c r="DIZ391" s="160">
        <v>0</v>
      </c>
      <c r="DJA391" s="160">
        <v>0</v>
      </c>
      <c r="DJB391" s="160">
        <v>0</v>
      </c>
      <c r="DJC391" s="160">
        <v>0</v>
      </c>
      <c r="DJD391" s="160">
        <v>0</v>
      </c>
      <c r="DJE391" s="160">
        <v>0</v>
      </c>
      <c r="DJF391" s="160">
        <v>0</v>
      </c>
      <c r="DJG391" s="160">
        <v>0</v>
      </c>
      <c r="DJH391" s="160">
        <v>0</v>
      </c>
      <c r="DJI391" s="160">
        <v>0</v>
      </c>
      <c r="DJJ391" s="160">
        <v>0</v>
      </c>
      <c r="DJK391" s="160">
        <v>0</v>
      </c>
      <c r="DJL391" s="160">
        <v>0</v>
      </c>
      <c r="DJM391" s="160">
        <v>0</v>
      </c>
      <c r="DJN391" s="160">
        <v>0</v>
      </c>
      <c r="DJO391" s="160">
        <v>0</v>
      </c>
      <c r="DJP391" s="160">
        <v>0</v>
      </c>
      <c r="DJQ391" s="160">
        <v>0</v>
      </c>
      <c r="DJR391" s="160">
        <v>0</v>
      </c>
      <c r="DJS391" s="160">
        <v>0</v>
      </c>
      <c r="DJT391" s="160">
        <v>0</v>
      </c>
      <c r="DJU391" s="160">
        <v>0</v>
      </c>
      <c r="DJV391" s="160">
        <v>0</v>
      </c>
      <c r="DJW391" s="160">
        <v>0</v>
      </c>
      <c r="DJX391" s="160">
        <v>0</v>
      </c>
      <c r="DJY391" s="160">
        <v>0</v>
      </c>
      <c r="DJZ391" s="160">
        <v>0</v>
      </c>
      <c r="DKA391" s="160">
        <v>0</v>
      </c>
      <c r="DKB391" s="160">
        <v>0</v>
      </c>
      <c r="DKC391" s="160">
        <v>0</v>
      </c>
      <c r="DKD391" s="160">
        <v>0</v>
      </c>
      <c r="DKE391" s="160">
        <v>0</v>
      </c>
      <c r="DKF391" s="160">
        <v>0</v>
      </c>
      <c r="DKG391" s="160">
        <v>0</v>
      </c>
      <c r="DKH391" s="160">
        <v>0</v>
      </c>
      <c r="DKI391" s="160">
        <v>0</v>
      </c>
      <c r="DKJ391" s="160">
        <v>0</v>
      </c>
      <c r="DKK391" s="160">
        <v>0</v>
      </c>
      <c r="DKL391" s="160">
        <v>0</v>
      </c>
      <c r="DKM391" s="160">
        <v>0</v>
      </c>
      <c r="DKN391" s="160">
        <v>0</v>
      </c>
      <c r="DKO391" s="160">
        <v>0</v>
      </c>
      <c r="DKP391" s="160">
        <v>0</v>
      </c>
      <c r="DKQ391" s="160">
        <v>0</v>
      </c>
      <c r="DKR391" s="160">
        <v>0</v>
      </c>
      <c r="DKS391" s="160">
        <v>0</v>
      </c>
      <c r="DKT391" s="160">
        <v>0</v>
      </c>
      <c r="DKU391" s="160">
        <v>0</v>
      </c>
      <c r="DKV391" s="160">
        <v>0</v>
      </c>
      <c r="DKW391" s="160">
        <v>0</v>
      </c>
      <c r="DKX391" s="160">
        <v>0</v>
      </c>
      <c r="DKY391" s="160">
        <v>0</v>
      </c>
      <c r="DKZ391" s="160">
        <v>0</v>
      </c>
      <c r="DLA391" s="160">
        <v>0</v>
      </c>
      <c r="DLB391" s="160">
        <v>0</v>
      </c>
      <c r="DLC391" s="160">
        <v>0</v>
      </c>
      <c r="DLD391" s="160">
        <v>0</v>
      </c>
      <c r="DLE391" s="160">
        <v>0</v>
      </c>
      <c r="DLF391" s="160">
        <v>0</v>
      </c>
      <c r="DLG391" s="160">
        <v>0</v>
      </c>
      <c r="DLH391" s="160">
        <v>0</v>
      </c>
      <c r="DLI391" s="160">
        <v>0</v>
      </c>
      <c r="DLJ391" s="160">
        <v>0</v>
      </c>
      <c r="DLK391" s="160">
        <v>0</v>
      </c>
      <c r="DLL391" s="160">
        <v>0</v>
      </c>
      <c r="DLM391" s="160">
        <v>0</v>
      </c>
      <c r="DLN391" s="160">
        <v>0</v>
      </c>
      <c r="DLO391" s="160">
        <v>0</v>
      </c>
      <c r="DLP391" s="160">
        <v>0</v>
      </c>
      <c r="DLQ391" s="160">
        <v>0</v>
      </c>
      <c r="DLR391" s="160">
        <v>0</v>
      </c>
      <c r="DLS391" s="160">
        <v>0</v>
      </c>
      <c r="DLT391" s="160">
        <v>0</v>
      </c>
      <c r="DLU391" s="160">
        <v>0</v>
      </c>
      <c r="DLV391" s="160">
        <v>0</v>
      </c>
      <c r="DLW391" s="160">
        <v>0</v>
      </c>
      <c r="DLX391" s="160">
        <v>0</v>
      </c>
      <c r="DLY391" s="160">
        <v>0</v>
      </c>
      <c r="DLZ391" s="160">
        <v>0</v>
      </c>
      <c r="DMA391" s="160">
        <v>0</v>
      </c>
      <c r="DMB391" s="160">
        <v>0</v>
      </c>
      <c r="DMC391" s="160">
        <v>0</v>
      </c>
      <c r="DMD391" s="160">
        <v>0</v>
      </c>
      <c r="DME391" s="160">
        <v>0</v>
      </c>
      <c r="DMF391" s="160">
        <v>0</v>
      </c>
      <c r="DMG391" s="160">
        <v>0</v>
      </c>
      <c r="DMH391" s="160">
        <v>0</v>
      </c>
      <c r="DMI391" s="160">
        <v>0</v>
      </c>
      <c r="DMJ391" s="160">
        <v>0</v>
      </c>
      <c r="DMK391" s="160">
        <v>0</v>
      </c>
      <c r="DML391" s="160">
        <v>0</v>
      </c>
      <c r="DMM391" s="160">
        <v>0</v>
      </c>
      <c r="DMN391" s="160">
        <v>0</v>
      </c>
      <c r="DMO391" s="160">
        <v>0</v>
      </c>
      <c r="DMP391" s="160">
        <v>0</v>
      </c>
      <c r="DMQ391" s="160">
        <v>0</v>
      </c>
      <c r="DMR391" s="160">
        <v>0</v>
      </c>
      <c r="DMS391" s="160">
        <v>0</v>
      </c>
      <c r="DMT391" s="160">
        <v>0</v>
      </c>
      <c r="DMU391" s="160">
        <v>0</v>
      </c>
      <c r="DMV391" s="160">
        <v>0</v>
      </c>
      <c r="DMW391" s="160">
        <v>0</v>
      </c>
      <c r="DMX391" s="160">
        <v>0</v>
      </c>
      <c r="DMY391" s="160">
        <v>0</v>
      </c>
      <c r="DMZ391" s="160">
        <v>0</v>
      </c>
      <c r="DNA391" s="160">
        <v>0</v>
      </c>
      <c r="DNB391" s="160">
        <v>0</v>
      </c>
      <c r="DNC391" s="160">
        <v>0</v>
      </c>
      <c r="DND391" s="160">
        <v>0</v>
      </c>
      <c r="DNE391" s="160">
        <v>0</v>
      </c>
      <c r="DNF391" s="160">
        <v>0</v>
      </c>
      <c r="DNG391" s="160">
        <v>0</v>
      </c>
      <c r="DNH391" s="160">
        <v>0</v>
      </c>
      <c r="DNI391" s="160">
        <v>0</v>
      </c>
      <c r="DNJ391" s="160">
        <v>0</v>
      </c>
      <c r="DNK391" s="160">
        <v>0</v>
      </c>
      <c r="DNL391" s="160">
        <v>0</v>
      </c>
      <c r="DNM391" s="160">
        <v>0</v>
      </c>
      <c r="DNN391" s="160">
        <v>0</v>
      </c>
      <c r="DNO391" s="160">
        <v>0</v>
      </c>
      <c r="DNP391" s="160">
        <v>0</v>
      </c>
      <c r="DNQ391" s="160">
        <v>0</v>
      </c>
      <c r="DNR391" s="160">
        <v>0</v>
      </c>
      <c r="DNS391" s="160">
        <v>0</v>
      </c>
      <c r="DNT391" s="160">
        <v>0</v>
      </c>
      <c r="DNU391" s="160">
        <v>0</v>
      </c>
      <c r="DNV391" s="160">
        <v>0</v>
      </c>
      <c r="DNW391" s="160">
        <v>0</v>
      </c>
      <c r="DNX391" s="160">
        <v>0</v>
      </c>
      <c r="DNY391" s="160">
        <v>0</v>
      </c>
      <c r="DNZ391" s="160">
        <v>0</v>
      </c>
      <c r="DOA391" s="160">
        <v>0</v>
      </c>
      <c r="DOB391" s="160">
        <v>0</v>
      </c>
      <c r="DOC391" s="160">
        <v>0</v>
      </c>
      <c r="DOD391" s="160">
        <v>0</v>
      </c>
      <c r="DOE391" s="160">
        <v>0</v>
      </c>
      <c r="DOF391" s="160">
        <v>0</v>
      </c>
      <c r="DOG391" s="160">
        <v>0</v>
      </c>
      <c r="DOH391" s="160">
        <v>0</v>
      </c>
      <c r="DOI391" s="160">
        <v>0</v>
      </c>
      <c r="DOJ391" s="160">
        <v>0</v>
      </c>
      <c r="DOK391" s="160">
        <v>0</v>
      </c>
      <c r="DOL391" s="160">
        <v>0</v>
      </c>
      <c r="DOM391" s="160">
        <v>0</v>
      </c>
      <c r="DON391" s="160">
        <v>0</v>
      </c>
      <c r="DOO391" s="160">
        <v>0</v>
      </c>
      <c r="DOP391" s="160">
        <v>0</v>
      </c>
      <c r="DOQ391" s="160">
        <v>0</v>
      </c>
      <c r="DOR391" s="160">
        <v>0</v>
      </c>
      <c r="DOS391" s="160">
        <v>0</v>
      </c>
      <c r="DOT391" s="160">
        <v>0</v>
      </c>
      <c r="DOU391" s="160">
        <v>0</v>
      </c>
      <c r="DOV391" s="160">
        <v>0</v>
      </c>
      <c r="DOW391" s="160">
        <v>0</v>
      </c>
      <c r="DOX391" s="160">
        <v>0</v>
      </c>
      <c r="DOY391" s="160">
        <v>0</v>
      </c>
      <c r="DOZ391" s="160">
        <v>0</v>
      </c>
      <c r="DPA391" s="160">
        <v>0</v>
      </c>
      <c r="DPB391" s="160">
        <v>0</v>
      </c>
      <c r="DPC391" s="160">
        <v>0</v>
      </c>
      <c r="DPD391" s="160">
        <v>0</v>
      </c>
      <c r="DPE391" s="160">
        <v>0</v>
      </c>
      <c r="DPF391" s="160">
        <v>0</v>
      </c>
      <c r="DPG391" s="160">
        <v>0</v>
      </c>
      <c r="DPH391" s="160">
        <v>0</v>
      </c>
      <c r="DPI391" s="160">
        <v>0</v>
      </c>
      <c r="DPJ391" s="160">
        <v>0</v>
      </c>
      <c r="DPK391" s="160">
        <v>0</v>
      </c>
      <c r="DPL391" s="160">
        <v>0</v>
      </c>
      <c r="DPM391" s="160">
        <v>0</v>
      </c>
      <c r="DPN391" s="160">
        <v>0</v>
      </c>
      <c r="DPO391" s="160">
        <v>0</v>
      </c>
      <c r="DPP391" s="160">
        <v>0</v>
      </c>
      <c r="DPQ391" s="160">
        <v>0</v>
      </c>
      <c r="DPR391" s="160">
        <v>0</v>
      </c>
      <c r="DPS391" s="160">
        <v>0</v>
      </c>
      <c r="DPT391" s="160">
        <v>0</v>
      </c>
      <c r="DPU391" s="160">
        <v>0</v>
      </c>
      <c r="DPV391" s="160">
        <v>0</v>
      </c>
      <c r="DPW391" s="160">
        <v>0</v>
      </c>
      <c r="DPX391" s="160">
        <v>0</v>
      </c>
      <c r="DPY391" s="160">
        <v>0</v>
      </c>
      <c r="DPZ391" s="160">
        <v>0</v>
      </c>
      <c r="DQA391" s="160">
        <v>0</v>
      </c>
      <c r="DQB391" s="160">
        <v>0</v>
      </c>
      <c r="DQC391" s="160">
        <v>0</v>
      </c>
      <c r="DQD391" s="160">
        <v>0</v>
      </c>
      <c r="DQE391" s="160">
        <v>0</v>
      </c>
      <c r="DQF391" s="160">
        <v>0</v>
      </c>
      <c r="DQG391" s="160">
        <v>0</v>
      </c>
      <c r="DQH391" s="160">
        <v>0</v>
      </c>
      <c r="DQI391" s="160">
        <v>0</v>
      </c>
      <c r="DQJ391" s="160">
        <v>0</v>
      </c>
      <c r="DQK391" s="160">
        <v>0</v>
      </c>
      <c r="DQL391" s="160">
        <v>0</v>
      </c>
      <c r="DQM391" s="160">
        <v>0</v>
      </c>
      <c r="DQN391" s="160">
        <v>0</v>
      </c>
      <c r="DQO391" s="160">
        <v>0</v>
      </c>
      <c r="DQP391" s="160">
        <v>0</v>
      </c>
      <c r="DQQ391" s="160">
        <v>0</v>
      </c>
      <c r="DQR391" s="160">
        <v>0</v>
      </c>
      <c r="DQS391" s="160">
        <v>0</v>
      </c>
      <c r="DQT391" s="160">
        <v>0</v>
      </c>
      <c r="DQU391" s="160">
        <v>0</v>
      </c>
      <c r="DQV391" s="160">
        <v>0</v>
      </c>
      <c r="DQW391" s="160">
        <v>0</v>
      </c>
      <c r="DQX391" s="160">
        <v>0</v>
      </c>
      <c r="DQY391" s="160">
        <v>0</v>
      </c>
      <c r="DQZ391" s="160">
        <v>0</v>
      </c>
      <c r="DRA391" s="160">
        <v>0</v>
      </c>
      <c r="DRB391" s="160">
        <v>0</v>
      </c>
      <c r="DRC391" s="160">
        <v>0</v>
      </c>
      <c r="DRD391" s="160">
        <v>0</v>
      </c>
      <c r="DRE391" s="160">
        <v>0</v>
      </c>
      <c r="DRF391" s="160">
        <v>0</v>
      </c>
      <c r="DRG391" s="160">
        <v>0</v>
      </c>
      <c r="DRH391" s="160">
        <v>0</v>
      </c>
      <c r="DRI391" s="160">
        <v>0</v>
      </c>
      <c r="DRJ391" s="160">
        <v>0</v>
      </c>
      <c r="DRK391" s="160">
        <v>0</v>
      </c>
      <c r="DRL391" s="160">
        <v>0</v>
      </c>
      <c r="DRM391" s="160">
        <v>0</v>
      </c>
      <c r="DRN391" s="160">
        <v>0</v>
      </c>
      <c r="DRO391" s="160">
        <v>0</v>
      </c>
      <c r="DRP391" s="160">
        <v>0</v>
      </c>
      <c r="DRQ391" s="160">
        <v>0</v>
      </c>
      <c r="DRR391" s="160">
        <v>0</v>
      </c>
      <c r="DRS391" s="160">
        <v>0</v>
      </c>
      <c r="DRT391" s="160">
        <v>0</v>
      </c>
      <c r="DRU391" s="160">
        <v>0</v>
      </c>
      <c r="DRV391" s="160">
        <v>0</v>
      </c>
      <c r="DRW391" s="160">
        <v>0</v>
      </c>
      <c r="DRX391" s="160">
        <v>0</v>
      </c>
      <c r="DRY391" s="160">
        <v>0</v>
      </c>
      <c r="DRZ391" s="160">
        <v>0</v>
      </c>
      <c r="DSA391" s="160">
        <v>0</v>
      </c>
      <c r="DSB391" s="160">
        <v>0</v>
      </c>
      <c r="DSC391" s="160">
        <v>0</v>
      </c>
      <c r="DSD391" s="160">
        <v>0</v>
      </c>
      <c r="DSE391" s="160">
        <v>0</v>
      </c>
      <c r="DSF391" s="160">
        <v>0</v>
      </c>
      <c r="DSG391" s="160">
        <v>0</v>
      </c>
      <c r="DSH391" s="160">
        <v>0</v>
      </c>
      <c r="DSI391" s="160">
        <v>0</v>
      </c>
      <c r="DSJ391" s="160">
        <v>0</v>
      </c>
      <c r="DSK391" s="160">
        <v>0</v>
      </c>
      <c r="DSL391" s="160">
        <v>0</v>
      </c>
      <c r="DSM391" s="160">
        <v>0</v>
      </c>
      <c r="DSN391" s="160">
        <v>0</v>
      </c>
      <c r="DSO391" s="160">
        <v>0</v>
      </c>
      <c r="DSP391" s="160">
        <v>0</v>
      </c>
      <c r="DSQ391" s="160">
        <v>0</v>
      </c>
      <c r="DSR391" s="160">
        <v>0</v>
      </c>
      <c r="DSS391" s="160">
        <v>0</v>
      </c>
      <c r="DST391" s="160">
        <v>0</v>
      </c>
      <c r="DSU391" s="160">
        <v>0</v>
      </c>
      <c r="DSV391" s="160">
        <v>0</v>
      </c>
      <c r="DSW391" s="160">
        <v>0</v>
      </c>
      <c r="DSX391" s="160">
        <v>0</v>
      </c>
      <c r="DSY391" s="160">
        <v>0</v>
      </c>
      <c r="DSZ391" s="160">
        <v>0</v>
      </c>
      <c r="DTA391" s="160">
        <v>0</v>
      </c>
      <c r="DTB391" s="160">
        <v>0</v>
      </c>
      <c r="DTC391" s="160">
        <v>0</v>
      </c>
      <c r="DTD391" s="160">
        <v>0</v>
      </c>
      <c r="DTE391" s="160">
        <v>0</v>
      </c>
      <c r="DTF391" s="160">
        <v>0</v>
      </c>
      <c r="DTG391" s="160">
        <v>0</v>
      </c>
      <c r="DTH391" s="160">
        <v>0</v>
      </c>
      <c r="DTI391" s="160">
        <v>0</v>
      </c>
      <c r="DTJ391" s="160">
        <v>0</v>
      </c>
      <c r="DTK391" s="160">
        <v>0</v>
      </c>
      <c r="DTL391" s="160">
        <v>0</v>
      </c>
      <c r="DTM391" s="160">
        <v>0</v>
      </c>
      <c r="DTN391" s="160">
        <v>0</v>
      </c>
      <c r="DTO391" s="160">
        <v>0</v>
      </c>
      <c r="DTP391" s="160">
        <v>0</v>
      </c>
      <c r="DTQ391" s="160">
        <v>0</v>
      </c>
      <c r="DTR391" s="160">
        <v>0</v>
      </c>
      <c r="DTS391" s="160">
        <v>0</v>
      </c>
      <c r="DTT391" s="160">
        <v>0</v>
      </c>
      <c r="DTU391" s="160">
        <v>0</v>
      </c>
      <c r="DTV391" s="160">
        <v>0</v>
      </c>
      <c r="DTW391" s="160">
        <v>0</v>
      </c>
      <c r="DTX391" s="160">
        <v>0</v>
      </c>
      <c r="DTY391" s="160">
        <v>0</v>
      </c>
      <c r="DTZ391" s="160">
        <v>0</v>
      </c>
      <c r="DUA391" s="160">
        <v>0</v>
      </c>
      <c r="DUB391" s="160">
        <v>0</v>
      </c>
      <c r="DUC391" s="160">
        <v>0</v>
      </c>
      <c r="DUD391" s="160">
        <v>0</v>
      </c>
      <c r="DUE391" s="160">
        <v>0</v>
      </c>
      <c r="DUF391" s="160">
        <v>0</v>
      </c>
      <c r="DUG391" s="160">
        <v>0</v>
      </c>
      <c r="DUH391" s="160">
        <v>0</v>
      </c>
      <c r="DUI391" s="160">
        <v>0</v>
      </c>
      <c r="DUJ391" s="160">
        <v>0</v>
      </c>
      <c r="DUK391" s="160">
        <v>0</v>
      </c>
      <c r="DUL391" s="160">
        <v>0</v>
      </c>
      <c r="DUM391" s="160">
        <v>0</v>
      </c>
      <c r="DUN391" s="160">
        <v>0</v>
      </c>
      <c r="DUO391" s="160">
        <v>0</v>
      </c>
      <c r="DUP391" s="160">
        <v>0</v>
      </c>
      <c r="DUQ391" s="160">
        <v>0</v>
      </c>
      <c r="DUR391" s="160">
        <v>0</v>
      </c>
      <c r="DUS391" s="160">
        <v>0</v>
      </c>
      <c r="DUT391" s="160">
        <v>0</v>
      </c>
      <c r="DUU391" s="160">
        <v>0</v>
      </c>
      <c r="DUV391" s="160">
        <v>0</v>
      </c>
      <c r="DUW391" s="160">
        <v>0</v>
      </c>
      <c r="DUX391" s="160">
        <v>0</v>
      </c>
      <c r="DUY391" s="160">
        <v>0</v>
      </c>
      <c r="DUZ391" s="160">
        <v>0</v>
      </c>
      <c r="DVA391" s="160">
        <v>0</v>
      </c>
      <c r="DVB391" s="160">
        <v>0</v>
      </c>
      <c r="DVC391" s="160">
        <v>0</v>
      </c>
      <c r="DVD391" s="160">
        <v>0</v>
      </c>
      <c r="DVE391" s="160">
        <v>0</v>
      </c>
      <c r="DVF391" s="160">
        <v>0</v>
      </c>
      <c r="DVG391" s="160">
        <v>0</v>
      </c>
      <c r="DVH391" s="160">
        <v>0</v>
      </c>
      <c r="DVI391" s="160">
        <v>0</v>
      </c>
      <c r="DVJ391" s="160">
        <v>0</v>
      </c>
      <c r="DVK391" s="160">
        <v>0</v>
      </c>
      <c r="DVL391" s="160">
        <v>0</v>
      </c>
      <c r="DVM391" s="160">
        <v>0</v>
      </c>
      <c r="DVN391" s="160">
        <v>0</v>
      </c>
      <c r="DVO391" s="160">
        <v>0</v>
      </c>
      <c r="DVP391" s="160">
        <v>0</v>
      </c>
      <c r="DVQ391" s="160">
        <v>0</v>
      </c>
      <c r="DVR391" s="160">
        <v>0</v>
      </c>
      <c r="DVS391" s="160">
        <v>0</v>
      </c>
      <c r="DVT391" s="160">
        <v>0</v>
      </c>
      <c r="DVU391" s="160">
        <v>0</v>
      </c>
      <c r="DVV391" s="160">
        <v>0</v>
      </c>
      <c r="DVW391" s="160">
        <v>0</v>
      </c>
      <c r="DVX391" s="160">
        <v>0</v>
      </c>
      <c r="DVY391" s="160">
        <v>0</v>
      </c>
      <c r="DVZ391" s="160">
        <v>0</v>
      </c>
      <c r="DWA391" s="160">
        <v>0</v>
      </c>
      <c r="DWB391" s="160">
        <v>0</v>
      </c>
      <c r="DWC391" s="160">
        <v>0</v>
      </c>
      <c r="DWD391" s="160">
        <v>0</v>
      </c>
      <c r="DWE391" s="160">
        <v>0</v>
      </c>
      <c r="DWF391" s="160">
        <v>0</v>
      </c>
      <c r="DWG391" s="160">
        <v>0</v>
      </c>
      <c r="DWH391" s="160">
        <v>0</v>
      </c>
      <c r="DWI391" s="160">
        <v>0</v>
      </c>
      <c r="DWJ391" s="160">
        <v>0</v>
      </c>
      <c r="DWK391" s="160">
        <v>0</v>
      </c>
      <c r="DWL391" s="160">
        <v>0</v>
      </c>
      <c r="DWM391" s="160">
        <v>0</v>
      </c>
      <c r="DWN391" s="160">
        <v>0</v>
      </c>
      <c r="DWO391" s="160">
        <v>0</v>
      </c>
      <c r="DWP391" s="160">
        <v>0</v>
      </c>
      <c r="DWQ391" s="160">
        <v>0</v>
      </c>
      <c r="DWR391" s="160">
        <v>0</v>
      </c>
      <c r="DWS391" s="160">
        <v>0</v>
      </c>
      <c r="DWT391" s="160">
        <v>0</v>
      </c>
      <c r="DWU391" s="160">
        <v>0</v>
      </c>
      <c r="DWV391" s="160">
        <v>0</v>
      </c>
      <c r="DWW391" s="160">
        <v>0</v>
      </c>
      <c r="DWX391" s="160">
        <v>0</v>
      </c>
      <c r="DWY391" s="160">
        <v>0</v>
      </c>
      <c r="DWZ391" s="160">
        <v>0</v>
      </c>
      <c r="DXA391" s="160">
        <v>0</v>
      </c>
      <c r="DXB391" s="160">
        <v>0</v>
      </c>
      <c r="DXC391" s="160">
        <v>0</v>
      </c>
      <c r="DXD391" s="160">
        <v>0</v>
      </c>
      <c r="DXE391" s="160">
        <v>0</v>
      </c>
      <c r="DXF391" s="160">
        <v>0</v>
      </c>
      <c r="DXG391" s="160">
        <v>0</v>
      </c>
      <c r="DXH391" s="160">
        <v>0</v>
      </c>
      <c r="DXI391" s="160">
        <v>0</v>
      </c>
      <c r="DXJ391" s="160">
        <v>0</v>
      </c>
      <c r="DXK391" s="160">
        <v>0</v>
      </c>
      <c r="DXL391" s="160">
        <v>0</v>
      </c>
      <c r="DXM391" s="160">
        <v>0</v>
      </c>
      <c r="DXN391" s="160">
        <v>0</v>
      </c>
      <c r="DXO391" s="160">
        <v>0</v>
      </c>
      <c r="DXP391" s="160">
        <v>0</v>
      </c>
      <c r="DXQ391" s="160">
        <v>0</v>
      </c>
      <c r="DXR391" s="160">
        <v>0</v>
      </c>
      <c r="DXS391" s="160">
        <v>0</v>
      </c>
      <c r="DXT391" s="160">
        <v>0</v>
      </c>
      <c r="DXU391" s="160">
        <v>0</v>
      </c>
      <c r="DXV391" s="160">
        <v>0</v>
      </c>
      <c r="DXW391" s="160">
        <v>0</v>
      </c>
      <c r="DXX391" s="160">
        <v>0</v>
      </c>
      <c r="DXY391" s="160">
        <v>0</v>
      </c>
      <c r="DXZ391" s="160">
        <v>0</v>
      </c>
      <c r="DYA391" s="160">
        <v>0</v>
      </c>
      <c r="DYB391" s="160">
        <v>0</v>
      </c>
      <c r="DYC391" s="160">
        <v>0</v>
      </c>
      <c r="DYD391" s="160">
        <v>0</v>
      </c>
      <c r="DYE391" s="160">
        <v>0</v>
      </c>
      <c r="DYF391" s="160">
        <v>0</v>
      </c>
      <c r="DYG391" s="160">
        <v>0</v>
      </c>
      <c r="DYH391" s="160">
        <v>0</v>
      </c>
      <c r="DYI391" s="160">
        <v>0</v>
      </c>
      <c r="DYJ391" s="160">
        <v>0</v>
      </c>
      <c r="DYK391" s="160">
        <v>0</v>
      </c>
      <c r="DYL391" s="160">
        <v>0</v>
      </c>
      <c r="DYM391" s="160">
        <v>0</v>
      </c>
      <c r="DYN391" s="160">
        <v>0</v>
      </c>
      <c r="DYO391" s="160">
        <v>0</v>
      </c>
      <c r="DYP391" s="160">
        <v>0</v>
      </c>
      <c r="DYQ391" s="160">
        <v>0</v>
      </c>
      <c r="DYR391" s="160">
        <v>0</v>
      </c>
      <c r="DYS391" s="160">
        <v>0</v>
      </c>
      <c r="DYT391" s="160">
        <v>0</v>
      </c>
      <c r="DYU391" s="160">
        <v>0</v>
      </c>
      <c r="DYV391" s="160">
        <v>0</v>
      </c>
      <c r="DYW391" s="160">
        <v>0</v>
      </c>
      <c r="DYX391" s="160">
        <v>0</v>
      </c>
      <c r="DYY391" s="160">
        <v>0</v>
      </c>
      <c r="DYZ391" s="160">
        <v>0</v>
      </c>
      <c r="DZA391" s="160">
        <v>0</v>
      </c>
      <c r="DZB391" s="160">
        <v>0</v>
      </c>
      <c r="DZC391" s="160">
        <v>0</v>
      </c>
      <c r="DZD391" s="160">
        <v>0</v>
      </c>
      <c r="DZE391" s="160">
        <v>0</v>
      </c>
      <c r="DZF391" s="160">
        <v>0</v>
      </c>
      <c r="DZG391" s="160">
        <v>0</v>
      </c>
      <c r="DZH391" s="160">
        <v>0</v>
      </c>
      <c r="DZI391" s="160">
        <v>0</v>
      </c>
      <c r="DZJ391" s="160">
        <v>0</v>
      </c>
      <c r="DZK391" s="160">
        <v>0</v>
      </c>
      <c r="DZL391" s="160">
        <v>0</v>
      </c>
      <c r="DZM391" s="160">
        <v>0</v>
      </c>
      <c r="DZN391" s="160">
        <v>0</v>
      </c>
      <c r="DZO391" s="160">
        <v>0</v>
      </c>
      <c r="DZP391" s="160">
        <v>0</v>
      </c>
      <c r="DZQ391" s="160">
        <v>0</v>
      </c>
      <c r="DZR391" s="160">
        <v>0</v>
      </c>
      <c r="DZS391" s="160">
        <v>0</v>
      </c>
      <c r="DZT391" s="160">
        <v>0</v>
      </c>
      <c r="DZU391" s="160">
        <v>0</v>
      </c>
      <c r="DZV391" s="160">
        <v>0</v>
      </c>
      <c r="DZW391" s="160">
        <v>0</v>
      </c>
      <c r="DZX391" s="160">
        <v>0</v>
      </c>
      <c r="DZY391" s="160">
        <v>0</v>
      </c>
      <c r="DZZ391" s="160">
        <v>0</v>
      </c>
      <c r="EAA391" s="160">
        <v>0</v>
      </c>
      <c r="EAB391" s="160">
        <v>0</v>
      </c>
      <c r="EAC391" s="160">
        <v>0</v>
      </c>
      <c r="EAD391" s="160">
        <v>0</v>
      </c>
      <c r="EAE391" s="160">
        <v>0</v>
      </c>
      <c r="EAF391" s="160">
        <v>0</v>
      </c>
      <c r="EAG391" s="160">
        <v>0</v>
      </c>
      <c r="EAH391" s="160">
        <v>0</v>
      </c>
      <c r="EAI391" s="160">
        <v>0</v>
      </c>
      <c r="EAJ391" s="160">
        <v>0</v>
      </c>
      <c r="EAK391" s="160">
        <v>0</v>
      </c>
      <c r="EAL391" s="160">
        <v>0</v>
      </c>
      <c r="EAM391" s="160">
        <v>0</v>
      </c>
      <c r="EAN391" s="160">
        <v>0</v>
      </c>
      <c r="EAO391" s="160">
        <v>0</v>
      </c>
      <c r="EAP391" s="160">
        <v>0</v>
      </c>
      <c r="EAQ391" s="160">
        <v>0</v>
      </c>
      <c r="EAR391" s="160">
        <v>0</v>
      </c>
      <c r="EAS391" s="160">
        <v>0</v>
      </c>
      <c r="EAT391" s="160">
        <v>0</v>
      </c>
      <c r="EAU391" s="160">
        <v>0</v>
      </c>
      <c r="EAV391" s="160">
        <v>0</v>
      </c>
      <c r="EAW391" s="160">
        <v>0</v>
      </c>
      <c r="EAX391" s="160">
        <v>0</v>
      </c>
      <c r="EAY391" s="160">
        <v>0</v>
      </c>
      <c r="EAZ391" s="160">
        <v>0</v>
      </c>
      <c r="EBA391" s="160">
        <v>0</v>
      </c>
      <c r="EBB391" s="160">
        <v>0</v>
      </c>
      <c r="EBC391" s="160">
        <v>0</v>
      </c>
      <c r="EBD391" s="160">
        <v>0</v>
      </c>
      <c r="EBE391" s="160">
        <v>0</v>
      </c>
      <c r="EBF391" s="160">
        <v>0</v>
      </c>
      <c r="EBG391" s="160">
        <v>0</v>
      </c>
      <c r="EBH391" s="160">
        <v>0</v>
      </c>
      <c r="EBI391" s="160">
        <v>0</v>
      </c>
      <c r="EBJ391" s="160">
        <v>0</v>
      </c>
      <c r="EBK391" s="160">
        <v>0</v>
      </c>
      <c r="EBL391" s="160">
        <v>0</v>
      </c>
      <c r="EBM391" s="160">
        <v>0</v>
      </c>
      <c r="EBN391" s="160">
        <v>0</v>
      </c>
      <c r="EBO391" s="160">
        <v>0</v>
      </c>
      <c r="EBP391" s="160">
        <v>0</v>
      </c>
      <c r="EBQ391" s="160">
        <v>0</v>
      </c>
      <c r="EBR391" s="160">
        <v>0</v>
      </c>
      <c r="EBS391" s="160">
        <v>0</v>
      </c>
      <c r="EBT391" s="160">
        <v>0</v>
      </c>
      <c r="EBU391" s="160">
        <v>0</v>
      </c>
      <c r="EBV391" s="160">
        <v>0</v>
      </c>
      <c r="EBW391" s="160">
        <v>0</v>
      </c>
      <c r="EBX391" s="160">
        <v>0</v>
      </c>
      <c r="EBY391" s="160">
        <v>0</v>
      </c>
      <c r="EBZ391" s="160">
        <v>0</v>
      </c>
      <c r="ECA391" s="160">
        <v>0</v>
      </c>
      <c r="ECB391" s="160">
        <v>0</v>
      </c>
      <c r="ECC391" s="160">
        <v>0</v>
      </c>
      <c r="ECD391" s="160">
        <v>0</v>
      </c>
      <c r="ECE391" s="160">
        <v>0</v>
      </c>
      <c r="ECF391" s="160">
        <v>0</v>
      </c>
      <c r="ECG391" s="160">
        <v>0</v>
      </c>
      <c r="ECH391" s="160">
        <v>0</v>
      </c>
      <c r="ECI391" s="160">
        <v>0</v>
      </c>
      <c r="ECJ391" s="160">
        <v>0</v>
      </c>
      <c r="ECK391" s="160">
        <v>0</v>
      </c>
      <c r="ECL391" s="160">
        <v>0</v>
      </c>
      <c r="ECM391" s="160">
        <v>0</v>
      </c>
      <c r="ECN391" s="160">
        <v>0</v>
      </c>
      <c r="ECO391" s="160">
        <v>0</v>
      </c>
      <c r="ECP391" s="160">
        <v>0</v>
      </c>
      <c r="ECQ391" s="160">
        <v>0</v>
      </c>
      <c r="ECR391" s="160">
        <v>0</v>
      </c>
      <c r="ECS391" s="160">
        <v>0</v>
      </c>
      <c r="ECT391" s="160">
        <v>0</v>
      </c>
      <c r="ECU391" s="160">
        <v>0</v>
      </c>
      <c r="ECV391" s="160">
        <v>0</v>
      </c>
      <c r="ECW391" s="160">
        <v>0</v>
      </c>
      <c r="ECX391" s="160">
        <v>0</v>
      </c>
      <c r="ECY391" s="160">
        <v>0</v>
      </c>
      <c r="ECZ391" s="160">
        <v>0</v>
      </c>
      <c r="EDA391" s="160">
        <v>0</v>
      </c>
      <c r="EDB391" s="160">
        <v>0</v>
      </c>
      <c r="EDC391" s="160">
        <v>0</v>
      </c>
      <c r="EDD391" s="160">
        <v>0</v>
      </c>
      <c r="EDE391" s="160">
        <v>0</v>
      </c>
      <c r="EDF391" s="160">
        <v>0</v>
      </c>
      <c r="EDG391" s="160">
        <v>0</v>
      </c>
      <c r="EDH391" s="160">
        <v>0</v>
      </c>
      <c r="EDI391" s="160">
        <v>0</v>
      </c>
      <c r="EDJ391" s="160">
        <v>0</v>
      </c>
      <c r="EDK391" s="160">
        <v>0</v>
      </c>
      <c r="EDL391" s="160">
        <v>0</v>
      </c>
      <c r="EDM391" s="160">
        <v>0</v>
      </c>
      <c r="EDN391" s="160">
        <v>0</v>
      </c>
      <c r="EDO391" s="160">
        <v>0</v>
      </c>
      <c r="EDP391" s="160">
        <v>0</v>
      </c>
      <c r="EDQ391" s="160">
        <v>0</v>
      </c>
      <c r="EDR391" s="160">
        <v>0</v>
      </c>
      <c r="EDS391" s="160">
        <v>0</v>
      </c>
      <c r="EDT391" s="160">
        <v>0</v>
      </c>
      <c r="EDU391" s="160">
        <v>0</v>
      </c>
      <c r="EDV391" s="160">
        <v>0</v>
      </c>
      <c r="EDW391" s="160">
        <v>0</v>
      </c>
      <c r="EDX391" s="160">
        <v>0</v>
      </c>
      <c r="EDY391" s="160">
        <v>0</v>
      </c>
      <c r="EDZ391" s="160">
        <v>0</v>
      </c>
      <c r="EEA391" s="160">
        <v>0</v>
      </c>
      <c r="EEB391" s="160">
        <v>0</v>
      </c>
      <c r="EEC391" s="160">
        <v>0</v>
      </c>
      <c r="EED391" s="160">
        <v>0</v>
      </c>
      <c r="EEE391" s="160">
        <v>0</v>
      </c>
      <c r="EEF391" s="160">
        <v>0</v>
      </c>
      <c r="EEG391" s="160">
        <v>0</v>
      </c>
      <c r="EEH391" s="160">
        <v>0</v>
      </c>
      <c r="EEI391" s="160">
        <v>0</v>
      </c>
      <c r="EEJ391" s="160">
        <v>0</v>
      </c>
      <c r="EEK391" s="160">
        <v>0</v>
      </c>
      <c r="EEL391" s="160">
        <v>0</v>
      </c>
      <c r="EEM391" s="160">
        <v>0</v>
      </c>
      <c r="EEN391" s="160">
        <v>0</v>
      </c>
      <c r="EEO391" s="160">
        <v>0</v>
      </c>
      <c r="EEP391" s="160">
        <v>0</v>
      </c>
      <c r="EEQ391" s="160">
        <v>0</v>
      </c>
      <c r="EER391" s="160">
        <v>0</v>
      </c>
      <c r="EES391" s="160">
        <v>0</v>
      </c>
      <c r="EET391" s="160">
        <v>0</v>
      </c>
      <c r="EEU391" s="160">
        <v>0</v>
      </c>
      <c r="EEV391" s="160">
        <v>0</v>
      </c>
      <c r="EEW391" s="160">
        <v>0</v>
      </c>
      <c r="EEX391" s="160">
        <v>0</v>
      </c>
      <c r="EEY391" s="160">
        <v>0</v>
      </c>
      <c r="EEZ391" s="160">
        <v>0</v>
      </c>
      <c r="EFA391" s="160">
        <v>0</v>
      </c>
      <c r="EFB391" s="160">
        <v>0</v>
      </c>
      <c r="EFC391" s="160">
        <v>0</v>
      </c>
      <c r="EFD391" s="160">
        <v>0</v>
      </c>
      <c r="EFE391" s="160">
        <v>0</v>
      </c>
      <c r="EFF391" s="160">
        <v>0</v>
      </c>
      <c r="EFG391" s="160">
        <v>0</v>
      </c>
      <c r="EFH391" s="160">
        <v>0</v>
      </c>
      <c r="EFI391" s="160">
        <v>0</v>
      </c>
      <c r="EFJ391" s="160">
        <v>0</v>
      </c>
      <c r="EFK391" s="160">
        <v>0</v>
      </c>
      <c r="EFL391" s="160">
        <v>0</v>
      </c>
      <c r="EFM391" s="160">
        <v>0</v>
      </c>
      <c r="EFN391" s="160">
        <v>0</v>
      </c>
      <c r="EFO391" s="160">
        <v>0</v>
      </c>
      <c r="EFP391" s="160">
        <v>0</v>
      </c>
      <c r="EFQ391" s="160">
        <v>0</v>
      </c>
      <c r="EFR391" s="160">
        <v>0</v>
      </c>
      <c r="EFS391" s="160">
        <v>0</v>
      </c>
      <c r="EFT391" s="160">
        <v>0</v>
      </c>
      <c r="EFU391" s="160">
        <v>0</v>
      </c>
      <c r="EFV391" s="160">
        <v>0</v>
      </c>
      <c r="EFW391" s="160">
        <v>0</v>
      </c>
      <c r="EFX391" s="160">
        <v>0</v>
      </c>
      <c r="EFY391" s="160">
        <v>0</v>
      </c>
      <c r="EFZ391" s="160">
        <v>0</v>
      </c>
      <c r="EGA391" s="160">
        <v>0</v>
      </c>
      <c r="EGB391" s="160">
        <v>0</v>
      </c>
      <c r="EGC391" s="160">
        <v>0</v>
      </c>
      <c r="EGD391" s="160">
        <v>0</v>
      </c>
      <c r="EGE391" s="160">
        <v>0</v>
      </c>
      <c r="EGF391" s="160">
        <v>0</v>
      </c>
      <c r="EGG391" s="160">
        <v>0</v>
      </c>
      <c r="EGH391" s="160">
        <v>0</v>
      </c>
      <c r="EGI391" s="160">
        <v>0</v>
      </c>
      <c r="EGJ391" s="160">
        <v>0</v>
      </c>
      <c r="EGK391" s="160">
        <v>0</v>
      </c>
      <c r="EGL391" s="160">
        <v>0</v>
      </c>
      <c r="EGM391" s="160">
        <v>0</v>
      </c>
      <c r="EGN391" s="160">
        <v>0</v>
      </c>
      <c r="EGO391" s="160">
        <v>0</v>
      </c>
      <c r="EGP391" s="160">
        <v>0</v>
      </c>
      <c r="EGQ391" s="160">
        <v>0</v>
      </c>
      <c r="EGR391" s="160">
        <v>0</v>
      </c>
      <c r="EGS391" s="160">
        <v>0</v>
      </c>
      <c r="EGT391" s="160">
        <v>0</v>
      </c>
      <c r="EGU391" s="160">
        <v>0</v>
      </c>
      <c r="EGV391" s="160">
        <v>0</v>
      </c>
      <c r="EGW391" s="160">
        <v>0</v>
      </c>
      <c r="EGX391" s="160">
        <v>0</v>
      </c>
      <c r="EGY391" s="160">
        <v>0</v>
      </c>
      <c r="EGZ391" s="160">
        <v>0</v>
      </c>
      <c r="EHA391" s="160">
        <v>0</v>
      </c>
      <c r="EHB391" s="160">
        <v>0</v>
      </c>
      <c r="EHC391" s="160">
        <v>0</v>
      </c>
      <c r="EHD391" s="160">
        <v>0</v>
      </c>
      <c r="EHE391" s="160">
        <v>0</v>
      </c>
      <c r="EHF391" s="160">
        <v>0</v>
      </c>
      <c r="EHG391" s="160">
        <v>0</v>
      </c>
      <c r="EHH391" s="160">
        <v>0</v>
      </c>
      <c r="EHI391" s="160">
        <v>0</v>
      </c>
      <c r="EHJ391" s="160">
        <v>0</v>
      </c>
      <c r="EHK391" s="160">
        <v>0</v>
      </c>
      <c r="EHL391" s="160">
        <v>0</v>
      </c>
      <c r="EHM391" s="160">
        <v>0</v>
      </c>
      <c r="EHN391" s="160">
        <v>0</v>
      </c>
      <c r="EHO391" s="160">
        <v>0</v>
      </c>
      <c r="EHP391" s="160">
        <v>0</v>
      </c>
      <c r="EHQ391" s="160">
        <v>0</v>
      </c>
      <c r="EHR391" s="160">
        <v>0</v>
      </c>
      <c r="EHS391" s="160">
        <v>0</v>
      </c>
      <c r="EHT391" s="160">
        <v>0</v>
      </c>
      <c r="EHU391" s="160">
        <v>0</v>
      </c>
      <c r="EHV391" s="160">
        <v>0</v>
      </c>
      <c r="EHW391" s="160">
        <v>0</v>
      </c>
      <c r="EHX391" s="160">
        <v>0</v>
      </c>
      <c r="EHY391" s="160">
        <v>0</v>
      </c>
      <c r="EHZ391" s="160">
        <v>0</v>
      </c>
      <c r="EIA391" s="160">
        <v>0</v>
      </c>
      <c r="EIB391" s="160">
        <v>0</v>
      </c>
      <c r="EIC391" s="160">
        <v>0</v>
      </c>
      <c r="EID391" s="160">
        <v>0</v>
      </c>
      <c r="EIE391" s="160">
        <v>0</v>
      </c>
      <c r="EIF391" s="160">
        <v>0</v>
      </c>
      <c r="EIG391" s="160">
        <v>0</v>
      </c>
      <c r="EIH391" s="160">
        <v>0</v>
      </c>
      <c r="EII391" s="160">
        <v>0</v>
      </c>
      <c r="EIJ391" s="160">
        <v>0</v>
      </c>
      <c r="EIK391" s="160">
        <v>0</v>
      </c>
      <c r="EIL391" s="160">
        <v>0</v>
      </c>
      <c r="EIM391" s="160">
        <v>0</v>
      </c>
      <c r="EIN391" s="160">
        <v>0</v>
      </c>
      <c r="EIO391" s="160">
        <v>0</v>
      </c>
      <c r="EIP391" s="160">
        <v>0</v>
      </c>
      <c r="EIQ391" s="160">
        <v>0</v>
      </c>
      <c r="EIR391" s="160">
        <v>0</v>
      </c>
      <c r="EIS391" s="160">
        <v>0</v>
      </c>
      <c r="EIT391" s="160">
        <v>0</v>
      </c>
      <c r="EIU391" s="160">
        <v>0</v>
      </c>
      <c r="EIV391" s="160">
        <v>0</v>
      </c>
      <c r="EIW391" s="160">
        <v>0</v>
      </c>
      <c r="EIX391" s="160">
        <v>0</v>
      </c>
      <c r="EIY391" s="160">
        <v>0</v>
      </c>
      <c r="EIZ391" s="160">
        <v>0</v>
      </c>
      <c r="EJA391" s="160">
        <v>0</v>
      </c>
      <c r="EJB391" s="160">
        <v>0</v>
      </c>
      <c r="EJC391" s="160">
        <v>0</v>
      </c>
      <c r="EJD391" s="160">
        <v>0</v>
      </c>
      <c r="EJE391" s="160">
        <v>0</v>
      </c>
      <c r="EJF391" s="160">
        <v>0</v>
      </c>
      <c r="EJG391" s="160">
        <v>0</v>
      </c>
      <c r="EJH391" s="160">
        <v>0</v>
      </c>
      <c r="EJI391" s="160">
        <v>0</v>
      </c>
      <c r="EJJ391" s="160">
        <v>0</v>
      </c>
      <c r="EJK391" s="160">
        <v>0</v>
      </c>
      <c r="EJL391" s="160">
        <v>0</v>
      </c>
      <c r="EJM391" s="160">
        <v>0</v>
      </c>
      <c r="EJN391" s="160">
        <v>0</v>
      </c>
      <c r="EJO391" s="160">
        <v>0</v>
      </c>
      <c r="EJP391" s="160">
        <v>0</v>
      </c>
      <c r="EJQ391" s="160">
        <v>0</v>
      </c>
      <c r="EJR391" s="160">
        <v>0</v>
      </c>
      <c r="EJS391" s="160">
        <v>0</v>
      </c>
      <c r="EJT391" s="160">
        <v>0</v>
      </c>
      <c r="EJU391" s="160">
        <v>0</v>
      </c>
      <c r="EJV391" s="160">
        <v>0</v>
      </c>
      <c r="EJW391" s="160">
        <v>0</v>
      </c>
      <c r="EJX391" s="160">
        <v>0</v>
      </c>
      <c r="EJY391" s="160">
        <v>0</v>
      </c>
      <c r="EJZ391" s="160">
        <v>0</v>
      </c>
      <c r="EKA391" s="160">
        <v>0</v>
      </c>
      <c r="EKB391" s="160">
        <v>0</v>
      </c>
      <c r="EKC391" s="160">
        <v>0</v>
      </c>
      <c r="EKD391" s="160">
        <v>0</v>
      </c>
      <c r="EKE391" s="160">
        <v>0</v>
      </c>
      <c r="EKF391" s="160">
        <v>0</v>
      </c>
      <c r="EKG391" s="160">
        <v>0</v>
      </c>
      <c r="EKH391" s="160">
        <v>0</v>
      </c>
      <c r="EKI391" s="160">
        <v>0</v>
      </c>
      <c r="EKJ391" s="160">
        <v>0</v>
      </c>
      <c r="EKK391" s="160">
        <v>0</v>
      </c>
      <c r="EKL391" s="160">
        <v>0</v>
      </c>
      <c r="EKM391" s="160">
        <v>0</v>
      </c>
      <c r="EKN391" s="160">
        <v>0</v>
      </c>
      <c r="EKO391" s="160">
        <v>0</v>
      </c>
      <c r="EKP391" s="160">
        <v>0</v>
      </c>
      <c r="EKQ391" s="160">
        <v>0</v>
      </c>
      <c r="EKR391" s="160">
        <v>0</v>
      </c>
      <c r="EKS391" s="160">
        <v>0</v>
      </c>
      <c r="EKT391" s="160">
        <v>0</v>
      </c>
      <c r="EKU391" s="160">
        <v>0</v>
      </c>
      <c r="EKV391" s="160">
        <v>0</v>
      </c>
      <c r="EKW391" s="160">
        <v>0</v>
      </c>
      <c r="EKX391" s="160">
        <v>0</v>
      </c>
      <c r="EKY391" s="160">
        <v>0</v>
      </c>
      <c r="EKZ391" s="160">
        <v>0</v>
      </c>
      <c r="ELA391" s="160">
        <v>0</v>
      </c>
      <c r="ELB391" s="160">
        <v>0</v>
      </c>
      <c r="ELC391" s="160">
        <v>0</v>
      </c>
      <c r="ELD391" s="160">
        <v>0</v>
      </c>
      <c r="ELE391" s="160">
        <v>0</v>
      </c>
      <c r="ELF391" s="160">
        <v>0</v>
      </c>
      <c r="ELG391" s="160">
        <v>0</v>
      </c>
      <c r="ELH391" s="160">
        <v>0</v>
      </c>
      <c r="ELI391" s="160">
        <v>0</v>
      </c>
      <c r="ELJ391" s="160">
        <v>0</v>
      </c>
      <c r="ELK391" s="160">
        <v>0</v>
      </c>
      <c r="ELL391" s="160">
        <v>0</v>
      </c>
      <c r="ELM391" s="160">
        <v>0</v>
      </c>
      <c r="ELN391" s="160">
        <v>0</v>
      </c>
      <c r="ELO391" s="160">
        <v>0</v>
      </c>
      <c r="ELP391" s="160">
        <v>0</v>
      </c>
      <c r="ELQ391" s="160">
        <v>0</v>
      </c>
      <c r="ELR391" s="160">
        <v>0</v>
      </c>
      <c r="ELS391" s="160">
        <v>0</v>
      </c>
      <c r="ELT391" s="160">
        <v>0</v>
      </c>
      <c r="ELU391" s="160">
        <v>0</v>
      </c>
      <c r="ELV391" s="160">
        <v>0</v>
      </c>
      <c r="ELW391" s="160">
        <v>0</v>
      </c>
      <c r="ELX391" s="160">
        <v>0</v>
      </c>
      <c r="ELY391" s="160">
        <v>0</v>
      </c>
      <c r="ELZ391" s="160">
        <v>0</v>
      </c>
      <c r="EMA391" s="160">
        <v>0</v>
      </c>
      <c r="EMB391" s="160">
        <v>0</v>
      </c>
      <c r="EMC391" s="160">
        <v>0</v>
      </c>
      <c r="EMD391" s="160">
        <v>0</v>
      </c>
      <c r="EME391" s="160">
        <v>0</v>
      </c>
      <c r="EMF391" s="160">
        <v>0</v>
      </c>
      <c r="EMG391" s="160">
        <v>0</v>
      </c>
      <c r="EMH391" s="160">
        <v>0</v>
      </c>
      <c r="EMI391" s="160">
        <v>0</v>
      </c>
      <c r="EMJ391" s="160">
        <v>0</v>
      </c>
      <c r="EMK391" s="160">
        <v>0</v>
      </c>
      <c r="EML391" s="160">
        <v>0</v>
      </c>
      <c r="EMM391" s="160">
        <v>0</v>
      </c>
      <c r="EMN391" s="160">
        <v>0</v>
      </c>
      <c r="EMO391" s="160">
        <v>0</v>
      </c>
      <c r="EMP391" s="160">
        <v>0</v>
      </c>
      <c r="EMQ391" s="160">
        <v>0</v>
      </c>
      <c r="EMR391" s="160">
        <v>0</v>
      </c>
      <c r="EMS391" s="160">
        <v>0</v>
      </c>
      <c r="EMT391" s="160">
        <v>0</v>
      </c>
      <c r="EMU391" s="160">
        <v>0</v>
      </c>
      <c r="EMV391" s="160">
        <v>0</v>
      </c>
      <c r="EMW391" s="160">
        <v>0</v>
      </c>
      <c r="EMX391" s="160">
        <v>0</v>
      </c>
      <c r="EMY391" s="160">
        <v>0</v>
      </c>
      <c r="EMZ391" s="160">
        <v>0</v>
      </c>
      <c r="ENA391" s="160">
        <v>0</v>
      </c>
      <c r="ENB391" s="160">
        <v>0</v>
      </c>
      <c r="ENC391" s="160">
        <v>0</v>
      </c>
      <c r="END391" s="160">
        <v>0</v>
      </c>
      <c r="ENE391" s="160">
        <v>0</v>
      </c>
      <c r="ENF391" s="160">
        <v>0</v>
      </c>
      <c r="ENG391" s="160">
        <v>0</v>
      </c>
      <c r="ENH391" s="160">
        <v>0</v>
      </c>
      <c r="ENI391" s="160">
        <v>0</v>
      </c>
      <c r="ENJ391" s="160">
        <v>0</v>
      </c>
      <c r="ENK391" s="160">
        <v>0</v>
      </c>
      <c r="ENL391" s="160">
        <v>0</v>
      </c>
      <c r="ENM391" s="160">
        <v>0</v>
      </c>
      <c r="ENN391" s="160">
        <v>0</v>
      </c>
      <c r="ENO391" s="160">
        <v>0</v>
      </c>
      <c r="ENP391" s="160">
        <v>0</v>
      </c>
      <c r="ENQ391" s="160">
        <v>0</v>
      </c>
      <c r="ENR391" s="160">
        <v>0</v>
      </c>
      <c r="ENS391" s="160">
        <v>0</v>
      </c>
      <c r="ENT391" s="160">
        <v>0</v>
      </c>
      <c r="ENU391" s="160">
        <v>0</v>
      </c>
      <c r="ENV391" s="160">
        <v>0</v>
      </c>
      <c r="ENW391" s="160">
        <v>0</v>
      </c>
      <c r="ENX391" s="160">
        <v>0</v>
      </c>
      <c r="ENY391" s="160">
        <v>0</v>
      </c>
      <c r="ENZ391" s="160">
        <v>0</v>
      </c>
      <c r="EOA391" s="160">
        <v>0</v>
      </c>
      <c r="EOB391" s="160">
        <v>0</v>
      </c>
      <c r="EOC391" s="160">
        <v>0</v>
      </c>
      <c r="EOD391" s="160">
        <v>0</v>
      </c>
      <c r="EOE391" s="160">
        <v>0</v>
      </c>
      <c r="EOF391" s="160">
        <v>0</v>
      </c>
      <c r="EOG391" s="160">
        <v>0</v>
      </c>
      <c r="EOH391" s="160">
        <v>0</v>
      </c>
      <c r="EOI391" s="160">
        <v>0</v>
      </c>
      <c r="EOJ391" s="160">
        <v>0</v>
      </c>
      <c r="EOK391" s="160">
        <v>0</v>
      </c>
      <c r="EOL391" s="160">
        <v>0</v>
      </c>
      <c r="EOM391" s="160">
        <v>0</v>
      </c>
      <c r="EON391" s="160">
        <v>0</v>
      </c>
      <c r="EOO391" s="160">
        <v>0</v>
      </c>
      <c r="EOP391" s="160">
        <v>0</v>
      </c>
      <c r="EOQ391" s="160">
        <v>0</v>
      </c>
      <c r="EOR391" s="160">
        <v>0</v>
      </c>
      <c r="EOS391" s="160">
        <v>0</v>
      </c>
      <c r="EOT391" s="160">
        <v>0</v>
      </c>
      <c r="EOU391" s="160">
        <v>0</v>
      </c>
      <c r="EOV391" s="160">
        <v>0</v>
      </c>
      <c r="EOW391" s="160">
        <v>0</v>
      </c>
      <c r="EOX391" s="160">
        <v>0</v>
      </c>
      <c r="EOY391" s="160">
        <v>0</v>
      </c>
      <c r="EOZ391" s="160">
        <v>0</v>
      </c>
      <c r="EPA391" s="160">
        <v>0</v>
      </c>
      <c r="EPB391" s="160">
        <v>0</v>
      </c>
      <c r="EPC391" s="160">
        <v>0</v>
      </c>
      <c r="EPD391" s="160">
        <v>0</v>
      </c>
      <c r="EPE391" s="160">
        <v>0</v>
      </c>
      <c r="EPF391" s="160">
        <v>0</v>
      </c>
      <c r="EPG391" s="160">
        <v>0</v>
      </c>
      <c r="EPH391" s="160">
        <v>0</v>
      </c>
      <c r="EPI391" s="160">
        <v>0</v>
      </c>
      <c r="EPJ391" s="160">
        <v>0</v>
      </c>
      <c r="EPK391" s="160">
        <v>0</v>
      </c>
      <c r="EPL391" s="160">
        <v>0</v>
      </c>
      <c r="EPM391" s="160">
        <v>0</v>
      </c>
      <c r="EPN391" s="160">
        <v>0</v>
      </c>
      <c r="EPO391" s="160">
        <v>0</v>
      </c>
      <c r="EPP391" s="160">
        <v>0</v>
      </c>
      <c r="EPQ391" s="160">
        <v>0</v>
      </c>
      <c r="EPR391" s="160">
        <v>0</v>
      </c>
      <c r="EPS391" s="160">
        <v>0</v>
      </c>
      <c r="EPT391" s="160">
        <v>0</v>
      </c>
      <c r="EPU391" s="160">
        <v>0</v>
      </c>
      <c r="EPV391" s="160">
        <v>0</v>
      </c>
      <c r="EPW391" s="160">
        <v>0</v>
      </c>
      <c r="EPX391" s="160">
        <v>0</v>
      </c>
      <c r="EPY391" s="160">
        <v>0</v>
      </c>
      <c r="EPZ391" s="160">
        <v>0</v>
      </c>
      <c r="EQA391" s="160">
        <v>0</v>
      </c>
      <c r="EQB391" s="160">
        <v>0</v>
      </c>
      <c r="EQC391" s="160">
        <v>0</v>
      </c>
      <c r="EQD391" s="160">
        <v>0</v>
      </c>
      <c r="EQE391" s="160">
        <v>0</v>
      </c>
      <c r="EQF391" s="160">
        <v>0</v>
      </c>
      <c r="EQG391" s="160">
        <v>0</v>
      </c>
      <c r="EQH391" s="160">
        <v>0</v>
      </c>
      <c r="EQI391" s="160">
        <v>0</v>
      </c>
      <c r="EQJ391" s="160">
        <v>0</v>
      </c>
      <c r="EQK391" s="160">
        <v>0</v>
      </c>
      <c r="EQL391" s="160">
        <v>0</v>
      </c>
      <c r="EQM391" s="160">
        <v>0</v>
      </c>
      <c r="EQN391" s="160">
        <v>0</v>
      </c>
      <c r="EQO391" s="160">
        <v>0</v>
      </c>
      <c r="EQP391" s="160">
        <v>0</v>
      </c>
      <c r="EQQ391" s="160">
        <v>0</v>
      </c>
      <c r="EQR391" s="160">
        <v>0</v>
      </c>
      <c r="EQS391" s="160">
        <v>0</v>
      </c>
      <c r="EQT391" s="160">
        <v>0</v>
      </c>
      <c r="EQU391" s="160">
        <v>0</v>
      </c>
      <c r="EQV391" s="160">
        <v>0</v>
      </c>
      <c r="EQW391" s="160">
        <v>0</v>
      </c>
      <c r="EQX391" s="160">
        <v>0</v>
      </c>
      <c r="EQY391" s="160">
        <v>0</v>
      </c>
      <c r="EQZ391" s="160">
        <v>0</v>
      </c>
      <c r="ERA391" s="160">
        <v>0</v>
      </c>
      <c r="ERB391" s="160">
        <v>0</v>
      </c>
      <c r="ERC391" s="160">
        <v>0</v>
      </c>
      <c r="ERD391" s="160">
        <v>0</v>
      </c>
      <c r="ERE391" s="160">
        <v>0</v>
      </c>
      <c r="ERF391" s="160">
        <v>0</v>
      </c>
      <c r="ERG391" s="160">
        <v>0</v>
      </c>
      <c r="ERH391" s="160">
        <v>0</v>
      </c>
      <c r="ERI391" s="160">
        <v>0</v>
      </c>
      <c r="ERJ391" s="160">
        <v>0</v>
      </c>
      <c r="ERK391" s="160">
        <v>0</v>
      </c>
      <c r="ERL391" s="160">
        <v>0</v>
      </c>
      <c r="ERM391" s="160">
        <v>0</v>
      </c>
      <c r="ERN391" s="160">
        <v>0</v>
      </c>
      <c r="ERO391" s="160">
        <v>0</v>
      </c>
      <c r="ERP391" s="160">
        <v>0</v>
      </c>
      <c r="ERQ391" s="160">
        <v>0</v>
      </c>
      <c r="ERR391" s="160">
        <v>0</v>
      </c>
      <c r="ERS391" s="160">
        <v>0</v>
      </c>
      <c r="ERT391" s="160">
        <v>0</v>
      </c>
      <c r="ERU391" s="160">
        <v>0</v>
      </c>
      <c r="ERV391" s="160">
        <v>0</v>
      </c>
      <c r="ERW391" s="160">
        <v>0</v>
      </c>
      <c r="ERX391" s="160">
        <v>0</v>
      </c>
      <c r="ERY391" s="160">
        <v>0</v>
      </c>
      <c r="ERZ391" s="160">
        <v>0</v>
      </c>
      <c r="ESA391" s="160">
        <v>0</v>
      </c>
      <c r="ESB391" s="160">
        <v>0</v>
      </c>
      <c r="ESC391" s="160">
        <v>0</v>
      </c>
      <c r="ESD391" s="160">
        <v>0</v>
      </c>
      <c r="ESE391" s="160">
        <v>0</v>
      </c>
      <c r="ESF391" s="160">
        <v>0</v>
      </c>
      <c r="ESG391" s="160">
        <v>0</v>
      </c>
      <c r="ESH391" s="160">
        <v>0</v>
      </c>
      <c r="ESI391" s="160">
        <v>0</v>
      </c>
      <c r="ESJ391" s="160">
        <v>0</v>
      </c>
      <c r="ESK391" s="160">
        <v>0</v>
      </c>
      <c r="ESL391" s="160">
        <v>0</v>
      </c>
      <c r="ESM391" s="160">
        <v>0</v>
      </c>
      <c r="ESN391" s="160">
        <v>0</v>
      </c>
      <c r="ESO391" s="160">
        <v>0</v>
      </c>
      <c r="ESP391" s="160">
        <v>0</v>
      </c>
      <c r="ESQ391" s="160">
        <v>0</v>
      </c>
      <c r="ESR391" s="160">
        <v>0</v>
      </c>
      <c r="ESS391" s="160">
        <v>0</v>
      </c>
      <c r="EST391" s="160">
        <v>0</v>
      </c>
      <c r="ESU391" s="160">
        <v>0</v>
      </c>
      <c r="ESV391" s="160">
        <v>0</v>
      </c>
      <c r="ESW391" s="160">
        <v>0</v>
      </c>
      <c r="ESX391" s="160">
        <v>0</v>
      </c>
      <c r="ESY391" s="160">
        <v>0</v>
      </c>
      <c r="ESZ391" s="160">
        <v>0</v>
      </c>
      <c r="ETA391" s="160">
        <v>0</v>
      </c>
      <c r="ETB391" s="160">
        <v>0</v>
      </c>
      <c r="ETC391" s="160">
        <v>0</v>
      </c>
      <c r="ETD391" s="160">
        <v>0</v>
      </c>
      <c r="ETE391" s="160">
        <v>0</v>
      </c>
      <c r="ETF391" s="160">
        <v>0</v>
      </c>
      <c r="ETG391" s="160">
        <v>0</v>
      </c>
      <c r="ETH391" s="160">
        <v>0</v>
      </c>
      <c r="ETI391" s="160">
        <v>0</v>
      </c>
      <c r="ETJ391" s="160">
        <v>0</v>
      </c>
      <c r="ETK391" s="160">
        <v>0</v>
      </c>
      <c r="ETL391" s="160">
        <v>0</v>
      </c>
      <c r="ETM391" s="160">
        <v>0</v>
      </c>
      <c r="ETN391" s="160">
        <v>0</v>
      </c>
      <c r="ETO391" s="160">
        <v>0</v>
      </c>
      <c r="ETP391" s="160">
        <v>0</v>
      </c>
      <c r="ETQ391" s="160">
        <v>0</v>
      </c>
      <c r="ETR391" s="160">
        <v>0</v>
      </c>
      <c r="ETS391" s="160">
        <v>0</v>
      </c>
      <c r="ETT391" s="160">
        <v>0</v>
      </c>
      <c r="ETU391" s="160">
        <v>0</v>
      </c>
      <c r="ETV391" s="160">
        <v>0</v>
      </c>
      <c r="ETW391" s="160">
        <v>0</v>
      </c>
      <c r="ETX391" s="160">
        <v>0</v>
      </c>
      <c r="ETY391" s="160">
        <v>0</v>
      </c>
      <c r="ETZ391" s="160">
        <v>0</v>
      </c>
      <c r="EUA391" s="160">
        <v>0</v>
      </c>
      <c r="EUB391" s="160">
        <v>0</v>
      </c>
      <c r="EUC391" s="160">
        <v>0</v>
      </c>
      <c r="EUD391" s="160">
        <v>0</v>
      </c>
      <c r="EUE391" s="160">
        <v>0</v>
      </c>
      <c r="EUF391" s="160">
        <v>0</v>
      </c>
      <c r="EUG391" s="160">
        <v>0</v>
      </c>
      <c r="EUH391" s="160">
        <v>0</v>
      </c>
      <c r="EUI391" s="160">
        <v>0</v>
      </c>
      <c r="EUJ391" s="160">
        <v>0</v>
      </c>
      <c r="EUK391" s="160">
        <v>0</v>
      </c>
      <c r="EUL391" s="160">
        <v>0</v>
      </c>
      <c r="EUM391" s="160">
        <v>0</v>
      </c>
      <c r="EUN391" s="160">
        <v>0</v>
      </c>
      <c r="EUO391" s="160">
        <v>0</v>
      </c>
      <c r="EUP391" s="160">
        <v>0</v>
      </c>
      <c r="EUQ391" s="160">
        <v>0</v>
      </c>
      <c r="EUR391" s="160">
        <v>0</v>
      </c>
      <c r="EUS391" s="160">
        <v>0</v>
      </c>
      <c r="EUT391" s="160">
        <v>0</v>
      </c>
      <c r="EUU391" s="160">
        <v>0</v>
      </c>
      <c r="EUV391" s="160">
        <v>0</v>
      </c>
      <c r="EUW391" s="160">
        <v>0</v>
      </c>
      <c r="EUX391" s="160">
        <v>0</v>
      </c>
      <c r="EUY391" s="160">
        <v>0</v>
      </c>
      <c r="EUZ391" s="160">
        <v>0</v>
      </c>
      <c r="EVA391" s="160">
        <v>0</v>
      </c>
      <c r="EVB391" s="160">
        <v>0</v>
      </c>
      <c r="EVC391" s="160">
        <v>0</v>
      </c>
      <c r="EVD391" s="160">
        <v>0</v>
      </c>
      <c r="EVE391" s="160">
        <v>0</v>
      </c>
      <c r="EVF391" s="160">
        <v>0</v>
      </c>
      <c r="EVG391" s="160">
        <v>0</v>
      </c>
      <c r="EVH391" s="160">
        <v>0</v>
      </c>
      <c r="EVI391" s="160">
        <v>0</v>
      </c>
      <c r="EVJ391" s="160">
        <v>0</v>
      </c>
      <c r="EVK391" s="160">
        <v>0</v>
      </c>
      <c r="EVL391" s="160">
        <v>0</v>
      </c>
      <c r="EVM391" s="160">
        <v>0</v>
      </c>
      <c r="EVN391" s="160">
        <v>0</v>
      </c>
      <c r="EVO391" s="160">
        <v>0</v>
      </c>
      <c r="EVP391" s="160">
        <v>0</v>
      </c>
      <c r="EVQ391" s="160">
        <v>0</v>
      </c>
      <c r="EVR391" s="160">
        <v>0</v>
      </c>
      <c r="EVS391" s="160">
        <v>0</v>
      </c>
      <c r="EVT391" s="160">
        <v>0</v>
      </c>
      <c r="EVU391" s="160">
        <v>0</v>
      </c>
      <c r="EVV391" s="160">
        <v>0</v>
      </c>
      <c r="EVW391" s="160">
        <v>0</v>
      </c>
      <c r="EVX391" s="160">
        <v>0</v>
      </c>
      <c r="EVY391" s="160">
        <v>0</v>
      </c>
      <c r="EVZ391" s="160">
        <v>0</v>
      </c>
      <c r="EWA391" s="160">
        <v>0</v>
      </c>
      <c r="EWB391" s="160">
        <v>0</v>
      </c>
      <c r="EWC391" s="160">
        <v>0</v>
      </c>
      <c r="EWD391" s="160">
        <v>0</v>
      </c>
      <c r="EWE391" s="160">
        <v>0</v>
      </c>
      <c r="EWF391" s="160">
        <v>0</v>
      </c>
      <c r="EWG391" s="160">
        <v>0</v>
      </c>
      <c r="EWH391" s="160">
        <v>0</v>
      </c>
      <c r="EWI391" s="160">
        <v>0</v>
      </c>
      <c r="EWJ391" s="160">
        <v>0</v>
      </c>
      <c r="EWK391" s="160">
        <v>0</v>
      </c>
      <c r="EWL391" s="160">
        <v>0</v>
      </c>
      <c r="EWM391" s="160">
        <v>0</v>
      </c>
      <c r="EWN391" s="160">
        <v>0</v>
      </c>
      <c r="EWO391" s="160">
        <v>0</v>
      </c>
      <c r="EWP391" s="160">
        <v>0</v>
      </c>
      <c r="EWQ391" s="160">
        <v>0</v>
      </c>
      <c r="EWR391" s="160">
        <v>0</v>
      </c>
      <c r="EWS391" s="160">
        <v>0</v>
      </c>
      <c r="EWT391" s="160">
        <v>0</v>
      </c>
      <c r="EWU391" s="160">
        <v>0</v>
      </c>
      <c r="EWV391" s="160">
        <v>0</v>
      </c>
      <c r="EWW391" s="160">
        <v>0</v>
      </c>
      <c r="EWX391" s="160">
        <v>0</v>
      </c>
      <c r="EWY391" s="160">
        <v>0</v>
      </c>
      <c r="EWZ391" s="160">
        <v>0</v>
      </c>
      <c r="EXA391" s="160">
        <v>0</v>
      </c>
      <c r="EXB391" s="160">
        <v>0</v>
      </c>
      <c r="EXC391" s="160">
        <v>0</v>
      </c>
      <c r="EXD391" s="160">
        <v>0</v>
      </c>
      <c r="EXE391" s="160">
        <v>0</v>
      </c>
      <c r="EXF391" s="160">
        <v>0</v>
      </c>
      <c r="EXG391" s="160">
        <v>0</v>
      </c>
      <c r="EXH391" s="160">
        <v>0</v>
      </c>
      <c r="EXI391" s="160">
        <v>0</v>
      </c>
      <c r="EXJ391" s="160">
        <v>0</v>
      </c>
      <c r="EXK391" s="160">
        <v>0</v>
      </c>
      <c r="EXL391" s="160">
        <v>0</v>
      </c>
      <c r="EXM391" s="160">
        <v>0</v>
      </c>
      <c r="EXN391" s="160">
        <v>0</v>
      </c>
      <c r="EXO391" s="160">
        <v>0</v>
      </c>
      <c r="EXP391" s="160">
        <v>0</v>
      </c>
      <c r="EXQ391" s="160">
        <v>0</v>
      </c>
      <c r="EXR391" s="160">
        <v>0</v>
      </c>
      <c r="EXS391" s="160">
        <v>0</v>
      </c>
      <c r="EXT391" s="160">
        <v>0</v>
      </c>
      <c r="EXU391" s="160">
        <v>0</v>
      </c>
      <c r="EXV391" s="160">
        <v>0</v>
      </c>
      <c r="EXW391" s="160">
        <v>0</v>
      </c>
      <c r="EXX391" s="160">
        <v>0</v>
      </c>
      <c r="EXY391" s="160">
        <v>0</v>
      </c>
      <c r="EXZ391" s="160">
        <v>0</v>
      </c>
      <c r="EYA391" s="160">
        <v>0</v>
      </c>
      <c r="EYB391" s="160">
        <v>0</v>
      </c>
      <c r="EYC391" s="160">
        <v>0</v>
      </c>
      <c r="EYD391" s="160">
        <v>0</v>
      </c>
      <c r="EYE391" s="160">
        <v>0</v>
      </c>
      <c r="EYF391" s="160">
        <v>0</v>
      </c>
      <c r="EYG391" s="160">
        <v>0</v>
      </c>
      <c r="EYH391" s="160">
        <v>0</v>
      </c>
      <c r="EYI391" s="160">
        <v>0</v>
      </c>
      <c r="EYJ391" s="160">
        <v>0</v>
      </c>
      <c r="EYK391" s="160">
        <v>0</v>
      </c>
      <c r="EYL391" s="160">
        <v>0</v>
      </c>
      <c r="EYM391" s="160">
        <v>0</v>
      </c>
      <c r="EYN391" s="160">
        <v>0</v>
      </c>
      <c r="EYO391" s="160">
        <v>0</v>
      </c>
      <c r="EYP391" s="160">
        <v>0</v>
      </c>
      <c r="EYQ391" s="160">
        <v>0</v>
      </c>
      <c r="EYR391" s="160">
        <v>0</v>
      </c>
      <c r="EYS391" s="160">
        <v>0</v>
      </c>
      <c r="EYT391" s="160">
        <v>0</v>
      </c>
      <c r="EYU391" s="160">
        <v>0</v>
      </c>
      <c r="EYV391" s="160">
        <v>0</v>
      </c>
      <c r="EYW391" s="160">
        <v>0</v>
      </c>
      <c r="EYX391" s="160">
        <v>0</v>
      </c>
      <c r="EYY391" s="160">
        <v>0</v>
      </c>
      <c r="EYZ391" s="160">
        <v>0</v>
      </c>
      <c r="EZA391" s="160">
        <v>0</v>
      </c>
      <c r="EZB391" s="160">
        <v>0</v>
      </c>
      <c r="EZC391" s="160">
        <v>0</v>
      </c>
      <c r="EZD391" s="160">
        <v>0</v>
      </c>
      <c r="EZE391" s="160">
        <v>0</v>
      </c>
      <c r="EZF391" s="160">
        <v>0</v>
      </c>
      <c r="EZG391" s="160">
        <v>0</v>
      </c>
      <c r="EZH391" s="160">
        <v>0</v>
      </c>
      <c r="EZI391" s="160">
        <v>0</v>
      </c>
      <c r="EZJ391" s="160">
        <v>0</v>
      </c>
      <c r="EZK391" s="160">
        <v>0</v>
      </c>
      <c r="EZL391" s="160">
        <v>0</v>
      </c>
      <c r="EZM391" s="160">
        <v>0</v>
      </c>
      <c r="EZN391" s="160">
        <v>0</v>
      </c>
      <c r="EZO391" s="160">
        <v>0</v>
      </c>
      <c r="EZP391" s="160">
        <v>0</v>
      </c>
      <c r="EZQ391" s="160">
        <v>0</v>
      </c>
      <c r="EZR391" s="160">
        <v>0</v>
      </c>
      <c r="EZS391" s="160">
        <v>0</v>
      </c>
      <c r="EZT391" s="160">
        <v>0</v>
      </c>
      <c r="EZU391" s="160">
        <v>0</v>
      </c>
      <c r="EZV391" s="160">
        <v>0</v>
      </c>
      <c r="EZW391" s="160">
        <v>0</v>
      </c>
      <c r="EZX391" s="160">
        <v>0</v>
      </c>
      <c r="EZY391" s="160">
        <v>0</v>
      </c>
      <c r="EZZ391" s="160">
        <v>0</v>
      </c>
      <c r="FAA391" s="160">
        <v>0</v>
      </c>
      <c r="FAB391" s="160">
        <v>0</v>
      </c>
      <c r="FAC391" s="160">
        <v>0</v>
      </c>
      <c r="FAD391" s="160">
        <v>0</v>
      </c>
      <c r="FAE391" s="160">
        <v>0</v>
      </c>
      <c r="FAF391" s="160">
        <v>0</v>
      </c>
      <c r="FAG391" s="160">
        <v>0</v>
      </c>
      <c r="FAH391" s="160">
        <v>0</v>
      </c>
      <c r="FAI391" s="160">
        <v>0</v>
      </c>
      <c r="FAJ391" s="160">
        <v>0</v>
      </c>
      <c r="FAK391" s="160">
        <v>0</v>
      </c>
      <c r="FAL391" s="160">
        <v>0</v>
      </c>
      <c r="FAM391" s="160">
        <v>0</v>
      </c>
      <c r="FAN391" s="160">
        <v>0</v>
      </c>
      <c r="FAO391" s="160">
        <v>0</v>
      </c>
      <c r="FAP391" s="160">
        <v>0</v>
      </c>
      <c r="FAQ391" s="160">
        <v>0</v>
      </c>
      <c r="FAR391" s="160">
        <v>0</v>
      </c>
      <c r="FAS391" s="160">
        <v>0</v>
      </c>
      <c r="FAT391" s="160">
        <v>0</v>
      </c>
      <c r="FAU391" s="160">
        <v>0</v>
      </c>
      <c r="FAV391" s="160">
        <v>0</v>
      </c>
      <c r="FAW391" s="160">
        <v>0</v>
      </c>
      <c r="FAX391" s="160">
        <v>0</v>
      </c>
      <c r="FAY391" s="160">
        <v>0</v>
      </c>
      <c r="FAZ391" s="160">
        <v>0</v>
      </c>
      <c r="FBA391" s="160">
        <v>0</v>
      </c>
      <c r="FBB391" s="160">
        <v>0</v>
      </c>
      <c r="FBC391" s="160">
        <v>0</v>
      </c>
      <c r="FBD391" s="160">
        <v>0</v>
      </c>
      <c r="FBE391" s="160">
        <v>0</v>
      </c>
      <c r="FBF391" s="160">
        <v>0</v>
      </c>
      <c r="FBG391" s="160">
        <v>0</v>
      </c>
      <c r="FBH391" s="160">
        <v>0</v>
      </c>
      <c r="FBI391" s="160">
        <v>0</v>
      </c>
      <c r="FBJ391" s="160">
        <v>0</v>
      </c>
      <c r="FBK391" s="160">
        <v>0</v>
      </c>
      <c r="FBL391" s="160">
        <v>0</v>
      </c>
      <c r="FBM391" s="160">
        <v>0</v>
      </c>
      <c r="FBN391" s="160">
        <v>0</v>
      </c>
      <c r="FBO391" s="160">
        <v>0</v>
      </c>
      <c r="FBP391" s="160">
        <v>0</v>
      </c>
      <c r="FBQ391" s="160">
        <v>0</v>
      </c>
      <c r="FBR391" s="160">
        <v>0</v>
      </c>
      <c r="FBS391" s="160">
        <v>0</v>
      </c>
      <c r="FBT391" s="160">
        <v>0</v>
      </c>
      <c r="FBU391" s="160">
        <v>0</v>
      </c>
      <c r="FBV391" s="160">
        <v>0</v>
      </c>
      <c r="FBW391" s="160">
        <v>0</v>
      </c>
      <c r="FBX391" s="160">
        <v>0</v>
      </c>
      <c r="FBY391" s="160">
        <v>0</v>
      </c>
      <c r="FBZ391" s="160">
        <v>0</v>
      </c>
      <c r="FCA391" s="160">
        <v>0</v>
      </c>
      <c r="FCB391" s="160">
        <v>0</v>
      </c>
      <c r="FCC391" s="160">
        <v>0</v>
      </c>
      <c r="FCD391" s="160">
        <v>0</v>
      </c>
      <c r="FCE391" s="160">
        <v>0</v>
      </c>
      <c r="FCF391" s="160">
        <v>0</v>
      </c>
      <c r="FCG391" s="160">
        <v>0</v>
      </c>
      <c r="FCH391" s="160">
        <v>0</v>
      </c>
      <c r="FCI391" s="160">
        <v>0</v>
      </c>
      <c r="FCJ391" s="160">
        <v>0</v>
      </c>
      <c r="FCK391" s="160">
        <v>0</v>
      </c>
      <c r="FCL391" s="160">
        <v>0</v>
      </c>
      <c r="FCM391" s="160">
        <v>0</v>
      </c>
      <c r="FCN391" s="160">
        <v>0</v>
      </c>
      <c r="FCO391" s="160">
        <v>0</v>
      </c>
      <c r="FCP391" s="160">
        <v>0</v>
      </c>
      <c r="FCQ391" s="160">
        <v>0</v>
      </c>
      <c r="FCR391" s="160">
        <v>0</v>
      </c>
      <c r="FCS391" s="160">
        <v>0</v>
      </c>
      <c r="FCT391" s="160">
        <v>0</v>
      </c>
      <c r="FCU391" s="160">
        <v>0</v>
      </c>
      <c r="FCV391" s="160">
        <v>0</v>
      </c>
      <c r="FCW391" s="160">
        <v>0</v>
      </c>
      <c r="FCX391" s="160">
        <v>0</v>
      </c>
      <c r="FCY391" s="160">
        <v>0</v>
      </c>
      <c r="FCZ391" s="160">
        <v>0</v>
      </c>
      <c r="FDA391" s="160">
        <v>0</v>
      </c>
      <c r="FDB391" s="160">
        <v>0</v>
      </c>
      <c r="FDC391" s="160">
        <v>0</v>
      </c>
      <c r="FDD391" s="160">
        <v>0</v>
      </c>
      <c r="FDE391" s="160">
        <v>0</v>
      </c>
      <c r="FDF391" s="160">
        <v>0</v>
      </c>
      <c r="FDG391" s="160">
        <v>0</v>
      </c>
      <c r="FDH391" s="160">
        <v>0</v>
      </c>
      <c r="FDI391" s="160">
        <v>0</v>
      </c>
      <c r="FDJ391" s="160">
        <v>0</v>
      </c>
      <c r="FDK391" s="160">
        <v>0</v>
      </c>
      <c r="FDL391" s="160">
        <v>0</v>
      </c>
      <c r="FDM391" s="160">
        <v>0</v>
      </c>
      <c r="FDN391" s="160">
        <v>0</v>
      </c>
      <c r="FDO391" s="160">
        <v>0</v>
      </c>
      <c r="FDP391" s="160">
        <v>0</v>
      </c>
      <c r="FDQ391" s="160">
        <v>0</v>
      </c>
      <c r="FDR391" s="160">
        <v>0</v>
      </c>
      <c r="FDS391" s="160">
        <v>0</v>
      </c>
      <c r="FDT391" s="160">
        <v>0</v>
      </c>
      <c r="FDU391" s="160">
        <v>0</v>
      </c>
      <c r="FDV391" s="160">
        <v>0</v>
      </c>
      <c r="FDW391" s="160">
        <v>0</v>
      </c>
      <c r="FDX391" s="160">
        <v>0</v>
      </c>
      <c r="FDY391" s="160">
        <v>0</v>
      </c>
      <c r="FDZ391" s="160">
        <v>0</v>
      </c>
      <c r="FEA391" s="160">
        <v>0</v>
      </c>
      <c r="FEB391" s="160">
        <v>0</v>
      </c>
      <c r="FEC391" s="160">
        <v>0</v>
      </c>
      <c r="FED391" s="160">
        <v>0</v>
      </c>
      <c r="FEE391" s="160">
        <v>0</v>
      </c>
      <c r="FEF391" s="160">
        <v>0</v>
      </c>
      <c r="FEG391" s="160">
        <v>0</v>
      </c>
      <c r="FEH391" s="160">
        <v>0</v>
      </c>
      <c r="FEI391" s="160">
        <v>0</v>
      </c>
      <c r="FEJ391" s="160">
        <v>0</v>
      </c>
      <c r="FEK391" s="160">
        <v>0</v>
      </c>
      <c r="FEL391" s="160">
        <v>0</v>
      </c>
      <c r="FEM391" s="160">
        <v>0</v>
      </c>
      <c r="FEN391" s="160">
        <v>0</v>
      </c>
      <c r="FEO391" s="160">
        <v>0</v>
      </c>
      <c r="FEP391" s="160">
        <v>0</v>
      </c>
      <c r="FEQ391" s="160">
        <v>0</v>
      </c>
      <c r="FER391" s="160">
        <v>0</v>
      </c>
      <c r="FES391" s="160">
        <v>0</v>
      </c>
      <c r="FET391" s="160">
        <v>0</v>
      </c>
      <c r="FEU391" s="160">
        <v>0</v>
      </c>
      <c r="FEV391" s="160">
        <v>0</v>
      </c>
      <c r="FEW391" s="160">
        <v>0</v>
      </c>
      <c r="FEX391" s="160">
        <v>0</v>
      </c>
      <c r="FEY391" s="160">
        <v>0</v>
      </c>
      <c r="FEZ391" s="160">
        <v>0</v>
      </c>
      <c r="FFA391" s="160">
        <v>0</v>
      </c>
      <c r="FFB391" s="160">
        <v>0</v>
      </c>
      <c r="FFC391" s="160">
        <v>0</v>
      </c>
      <c r="FFD391" s="160">
        <v>0</v>
      </c>
      <c r="FFE391" s="160">
        <v>0</v>
      </c>
      <c r="FFF391" s="160">
        <v>0</v>
      </c>
      <c r="FFG391" s="160">
        <v>0</v>
      </c>
      <c r="FFH391" s="160">
        <v>0</v>
      </c>
      <c r="FFI391" s="160">
        <v>0</v>
      </c>
      <c r="FFJ391" s="160">
        <v>0</v>
      </c>
      <c r="FFK391" s="160">
        <v>0</v>
      </c>
      <c r="FFL391" s="160">
        <v>0</v>
      </c>
      <c r="FFM391" s="160">
        <v>0</v>
      </c>
      <c r="FFN391" s="160">
        <v>0</v>
      </c>
      <c r="FFO391" s="160">
        <v>0</v>
      </c>
      <c r="FFP391" s="160">
        <v>0</v>
      </c>
      <c r="FFQ391" s="160">
        <v>0</v>
      </c>
      <c r="FFR391" s="160">
        <v>0</v>
      </c>
      <c r="FFS391" s="160">
        <v>0</v>
      </c>
      <c r="FFT391" s="160">
        <v>0</v>
      </c>
      <c r="FFU391" s="160">
        <v>0</v>
      </c>
      <c r="FFV391" s="160">
        <v>0</v>
      </c>
      <c r="FFW391" s="160">
        <v>0</v>
      </c>
      <c r="FFX391" s="160">
        <v>0</v>
      </c>
      <c r="FFY391" s="160">
        <v>0</v>
      </c>
      <c r="FFZ391" s="160">
        <v>0</v>
      </c>
      <c r="FGA391" s="160">
        <v>0</v>
      </c>
      <c r="FGB391" s="160">
        <v>0</v>
      </c>
      <c r="FGC391" s="160">
        <v>0</v>
      </c>
      <c r="FGD391" s="160">
        <v>0</v>
      </c>
      <c r="FGE391" s="160">
        <v>0</v>
      </c>
      <c r="FGF391" s="160">
        <v>0</v>
      </c>
      <c r="FGG391" s="160">
        <v>0</v>
      </c>
      <c r="FGH391" s="160">
        <v>0</v>
      </c>
      <c r="FGI391" s="160">
        <v>0</v>
      </c>
      <c r="FGJ391" s="160">
        <v>0</v>
      </c>
      <c r="FGK391" s="160">
        <v>0</v>
      </c>
      <c r="FGL391" s="160">
        <v>0</v>
      </c>
      <c r="FGM391" s="160">
        <v>0</v>
      </c>
      <c r="FGN391" s="160">
        <v>0</v>
      </c>
      <c r="FGO391" s="160">
        <v>0</v>
      </c>
      <c r="FGP391" s="160">
        <v>0</v>
      </c>
      <c r="FGQ391" s="160">
        <v>0</v>
      </c>
      <c r="FGR391" s="160">
        <v>0</v>
      </c>
      <c r="FGS391" s="160">
        <v>0</v>
      </c>
      <c r="FGT391" s="160">
        <v>0</v>
      </c>
      <c r="FGU391" s="160">
        <v>0</v>
      </c>
      <c r="FGV391" s="160">
        <v>0</v>
      </c>
      <c r="FGW391" s="160">
        <v>0</v>
      </c>
      <c r="FGX391" s="160">
        <v>0</v>
      </c>
      <c r="FGY391" s="160">
        <v>0</v>
      </c>
      <c r="FGZ391" s="160">
        <v>0</v>
      </c>
      <c r="FHA391" s="160">
        <v>0</v>
      </c>
      <c r="FHB391" s="160">
        <v>0</v>
      </c>
      <c r="FHC391" s="160">
        <v>0</v>
      </c>
      <c r="FHD391" s="160">
        <v>0</v>
      </c>
      <c r="FHE391" s="160">
        <v>0</v>
      </c>
      <c r="FHF391" s="160">
        <v>0</v>
      </c>
      <c r="FHG391" s="160">
        <v>0</v>
      </c>
      <c r="FHH391" s="160">
        <v>0</v>
      </c>
      <c r="FHI391" s="160">
        <v>0</v>
      </c>
      <c r="FHJ391" s="160">
        <v>0</v>
      </c>
      <c r="FHK391" s="160">
        <v>0</v>
      </c>
      <c r="FHL391" s="160">
        <v>0</v>
      </c>
      <c r="FHM391" s="160">
        <v>0</v>
      </c>
      <c r="FHN391" s="160">
        <v>0</v>
      </c>
      <c r="FHO391" s="160">
        <v>0</v>
      </c>
      <c r="FHP391" s="160">
        <v>0</v>
      </c>
      <c r="FHQ391" s="160">
        <v>0</v>
      </c>
      <c r="FHR391" s="160">
        <v>0</v>
      </c>
      <c r="FHS391" s="160">
        <v>0</v>
      </c>
      <c r="FHT391" s="160">
        <v>0</v>
      </c>
      <c r="FHU391" s="160">
        <v>0</v>
      </c>
      <c r="FHV391" s="160">
        <v>0</v>
      </c>
      <c r="FHW391" s="160">
        <v>0</v>
      </c>
      <c r="FHX391" s="160">
        <v>0</v>
      </c>
      <c r="FHY391" s="160">
        <v>0</v>
      </c>
      <c r="FHZ391" s="160">
        <v>0</v>
      </c>
      <c r="FIA391" s="160">
        <v>0</v>
      </c>
      <c r="FIB391" s="160">
        <v>0</v>
      </c>
      <c r="FIC391" s="160">
        <v>0</v>
      </c>
      <c r="FID391" s="160">
        <v>0</v>
      </c>
      <c r="FIE391" s="160">
        <v>0</v>
      </c>
      <c r="FIF391" s="160">
        <v>0</v>
      </c>
      <c r="FIG391" s="160">
        <v>0</v>
      </c>
      <c r="FIH391" s="160">
        <v>0</v>
      </c>
      <c r="FII391" s="160">
        <v>0</v>
      </c>
      <c r="FIJ391" s="160">
        <v>0</v>
      </c>
      <c r="FIK391" s="160">
        <v>0</v>
      </c>
      <c r="FIL391" s="160">
        <v>0</v>
      </c>
      <c r="FIM391" s="160">
        <v>0</v>
      </c>
      <c r="FIN391" s="160">
        <v>0</v>
      </c>
      <c r="FIO391" s="160">
        <v>0</v>
      </c>
      <c r="FIP391" s="160">
        <v>0</v>
      </c>
      <c r="FIQ391" s="160">
        <v>0</v>
      </c>
      <c r="FIR391" s="160">
        <v>0</v>
      </c>
      <c r="FIS391" s="160">
        <v>0</v>
      </c>
      <c r="FIT391" s="160">
        <v>0</v>
      </c>
      <c r="FIU391" s="160">
        <v>0</v>
      </c>
      <c r="FIV391" s="160">
        <v>0</v>
      </c>
      <c r="FIW391" s="160">
        <v>0</v>
      </c>
      <c r="FIX391" s="160">
        <v>0</v>
      </c>
      <c r="FIY391" s="160">
        <v>0</v>
      </c>
      <c r="FIZ391" s="160">
        <v>0</v>
      </c>
      <c r="FJA391" s="160">
        <v>0</v>
      </c>
      <c r="FJB391" s="160">
        <v>0</v>
      </c>
      <c r="FJC391" s="160">
        <v>0</v>
      </c>
      <c r="FJD391" s="160">
        <v>0</v>
      </c>
      <c r="FJE391" s="160">
        <v>0</v>
      </c>
      <c r="FJF391" s="160">
        <v>0</v>
      </c>
      <c r="FJG391" s="160">
        <v>0</v>
      </c>
      <c r="FJH391" s="160">
        <v>0</v>
      </c>
      <c r="FJI391" s="160">
        <v>0</v>
      </c>
      <c r="FJJ391" s="160">
        <v>0</v>
      </c>
      <c r="FJK391" s="160">
        <v>0</v>
      </c>
      <c r="FJL391" s="160">
        <v>0</v>
      </c>
      <c r="FJM391" s="160">
        <v>0</v>
      </c>
      <c r="FJN391" s="160">
        <v>0</v>
      </c>
      <c r="FJO391" s="160">
        <v>0</v>
      </c>
      <c r="FJP391" s="160">
        <v>0</v>
      </c>
      <c r="FJQ391" s="160">
        <v>0</v>
      </c>
      <c r="FJR391" s="160">
        <v>0</v>
      </c>
      <c r="FJS391" s="160">
        <v>0</v>
      </c>
      <c r="FJT391" s="160">
        <v>0</v>
      </c>
      <c r="FJU391" s="160">
        <v>0</v>
      </c>
      <c r="FJV391" s="160">
        <v>0</v>
      </c>
      <c r="FJW391" s="160">
        <v>0</v>
      </c>
      <c r="FJX391" s="160">
        <v>0</v>
      </c>
      <c r="FJY391" s="160">
        <v>0</v>
      </c>
      <c r="FJZ391" s="160">
        <v>0</v>
      </c>
      <c r="FKA391" s="160">
        <v>0</v>
      </c>
      <c r="FKB391" s="160">
        <v>0</v>
      </c>
      <c r="FKC391" s="160">
        <v>0</v>
      </c>
      <c r="FKD391" s="160">
        <v>0</v>
      </c>
      <c r="FKE391" s="160">
        <v>0</v>
      </c>
      <c r="FKF391" s="160">
        <v>0</v>
      </c>
      <c r="FKG391" s="160">
        <v>0</v>
      </c>
      <c r="FKH391" s="160">
        <v>0</v>
      </c>
      <c r="FKI391" s="160">
        <v>0</v>
      </c>
      <c r="FKJ391" s="160">
        <v>0</v>
      </c>
      <c r="FKK391" s="160">
        <v>0</v>
      </c>
      <c r="FKL391" s="160">
        <v>0</v>
      </c>
      <c r="FKM391" s="160">
        <v>0</v>
      </c>
      <c r="FKN391" s="160">
        <v>0</v>
      </c>
      <c r="FKO391" s="160">
        <v>0</v>
      </c>
      <c r="FKP391" s="160">
        <v>0</v>
      </c>
      <c r="FKQ391" s="160">
        <v>0</v>
      </c>
      <c r="FKR391" s="160">
        <v>0</v>
      </c>
      <c r="FKS391" s="160">
        <v>0</v>
      </c>
      <c r="FKT391" s="160">
        <v>0</v>
      </c>
      <c r="FKU391" s="160">
        <v>0</v>
      </c>
      <c r="FKV391" s="160">
        <v>0</v>
      </c>
      <c r="FKW391" s="160">
        <v>0</v>
      </c>
      <c r="FKX391" s="160">
        <v>0</v>
      </c>
      <c r="FKY391" s="160">
        <v>0</v>
      </c>
      <c r="FKZ391" s="160">
        <v>0</v>
      </c>
      <c r="FLA391" s="160">
        <v>0</v>
      </c>
      <c r="FLB391" s="160">
        <v>0</v>
      </c>
      <c r="FLC391" s="160">
        <v>0</v>
      </c>
      <c r="FLD391" s="160">
        <v>0</v>
      </c>
      <c r="FLE391" s="160">
        <v>0</v>
      </c>
      <c r="FLF391" s="160">
        <v>0</v>
      </c>
      <c r="FLG391" s="160">
        <v>0</v>
      </c>
      <c r="FLH391" s="160">
        <v>0</v>
      </c>
      <c r="FLI391" s="160">
        <v>0</v>
      </c>
      <c r="FLJ391" s="160">
        <v>0</v>
      </c>
      <c r="FLK391" s="160">
        <v>0</v>
      </c>
      <c r="FLL391" s="160">
        <v>0</v>
      </c>
      <c r="FLM391" s="160">
        <v>0</v>
      </c>
      <c r="FLN391" s="160">
        <v>0</v>
      </c>
      <c r="FLO391" s="160">
        <v>0</v>
      </c>
      <c r="FLP391" s="160">
        <v>0</v>
      </c>
      <c r="FLQ391" s="160">
        <v>0</v>
      </c>
      <c r="FLR391" s="160">
        <v>0</v>
      </c>
      <c r="FLS391" s="160">
        <v>0</v>
      </c>
      <c r="FLT391" s="160">
        <v>0</v>
      </c>
      <c r="FLU391" s="160">
        <v>0</v>
      </c>
      <c r="FLV391" s="160">
        <v>0</v>
      </c>
      <c r="FLW391" s="160">
        <v>0</v>
      </c>
      <c r="FLX391" s="160">
        <v>0</v>
      </c>
      <c r="FLY391" s="160">
        <v>0</v>
      </c>
      <c r="FLZ391" s="160">
        <v>0</v>
      </c>
      <c r="FMA391" s="160">
        <v>0</v>
      </c>
      <c r="FMB391" s="160">
        <v>0</v>
      </c>
      <c r="FMC391" s="160">
        <v>0</v>
      </c>
      <c r="FMD391" s="160">
        <v>0</v>
      </c>
      <c r="FME391" s="160">
        <v>0</v>
      </c>
      <c r="FMF391" s="160">
        <v>0</v>
      </c>
      <c r="FMG391" s="160">
        <v>0</v>
      </c>
      <c r="FMH391" s="160">
        <v>0</v>
      </c>
      <c r="FMI391" s="160">
        <v>0</v>
      </c>
      <c r="FMJ391" s="160">
        <v>0</v>
      </c>
      <c r="FMK391" s="160">
        <v>0</v>
      </c>
      <c r="FML391" s="160">
        <v>0</v>
      </c>
      <c r="FMM391" s="160">
        <v>0</v>
      </c>
      <c r="FMN391" s="160">
        <v>0</v>
      </c>
      <c r="FMO391" s="160">
        <v>0</v>
      </c>
      <c r="FMP391" s="160">
        <v>0</v>
      </c>
      <c r="FMQ391" s="160">
        <v>0</v>
      </c>
      <c r="FMR391" s="160">
        <v>0</v>
      </c>
      <c r="FMS391" s="160">
        <v>0</v>
      </c>
      <c r="FMT391" s="160">
        <v>0</v>
      </c>
      <c r="FMU391" s="160">
        <v>0</v>
      </c>
      <c r="FMV391" s="160">
        <v>0</v>
      </c>
      <c r="FMW391" s="160">
        <v>0</v>
      </c>
      <c r="FMX391" s="160">
        <v>0</v>
      </c>
      <c r="FMY391" s="160">
        <v>0</v>
      </c>
      <c r="FMZ391" s="160">
        <v>0</v>
      </c>
      <c r="FNA391" s="160">
        <v>0</v>
      </c>
      <c r="FNB391" s="160">
        <v>0</v>
      </c>
      <c r="FNC391" s="160">
        <v>0</v>
      </c>
      <c r="FND391" s="160">
        <v>0</v>
      </c>
      <c r="FNE391" s="160">
        <v>0</v>
      </c>
      <c r="FNF391" s="160">
        <v>0</v>
      </c>
      <c r="FNG391" s="160">
        <v>0</v>
      </c>
      <c r="FNH391" s="160">
        <v>0</v>
      </c>
      <c r="FNI391" s="160">
        <v>0</v>
      </c>
      <c r="FNJ391" s="160">
        <v>0</v>
      </c>
      <c r="FNK391" s="160">
        <v>0</v>
      </c>
      <c r="FNL391" s="160">
        <v>0</v>
      </c>
      <c r="FNM391" s="160">
        <v>0</v>
      </c>
      <c r="FNN391" s="160">
        <v>0</v>
      </c>
      <c r="FNO391" s="160">
        <v>0</v>
      </c>
      <c r="FNP391" s="160">
        <v>0</v>
      </c>
      <c r="FNQ391" s="160">
        <v>0</v>
      </c>
      <c r="FNR391" s="160">
        <v>0</v>
      </c>
      <c r="FNS391" s="160">
        <v>0</v>
      </c>
      <c r="FNT391" s="160">
        <v>0</v>
      </c>
      <c r="FNU391" s="160">
        <v>0</v>
      </c>
      <c r="FNV391" s="160">
        <v>0</v>
      </c>
      <c r="FNW391" s="160">
        <v>0</v>
      </c>
      <c r="FNX391" s="160">
        <v>0</v>
      </c>
      <c r="FNY391" s="160">
        <v>0</v>
      </c>
      <c r="FNZ391" s="160">
        <v>0</v>
      </c>
      <c r="FOA391" s="160">
        <v>0</v>
      </c>
      <c r="FOB391" s="160">
        <v>0</v>
      </c>
      <c r="FOC391" s="160">
        <v>0</v>
      </c>
      <c r="FOD391" s="160">
        <v>0</v>
      </c>
      <c r="FOE391" s="160">
        <v>0</v>
      </c>
      <c r="FOF391" s="160">
        <v>0</v>
      </c>
      <c r="FOG391" s="160">
        <v>0</v>
      </c>
      <c r="FOH391" s="160">
        <v>0</v>
      </c>
      <c r="FOI391" s="160">
        <v>0</v>
      </c>
      <c r="FOJ391" s="160">
        <v>0</v>
      </c>
      <c r="FOK391" s="160">
        <v>0</v>
      </c>
      <c r="FOL391" s="160">
        <v>0</v>
      </c>
      <c r="FOM391" s="160">
        <v>0</v>
      </c>
      <c r="FON391" s="160">
        <v>0</v>
      </c>
      <c r="FOO391" s="160">
        <v>0</v>
      </c>
      <c r="FOP391" s="160">
        <v>0</v>
      </c>
      <c r="FOQ391" s="160">
        <v>0</v>
      </c>
      <c r="FOR391" s="160">
        <v>0</v>
      </c>
      <c r="FOS391" s="160">
        <v>0</v>
      </c>
      <c r="FOT391" s="160">
        <v>0</v>
      </c>
      <c r="FOU391" s="160">
        <v>0</v>
      </c>
      <c r="FOV391" s="160">
        <v>0</v>
      </c>
      <c r="FOW391" s="160">
        <v>0</v>
      </c>
      <c r="FOX391" s="160">
        <v>0</v>
      </c>
      <c r="FOY391" s="160">
        <v>0</v>
      </c>
      <c r="FOZ391" s="160">
        <v>0</v>
      </c>
      <c r="FPA391" s="160">
        <v>0</v>
      </c>
      <c r="FPB391" s="160">
        <v>0</v>
      </c>
      <c r="FPC391" s="160">
        <v>0</v>
      </c>
      <c r="FPD391" s="160">
        <v>0</v>
      </c>
      <c r="FPE391" s="160">
        <v>0</v>
      </c>
      <c r="FPF391" s="160">
        <v>0</v>
      </c>
      <c r="FPG391" s="160">
        <v>0</v>
      </c>
      <c r="FPH391" s="160">
        <v>0</v>
      </c>
      <c r="FPI391" s="160">
        <v>0</v>
      </c>
      <c r="FPJ391" s="160">
        <v>0</v>
      </c>
      <c r="FPK391" s="160">
        <v>0</v>
      </c>
      <c r="FPL391" s="160">
        <v>0</v>
      </c>
      <c r="FPM391" s="160">
        <v>0</v>
      </c>
      <c r="FPN391" s="160">
        <v>0</v>
      </c>
      <c r="FPO391" s="160">
        <v>0</v>
      </c>
      <c r="FPP391" s="160">
        <v>0</v>
      </c>
      <c r="FPQ391" s="160">
        <v>0</v>
      </c>
      <c r="FPR391" s="160">
        <v>0</v>
      </c>
      <c r="FPS391" s="160">
        <v>0</v>
      </c>
      <c r="FPT391" s="160">
        <v>0</v>
      </c>
      <c r="FPU391" s="160">
        <v>0</v>
      </c>
      <c r="FPV391" s="160">
        <v>0</v>
      </c>
      <c r="FPW391" s="160">
        <v>0</v>
      </c>
      <c r="FPX391" s="160">
        <v>0</v>
      </c>
      <c r="FPY391" s="160">
        <v>0</v>
      </c>
      <c r="FPZ391" s="160">
        <v>0</v>
      </c>
      <c r="FQA391" s="160">
        <v>0</v>
      </c>
      <c r="FQB391" s="160">
        <v>0</v>
      </c>
      <c r="FQC391" s="160">
        <v>0</v>
      </c>
      <c r="FQD391" s="160">
        <v>0</v>
      </c>
      <c r="FQE391" s="160">
        <v>0</v>
      </c>
      <c r="FQF391" s="160">
        <v>0</v>
      </c>
      <c r="FQG391" s="160">
        <v>0</v>
      </c>
      <c r="FQH391" s="160">
        <v>0</v>
      </c>
      <c r="FQI391" s="160">
        <v>0</v>
      </c>
      <c r="FQJ391" s="160">
        <v>0</v>
      </c>
      <c r="FQK391" s="160">
        <v>0</v>
      </c>
      <c r="FQL391" s="160">
        <v>0</v>
      </c>
      <c r="FQM391" s="160">
        <v>0</v>
      </c>
      <c r="FQN391" s="160">
        <v>0</v>
      </c>
      <c r="FQO391" s="160">
        <v>0</v>
      </c>
      <c r="FQP391" s="160">
        <v>0</v>
      </c>
      <c r="FQQ391" s="160">
        <v>0</v>
      </c>
      <c r="FQR391" s="160">
        <v>0</v>
      </c>
      <c r="FQS391" s="160">
        <v>0</v>
      </c>
      <c r="FQT391" s="160">
        <v>0</v>
      </c>
      <c r="FQU391" s="160">
        <v>0</v>
      </c>
      <c r="FQV391" s="160">
        <v>0</v>
      </c>
      <c r="FQW391" s="160">
        <v>0</v>
      </c>
      <c r="FQX391" s="160">
        <v>0</v>
      </c>
      <c r="FQY391" s="160">
        <v>0</v>
      </c>
      <c r="FQZ391" s="160">
        <v>0</v>
      </c>
      <c r="FRA391" s="160">
        <v>0</v>
      </c>
      <c r="FRB391" s="160">
        <v>0</v>
      </c>
      <c r="FRC391" s="160">
        <v>0</v>
      </c>
      <c r="FRD391" s="160">
        <v>0</v>
      </c>
      <c r="FRE391" s="160">
        <v>0</v>
      </c>
      <c r="FRF391" s="160">
        <v>0</v>
      </c>
      <c r="FRG391" s="160">
        <v>0</v>
      </c>
      <c r="FRH391" s="160">
        <v>0</v>
      </c>
      <c r="FRI391" s="160">
        <v>0</v>
      </c>
      <c r="FRJ391" s="160">
        <v>0</v>
      </c>
      <c r="FRK391" s="160">
        <v>0</v>
      </c>
      <c r="FRL391" s="160">
        <v>0</v>
      </c>
      <c r="FRM391" s="160">
        <v>0</v>
      </c>
      <c r="FRN391" s="160">
        <v>0</v>
      </c>
      <c r="FRO391" s="160">
        <v>0</v>
      </c>
      <c r="FRP391" s="160">
        <v>0</v>
      </c>
      <c r="FRQ391" s="160">
        <v>0</v>
      </c>
      <c r="FRR391" s="160">
        <v>0</v>
      </c>
      <c r="FRS391" s="160">
        <v>0</v>
      </c>
      <c r="FRT391" s="160">
        <v>0</v>
      </c>
      <c r="FRU391" s="160">
        <v>0</v>
      </c>
      <c r="FRV391" s="160">
        <v>0</v>
      </c>
      <c r="FRW391" s="160">
        <v>0</v>
      </c>
      <c r="FRX391" s="160">
        <v>0</v>
      </c>
      <c r="FRY391" s="160">
        <v>0</v>
      </c>
      <c r="FRZ391" s="160">
        <v>0</v>
      </c>
      <c r="FSA391" s="160">
        <v>0</v>
      </c>
      <c r="FSB391" s="160">
        <v>0</v>
      </c>
      <c r="FSC391" s="160">
        <v>0</v>
      </c>
      <c r="FSD391" s="160">
        <v>0</v>
      </c>
      <c r="FSE391" s="160">
        <v>0</v>
      </c>
      <c r="FSF391" s="160">
        <v>0</v>
      </c>
      <c r="FSG391" s="160">
        <v>0</v>
      </c>
      <c r="FSH391" s="160">
        <v>0</v>
      </c>
      <c r="FSI391" s="160">
        <v>0</v>
      </c>
      <c r="FSJ391" s="160">
        <v>0</v>
      </c>
      <c r="FSK391" s="160">
        <v>0</v>
      </c>
      <c r="FSL391" s="160">
        <v>0</v>
      </c>
      <c r="FSM391" s="160">
        <v>0</v>
      </c>
      <c r="FSN391" s="160">
        <v>0</v>
      </c>
      <c r="FSO391" s="160">
        <v>0</v>
      </c>
      <c r="FSP391" s="160">
        <v>0</v>
      </c>
      <c r="FSQ391" s="160">
        <v>0</v>
      </c>
      <c r="FSR391" s="160">
        <v>0</v>
      </c>
      <c r="FSS391" s="160">
        <v>0</v>
      </c>
      <c r="FST391" s="160">
        <v>0</v>
      </c>
      <c r="FSU391" s="160">
        <v>0</v>
      </c>
      <c r="FSV391" s="160">
        <v>0</v>
      </c>
      <c r="FSW391" s="160">
        <v>0</v>
      </c>
      <c r="FSX391" s="160">
        <v>0</v>
      </c>
      <c r="FSY391" s="160">
        <v>0</v>
      </c>
      <c r="FSZ391" s="160">
        <v>0</v>
      </c>
      <c r="FTA391" s="160">
        <v>0</v>
      </c>
      <c r="FTB391" s="160">
        <v>0</v>
      </c>
      <c r="FTC391" s="160">
        <v>0</v>
      </c>
      <c r="FTD391" s="160">
        <v>0</v>
      </c>
      <c r="FTE391" s="160">
        <v>0</v>
      </c>
      <c r="FTF391" s="160">
        <v>0</v>
      </c>
      <c r="FTG391" s="160">
        <v>0</v>
      </c>
      <c r="FTH391" s="160">
        <v>0</v>
      </c>
      <c r="FTI391" s="160">
        <v>0</v>
      </c>
      <c r="FTJ391" s="160">
        <v>0</v>
      </c>
      <c r="FTK391" s="160">
        <v>0</v>
      </c>
      <c r="FTL391" s="160">
        <v>0</v>
      </c>
      <c r="FTM391" s="160">
        <v>0</v>
      </c>
      <c r="FTN391" s="160">
        <v>0</v>
      </c>
      <c r="FTO391" s="160">
        <v>0</v>
      </c>
      <c r="FTP391" s="160">
        <v>0</v>
      </c>
      <c r="FTQ391" s="160">
        <v>0</v>
      </c>
      <c r="FTR391" s="160">
        <v>0</v>
      </c>
      <c r="FTS391" s="160">
        <v>0</v>
      </c>
      <c r="FTT391" s="160">
        <v>0</v>
      </c>
      <c r="FTU391" s="160">
        <v>0</v>
      </c>
      <c r="FTV391" s="160">
        <v>0</v>
      </c>
      <c r="FTW391" s="160">
        <v>0</v>
      </c>
      <c r="FTX391" s="160">
        <v>0</v>
      </c>
      <c r="FTY391" s="160">
        <v>0</v>
      </c>
      <c r="FTZ391" s="160">
        <v>0</v>
      </c>
      <c r="FUA391" s="160">
        <v>0</v>
      </c>
      <c r="FUB391" s="160">
        <v>0</v>
      </c>
      <c r="FUC391" s="160">
        <v>0</v>
      </c>
      <c r="FUD391" s="160">
        <v>0</v>
      </c>
      <c r="FUE391" s="160">
        <v>0</v>
      </c>
      <c r="FUF391" s="160">
        <v>0</v>
      </c>
      <c r="FUG391" s="160">
        <v>0</v>
      </c>
      <c r="FUH391" s="160">
        <v>0</v>
      </c>
      <c r="FUI391" s="160">
        <v>0</v>
      </c>
      <c r="FUJ391" s="160">
        <v>0</v>
      </c>
      <c r="FUK391" s="160">
        <v>0</v>
      </c>
      <c r="FUL391" s="160">
        <v>0</v>
      </c>
      <c r="FUM391" s="160">
        <v>0</v>
      </c>
      <c r="FUN391" s="160">
        <v>0</v>
      </c>
      <c r="FUO391" s="160">
        <v>0</v>
      </c>
      <c r="FUP391" s="160">
        <v>0</v>
      </c>
      <c r="FUQ391" s="160">
        <v>0</v>
      </c>
      <c r="FUR391" s="160">
        <v>0</v>
      </c>
      <c r="FUS391" s="160">
        <v>0</v>
      </c>
      <c r="FUT391" s="160">
        <v>0</v>
      </c>
      <c r="FUU391" s="160">
        <v>0</v>
      </c>
      <c r="FUV391" s="160">
        <v>0</v>
      </c>
      <c r="FUW391" s="160">
        <v>0</v>
      </c>
      <c r="FUX391" s="160">
        <v>0</v>
      </c>
      <c r="FUY391" s="160">
        <v>0</v>
      </c>
      <c r="FUZ391" s="160">
        <v>0</v>
      </c>
      <c r="FVA391" s="160">
        <v>0</v>
      </c>
      <c r="FVB391" s="160">
        <v>0</v>
      </c>
      <c r="FVC391" s="160">
        <v>0</v>
      </c>
      <c r="FVD391" s="160">
        <v>0</v>
      </c>
      <c r="FVE391" s="160">
        <v>0</v>
      </c>
      <c r="FVF391" s="160">
        <v>0</v>
      </c>
      <c r="FVG391" s="160">
        <v>0</v>
      </c>
      <c r="FVH391" s="160">
        <v>0</v>
      </c>
      <c r="FVI391" s="160">
        <v>0</v>
      </c>
      <c r="FVJ391" s="160">
        <v>0</v>
      </c>
      <c r="FVK391" s="160">
        <v>0</v>
      </c>
      <c r="FVL391" s="160">
        <v>0</v>
      </c>
      <c r="FVM391" s="160">
        <v>0</v>
      </c>
      <c r="FVN391" s="160">
        <v>0</v>
      </c>
      <c r="FVO391" s="160">
        <v>0</v>
      </c>
      <c r="FVP391" s="160">
        <v>0</v>
      </c>
      <c r="FVQ391" s="160">
        <v>0</v>
      </c>
      <c r="FVR391" s="160">
        <v>0</v>
      </c>
      <c r="FVS391" s="160">
        <v>0</v>
      </c>
      <c r="FVT391" s="160">
        <v>0</v>
      </c>
      <c r="FVU391" s="160">
        <v>0</v>
      </c>
      <c r="FVV391" s="160">
        <v>0</v>
      </c>
      <c r="FVW391" s="160">
        <v>0</v>
      </c>
      <c r="FVX391" s="160">
        <v>0</v>
      </c>
      <c r="FVY391" s="160">
        <v>0</v>
      </c>
      <c r="FVZ391" s="160">
        <v>0</v>
      </c>
      <c r="FWA391" s="160">
        <v>0</v>
      </c>
      <c r="FWB391" s="160">
        <v>0</v>
      </c>
      <c r="FWC391" s="160">
        <v>0</v>
      </c>
      <c r="FWD391" s="160">
        <v>0</v>
      </c>
      <c r="FWE391" s="160">
        <v>0</v>
      </c>
      <c r="FWF391" s="160">
        <v>0</v>
      </c>
      <c r="FWG391" s="160">
        <v>0</v>
      </c>
      <c r="FWH391" s="160">
        <v>0</v>
      </c>
      <c r="FWI391" s="160">
        <v>0</v>
      </c>
      <c r="FWJ391" s="160">
        <v>0</v>
      </c>
      <c r="FWK391" s="160">
        <v>0</v>
      </c>
      <c r="FWL391" s="160">
        <v>0</v>
      </c>
      <c r="FWM391" s="160">
        <v>0</v>
      </c>
      <c r="FWN391" s="160">
        <v>0</v>
      </c>
      <c r="FWO391" s="160">
        <v>0</v>
      </c>
      <c r="FWP391" s="160">
        <v>0</v>
      </c>
      <c r="FWQ391" s="160">
        <v>0</v>
      </c>
      <c r="FWR391" s="160">
        <v>0</v>
      </c>
      <c r="FWS391" s="160">
        <v>0</v>
      </c>
      <c r="FWT391" s="160">
        <v>0</v>
      </c>
      <c r="FWU391" s="160">
        <v>0</v>
      </c>
      <c r="FWV391" s="160">
        <v>0</v>
      </c>
      <c r="FWW391" s="160">
        <v>0</v>
      </c>
      <c r="FWX391" s="160">
        <v>0</v>
      </c>
      <c r="FWY391" s="160">
        <v>0</v>
      </c>
      <c r="FWZ391" s="160">
        <v>0</v>
      </c>
      <c r="FXA391" s="160">
        <v>0</v>
      </c>
      <c r="FXB391" s="160">
        <v>0</v>
      </c>
      <c r="FXC391" s="160">
        <v>0</v>
      </c>
      <c r="FXD391" s="160">
        <v>0</v>
      </c>
      <c r="FXE391" s="160">
        <v>0</v>
      </c>
      <c r="FXF391" s="160">
        <v>0</v>
      </c>
      <c r="FXG391" s="160">
        <v>0</v>
      </c>
      <c r="FXH391" s="160">
        <v>0</v>
      </c>
      <c r="FXI391" s="160">
        <v>0</v>
      </c>
      <c r="FXJ391" s="160">
        <v>0</v>
      </c>
      <c r="FXK391" s="160">
        <v>0</v>
      </c>
      <c r="FXL391" s="160">
        <v>0</v>
      </c>
      <c r="FXM391" s="160">
        <v>0</v>
      </c>
      <c r="FXN391" s="160">
        <v>0</v>
      </c>
      <c r="FXO391" s="160">
        <v>0</v>
      </c>
      <c r="FXP391" s="160">
        <v>0</v>
      </c>
      <c r="FXQ391" s="160">
        <v>0</v>
      </c>
      <c r="FXR391" s="160">
        <v>0</v>
      </c>
      <c r="FXS391" s="160">
        <v>0</v>
      </c>
      <c r="FXT391" s="160">
        <v>0</v>
      </c>
      <c r="FXU391" s="160">
        <v>0</v>
      </c>
      <c r="FXV391" s="160">
        <v>0</v>
      </c>
      <c r="FXW391" s="160">
        <v>0</v>
      </c>
      <c r="FXX391" s="160">
        <v>0</v>
      </c>
      <c r="FXY391" s="160">
        <v>0</v>
      </c>
      <c r="FXZ391" s="160">
        <v>0</v>
      </c>
      <c r="FYA391" s="160">
        <v>0</v>
      </c>
      <c r="FYB391" s="160">
        <v>0</v>
      </c>
      <c r="FYC391" s="160">
        <v>0</v>
      </c>
      <c r="FYD391" s="160">
        <v>0</v>
      </c>
      <c r="FYE391" s="160">
        <v>0</v>
      </c>
      <c r="FYF391" s="160">
        <v>0</v>
      </c>
      <c r="FYG391" s="160">
        <v>0</v>
      </c>
      <c r="FYH391" s="160">
        <v>0</v>
      </c>
      <c r="FYI391" s="160">
        <v>0</v>
      </c>
      <c r="FYJ391" s="160">
        <v>0</v>
      </c>
      <c r="FYK391" s="160">
        <v>0</v>
      </c>
      <c r="FYL391" s="160">
        <v>0</v>
      </c>
      <c r="FYM391" s="160">
        <v>0</v>
      </c>
      <c r="FYN391" s="160">
        <v>0</v>
      </c>
      <c r="FYO391" s="160">
        <v>0</v>
      </c>
      <c r="FYP391" s="160">
        <v>0</v>
      </c>
      <c r="FYQ391" s="160">
        <v>0</v>
      </c>
      <c r="FYR391" s="160">
        <v>0</v>
      </c>
      <c r="FYS391" s="160">
        <v>0</v>
      </c>
      <c r="FYT391" s="160">
        <v>0</v>
      </c>
      <c r="FYU391" s="160">
        <v>0</v>
      </c>
      <c r="FYV391" s="160">
        <v>0</v>
      </c>
      <c r="FYW391" s="160">
        <v>0</v>
      </c>
      <c r="FYX391" s="160">
        <v>0</v>
      </c>
      <c r="FYY391" s="160">
        <v>0</v>
      </c>
      <c r="FYZ391" s="160">
        <v>0</v>
      </c>
      <c r="FZA391" s="160">
        <v>0</v>
      </c>
      <c r="FZB391" s="160">
        <v>0</v>
      </c>
      <c r="FZC391" s="160">
        <v>0</v>
      </c>
      <c r="FZD391" s="160">
        <v>0</v>
      </c>
      <c r="FZE391" s="160">
        <v>0</v>
      </c>
      <c r="FZF391" s="160">
        <v>0</v>
      </c>
      <c r="FZG391" s="160">
        <v>0</v>
      </c>
      <c r="FZH391" s="160">
        <v>0</v>
      </c>
      <c r="FZI391" s="160">
        <v>0</v>
      </c>
      <c r="FZJ391" s="160">
        <v>0</v>
      </c>
      <c r="FZK391" s="160">
        <v>0</v>
      </c>
      <c r="FZL391" s="160">
        <v>0</v>
      </c>
      <c r="FZM391" s="160">
        <v>0</v>
      </c>
      <c r="FZN391" s="160">
        <v>0</v>
      </c>
      <c r="FZO391" s="160">
        <v>0</v>
      </c>
      <c r="FZP391" s="160">
        <v>0</v>
      </c>
      <c r="FZQ391" s="160">
        <v>0</v>
      </c>
      <c r="FZR391" s="160">
        <v>0</v>
      </c>
      <c r="FZS391" s="160">
        <v>0</v>
      </c>
      <c r="FZT391" s="160">
        <v>0</v>
      </c>
      <c r="FZU391" s="160">
        <v>0</v>
      </c>
      <c r="FZV391" s="160">
        <v>0</v>
      </c>
      <c r="FZW391" s="160">
        <v>0</v>
      </c>
      <c r="FZX391" s="160">
        <v>0</v>
      </c>
      <c r="FZY391" s="160">
        <v>0</v>
      </c>
      <c r="FZZ391" s="160">
        <v>0</v>
      </c>
      <c r="GAA391" s="160">
        <v>0</v>
      </c>
      <c r="GAB391" s="160">
        <v>0</v>
      </c>
      <c r="GAC391" s="160">
        <v>0</v>
      </c>
      <c r="GAD391" s="160">
        <v>0</v>
      </c>
      <c r="GAE391" s="160">
        <v>0</v>
      </c>
      <c r="GAF391" s="160">
        <v>0</v>
      </c>
      <c r="GAG391" s="160">
        <v>0</v>
      </c>
      <c r="GAH391" s="160">
        <v>0</v>
      </c>
      <c r="GAI391" s="160">
        <v>0</v>
      </c>
      <c r="GAJ391" s="160">
        <v>0</v>
      </c>
      <c r="GAK391" s="160">
        <v>0</v>
      </c>
      <c r="GAL391" s="160">
        <v>0</v>
      </c>
      <c r="GAM391" s="160">
        <v>0</v>
      </c>
      <c r="GAN391" s="160">
        <v>0</v>
      </c>
      <c r="GAO391" s="160">
        <v>0</v>
      </c>
      <c r="GAP391" s="160">
        <v>0</v>
      </c>
      <c r="GAQ391" s="160">
        <v>0</v>
      </c>
      <c r="GAR391" s="160">
        <v>0</v>
      </c>
      <c r="GAS391" s="160">
        <v>0</v>
      </c>
      <c r="GAT391" s="160">
        <v>0</v>
      </c>
      <c r="GAU391" s="160">
        <v>0</v>
      </c>
      <c r="GAV391" s="160">
        <v>0</v>
      </c>
      <c r="GAW391" s="160">
        <v>0</v>
      </c>
      <c r="GAX391" s="160">
        <v>0</v>
      </c>
      <c r="GAY391" s="160">
        <v>0</v>
      </c>
      <c r="GAZ391" s="160">
        <v>0</v>
      </c>
      <c r="GBA391" s="160">
        <v>0</v>
      </c>
      <c r="GBB391" s="160">
        <v>0</v>
      </c>
      <c r="GBC391" s="160">
        <v>0</v>
      </c>
      <c r="GBD391" s="160">
        <v>0</v>
      </c>
      <c r="GBE391" s="160">
        <v>0</v>
      </c>
      <c r="GBF391" s="160">
        <v>0</v>
      </c>
      <c r="GBG391" s="160">
        <v>0</v>
      </c>
      <c r="GBH391" s="160">
        <v>0</v>
      </c>
      <c r="GBI391" s="160">
        <v>0</v>
      </c>
      <c r="GBJ391" s="160">
        <v>0</v>
      </c>
      <c r="GBK391" s="160">
        <v>0</v>
      </c>
      <c r="GBL391" s="160">
        <v>0</v>
      </c>
      <c r="GBM391" s="160">
        <v>0</v>
      </c>
      <c r="GBN391" s="160">
        <v>0</v>
      </c>
      <c r="GBO391" s="160">
        <v>0</v>
      </c>
      <c r="GBP391" s="160">
        <v>0</v>
      </c>
      <c r="GBQ391" s="160">
        <v>0</v>
      </c>
      <c r="GBR391" s="160">
        <v>0</v>
      </c>
      <c r="GBS391" s="160">
        <v>0</v>
      </c>
      <c r="GBT391" s="160">
        <v>0</v>
      </c>
      <c r="GBU391" s="160">
        <v>0</v>
      </c>
      <c r="GBV391" s="160">
        <v>0</v>
      </c>
      <c r="GBW391" s="160">
        <v>0</v>
      </c>
      <c r="GBX391" s="160">
        <v>0</v>
      </c>
      <c r="GBY391" s="160">
        <v>0</v>
      </c>
      <c r="GBZ391" s="160">
        <v>0</v>
      </c>
      <c r="GCA391" s="160">
        <v>0</v>
      </c>
      <c r="GCB391" s="160">
        <v>0</v>
      </c>
      <c r="GCC391" s="160">
        <v>0</v>
      </c>
      <c r="GCD391" s="160">
        <v>0</v>
      </c>
      <c r="GCE391" s="160">
        <v>0</v>
      </c>
      <c r="GCF391" s="160">
        <v>0</v>
      </c>
      <c r="GCG391" s="160">
        <v>0</v>
      </c>
      <c r="GCH391" s="160">
        <v>0</v>
      </c>
      <c r="GCI391" s="160">
        <v>0</v>
      </c>
      <c r="GCJ391" s="160">
        <v>0</v>
      </c>
      <c r="GCK391" s="160">
        <v>0</v>
      </c>
      <c r="GCL391" s="160">
        <v>0</v>
      </c>
      <c r="GCM391" s="160">
        <v>0</v>
      </c>
      <c r="GCN391" s="160">
        <v>0</v>
      </c>
      <c r="GCO391" s="160">
        <v>0</v>
      </c>
      <c r="GCP391" s="160">
        <v>0</v>
      </c>
      <c r="GCQ391" s="160">
        <v>0</v>
      </c>
      <c r="GCR391" s="160">
        <v>0</v>
      </c>
      <c r="GCS391" s="160">
        <v>0</v>
      </c>
      <c r="GCT391" s="160">
        <v>0</v>
      </c>
      <c r="GCU391" s="160">
        <v>0</v>
      </c>
      <c r="GCV391" s="160">
        <v>0</v>
      </c>
      <c r="GCW391" s="160">
        <v>0</v>
      </c>
      <c r="GCX391" s="160">
        <v>0</v>
      </c>
      <c r="GCY391" s="160">
        <v>0</v>
      </c>
      <c r="GCZ391" s="160">
        <v>0</v>
      </c>
      <c r="GDA391" s="160">
        <v>0</v>
      </c>
      <c r="GDB391" s="160">
        <v>0</v>
      </c>
      <c r="GDC391" s="160">
        <v>0</v>
      </c>
      <c r="GDD391" s="160">
        <v>0</v>
      </c>
      <c r="GDE391" s="160">
        <v>0</v>
      </c>
      <c r="GDF391" s="160">
        <v>0</v>
      </c>
      <c r="GDG391" s="160">
        <v>0</v>
      </c>
      <c r="GDH391" s="160">
        <v>0</v>
      </c>
      <c r="GDI391" s="160">
        <v>0</v>
      </c>
      <c r="GDJ391" s="160">
        <v>0</v>
      </c>
      <c r="GDK391" s="160">
        <v>0</v>
      </c>
      <c r="GDL391" s="160">
        <v>0</v>
      </c>
      <c r="GDM391" s="160">
        <v>0</v>
      </c>
      <c r="GDN391" s="160">
        <v>0</v>
      </c>
      <c r="GDO391" s="160">
        <v>0</v>
      </c>
      <c r="GDP391" s="160">
        <v>0</v>
      </c>
      <c r="GDQ391" s="160">
        <v>0</v>
      </c>
      <c r="GDR391" s="160">
        <v>0</v>
      </c>
      <c r="GDS391" s="160">
        <v>0</v>
      </c>
      <c r="GDT391" s="160">
        <v>0</v>
      </c>
      <c r="GDU391" s="160">
        <v>0</v>
      </c>
      <c r="GDV391" s="160">
        <v>0</v>
      </c>
      <c r="GDW391" s="160">
        <v>0</v>
      </c>
      <c r="GDX391" s="160">
        <v>0</v>
      </c>
      <c r="GDY391" s="160">
        <v>0</v>
      </c>
      <c r="GDZ391" s="160">
        <v>0</v>
      </c>
      <c r="GEA391" s="160">
        <v>0</v>
      </c>
      <c r="GEB391" s="160">
        <v>0</v>
      </c>
      <c r="GEC391" s="160">
        <v>0</v>
      </c>
      <c r="GED391" s="160">
        <v>0</v>
      </c>
      <c r="GEE391" s="160">
        <v>0</v>
      </c>
      <c r="GEF391" s="160">
        <v>0</v>
      </c>
      <c r="GEG391" s="160">
        <v>0</v>
      </c>
      <c r="GEH391" s="160">
        <v>0</v>
      </c>
      <c r="GEI391" s="160">
        <v>0</v>
      </c>
      <c r="GEJ391" s="160">
        <v>0</v>
      </c>
      <c r="GEK391" s="160">
        <v>0</v>
      </c>
      <c r="GEL391" s="160">
        <v>0</v>
      </c>
      <c r="GEM391" s="160">
        <v>0</v>
      </c>
      <c r="GEN391" s="160">
        <v>0</v>
      </c>
      <c r="GEO391" s="160">
        <v>0</v>
      </c>
      <c r="GEP391" s="160">
        <v>0</v>
      </c>
      <c r="GEQ391" s="160">
        <v>0</v>
      </c>
      <c r="GER391" s="160">
        <v>0</v>
      </c>
      <c r="GES391" s="160">
        <v>0</v>
      </c>
      <c r="GET391" s="160">
        <v>0</v>
      </c>
      <c r="GEU391" s="160">
        <v>0</v>
      </c>
      <c r="GEV391" s="160">
        <v>0</v>
      </c>
      <c r="GEW391" s="160">
        <v>0</v>
      </c>
      <c r="GEX391" s="160">
        <v>0</v>
      </c>
      <c r="GEY391" s="160">
        <v>0</v>
      </c>
      <c r="GEZ391" s="160">
        <v>0</v>
      </c>
      <c r="GFA391" s="160">
        <v>0</v>
      </c>
      <c r="GFB391" s="160">
        <v>0</v>
      </c>
      <c r="GFC391" s="160">
        <v>0</v>
      </c>
      <c r="GFD391" s="160">
        <v>0</v>
      </c>
      <c r="GFE391" s="160">
        <v>0</v>
      </c>
      <c r="GFF391" s="160">
        <v>0</v>
      </c>
      <c r="GFG391" s="160">
        <v>0</v>
      </c>
      <c r="GFH391" s="160">
        <v>0</v>
      </c>
      <c r="GFI391" s="160">
        <v>0</v>
      </c>
      <c r="GFJ391" s="160">
        <v>0</v>
      </c>
      <c r="GFK391" s="160">
        <v>0</v>
      </c>
      <c r="GFL391" s="160">
        <v>0</v>
      </c>
      <c r="GFM391" s="160">
        <v>0</v>
      </c>
      <c r="GFN391" s="160">
        <v>0</v>
      </c>
      <c r="GFO391" s="160">
        <v>0</v>
      </c>
      <c r="GFP391" s="160">
        <v>0</v>
      </c>
      <c r="GFQ391" s="160">
        <v>0</v>
      </c>
      <c r="GFR391" s="160">
        <v>0</v>
      </c>
      <c r="GFS391" s="160">
        <v>0</v>
      </c>
      <c r="GFT391" s="160">
        <v>0</v>
      </c>
      <c r="GFU391" s="160">
        <v>0</v>
      </c>
      <c r="GFV391" s="160">
        <v>0</v>
      </c>
      <c r="GFW391" s="160">
        <v>0</v>
      </c>
      <c r="GFX391" s="160">
        <v>0</v>
      </c>
      <c r="GFY391" s="160">
        <v>0</v>
      </c>
      <c r="GFZ391" s="160">
        <v>0</v>
      </c>
      <c r="GGA391" s="160">
        <v>0</v>
      </c>
      <c r="GGB391" s="160">
        <v>0</v>
      </c>
      <c r="GGC391" s="160">
        <v>0</v>
      </c>
      <c r="GGD391" s="160">
        <v>0</v>
      </c>
      <c r="GGE391" s="160">
        <v>0</v>
      </c>
      <c r="GGF391" s="160">
        <v>0</v>
      </c>
      <c r="GGG391" s="160">
        <v>0</v>
      </c>
      <c r="GGH391" s="160">
        <v>0</v>
      </c>
      <c r="GGI391" s="160">
        <v>0</v>
      </c>
      <c r="GGJ391" s="160">
        <v>0</v>
      </c>
      <c r="GGK391" s="160">
        <v>0</v>
      </c>
      <c r="GGL391" s="160">
        <v>0</v>
      </c>
      <c r="GGM391" s="160">
        <v>0</v>
      </c>
      <c r="GGN391" s="160">
        <v>0</v>
      </c>
      <c r="GGO391" s="160">
        <v>0</v>
      </c>
      <c r="GGP391" s="160">
        <v>0</v>
      </c>
      <c r="GGQ391" s="160">
        <v>0</v>
      </c>
      <c r="GGR391" s="160">
        <v>0</v>
      </c>
      <c r="GGS391" s="160">
        <v>0</v>
      </c>
      <c r="GGT391" s="160">
        <v>0</v>
      </c>
      <c r="GGU391" s="160">
        <v>0</v>
      </c>
      <c r="GGV391" s="160">
        <v>0</v>
      </c>
      <c r="GGW391" s="160">
        <v>0</v>
      </c>
      <c r="GGX391" s="160">
        <v>0</v>
      </c>
      <c r="GGY391" s="160">
        <v>0</v>
      </c>
      <c r="GGZ391" s="160">
        <v>0</v>
      </c>
      <c r="GHA391" s="160">
        <v>0</v>
      </c>
      <c r="GHB391" s="160">
        <v>0</v>
      </c>
      <c r="GHC391" s="160">
        <v>0</v>
      </c>
      <c r="GHD391" s="160">
        <v>0</v>
      </c>
      <c r="GHE391" s="160">
        <v>0</v>
      </c>
      <c r="GHF391" s="160">
        <v>0</v>
      </c>
      <c r="GHG391" s="160">
        <v>0</v>
      </c>
      <c r="GHH391" s="160">
        <v>0</v>
      </c>
      <c r="GHI391" s="160">
        <v>0</v>
      </c>
      <c r="GHJ391" s="160">
        <v>0</v>
      </c>
      <c r="GHK391" s="160">
        <v>0</v>
      </c>
      <c r="GHL391" s="160">
        <v>0</v>
      </c>
      <c r="GHM391" s="160">
        <v>0</v>
      </c>
      <c r="GHN391" s="160">
        <v>0</v>
      </c>
      <c r="GHO391" s="160">
        <v>0</v>
      </c>
      <c r="GHP391" s="160">
        <v>0</v>
      </c>
      <c r="GHQ391" s="160">
        <v>0</v>
      </c>
      <c r="GHR391" s="160">
        <v>0</v>
      </c>
      <c r="GHS391" s="160">
        <v>0</v>
      </c>
      <c r="GHT391" s="160">
        <v>0</v>
      </c>
      <c r="GHU391" s="160">
        <v>0</v>
      </c>
      <c r="GHV391" s="160">
        <v>0</v>
      </c>
      <c r="GHW391" s="160">
        <v>0</v>
      </c>
      <c r="GHX391" s="160">
        <v>0</v>
      </c>
      <c r="GHY391" s="160">
        <v>0</v>
      </c>
      <c r="GHZ391" s="160">
        <v>0</v>
      </c>
      <c r="GIA391" s="160">
        <v>0</v>
      </c>
      <c r="GIB391" s="160">
        <v>0</v>
      </c>
      <c r="GIC391" s="160">
        <v>0</v>
      </c>
      <c r="GID391" s="160">
        <v>0</v>
      </c>
      <c r="GIE391" s="160">
        <v>0</v>
      </c>
      <c r="GIF391" s="160">
        <v>0</v>
      </c>
      <c r="GIG391" s="160">
        <v>0</v>
      </c>
      <c r="GIH391" s="160">
        <v>0</v>
      </c>
      <c r="GII391" s="160">
        <v>0</v>
      </c>
      <c r="GIJ391" s="160">
        <v>0</v>
      </c>
      <c r="GIK391" s="160">
        <v>0</v>
      </c>
      <c r="GIL391" s="160">
        <v>0</v>
      </c>
      <c r="GIM391" s="160">
        <v>0</v>
      </c>
      <c r="GIN391" s="160">
        <v>0</v>
      </c>
      <c r="GIO391" s="160">
        <v>0</v>
      </c>
      <c r="GIP391" s="160">
        <v>0</v>
      </c>
      <c r="GIQ391" s="160">
        <v>0</v>
      </c>
      <c r="GIR391" s="160">
        <v>0</v>
      </c>
      <c r="GIS391" s="160">
        <v>0</v>
      </c>
      <c r="GIT391" s="160">
        <v>0</v>
      </c>
      <c r="GIU391" s="160">
        <v>0</v>
      </c>
      <c r="GIV391" s="160">
        <v>0</v>
      </c>
      <c r="GIW391" s="160">
        <v>0</v>
      </c>
      <c r="GIX391" s="160">
        <v>0</v>
      </c>
      <c r="GIY391" s="160">
        <v>0</v>
      </c>
      <c r="GIZ391" s="160">
        <v>0</v>
      </c>
      <c r="GJA391" s="160">
        <v>0</v>
      </c>
      <c r="GJB391" s="160">
        <v>0</v>
      </c>
      <c r="GJC391" s="160">
        <v>0</v>
      </c>
      <c r="GJD391" s="160">
        <v>0</v>
      </c>
      <c r="GJE391" s="160">
        <v>0</v>
      </c>
      <c r="GJF391" s="160">
        <v>0</v>
      </c>
      <c r="GJG391" s="160">
        <v>0</v>
      </c>
      <c r="GJH391" s="160">
        <v>0</v>
      </c>
      <c r="GJI391" s="160">
        <v>0</v>
      </c>
      <c r="GJJ391" s="160">
        <v>0</v>
      </c>
      <c r="GJK391" s="160">
        <v>0</v>
      </c>
      <c r="GJL391" s="160">
        <v>0</v>
      </c>
      <c r="GJM391" s="160">
        <v>0</v>
      </c>
      <c r="GJN391" s="160">
        <v>0</v>
      </c>
      <c r="GJO391" s="160">
        <v>0</v>
      </c>
      <c r="GJP391" s="160">
        <v>0</v>
      </c>
      <c r="GJQ391" s="160">
        <v>0</v>
      </c>
      <c r="GJR391" s="160">
        <v>0</v>
      </c>
      <c r="GJS391" s="160">
        <v>0</v>
      </c>
      <c r="GJT391" s="160">
        <v>0</v>
      </c>
      <c r="GJU391" s="160">
        <v>0</v>
      </c>
      <c r="GJV391" s="160">
        <v>0</v>
      </c>
      <c r="GJW391" s="160">
        <v>0</v>
      </c>
      <c r="GJX391" s="160">
        <v>0</v>
      </c>
      <c r="GJY391" s="160">
        <v>0</v>
      </c>
      <c r="GJZ391" s="160">
        <v>0</v>
      </c>
      <c r="GKA391" s="160">
        <v>0</v>
      </c>
      <c r="GKB391" s="160">
        <v>0</v>
      </c>
      <c r="GKC391" s="160">
        <v>0</v>
      </c>
      <c r="GKD391" s="160">
        <v>0</v>
      </c>
      <c r="GKE391" s="160">
        <v>0</v>
      </c>
      <c r="GKF391" s="160">
        <v>0</v>
      </c>
      <c r="GKG391" s="160">
        <v>0</v>
      </c>
      <c r="GKH391" s="160">
        <v>0</v>
      </c>
      <c r="GKI391" s="160">
        <v>0</v>
      </c>
      <c r="GKJ391" s="160">
        <v>0</v>
      </c>
      <c r="GKK391" s="160">
        <v>0</v>
      </c>
      <c r="GKL391" s="160">
        <v>0</v>
      </c>
      <c r="GKM391" s="160">
        <v>0</v>
      </c>
      <c r="GKN391" s="160">
        <v>0</v>
      </c>
      <c r="GKO391" s="160">
        <v>0</v>
      </c>
      <c r="GKP391" s="160">
        <v>0</v>
      </c>
      <c r="GKQ391" s="160">
        <v>0</v>
      </c>
      <c r="GKR391" s="160">
        <v>0</v>
      </c>
      <c r="GKS391" s="160">
        <v>0</v>
      </c>
      <c r="GKT391" s="160">
        <v>0</v>
      </c>
      <c r="GKU391" s="160">
        <v>0</v>
      </c>
      <c r="GKV391" s="160">
        <v>0</v>
      </c>
      <c r="GKW391" s="160">
        <v>0</v>
      </c>
      <c r="GKX391" s="160">
        <v>0</v>
      </c>
      <c r="GKY391" s="160">
        <v>0</v>
      </c>
      <c r="GKZ391" s="160">
        <v>0</v>
      </c>
      <c r="GLA391" s="160">
        <v>0</v>
      </c>
      <c r="GLB391" s="160">
        <v>0</v>
      </c>
      <c r="GLC391" s="160">
        <v>0</v>
      </c>
      <c r="GLD391" s="160">
        <v>0</v>
      </c>
      <c r="GLE391" s="160">
        <v>0</v>
      </c>
      <c r="GLF391" s="160">
        <v>0</v>
      </c>
      <c r="GLG391" s="160">
        <v>0</v>
      </c>
      <c r="GLH391" s="160">
        <v>0</v>
      </c>
      <c r="GLI391" s="160">
        <v>0</v>
      </c>
      <c r="GLJ391" s="160">
        <v>0</v>
      </c>
      <c r="GLK391" s="160">
        <v>0</v>
      </c>
      <c r="GLL391" s="160">
        <v>0</v>
      </c>
      <c r="GLM391" s="160">
        <v>0</v>
      </c>
      <c r="GLN391" s="160">
        <v>0</v>
      </c>
      <c r="GLO391" s="160">
        <v>0</v>
      </c>
      <c r="GLP391" s="160">
        <v>0</v>
      </c>
      <c r="GLQ391" s="160">
        <v>0</v>
      </c>
      <c r="GLR391" s="160">
        <v>0</v>
      </c>
      <c r="GLS391" s="160">
        <v>0</v>
      </c>
      <c r="GLT391" s="160">
        <v>0</v>
      </c>
      <c r="GLU391" s="160">
        <v>0</v>
      </c>
      <c r="GLV391" s="160">
        <v>0</v>
      </c>
      <c r="GLW391" s="160">
        <v>0</v>
      </c>
      <c r="GLX391" s="160">
        <v>0</v>
      </c>
      <c r="GLY391" s="160">
        <v>0</v>
      </c>
      <c r="GLZ391" s="160">
        <v>0</v>
      </c>
      <c r="GMA391" s="160">
        <v>0</v>
      </c>
      <c r="GMB391" s="160">
        <v>0</v>
      </c>
      <c r="GMC391" s="160">
        <v>0</v>
      </c>
      <c r="GMD391" s="160">
        <v>0</v>
      </c>
      <c r="GME391" s="160">
        <v>0</v>
      </c>
      <c r="GMF391" s="160">
        <v>0</v>
      </c>
      <c r="GMG391" s="160">
        <v>0</v>
      </c>
      <c r="GMH391" s="160">
        <v>0</v>
      </c>
      <c r="GMI391" s="160">
        <v>0</v>
      </c>
      <c r="GMJ391" s="160">
        <v>0</v>
      </c>
      <c r="GMK391" s="160">
        <v>0</v>
      </c>
      <c r="GML391" s="160">
        <v>0</v>
      </c>
      <c r="GMM391" s="160">
        <v>0</v>
      </c>
      <c r="GMN391" s="160">
        <v>0</v>
      </c>
      <c r="GMO391" s="160">
        <v>0</v>
      </c>
      <c r="GMP391" s="160">
        <v>0</v>
      </c>
      <c r="GMQ391" s="160">
        <v>0</v>
      </c>
      <c r="GMR391" s="160">
        <v>0</v>
      </c>
      <c r="GMS391" s="160">
        <v>0</v>
      </c>
      <c r="GMT391" s="160">
        <v>0</v>
      </c>
      <c r="GMU391" s="160">
        <v>0</v>
      </c>
      <c r="GMV391" s="160">
        <v>0</v>
      </c>
      <c r="GMW391" s="160">
        <v>0</v>
      </c>
      <c r="GMX391" s="160">
        <v>0</v>
      </c>
      <c r="GMY391" s="160">
        <v>0</v>
      </c>
      <c r="GMZ391" s="160">
        <v>0</v>
      </c>
      <c r="GNA391" s="160">
        <v>0</v>
      </c>
      <c r="GNB391" s="160">
        <v>0</v>
      </c>
      <c r="GNC391" s="160">
        <v>0</v>
      </c>
      <c r="GND391" s="160">
        <v>0</v>
      </c>
      <c r="GNE391" s="160">
        <v>0</v>
      </c>
      <c r="GNF391" s="160">
        <v>0</v>
      </c>
      <c r="GNG391" s="160">
        <v>0</v>
      </c>
      <c r="GNH391" s="160">
        <v>0</v>
      </c>
      <c r="GNI391" s="160">
        <v>0</v>
      </c>
      <c r="GNJ391" s="160">
        <v>0</v>
      </c>
      <c r="GNK391" s="160">
        <v>0</v>
      </c>
      <c r="GNL391" s="160">
        <v>0</v>
      </c>
      <c r="GNM391" s="160">
        <v>0</v>
      </c>
      <c r="GNN391" s="160">
        <v>0</v>
      </c>
      <c r="GNO391" s="160">
        <v>0</v>
      </c>
      <c r="GNP391" s="160">
        <v>0</v>
      </c>
      <c r="GNQ391" s="160">
        <v>0</v>
      </c>
      <c r="GNR391" s="160">
        <v>0</v>
      </c>
      <c r="GNS391" s="160">
        <v>0</v>
      </c>
      <c r="GNT391" s="160">
        <v>0</v>
      </c>
      <c r="GNU391" s="160">
        <v>0</v>
      </c>
      <c r="GNV391" s="160">
        <v>0</v>
      </c>
      <c r="GNW391" s="160">
        <v>0</v>
      </c>
      <c r="GNX391" s="160">
        <v>0</v>
      </c>
      <c r="GNY391" s="160">
        <v>0</v>
      </c>
      <c r="GNZ391" s="160">
        <v>0</v>
      </c>
      <c r="GOA391" s="160">
        <v>0</v>
      </c>
      <c r="GOB391" s="160">
        <v>0</v>
      </c>
      <c r="GOC391" s="160">
        <v>0</v>
      </c>
      <c r="GOD391" s="160">
        <v>0</v>
      </c>
      <c r="GOE391" s="160">
        <v>0</v>
      </c>
      <c r="GOF391" s="160">
        <v>0</v>
      </c>
      <c r="GOG391" s="160">
        <v>0</v>
      </c>
      <c r="GOH391" s="160">
        <v>0</v>
      </c>
      <c r="GOI391" s="160">
        <v>0</v>
      </c>
      <c r="GOJ391" s="160">
        <v>0</v>
      </c>
      <c r="GOK391" s="160">
        <v>0</v>
      </c>
      <c r="GOL391" s="160">
        <v>0</v>
      </c>
      <c r="GOM391" s="160">
        <v>0</v>
      </c>
      <c r="GON391" s="160">
        <v>0</v>
      </c>
      <c r="GOO391" s="160">
        <v>0</v>
      </c>
      <c r="GOP391" s="160">
        <v>0</v>
      </c>
      <c r="GOQ391" s="160">
        <v>0</v>
      </c>
      <c r="GOR391" s="160">
        <v>0</v>
      </c>
      <c r="GOS391" s="160">
        <v>0</v>
      </c>
      <c r="GOT391" s="160">
        <v>0</v>
      </c>
      <c r="GOU391" s="160">
        <v>0</v>
      </c>
      <c r="GOV391" s="160">
        <v>0</v>
      </c>
      <c r="GOW391" s="160">
        <v>0</v>
      </c>
      <c r="GOX391" s="160">
        <v>0</v>
      </c>
      <c r="GOY391" s="160">
        <v>0</v>
      </c>
      <c r="GOZ391" s="160">
        <v>0</v>
      </c>
      <c r="GPA391" s="160">
        <v>0</v>
      </c>
      <c r="GPB391" s="160">
        <v>0</v>
      </c>
      <c r="GPC391" s="160">
        <v>0</v>
      </c>
      <c r="GPD391" s="160">
        <v>0</v>
      </c>
      <c r="GPE391" s="160">
        <v>0</v>
      </c>
      <c r="GPF391" s="160">
        <v>0</v>
      </c>
      <c r="GPG391" s="160">
        <v>0</v>
      </c>
      <c r="GPH391" s="160">
        <v>0</v>
      </c>
      <c r="GPI391" s="160">
        <v>0</v>
      </c>
      <c r="GPJ391" s="160">
        <v>0</v>
      </c>
      <c r="GPK391" s="160">
        <v>0</v>
      </c>
      <c r="GPL391" s="160">
        <v>0</v>
      </c>
      <c r="GPM391" s="160">
        <v>0</v>
      </c>
      <c r="GPN391" s="160">
        <v>0</v>
      </c>
      <c r="GPO391" s="160">
        <v>0</v>
      </c>
      <c r="GPP391" s="160">
        <v>0</v>
      </c>
      <c r="GPQ391" s="160">
        <v>0</v>
      </c>
      <c r="GPR391" s="160">
        <v>0</v>
      </c>
      <c r="GPS391" s="160">
        <v>0</v>
      </c>
      <c r="GPT391" s="160">
        <v>0</v>
      </c>
      <c r="GPU391" s="160">
        <v>0</v>
      </c>
      <c r="GPV391" s="160">
        <v>0</v>
      </c>
      <c r="GPW391" s="160">
        <v>0</v>
      </c>
      <c r="GPX391" s="160">
        <v>0</v>
      </c>
      <c r="GPY391" s="160">
        <v>0</v>
      </c>
      <c r="GPZ391" s="160">
        <v>0</v>
      </c>
      <c r="GQA391" s="160">
        <v>0</v>
      </c>
      <c r="GQB391" s="160">
        <v>0</v>
      </c>
      <c r="GQC391" s="160">
        <v>0</v>
      </c>
      <c r="GQD391" s="160">
        <v>0</v>
      </c>
      <c r="GQE391" s="160">
        <v>0</v>
      </c>
      <c r="GQF391" s="160">
        <v>0</v>
      </c>
      <c r="GQG391" s="160">
        <v>0</v>
      </c>
      <c r="GQH391" s="160">
        <v>0</v>
      </c>
      <c r="GQI391" s="160">
        <v>0</v>
      </c>
      <c r="GQJ391" s="160">
        <v>0</v>
      </c>
      <c r="GQK391" s="160">
        <v>0</v>
      </c>
      <c r="GQL391" s="160">
        <v>0</v>
      </c>
      <c r="GQM391" s="160">
        <v>0</v>
      </c>
      <c r="GQN391" s="160">
        <v>0</v>
      </c>
      <c r="GQO391" s="160">
        <v>0</v>
      </c>
      <c r="GQP391" s="160">
        <v>0</v>
      </c>
      <c r="GQQ391" s="160">
        <v>0</v>
      </c>
      <c r="GQR391" s="160">
        <v>0</v>
      </c>
      <c r="GQS391" s="160">
        <v>0</v>
      </c>
      <c r="GQT391" s="160">
        <v>0</v>
      </c>
      <c r="GQU391" s="160">
        <v>0</v>
      </c>
      <c r="GQV391" s="160">
        <v>0</v>
      </c>
      <c r="GQW391" s="160">
        <v>0</v>
      </c>
      <c r="GQX391" s="160">
        <v>0</v>
      </c>
      <c r="GQY391" s="160">
        <v>0</v>
      </c>
      <c r="GQZ391" s="160">
        <v>0</v>
      </c>
      <c r="GRA391" s="160">
        <v>0</v>
      </c>
      <c r="GRB391" s="160">
        <v>0</v>
      </c>
      <c r="GRC391" s="160">
        <v>0</v>
      </c>
      <c r="GRD391" s="160">
        <v>0</v>
      </c>
      <c r="GRE391" s="160">
        <v>0</v>
      </c>
      <c r="GRF391" s="160">
        <v>0</v>
      </c>
      <c r="GRG391" s="160">
        <v>0</v>
      </c>
      <c r="GRH391" s="160">
        <v>0</v>
      </c>
      <c r="GRI391" s="160">
        <v>0</v>
      </c>
      <c r="GRJ391" s="160">
        <v>0</v>
      </c>
      <c r="GRK391" s="160">
        <v>0</v>
      </c>
      <c r="GRL391" s="160">
        <v>0</v>
      </c>
      <c r="GRM391" s="160">
        <v>0</v>
      </c>
      <c r="GRN391" s="160">
        <v>0</v>
      </c>
      <c r="GRO391" s="160">
        <v>0</v>
      </c>
      <c r="GRP391" s="160">
        <v>0</v>
      </c>
      <c r="GRQ391" s="160">
        <v>0</v>
      </c>
      <c r="GRR391" s="160">
        <v>0</v>
      </c>
      <c r="GRS391" s="160">
        <v>0</v>
      </c>
      <c r="GRT391" s="160">
        <v>0</v>
      </c>
      <c r="GRU391" s="160">
        <v>0</v>
      </c>
      <c r="GRV391" s="160">
        <v>0</v>
      </c>
      <c r="GRW391" s="160">
        <v>0</v>
      </c>
      <c r="GRX391" s="160">
        <v>0</v>
      </c>
      <c r="GRY391" s="160">
        <v>0</v>
      </c>
      <c r="GRZ391" s="160">
        <v>0</v>
      </c>
      <c r="GSA391" s="160">
        <v>0</v>
      </c>
      <c r="GSB391" s="160">
        <v>0</v>
      </c>
      <c r="GSC391" s="160">
        <v>0</v>
      </c>
      <c r="GSD391" s="160">
        <v>0</v>
      </c>
      <c r="GSE391" s="160">
        <v>0</v>
      </c>
      <c r="GSF391" s="160">
        <v>0</v>
      </c>
      <c r="GSG391" s="160">
        <v>0</v>
      </c>
      <c r="GSH391" s="160">
        <v>0</v>
      </c>
      <c r="GSI391" s="160">
        <v>0</v>
      </c>
      <c r="GSJ391" s="160">
        <v>0</v>
      </c>
      <c r="GSK391" s="160">
        <v>0</v>
      </c>
      <c r="GSL391" s="160">
        <v>0</v>
      </c>
      <c r="GSM391" s="160">
        <v>0</v>
      </c>
      <c r="GSN391" s="160">
        <v>0</v>
      </c>
      <c r="GSO391" s="160">
        <v>0</v>
      </c>
      <c r="GSP391" s="160">
        <v>0</v>
      </c>
      <c r="GSQ391" s="160">
        <v>0</v>
      </c>
      <c r="GSR391" s="160">
        <v>0</v>
      </c>
      <c r="GSS391" s="160">
        <v>0</v>
      </c>
      <c r="GST391" s="160">
        <v>0</v>
      </c>
      <c r="GSU391" s="160">
        <v>0</v>
      </c>
      <c r="GSV391" s="160">
        <v>0</v>
      </c>
      <c r="GSW391" s="160">
        <v>0</v>
      </c>
      <c r="GSX391" s="160">
        <v>0</v>
      </c>
      <c r="GSY391" s="160">
        <v>0</v>
      </c>
      <c r="GSZ391" s="160">
        <v>0</v>
      </c>
      <c r="GTA391" s="160">
        <v>0</v>
      </c>
      <c r="GTB391" s="160">
        <v>0</v>
      </c>
      <c r="GTC391" s="160">
        <v>0</v>
      </c>
      <c r="GTD391" s="160">
        <v>0</v>
      </c>
      <c r="GTE391" s="160">
        <v>0</v>
      </c>
      <c r="GTF391" s="160">
        <v>0</v>
      </c>
      <c r="GTG391" s="160">
        <v>0</v>
      </c>
      <c r="GTH391" s="160">
        <v>0</v>
      </c>
      <c r="GTI391" s="160">
        <v>0</v>
      </c>
      <c r="GTJ391" s="160">
        <v>0</v>
      </c>
      <c r="GTK391" s="160">
        <v>0</v>
      </c>
      <c r="GTL391" s="160">
        <v>0</v>
      </c>
      <c r="GTM391" s="160">
        <v>0</v>
      </c>
      <c r="GTN391" s="160">
        <v>0</v>
      </c>
      <c r="GTO391" s="160">
        <v>0</v>
      </c>
      <c r="GTP391" s="160">
        <v>0</v>
      </c>
      <c r="GTQ391" s="160">
        <v>0</v>
      </c>
      <c r="GTR391" s="160">
        <v>0</v>
      </c>
      <c r="GTS391" s="160">
        <v>0</v>
      </c>
      <c r="GTT391" s="160">
        <v>0</v>
      </c>
      <c r="GTU391" s="160">
        <v>0</v>
      </c>
      <c r="GTV391" s="160">
        <v>0</v>
      </c>
      <c r="GTW391" s="160">
        <v>0</v>
      </c>
      <c r="GTX391" s="160">
        <v>0</v>
      </c>
      <c r="GTY391" s="160">
        <v>0</v>
      </c>
      <c r="GTZ391" s="160">
        <v>0</v>
      </c>
      <c r="GUA391" s="160">
        <v>0</v>
      </c>
      <c r="GUB391" s="160">
        <v>0</v>
      </c>
      <c r="GUC391" s="160">
        <v>0</v>
      </c>
      <c r="GUD391" s="160">
        <v>0</v>
      </c>
      <c r="GUE391" s="160">
        <v>0</v>
      </c>
      <c r="GUF391" s="160">
        <v>0</v>
      </c>
      <c r="GUG391" s="160">
        <v>0</v>
      </c>
      <c r="GUH391" s="160">
        <v>0</v>
      </c>
      <c r="GUI391" s="160">
        <v>0</v>
      </c>
      <c r="GUJ391" s="160">
        <v>0</v>
      </c>
      <c r="GUK391" s="160">
        <v>0</v>
      </c>
      <c r="GUL391" s="160">
        <v>0</v>
      </c>
      <c r="GUM391" s="160">
        <v>0</v>
      </c>
      <c r="GUN391" s="160">
        <v>0</v>
      </c>
      <c r="GUO391" s="160">
        <v>0</v>
      </c>
      <c r="GUP391" s="160">
        <v>0</v>
      </c>
      <c r="GUQ391" s="160">
        <v>0</v>
      </c>
      <c r="GUR391" s="160">
        <v>0</v>
      </c>
      <c r="GUS391" s="160">
        <v>0</v>
      </c>
      <c r="GUT391" s="160">
        <v>0</v>
      </c>
      <c r="GUU391" s="160">
        <v>0</v>
      </c>
      <c r="GUV391" s="160">
        <v>0</v>
      </c>
      <c r="GUW391" s="160">
        <v>0</v>
      </c>
      <c r="GUX391" s="160">
        <v>0</v>
      </c>
      <c r="GUY391" s="160">
        <v>0</v>
      </c>
      <c r="GUZ391" s="160">
        <v>0</v>
      </c>
      <c r="GVA391" s="160">
        <v>0</v>
      </c>
      <c r="GVB391" s="160">
        <v>0</v>
      </c>
      <c r="GVC391" s="160">
        <v>0</v>
      </c>
      <c r="GVD391" s="160">
        <v>0</v>
      </c>
      <c r="GVE391" s="160">
        <v>0</v>
      </c>
      <c r="GVF391" s="160">
        <v>0</v>
      </c>
      <c r="GVG391" s="160">
        <v>0</v>
      </c>
      <c r="GVH391" s="160">
        <v>0</v>
      </c>
      <c r="GVI391" s="160">
        <v>0</v>
      </c>
      <c r="GVJ391" s="160">
        <v>0</v>
      </c>
      <c r="GVK391" s="160">
        <v>0</v>
      </c>
      <c r="GVL391" s="160">
        <v>0</v>
      </c>
      <c r="GVM391" s="160">
        <v>0</v>
      </c>
      <c r="GVN391" s="160">
        <v>0</v>
      </c>
      <c r="GVO391" s="160">
        <v>0</v>
      </c>
      <c r="GVP391" s="160">
        <v>0</v>
      </c>
      <c r="GVQ391" s="160">
        <v>0</v>
      </c>
      <c r="GVR391" s="160">
        <v>0</v>
      </c>
      <c r="GVS391" s="160">
        <v>0</v>
      </c>
      <c r="GVT391" s="160">
        <v>0</v>
      </c>
      <c r="GVU391" s="160">
        <v>0</v>
      </c>
      <c r="GVV391" s="160">
        <v>0</v>
      </c>
      <c r="GVW391" s="160">
        <v>0</v>
      </c>
      <c r="GVX391" s="160">
        <v>0</v>
      </c>
      <c r="GVY391" s="160">
        <v>0</v>
      </c>
      <c r="GVZ391" s="160">
        <v>0</v>
      </c>
      <c r="GWA391" s="160">
        <v>0</v>
      </c>
      <c r="GWB391" s="160">
        <v>0</v>
      </c>
      <c r="GWC391" s="160">
        <v>0</v>
      </c>
      <c r="GWD391" s="160">
        <v>0</v>
      </c>
      <c r="GWE391" s="160">
        <v>0</v>
      </c>
      <c r="GWF391" s="160">
        <v>0</v>
      </c>
      <c r="GWG391" s="160">
        <v>0</v>
      </c>
      <c r="GWH391" s="160">
        <v>0</v>
      </c>
      <c r="GWI391" s="160">
        <v>0</v>
      </c>
      <c r="GWJ391" s="160">
        <v>0</v>
      </c>
      <c r="GWK391" s="160">
        <v>0</v>
      </c>
      <c r="GWL391" s="160">
        <v>0</v>
      </c>
      <c r="GWM391" s="160">
        <v>0</v>
      </c>
      <c r="GWN391" s="160">
        <v>0</v>
      </c>
      <c r="GWO391" s="160">
        <v>0</v>
      </c>
      <c r="GWP391" s="160">
        <v>0</v>
      </c>
      <c r="GWQ391" s="160">
        <v>0</v>
      </c>
      <c r="GWR391" s="160">
        <v>0</v>
      </c>
      <c r="GWS391" s="160">
        <v>0</v>
      </c>
      <c r="GWT391" s="160">
        <v>0</v>
      </c>
      <c r="GWU391" s="160">
        <v>0</v>
      </c>
      <c r="GWV391" s="160">
        <v>0</v>
      </c>
      <c r="GWW391" s="160">
        <v>0</v>
      </c>
      <c r="GWX391" s="160">
        <v>0</v>
      </c>
      <c r="GWY391" s="160">
        <v>0</v>
      </c>
      <c r="GWZ391" s="160">
        <v>0</v>
      </c>
      <c r="GXA391" s="160">
        <v>0</v>
      </c>
      <c r="GXB391" s="160">
        <v>0</v>
      </c>
      <c r="GXC391" s="160">
        <v>0</v>
      </c>
      <c r="GXD391" s="160">
        <v>0</v>
      </c>
      <c r="GXE391" s="160">
        <v>0</v>
      </c>
      <c r="GXF391" s="160">
        <v>0</v>
      </c>
      <c r="GXG391" s="160">
        <v>0</v>
      </c>
      <c r="GXH391" s="160">
        <v>0</v>
      </c>
      <c r="GXI391" s="160">
        <v>0</v>
      </c>
      <c r="GXJ391" s="160">
        <v>0</v>
      </c>
      <c r="GXK391" s="160">
        <v>0</v>
      </c>
      <c r="GXL391" s="160">
        <v>0</v>
      </c>
      <c r="GXM391" s="160">
        <v>0</v>
      </c>
      <c r="GXN391" s="160">
        <v>0</v>
      </c>
      <c r="GXO391" s="160">
        <v>0</v>
      </c>
      <c r="GXP391" s="160">
        <v>0</v>
      </c>
      <c r="GXQ391" s="160">
        <v>0</v>
      </c>
      <c r="GXR391" s="160">
        <v>0</v>
      </c>
      <c r="GXS391" s="160">
        <v>0</v>
      </c>
      <c r="GXT391" s="160">
        <v>0</v>
      </c>
      <c r="GXU391" s="160">
        <v>0</v>
      </c>
      <c r="GXV391" s="160">
        <v>0</v>
      </c>
      <c r="GXW391" s="160">
        <v>0</v>
      </c>
      <c r="GXX391" s="160">
        <v>0</v>
      </c>
      <c r="GXY391" s="160">
        <v>0</v>
      </c>
      <c r="GXZ391" s="160">
        <v>0</v>
      </c>
      <c r="GYA391" s="160">
        <v>0</v>
      </c>
      <c r="GYB391" s="160">
        <v>0</v>
      </c>
      <c r="GYC391" s="160">
        <v>0</v>
      </c>
      <c r="GYD391" s="160">
        <v>0</v>
      </c>
      <c r="GYE391" s="160">
        <v>0</v>
      </c>
      <c r="GYF391" s="160">
        <v>0</v>
      </c>
      <c r="GYG391" s="160">
        <v>0</v>
      </c>
      <c r="GYH391" s="160">
        <v>0</v>
      </c>
      <c r="GYI391" s="160">
        <v>0</v>
      </c>
      <c r="GYJ391" s="160">
        <v>0</v>
      </c>
      <c r="GYK391" s="160">
        <v>0</v>
      </c>
      <c r="GYL391" s="160">
        <v>0</v>
      </c>
      <c r="GYM391" s="160">
        <v>0</v>
      </c>
      <c r="GYN391" s="160">
        <v>0</v>
      </c>
      <c r="GYO391" s="160">
        <v>0</v>
      </c>
      <c r="GYP391" s="160">
        <v>0</v>
      </c>
      <c r="GYQ391" s="160">
        <v>0</v>
      </c>
      <c r="GYR391" s="160">
        <v>0</v>
      </c>
      <c r="GYS391" s="160">
        <v>0</v>
      </c>
      <c r="GYT391" s="160">
        <v>0</v>
      </c>
      <c r="GYU391" s="160">
        <v>0</v>
      </c>
      <c r="GYV391" s="160">
        <v>0</v>
      </c>
      <c r="GYW391" s="160">
        <v>0</v>
      </c>
      <c r="GYX391" s="160">
        <v>0</v>
      </c>
      <c r="GYY391" s="160">
        <v>0</v>
      </c>
      <c r="GYZ391" s="160">
        <v>0</v>
      </c>
      <c r="GZA391" s="160">
        <v>0</v>
      </c>
      <c r="GZB391" s="160">
        <v>0</v>
      </c>
      <c r="GZC391" s="160">
        <v>0</v>
      </c>
      <c r="GZD391" s="160">
        <v>0</v>
      </c>
      <c r="GZE391" s="160">
        <v>0</v>
      </c>
      <c r="GZF391" s="160">
        <v>0</v>
      </c>
      <c r="GZG391" s="160">
        <v>0</v>
      </c>
      <c r="GZH391" s="160">
        <v>0</v>
      </c>
      <c r="GZI391" s="160">
        <v>0</v>
      </c>
      <c r="GZJ391" s="160">
        <v>0</v>
      </c>
      <c r="GZK391" s="160">
        <v>0</v>
      </c>
      <c r="GZL391" s="160">
        <v>0</v>
      </c>
      <c r="GZM391" s="160">
        <v>0</v>
      </c>
      <c r="GZN391" s="160">
        <v>0</v>
      </c>
      <c r="GZO391" s="160">
        <v>0</v>
      </c>
      <c r="GZP391" s="160">
        <v>0</v>
      </c>
      <c r="GZQ391" s="160">
        <v>0</v>
      </c>
      <c r="GZR391" s="160">
        <v>0</v>
      </c>
      <c r="GZS391" s="160">
        <v>0</v>
      </c>
      <c r="GZT391" s="160">
        <v>0</v>
      </c>
      <c r="GZU391" s="160">
        <v>0</v>
      </c>
      <c r="GZV391" s="160">
        <v>0</v>
      </c>
      <c r="GZW391" s="160">
        <v>0</v>
      </c>
      <c r="GZX391" s="160">
        <v>0</v>
      </c>
      <c r="GZY391" s="160">
        <v>0</v>
      </c>
      <c r="GZZ391" s="160">
        <v>0</v>
      </c>
      <c r="HAA391" s="160">
        <v>0</v>
      </c>
      <c r="HAB391" s="160">
        <v>0</v>
      </c>
      <c r="HAC391" s="160">
        <v>0</v>
      </c>
      <c r="HAD391" s="160">
        <v>0</v>
      </c>
      <c r="HAE391" s="160">
        <v>0</v>
      </c>
      <c r="HAF391" s="160">
        <v>0</v>
      </c>
      <c r="HAG391" s="160">
        <v>0</v>
      </c>
      <c r="HAH391" s="160">
        <v>0</v>
      </c>
      <c r="HAI391" s="160">
        <v>0</v>
      </c>
      <c r="HAJ391" s="160">
        <v>0</v>
      </c>
      <c r="HAK391" s="160">
        <v>0</v>
      </c>
      <c r="HAL391" s="160">
        <v>0</v>
      </c>
      <c r="HAM391" s="160">
        <v>0</v>
      </c>
      <c r="HAN391" s="160">
        <v>0</v>
      </c>
      <c r="HAO391" s="160">
        <v>0</v>
      </c>
      <c r="HAP391" s="160">
        <v>0</v>
      </c>
      <c r="HAQ391" s="160">
        <v>0</v>
      </c>
      <c r="HAR391" s="160">
        <v>0</v>
      </c>
      <c r="HAS391" s="160">
        <v>0</v>
      </c>
      <c r="HAT391" s="160">
        <v>0</v>
      </c>
      <c r="HAU391" s="160">
        <v>0</v>
      </c>
      <c r="HAV391" s="160">
        <v>0</v>
      </c>
      <c r="HAW391" s="160">
        <v>0</v>
      </c>
      <c r="HAX391" s="160">
        <v>0</v>
      </c>
      <c r="HAY391" s="160">
        <v>0</v>
      </c>
      <c r="HAZ391" s="160">
        <v>0</v>
      </c>
      <c r="HBA391" s="160">
        <v>0</v>
      </c>
      <c r="HBB391" s="160">
        <v>0</v>
      </c>
      <c r="HBC391" s="160">
        <v>0</v>
      </c>
      <c r="HBD391" s="160">
        <v>0</v>
      </c>
      <c r="HBE391" s="160">
        <v>0</v>
      </c>
      <c r="HBF391" s="160">
        <v>0</v>
      </c>
      <c r="HBG391" s="160">
        <v>0</v>
      </c>
      <c r="HBH391" s="160">
        <v>0</v>
      </c>
      <c r="HBI391" s="160">
        <v>0</v>
      </c>
      <c r="HBJ391" s="160">
        <v>0</v>
      </c>
      <c r="HBK391" s="160">
        <v>0</v>
      </c>
      <c r="HBL391" s="160">
        <v>0</v>
      </c>
      <c r="HBM391" s="160">
        <v>0</v>
      </c>
      <c r="HBN391" s="160">
        <v>0</v>
      </c>
      <c r="HBO391" s="160">
        <v>0</v>
      </c>
      <c r="HBP391" s="160">
        <v>0</v>
      </c>
      <c r="HBQ391" s="160">
        <v>0</v>
      </c>
      <c r="HBR391" s="160">
        <v>0</v>
      </c>
      <c r="HBS391" s="160">
        <v>0</v>
      </c>
      <c r="HBT391" s="160">
        <v>0</v>
      </c>
      <c r="HBU391" s="160">
        <v>0</v>
      </c>
      <c r="HBV391" s="160">
        <v>0</v>
      </c>
      <c r="HBW391" s="160">
        <v>0</v>
      </c>
      <c r="HBX391" s="160">
        <v>0</v>
      </c>
      <c r="HBY391" s="160">
        <v>0</v>
      </c>
      <c r="HBZ391" s="160">
        <v>0</v>
      </c>
      <c r="HCA391" s="160">
        <v>0</v>
      </c>
      <c r="HCB391" s="160">
        <v>0</v>
      </c>
      <c r="HCC391" s="160">
        <v>0</v>
      </c>
      <c r="HCD391" s="160">
        <v>0</v>
      </c>
      <c r="HCE391" s="160">
        <v>0</v>
      </c>
      <c r="HCF391" s="160">
        <v>0</v>
      </c>
      <c r="HCG391" s="160">
        <v>0</v>
      </c>
      <c r="HCH391" s="160">
        <v>0</v>
      </c>
      <c r="HCI391" s="160">
        <v>0</v>
      </c>
      <c r="HCJ391" s="160">
        <v>0</v>
      </c>
      <c r="HCK391" s="160">
        <v>0</v>
      </c>
      <c r="HCL391" s="160">
        <v>0</v>
      </c>
      <c r="HCM391" s="160">
        <v>0</v>
      </c>
      <c r="HCN391" s="160">
        <v>0</v>
      </c>
      <c r="HCO391" s="160">
        <v>0</v>
      </c>
      <c r="HCP391" s="160">
        <v>0</v>
      </c>
      <c r="HCQ391" s="160">
        <v>0</v>
      </c>
      <c r="HCR391" s="160">
        <v>0</v>
      </c>
      <c r="HCS391" s="160">
        <v>0</v>
      </c>
      <c r="HCT391" s="160">
        <v>0</v>
      </c>
      <c r="HCU391" s="160">
        <v>0</v>
      </c>
      <c r="HCV391" s="160">
        <v>0</v>
      </c>
      <c r="HCW391" s="160">
        <v>0</v>
      </c>
      <c r="HCX391" s="160">
        <v>0</v>
      </c>
      <c r="HCY391" s="160">
        <v>0</v>
      </c>
      <c r="HCZ391" s="160">
        <v>0</v>
      </c>
      <c r="HDA391" s="160">
        <v>0</v>
      </c>
      <c r="HDB391" s="160">
        <v>0</v>
      </c>
      <c r="HDC391" s="160">
        <v>0</v>
      </c>
      <c r="HDD391" s="160">
        <v>0</v>
      </c>
      <c r="HDE391" s="160">
        <v>0</v>
      </c>
      <c r="HDF391" s="160">
        <v>0</v>
      </c>
      <c r="HDG391" s="160">
        <v>0</v>
      </c>
      <c r="HDH391" s="160">
        <v>0</v>
      </c>
      <c r="HDI391" s="160">
        <v>0</v>
      </c>
      <c r="HDJ391" s="160">
        <v>0</v>
      </c>
      <c r="HDK391" s="160">
        <v>0</v>
      </c>
      <c r="HDL391" s="160">
        <v>0</v>
      </c>
      <c r="HDM391" s="160">
        <v>0</v>
      </c>
      <c r="HDN391" s="160">
        <v>0</v>
      </c>
      <c r="HDO391" s="160">
        <v>0</v>
      </c>
      <c r="HDP391" s="160">
        <v>0</v>
      </c>
      <c r="HDQ391" s="160">
        <v>0</v>
      </c>
      <c r="HDR391" s="160">
        <v>0</v>
      </c>
      <c r="HDS391" s="160">
        <v>0</v>
      </c>
      <c r="HDT391" s="160">
        <v>0</v>
      </c>
      <c r="HDU391" s="160">
        <v>0</v>
      </c>
      <c r="HDV391" s="160">
        <v>0</v>
      </c>
      <c r="HDW391" s="160">
        <v>0</v>
      </c>
      <c r="HDX391" s="160">
        <v>0</v>
      </c>
      <c r="HDY391" s="160">
        <v>0</v>
      </c>
      <c r="HDZ391" s="160">
        <v>0</v>
      </c>
      <c r="HEA391" s="160">
        <v>0</v>
      </c>
      <c r="HEB391" s="160">
        <v>0</v>
      </c>
      <c r="HEC391" s="160">
        <v>0</v>
      </c>
      <c r="HED391" s="160">
        <v>0</v>
      </c>
      <c r="HEE391" s="160">
        <v>0</v>
      </c>
      <c r="HEF391" s="160">
        <v>0</v>
      </c>
      <c r="HEG391" s="160">
        <v>0</v>
      </c>
      <c r="HEH391" s="160">
        <v>0</v>
      </c>
      <c r="HEI391" s="160">
        <v>0</v>
      </c>
      <c r="HEJ391" s="160">
        <v>0</v>
      </c>
      <c r="HEK391" s="160">
        <v>0</v>
      </c>
      <c r="HEL391" s="160">
        <v>0</v>
      </c>
      <c r="HEM391" s="160">
        <v>0</v>
      </c>
      <c r="HEN391" s="160">
        <v>0</v>
      </c>
      <c r="HEO391" s="160">
        <v>0</v>
      </c>
      <c r="HEP391" s="160">
        <v>0</v>
      </c>
      <c r="HEQ391" s="160">
        <v>0</v>
      </c>
      <c r="HER391" s="160">
        <v>0</v>
      </c>
      <c r="HES391" s="160">
        <v>0</v>
      </c>
      <c r="HET391" s="160">
        <v>0</v>
      </c>
      <c r="HEU391" s="160">
        <v>0</v>
      </c>
      <c r="HEV391" s="160">
        <v>0</v>
      </c>
      <c r="HEW391" s="160">
        <v>0</v>
      </c>
      <c r="HEX391" s="160">
        <v>0</v>
      </c>
      <c r="HEY391" s="160">
        <v>0</v>
      </c>
      <c r="HEZ391" s="160">
        <v>0</v>
      </c>
      <c r="HFA391" s="160">
        <v>0</v>
      </c>
      <c r="HFB391" s="160">
        <v>0</v>
      </c>
      <c r="HFC391" s="160">
        <v>0</v>
      </c>
      <c r="HFD391" s="160">
        <v>0</v>
      </c>
      <c r="HFE391" s="160">
        <v>0</v>
      </c>
      <c r="HFF391" s="160">
        <v>0</v>
      </c>
      <c r="HFG391" s="160">
        <v>0</v>
      </c>
      <c r="HFH391" s="160">
        <v>0</v>
      </c>
      <c r="HFI391" s="160">
        <v>0</v>
      </c>
      <c r="HFJ391" s="160">
        <v>0</v>
      </c>
      <c r="HFK391" s="160">
        <v>0</v>
      </c>
      <c r="HFL391" s="160">
        <v>0</v>
      </c>
      <c r="HFM391" s="160">
        <v>0</v>
      </c>
      <c r="HFN391" s="160">
        <v>0</v>
      </c>
      <c r="HFO391" s="160">
        <v>0</v>
      </c>
      <c r="HFP391" s="160">
        <v>0</v>
      </c>
      <c r="HFQ391" s="160">
        <v>0</v>
      </c>
      <c r="HFR391" s="160">
        <v>0</v>
      </c>
      <c r="HFS391" s="160">
        <v>0</v>
      </c>
      <c r="HFT391" s="160">
        <v>0</v>
      </c>
      <c r="HFU391" s="160">
        <v>0</v>
      </c>
      <c r="HFV391" s="160">
        <v>0</v>
      </c>
      <c r="HFW391" s="160">
        <v>0</v>
      </c>
      <c r="HFX391" s="160">
        <v>0</v>
      </c>
      <c r="HFY391" s="160">
        <v>0</v>
      </c>
      <c r="HFZ391" s="160">
        <v>0</v>
      </c>
      <c r="HGA391" s="160">
        <v>0</v>
      </c>
      <c r="HGB391" s="160">
        <v>0</v>
      </c>
      <c r="HGC391" s="160">
        <v>0</v>
      </c>
      <c r="HGD391" s="160">
        <v>0</v>
      </c>
      <c r="HGE391" s="160">
        <v>0</v>
      </c>
      <c r="HGF391" s="160">
        <v>0</v>
      </c>
      <c r="HGG391" s="160">
        <v>0</v>
      </c>
      <c r="HGH391" s="160">
        <v>0</v>
      </c>
      <c r="HGI391" s="160">
        <v>0</v>
      </c>
      <c r="HGJ391" s="160">
        <v>0</v>
      </c>
      <c r="HGK391" s="160">
        <v>0</v>
      </c>
      <c r="HGL391" s="160">
        <v>0</v>
      </c>
      <c r="HGM391" s="160">
        <v>0</v>
      </c>
      <c r="HGN391" s="160">
        <v>0</v>
      </c>
      <c r="HGO391" s="160">
        <v>0</v>
      </c>
      <c r="HGP391" s="160">
        <v>0</v>
      </c>
      <c r="HGQ391" s="160">
        <v>0</v>
      </c>
      <c r="HGR391" s="160">
        <v>0</v>
      </c>
      <c r="HGS391" s="160">
        <v>0</v>
      </c>
      <c r="HGT391" s="160">
        <v>0</v>
      </c>
      <c r="HGU391" s="160">
        <v>0</v>
      </c>
      <c r="HGV391" s="160">
        <v>0</v>
      </c>
      <c r="HGW391" s="160">
        <v>0</v>
      </c>
      <c r="HGX391" s="160">
        <v>0</v>
      </c>
      <c r="HGY391" s="160">
        <v>0</v>
      </c>
      <c r="HGZ391" s="160">
        <v>0</v>
      </c>
      <c r="HHA391" s="160">
        <v>0</v>
      </c>
      <c r="HHB391" s="160">
        <v>0</v>
      </c>
      <c r="HHC391" s="160">
        <v>0</v>
      </c>
      <c r="HHD391" s="160">
        <v>0</v>
      </c>
      <c r="HHE391" s="160">
        <v>0</v>
      </c>
      <c r="HHF391" s="160">
        <v>0</v>
      </c>
      <c r="HHG391" s="160">
        <v>0</v>
      </c>
      <c r="HHH391" s="160">
        <v>0</v>
      </c>
      <c r="HHI391" s="160">
        <v>0</v>
      </c>
      <c r="HHJ391" s="160">
        <v>0</v>
      </c>
      <c r="HHK391" s="160">
        <v>0</v>
      </c>
      <c r="HHL391" s="160">
        <v>0</v>
      </c>
      <c r="HHM391" s="160">
        <v>0</v>
      </c>
      <c r="HHN391" s="160">
        <v>0</v>
      </c>
      <c r="HHO391" s="160">
        <v>0</v>
      </c>
      <c r="HHP391" s="160">
        <v>0</v>
      </c>
      <c r="HHQ391" s="160">
        <v>0</v>
      </c>
      <c r="HHR391" s="160">
        <v>0</v>
      </c>
      <c r="HHS391" s="160">
        <v>0</v>
      </c>
      <c r="HHT391" s="160">
        <v>0</v>
      </c>
      <c r="HHU391" s="160">
        <v>0</v>
      </c>
      <c r="HHV391" s="160">
        <v>0</v>
      </c>
      <c r="HHW391" s="160">
        <v>0</v>
      </c>
      <c r="HHX391" s="160">
        <v>0</v>
      </c>
      <c r="HHY391" s="160">
        <v>0</v>
      </c>
      <c r="HHZ391" s="160">
        <v>0</v>
      </c>
      <c r="HIA391" s="160">
        <v>0</v>
      </c>
      <c r="HIB391" s="160">
        <v>0</v>
      </c>
      <c r="HIC391" s="160">
        <v>0</v>
      </c>
      <c r="HID391" s="160">
        <v>0</v>
      </c>
      <c r="HIE391" s="160">
        <v>0</v>
      </c>
      <c r="HIF391" s="160">
        <v>0</v>
      </c>
      <c r="HIG391" s="160">
        <v>0</v>
      </c>
      <c r="HIH391" s="160">
        <v>0</v>
      </c>
      <c r="HII391" s="160">
        <v>0</v>
      </c>
      <c r="HIJ391" s="160">
        <v>0</v>
      </c>
      <c r="HIK391" s="160">
        <v>0</v>
      </c>
      <c r="HIL391" s="160">
        <v>0</v>
      </c>
      <c r="HIM391" s="160">
        <v>0</v>
      </c>
      <c r="HIN391" s="160">
        <v>0</v>
      </c>
      <c r="HIO391" s="160">
        <v>0</v>
      </c>
      <c r="HIP391" s="160">
        <v>0</v>
      </c>
      <c r="HIQ391" s="160">
        <v>0</v>
      </c>
      <c r="HIR391" s="160">
        <v>0</v>
      </c>
      <c r="HIS391" s="160">
        <v>0</v>
      </c>
      <c r="HIT391" s="160">
        <v>0</v>
      </c>
      <c r="HIU391" s="160">
        <v>0</v>
      </c>
      <c r="HIV391" s="160">
        <v>0</v>
      </c>
      <c r="HIW391" s="160">
        <v>0</v>
      </c>
      <c r="HIX391" s="160">
        <v>0</v>
      </c>
      <c r="HIY391" s="160">
        <v>0</v>
      </c>
      <c r="HIZ391" s="160">
        <v>0</v>
      </c>
      <c r="HJA391" s="160">
        <v>0</v>
      </c>
      <c r="HJB391" s="160">
        <v>0</v>
      </c>
      <c r="HJC391" s="160">
        <v>0</v>
      </c>
      <c r="HJD391" s="160">
        <v>0</v>
      </c>
      <c r="HJE391" s="160">
        <v>0</v>
      </c>
      <c r="HJF391" s="160">
        <v>0</v>
      </c>
      <c r="HJG391" s="160">
        <v>0</v>
      </c>
      <c r="HJH391" s="160">
        <v>0</v>
      </c>
      <c r="HJI391" s="160">
        <v>0</v>
      </c>
      <c r="HJJ391" s="160">
        <v>0</v>
      </c>
      <c r="HJK391" s="160">
        <v>0</v>
      </c>
      <c r="HJL391" s="160">
        <v>0</v>
      </c>
      <c r="HJM391" s="160">
        <v>0</v>
      </c>
      <c r="HJN391" s="160">
        <v>0</v>
      </c>
      <c r="HJO391" s="160">
        <v>0</v>
      </c>
      <c r="HJP391" s="160">
        <v>0</v>
      </c>
      <c r="HJQ391" s="160">
        <v>0</v>
      </c>
      <c r="HJR391" s="160">
        <v>0</v>
      </c>
      <c r="HJS391" s="160">
        <v>0</v>
      </c>
      <c r="HJT391" s="160">
        <v>0</v>
      </c>
      <c r="HJU391" s="160">
        <v>0</v>
      </c>
      <c r="HJV391" s="160">
        <v>0</v>
      </c>
      <c r="HJW391" s="160">
        <v>0</v>
      </c>
      <c r="HJX391" s="160">
        <v>0</v>
      </c>
      <c r="HJY391" s="160">
        <v>0</v>
      </c>
      <c r="HJZ391" s="160">
        <v>0</v>
      </c>
      <c r="HKA391" s="160">
        <v>0</v>
      </c>
      <c r="HKB391" s="160">
        <v>0</v>
      </c>
      <c r="HKC391" s="160">
        <v>0</v>
      </c>
      <c r="HKD391" s="160">
        <v>0</v>
      </c>
      <c r="HKE391" s="160">
        <v>0</v>
      </c>
      <c r="HKF391" s="160">
        <v>0</v>
      </c>
      <c r="HKG391" s="160">
        <v>0</v>
      </c>
      <c r="HKH391" s="160">
        <v>0</v>
      </c>
      <c r="HKI391" s="160">
        <v>0</v>
      </c>
      <c r="HKJ391" s="160">
        <v>0</v>
      </c>
      <c r="HKK391" s="160">
        <v>0</v>
      </c>
      <c r="HKL391" s="160">
        <v>0</v>
      </c>
      <c r="HKM391" s="160">
        <v>0</v>
      </c>
      <c r="HKN391" s="160">
        <v>0</v>
      </c>
      <c r="HKO391" s="160">
        <v>0</v>
      </c>
      <c r="HKP391" s="160">
        <v>0</v>
      </c>
      <c r="HKQ391" s="160">
        <v>0</v>
      </c>
      <c r="HKR391" s="160">
        <v>0</v>
      </c>
      <c r="HKS391" s="160">
        <v>0</v>
      </c>
      <c r="HKT391" s="160">
        <v>0</v>
      </c>
      <c r="HKU391" s="160">
        <v>0</v>
      </c>
      <c r="HKV391" s="160">
        <v>0</v>
      </c>
      <c r="HKW391" s="160">
        <v>0</v>
      </c>
      <c r="HKX391" s="160">
        <v>0</v>
      </c>
      <c r="HKY391" s="160">
        <v>0</v>
      </c>
      <c r="HKZ391" s="160">
        <v>0</v>
      </c>
      <c r="HLA391" s="160">
        <v>0</v>
      </c>
      <c r="HLB391" s="160">
        <v>0</v>
      </c>
      <c r="HLC391" s="160">
        <v>0</v>
      </c>
      <c r="HLD391" s="160">
        <v>0</v>
      </c>
      <c r="HLE391" s="160">
        <v>0</v>
      </c>
      <c r="HLF391" s="160">
        <v>0</v>
      </c>
      <c r="HLG391" s="160">
        <v>0</v>
      </c>
      <c r="HLH391" s="160">
        <v>0</v>
      </c>
      <c r="HLI391" s="160">
        <v>0</v>
      </c>
      <c r="HLJ391" s="160">
        <v>0</v>
      </c>
      <c r="HLK391" s="160">
        <v>0</v>
      </c>
      <c r="HLL391" s="160">
        <v>0</v>
      </c>
      <c r="HLM391" s="160">
        <v>0</v>
      </c>
      <c r="HLN391" s="160">
        <v>0</v>
      </c>
      <c r="HLO391" s="160">
        <v>0</v>
      </c>
      <c r="HLP391" s="160">
        <v>0</v>
      </c>
      <c r="HLQ391" s="160">
        <v>0</v>
      </c>
      <c r="HLR391" s="160">
        <v>0</v>
      </c>
      <c r="HLS391" s="160">
        <v>0</v>
      </c>
      <c r="HLT391" s="160">
        <v>0</v>
      </c>
      <c r="HLU391" s="160">
        <v>0</v>
      </c>
      <c r="HLV391" s="160">
        <v>0</v>
      </c>
      <c r="HLW391" s="160">
        <v>0</v>
      </c>
      <c r="HLX391" s="160">
        <v>0</v>
      </c>
      <c r="HLY391" s="160">
        <v>0</v>
      </c>
      <c r="HLZ391" s="160">
        <v>0</v>
      </c>
      <c r="HMA391" s="160">
        <v>0</v>
      </c>
      <c r="HMB391" s="160">
        <v>0</v>
      </c>
      <c r="HMC391" s="160">
        <v>0</v>
      </c>
      <c r="HMD391" s="160">
        <v>0</v>
      </c>
      <c r="HME391" s="160">
        <v>0</v>
      </c>
      <c r="HMF391" s="160">
        <v>0</v>
      </c>
      <c r="HMG391" s="160">
        <v>0</v>
      </c>
      <c r="HMH391" s="160">
        <v>0</v>
      </c>
      <c r="HMI391" s="160">
        <v>0</v>
      </c>
      <c r="HMJ391" s="160">
        <v>0</v>
      </c>
      <c r="HMK391" s="160">
        <v>0</v>
      </c>
      <c r="HML391" s="160">
        <v>0</v>
      </c>
      <c r="HMM391" s="160">
        <v>0</v>
      </c>
      <c r="HMN391" s="160">
        <v>0</v>
      </c>
      <c r="HMO391" s="160">
        <v>0</v>
      </c>
      <c r="HMP391" s="160">
        <v>0</v>
      </c>
      <c r="HMQ391" s="160">
        <v>0</v>
      </c>
      <c r="HMR391" s="160">
        <v>0</v>
      </c>
      <c r="HMS391" s="160">
        <v>0</v>
      </c>
      <c r="HMT391" s="160">
        <v>0</v>
      </c>
      <c r="HMU391" s="160">
        <v>0</v>
      </c>
      <c r="HMV391" s="160">
        <v>0</v>
      </c>
      <c r="HMW391" s="160">
        <v>0</v>
      </c>
      <c r="HMX391" s="160">
        <v>0</v>
      </c>
      <c r="HMY391" s="160">
        <v>0</v>
      </c>
      <c r="HMZ391" s="160">
        <v>0</v>
      </c>
      <c r="HNA391" s="160">
        <v>0</v>
      </c>
      <c r="HNB391" s="160">
        <v>0</v>
      </c>
      <c r="HNC391" s="160">
        <v>0</v>
      </c>
      <c r="HND391" s="160">
        <v>0</v>
      </c>
      <c r="HNE391" s="160">
        <v>0</v>
      </c>
      <c r="HNF391" s="160">
        <v>0</v>
      </c>
      <c r="HNG391" s="160">
        <v>0</v>
      </c>
      <c r="HNH391" s="160">
        <v>0</v>
      </c>
      <c r="HNI391" s="160">
        <v>0</v>
      </c>
      <c r="HNJ391" s="160">
        <v>0</v>
      </c>
      <c r="HNK391" s="160">
        <v>0</v>
      </c>
      <c r="HNL391" s="160">
        <v>0</v>
      </c>
      <c r="HNM391" s="160">
        <v>0</v>
      </c>
      <c r="HNN391" s="160">
        <v>0</v>
      </c>
      <c r="HNO391" s="160">
        <v>0</v>
      </c>
      <c r="HNP391" s="160">
        <v>0</v>
      </c>
      <c r="HNQ391" s="160">
        <v>0</v>
      </c>
      <c r="HNR391" s="160">
        <v>0</v>
      </c>
      <c r="HNS391" s="160">
        <v>0</v>
      </c>
      <c r="HNT391" s="160">
        <v>0</v>
      </c>
      <c r="HNU391" s="160">
        <v>0</v>
      </c>
      <c r="HNV391" s="160">
        <v>0</v>
      </c>
      <c r="HNW391" s="160">
        <v>0</v>
      </c>
      <c r="HNX391" s="160">
        <v>0</v>
      </c>
      <c r="HNY391" s="160">
        <v>0</v>
      </c>
      <c r="HNZ391" s="160">
        <v>0</v>
      </c>
      <c r="HOA391" s="160">
        <v>0</v>
      </c>
      <c r="HOB391" s="160">
        <v>0</v>
      </c>
      <c r="HOC391" s="160">
        <v>0</v>
      </c>
      <c r="HOD391" s="160">
        <v>0</v>
      </c>
      <c r="HOE391" s="160">
        <v>0</v>
      </c>
      <c r="HOF391" s="160">
        <v>0</v>
      </c>
      <c r="HOG391" s="160">
        <v>0</v>
      </c>
      <c r="HOH391" s="160">
        <v>0</v>
      </c>
      <c r="HOI391" s="160">
        <v>0</v>
      </c>
      <c r="HOJ391" s="160">
        <v>0</v>
      </c>
      <c r="HOK391" s="160">
        <v>0</v>
      </c>
      <c r="HOL391" s="160">
        <v>0</v>
      </c>
      <c r="HOM391" s="160">
        <v>0</v>
      </c>
      <c r="HON391" s="160">
        <v>0</v>
      </c>
      <c r="HOO391" s="160">
        <v>0</v>
      </c>
      <c r="HOP391" s="160">
        <v>0</v>
      </c>
      <c r="HOQ391" s="160">
        <v>0</v>
      </c>
      <c r="HOR391" s="160">
        <v>0</v>
      </c>
      <c r="HOS391" s="160">
        <v>0</v>
      </c>
      <c r="HOT391" s="160">
        <v>0</v>
      </c>
      <c r="HOU391" s="160">
        <v>0</v>
      </c>
      <c r="HOV391" s="160">
        <v>0</v>
      </c>
      <c r="HOW391" s="160">
        <v>0</v>
      </c>
      <c r="HOX391" s="160">
        <v>0</v>
      </c>
      <c r="HOY391" s="160">
        <v>0</v>
      </c>
      <c r="HOZ391" s="160">
        <v>0</v>
      </c>
      <c r="HPA391" s="160">
        <v>0</v>
      </c>
      <c r="HPB391" s="160">
        <v>0</v>
      </c>
      <c r="HPC391" s="160">
        <v>0</v>
      </c>
      <c r="HPD391" s="160">
        <v>0</v>
      </c>
      <c r="HPE391" s="160">
        <v>0</v>
      </c>
      <c r="HPF391" s="160">
        <v>0</v>
      </c>
      <c r="HPG391" s="160">
        <v>0</v>
      </c>
      <c r="HPH391" s="160">
        <v>0</v>
      </c>
      <c r="HPI391" s="160">
        <v>0</v>
      </c>
      <c r="HPJ391" s="160">
        <v>0</v>
      </c>
      <c r="HPK391" s="160">
        <v>0</v>
      </c>
      <c r="HPL391" s="160">
        <v>0</v>
      </c>
      <c r="HPM391" s="160">
        <v>0</v>
      </c>
      <c r="HPN391" s="160">
        <v>0</v>
      </c>
      <c r="HPO391" s="160">
        <v>0</v>
      </c>
      <c r="HPP391" s="160">
        <v>0</v>
      </c>
      <c r="HPQ391" s="160">
        <v>0</v>
      </c>
      <c r="HPR391" s="160">
        <v>0</v>
      </c>
      <c r="HPS391" s="160">
        <v>0</v>
      </c>
      <c r="HPT391" s="160">
        <v>0</v>
      </c>
      <c r="HPU391" s="160">
        <v>0</v>
      </c>
      <c r="HPV391" s="160">
        <v>0</v>
      </c>
      <c r="HPW391" s="160">
        <v>0</v>
      </c>
      <c r="HPX391" s="160">
        <v>0</v>
      </c>
      <c r="HPY391" s="160">
        <v>0</v>
      </c>
      <c r="HPZ391" s="160">
        <v>0</v>
      </c>
      <c r="HQA391" s="160">
        <v>0</v>
      </c>
      <c r="HQB391" s="160">
        <v>0</v>
      </c>
      <c r="HQC391" s="160">
        <v>0</v>
      </c>
      <c r="HQD391" s="160">
        <v>0</v>
      </c>
      <c r="HQE391" s="160">
        <v>0</v>
      </c>
      <c r="HQF391" s="160">
        <v>0</v>
      </c>
      <c r="HQG391" s="160">
        <v>0</v>
      </c>
      <c r="HQH391" s="160">
        <v>0</v>
      </c>
      <c r="HQI391" s="160">
        <v>0</v>
      </c>
      <c r="HQJ391" s="160">
        <v>0</v>
      </c>
      <c r="HQK391" s="160">
        <v>0</v>
      </c>
      <c r="HQL391" s="160">
        <v>0</v>
      </c>
      <c r="HQM391" s="160">
        <v>0</v>
      </c>
      <c r="HQN391" s="160">
        <v>0</v>
      </c>
      <c r="HQO391" s="160">
        <v>0</v>
      </c>
      <c r="HQP391" s="160">
        <v>0</v>
      </c>
      <c r="HQQ391" s="160">
        <v>0</v>
      </c>
      <c r="HQR391" s="160">
        <v>0</v>
      </c>
      <c r="HQS391" s="160">
        <v>0</v>
      </c>
      <c r="HQT391" s="160">
        <v>0</v>
      </c>
      <c r="HQU391" s="160">
        <v>0</v>
      </c>
      <c r="HQV391" s="160">
        <v>0</v>
      </c>
      <c r="HQW391" s="160">
        <v>0</v>
      </c>
      <c r="HQX391" s="160">
        <v>0</v>
      </c>
      <c r="HQY391" s="160">
        <v>0</v>
      </c>
      <c r="HQZ391" s="160">
        <v>0</v>
      </c>
      <c r="HRA391" s="160">
        <v>0</v>
      </c>
      <c r="HRB391" s="160">
        <v>0</v>
      </c>
      <c r="HRC391" s="160">
        <v>0</v>
      </c>
      <c r="HRD391" s="160">
        <v>0</v>
      </c>
      <c r="HRE391" s="160">
        <v>0</v>
      </c>
      <c r="HRF391" s="160">
        <v>0</v>
      </c>
      <c r="HRG391" s="160">
        <v>0</v>
      </c>
      <c r="HRH391" s="160">
        <v>0</v>
      </c>
      <c r="HRI391" s="160">
        <v>0</v>
      </c>
      <c r="HRJ391" s="160">
        <v>0</v>
      </c>
      <c r="HRK391" s="160">
        <v>0</v>
      </c>
      <c r="HRL391" s="160">
        <v>0</v>
      </c>
      <c r="HRM391" s="160">
        <v>0</v>
      </c>
      <c r="HRN391" s="160">
        <v>0</v>
      </c>
      <c r="HRO391" s="160">
        <v>0</v>
      </c>
      <c r="HRP391" s="160">
        <v>0</v>
      </c>
      <c r="HRQ391" s="160">
        <v>0</v>
      </c>
      <c r="HRR391" s="160">
        <v>0</v>
      </c>
      <c r="HRS391" s="160">
        <v>0</v>
      </c>
      <c r="HRT391" s="160">
        <v>0</v>
      </c>
      <c r="HRU391" s="160">
        <v>0</v>
      </c>
      <c r="HRV391" s="160">
        <v>0</v>
      </c>
      <c r="HRW391" s="160">
        <v>0</v>
      </c>
      <c r="HRX391" s="160">
        <v>0</v>
      </c>
      <c r="HRY391" s="160">
        <v>0</v>
      </c>
      <c r="HRZ391" s="160">
        <v>0</v>
      </c>
      <c r="HSA391" s="160">
        <v>0</v>
      </c>
      <c r="HSB391" s="160">
        <v>0</v>
      </c>
      <c r="HSC391" s="160">
        <v>0</v>
      </c>
      <c r="HSD391" s="160">
        <v>0</v>
      </c>
      <c r="HSE391" s="160">
        <v>0</v>
      </c>
      <c r="HSF391" s="160">
        <v>0</v>
      </c>
      <c r="HSG391" s="160">
        <v>0</v>
      </c>
      <c r="HSH391" s="160">
        <v>0</v>
      </c>
      <c r="HSI391" s="160">
        <v>0</v>
      </c>
      <c r="HSJ391" s="160">
        <v>0</v>
      </c>
      <c r="HSK391" s="160">
        <v>0</v>
      </c>
      <c r="HSL391" s="160">
        <v>0</v>
      </c>
      <c r="HSM391" s="160">
        <v>0</v>
      </c>
      <c r="HSN391" s="160">
        <v>0</v>
      </c>
      <c r="HSO391" s="160">
        <v>0</v>
      </c>
      <c r="HSP391" s="160">
        <v>0</v>
      </c>
      <c r="HSQ391" s="160">
        <v>0</v>
      </c>
      <c r="HSR391" s="160">
        <v>0</v>
      </c>
      <c r="HSS391" s="160">
        <v>0</v>
      </c>
      <c r="HST391" s="160">
        <v>0</v>
      </c>
      <c r="HSU391" s="160">
        <v>0</v>
      </c>
      <c r="HSV391" s="160">
        <v>0</v>
      </c>
      <c r="HSW391" s="160">
        <v>0</v>
      </c>
      <c r="HSX391" s="160">
        <v>0</v>
      </c>
      <c r="HSY391" s="160">
        <v>0</v>
      </c>
      <c r="HSZ391" s="160">
        <v>0</v>
      </c>
      <c r="HTA391" s="160">
        <v>0</v>
      </c>
      <c r="HTB391" s="160">
        <v>0</v>
      </c>
      <c r="HTC391" s="160">
        <v>0</v>
      </c>
      <c r="HTD391" s="160">
        <v>0</v>
      </c>
      <c r="HTE391" s="160">
        <v>0</v>
      </c>
      <c r="HTF391" s="160">
        <v>0</v>
      </c>
      <c r="HTG391" s="160">
        <v>0</v>
      </c>
      <c r="HTH391" s="160">
        <v>0</v>
      </c>
      <c r="HTI391" s="160">
        <v>0</v>
      </c>
      <c r="HTJ391" s="160">
        <v>0</v>
      </c>
      <c r="HTK391" s="160">
        <v>0</v>
      </c>
      <c r="HTL391" s="160">
        <v>0</v>
      </c>
      <c r="HTM391" s="160">
        <v>0</v>
      </c>
      <c r="HTN391" s="160">
        <v>0</v>
      </c>
      <c r="HTO391" s="160">
        <v>0</v>
      </c>
      <c r="HTP391" s="160">
        <v>0</v>
      </c>
      <c r="HTQ391" s="160">
        <v>0</v>
      </c>
      <c r="HTR391" s="160">
        <v>0</v>
      </c>
      <c r="HTS391" s="160">
        <v>0</v>
      </c>
      <c r="HTT391" s="160">
        <v>0</v>
      </c>
      <c r="HTU391" s="160">
        <v>0</v>
      </c>
      <c r="HTV391" s="160">
        <v>0</v>
      </c>
      <c r="HTW391" s="160">
        <v>0</v>
      </c>
      <c r="HTX391" s="160">
        <v>0</v>
      </c>
      <c r="HTY391" s="160">
        <v>0</v>
      </c>
      <c r="HTZ391" s="160">
        <v>0</v>
      </c>
      <c r="HUA391" s="160">
        <v>0</v>
      </c>
      <c r="HUB391" s="160">
        <v>0</v>
      </c>
      <c r="HUC391" s="160">
        <v>0</v>
      </c>
      <c r="HUD391" s="160">
        <v>0</v>
      </c>
      <c r="HUE391" s="160">
        <v>0</v>
      </c>
      <c r="HUF391" s="160">
        <v>0</v>
      </c>
      <c r="HUG391" s="160">
        <v>0</v>
      </c>
      <c r="HUH391" s="160">
        <v>0</v>
      </c>
      <c r="HUI391" s="160">
        <v>0</v>
      </c>
      <c r="HUJ391" s="160">
        <v>0</v>
      </c>
      <c r="HUK391" s="160">
        <v>0</v>
      </c>
      <c r="HUL391" s="160">
        <v>0</v>
      </c>
      <c r="HUM391" s="160">
        <v>0</v>
      </c>
      <c r="HUN391" s="160">
        <v>0</v>
      </c>
      <c r="HUO391" s="160">
        <v>0</v>
      </c>
      <c r="HUP391" s="160">
        <v>0</v>
      </c>
      <c r="HUQ391" s="160">
        <v>0</v>
      </c>
      <c r="HUR391" s="160">
        <v>0</v>
      </c>
      <c r="HUS391" s="160">
        <v>0</v>
      </c>
      <c r="HUT391" s="160">
        <v>0</v>
      </c>
      <c r="HUU391" s="160">
        <v>0</v>
      </c>
      <c r="HUV391" s="160">
        <v>0</v>
      </c>
      <c r="HUW391" s="160">
        <v>0</v>
      </c>
      <c r="HUX391" s="160">
        <v>0</v>
      </c>
      <c r="HUY391" s="160">
        <v>0</v>
      </c>
      <c r="HUZ391" s="160">
        <v>0</v>
      </c>
      <c r="HVA391" s="160">
        <v>0</v>
      </c>
      <c r="HVB391" s="160">
        <v>0</v>
      </c>
      <c r="HVC391" s="160">
        <v>0</v>
      </c>
      <c r="HVD391" s="160">
        <v>0</v>
      </c>
      <c r="HVE391" s="160">
        <v>0</v>
      </c>
      <c r="HVF391" s="160">
        <v>0</v>
      </c>
      <c r="HVG391" s="160">
        <v>0</v>
      </c>
      <c r="HVH391" s="160">
        <v>0</v>
      </c>
      <c r="HVI391" s="160">
        <v>0</v>
      </c>
      <c r="HVJ391" s="160">
        <v>0</v>
      </c>
      <c r="HVK391" s="160">
        <v>0</v>
      </c>
      <c r="HVL391" s="160">
        <v>0</v>
      </c>
      <c r="HVM391" s="160">
        <v>0</v>
      </c>
      <c r="HVN391" s="160">
        <v>0</v>
      </c>
      <c r="HVO391" s="160">
        <v>0</v>
      </c>
      <c r="HVP391" s="160">
        <v>0</v>
      </c>
      <c r="HVQ391" s="160">
        <v>0</v>
      </c>
      <c r="HVR391" s="160">
        <v>0</v>
      </c>
      <c r="HVS391" s="160">
        <v>0</v>
      </c>
      <c r="HVT391" s="160">
        <v>0</v>
      </c>
      <c r="HVU391" s="160">
        <v>0</v>
      </c>
      <c r="HVV391" s="160">
        <v>0</v>
      </c>
      <c r="HVW391" s="160">
        <v>0</v>
      </c>
      <c r="HVX391" s="160">
        <v>0</v>
      </c>
      <c r="HVY391" s="160">
        <v>0</v>
      </c>
      <c r="HVZ391" s="160">
        <v>0</v>
      </c>
      <c r="HWA391" s="160">
        <v>0</v>
      </c>
      <c r="HWB391" s="160">
        <v>0</v>
      </c>
      <c r="HWC391" s="160">
        <v>0</v>
      </c>
      <c r="HWD391" s="160">
        <v>0</v>
      </c>
      <c r="HWE391" s="160">
        <v>0</v>
      </c>
      <c r="HWF391" s="160">
        <v>0</v>
      </c>
      <c r="HWG391" s="160">
        <v>0</v>
      </c>
      <c r="HWH391" s="160">
        <v>0</v>
      </c>
      <c r="HWI391" s="160">
        <v>0</v>
      </c>
      <c r="HWJ391" s="160">
        <v>0</v>
      </c>
      <c r="HWK391" s="160">
        <v>0</v>
      </c>
      <c r="HWL391" s="160">
        <v>0</v>
      </c>
      <c r="HWM391" s="160">
        <v>0</v>
      </c>
      <c r="HWN391" s="160">
        <v>0</v>
      </c>
      <c r="HWO391" s="160">
        <v>0</v>
      </c>
      <c r="HWP391" s="160">
        <v>0</v>
      </c>
      <c r="HWQ391" s="160">
        <v>0</v>
      </c>
      <c r="HWR391" s="160">
        <v>0</v>
      </c>
      <c r="HWS391" s="160">
        <v>0</v>
      </c>
      <c r="HWT391" s="160">
        <v>0</v>
      </c>
      <c r="HWU391" s="160">
        <v>0</v>
      </c>
      <c r="HWV391" s="160">
        <v>0</v>
      </c>
      <c r="HWW391" s="160">
        <v>0</v>
      </c>
      <c r="HWX391" s="160">
        <v>0</v>
      </c>
      <c r="HWY391" s="160">
        <v>0</v>
      </c>
      <c r="HWZ391" s="160">
        <v>0</v>
      </c>
      <c r="HXA391" s="160">
        <v>0</v>
      </c>
      <c r="HXB391" s="160">
        <v>0</v>
      </c>
      <c r="HXC391" s="160">
        <v>0</v>
      </c>
      <c r="HXD391" s="160">
        <v>0</v>
      </c>
      <c r="HXE391" s="160">
        <v>0</v>
      </c>
      <c r="HXF391" s="160">
        <v>0</v>
      </c>
      <c r="HXG391" s="160">
        <v>0</v>
      </c>
      <c r="HXH391" s="160">
        <v>0</v>
      </c>
      <c r="HXI391" s="160">
        <v>0</v>
      </c>
      <c r="HXJ391" s="160">
        <v>0</v>
      </c>
      <c r="HXK391" s="160">
        <v>0</v>
      </c>
      <c r="HXL391" s="160">
        <v>0</v>
      </c>
      <c r="HXM391" s="160">
        <v>0</v>
      </c>
      <c r="HXN391" s="160">
        <v>0</v>
      </c>
      <c r="HXO391" s="160">
        <v>0</v>
      </c>
      <c r="HXP391" s="160">
        <v>0</v>
      </c>
      <c r="HXQ391" s="160">
        <v>0</v>
      </c>
      <c r="HXR391" s="160">
        <v>0</v>
      </c>
      <c r="HXS391" s="160">
        <v>0</v>
      </c>
      <c r="HXT391" s="160">
        <v>0</v>
      </c>
      <c r="HXU391" s="160">
        <v>0</v>
      </c>
      <c r="HXV391" s="160">
        <v>0</v>
      </c>
      <c r="HXW391" s="160">
        <v>0</v>
      </c>
      <c r="HXX391" s="160">
        <v>0</v>
      </c>
      <c r="HXY391" s="160">
        <v>0</v>
      </c>
      <c r="HXZ391" s="160">
        <v>0</v>
      </c>
      <c r="HYA391" s="160">
        <v>0</v>
      </c>
      <c r="HYB391" s="160">
        <v>0</v>
      </c>
      <c r="HYC391" s="160">
        <v>0</v>
      </c>
      <c r="HYD391" s="160">
        <v>0</v>
      </c>
      <c r="HYE391" s="160">
        <v>0</v>
      </c>
      <c r="HYF391" s="160">
        <v>0</v>
      </c>
      <c r="HYG391" s="160">
        <v>0</v>
      </c>
      <c r="HYH391" s="160">
        <v>0</v>
      </c>
      <c r="HYI391" s="160">
        <v>0</v>
      </c>
      <c r="HYJ391" s="160">
        <v>0</v>
      </c>
      <c r="HYK391" s="160">
        <v>0</v>
      </c>
      <c r="HYL391" s="160">
        <v>0</v>
      </c>
      <c r="HYM391" s="160">
        <v>0</v>
      </c>
      <c r="HYN391" s="160">
        <v>0</v>
      </c>
      <c r="HYO391" s="160">
        <v>0</v>
      </c>
      <c r="HYP391" s="160">
        <v>0</v>
      </c>
      <c r="HYQ391" s="160">
        <v>0</v>
      </c>
      <c r="HYR391" s="160">
        <v>0</v>
      </c>
      <c r="HYS391" s="160">
        <v>0</v>
      </c>
      <c r="HYT391" s="160">
        <v>0</v>
      </c>
      <c r="HYU391" s="160">
        <v>0</v>
      </c>
      <c r="HYV391" s="160">
        <v>0</v>
      </c>
      <c r="HYW391" s="160">
        <v>0</v>
      </c>
      <c r="HYX391" s="160">
        <v>0</v>
      </c>
      <c r="HYY391" s="160">
        <v>0</v>
      </c>
      <c r="HYZ391" s="160">
        <v>0</v>
      </c>
      <c r="HZA391" s="160">
        <v>0</v>
      </c>
      <c r="HZB391" s="160">
        <v>0</v>
      </c>
      <c r="HZC391" s="160">
        <v>0</v>
      </c>
      <c r="HZD391" s="160">
        <v>0</v>
      </c>
      <c r="HZE391" s="160">
        <v>0</v>
      </c>
      <c r="HZF391" s="160">
        <v>0</v>
      </c>
      <c r="HZG391" s="160">
        <v>0</v>
      </c>
      <c r="HZH391" s="160">
        <v>0</v>
      </c>
      <c r="HZI391" s="160">
        <v>0</v>
      </c>
      <c r="HZJ391" s="160">
        <v>0</v>
      </c>
      <c r="HZK391" s="160">
        <v>0</v>
      </c>
      <c r="HZL391" s="160">
        <v>0</v>
      </c>
      <c r="HZM391" s="160">
        <v>0</v>
      </c>
      <c r="HZN391" s="160">
        <v>0</v>
      </c>
      <c r="HZO391" s="160">
        <v>0</v>
      </c>
      <c r="HZP391" s="160">
        <v>0</v>
      </c>
      <c r="HZQ391" s="160">
        <v>0</v>
      </c>
      <c r="HZR391" s="160">
        <v>0</v>
      </c>
      <c r="HZS391" s="160">
        <v>0</v>
      </c>
      <c r="HZT391" s="160">
        <v>0</v>
      </c>
      <c r="HZU391" s="160">
        <v>0</v>
      </c>
      <c r="HZV391" s="160">
        <v>0</v>
      </c>
      <c r="HZW391" s="160">
        <v>0</v>
      </c>
      <c r="HZX391" s="160">
        <v>0</v>
      </c>
      <c r="HZY391" s="160">
        <v>0</v>
      </c>
      <c r="HZZ391" s="160">
        <v>0</v>
      </c>
      <c r="IAA391" s="160">
        <v>0</v>
      </c>
      <c r="IAB391" s="160">
        <v>0</v>
      </c>
      <c r="IAC391" s="160">
        <v>0</v>
      </c>
      <c r="IAD391" s="160">
        <v>0</v>
      </c>
      <c r="IAE391" s="160">
        <v>0</v>
      </c>
      <c r="IAF391" s="160">
        <v>0</v>
      </c>
      <c r="IAG391" s="160">
        <v>0</v>
      </c>
      <c r="IAH391" s="160">
        <v>0</v>
      </c>
      <c r="IAI391" s="160">
        <v>0</v>
      </c>
      <c r="IAJ391" s="160">
        <v>0</v>
      </c>
      <c r="IAK391" s="160">
        <v>0</v>
      </c>
      <c r="IAL391" s="160">
        <v>0</v>
      </c>
      <c r="IAM391" s="160">
        <v>0</v>
      </c>
      <c r="IAN391" s="160">
        <v>0</v>
      </c>
      <c r="IAO391" s="160">
        <v>0</v>
      </c>
      <c r="IAP391" s="160">
        <v>0</v>
      </c>
      <c r="IAQ391" s="160">
        <v>0</v>
      </c>
      <c r="IAR391" s="160">
        <v>0</v>
      </c>
      <c r="IAS391" s="160">
        <v>0</v>
      </c>
      <c r="IAT391" s="160">
        <v>0</v>
      </c>
      <c r="IAU391" s="160">
        <v>0</v>
      </c>
      <c r="IAV391" s="160">
        <v>0</v>
      </c>
      <c r="IAW391" s="160">
        <v>0</v>
      </c>
      <c r="IAX391" s="160">
        <v>0</v>
      </c>
      <c r="IAY391" s="160">
        <v>0</v>
      </c>
      <c r="IAZ391" s="160">
        <v>0</v>
      </c>
      <c r="IBA391" s="160">
        <v>0</v>
      </c>
      <c r="IBB391" s="160">
        <v>0</v>
      </c>
      <c r="IBC391" s="160">
        <v>0</v>
      </c>
      <c r="IBD391" s="160">
        <v>0</v>
      </c>
      <c r="IBE391" s="160">
        <v>0</v>
      </c>
      <c r="IBF391" s="160">
        <v>0</v>
      </c>
      <c r="IBG391" s="160">
        <v>0</v>
      </c>
      <c r="IBH391" s="160">
        <v>0</v>
      </c>
      <c r="IBI391" s="160">
        <v>0</v>
      </c>
      <c r="IBJ391" s="160">
        <v>0</v>
      </c>
      <c r="IBK391" s="160">
        <v>0</v>
      </c>
      <c r="IBL391" s="160">
        <v>0</v>
      </c>
      <c r="IBM391" s="160">
        <v>0</v>
      </c>
      <c r="IBN391" s="160">
        <v>0</v>
      </c>
      <c r="IBO391" s="160">
        <v>0</v>
      </c>
      <c r="IBP391" s="160">
        <v>0</v>
      </c>
      <c r="IBQ391" s="160">
        <v>0</v>
      </c>
      <c r="IBR391" s="160">
        <v>0</v>
      </c>
      <c r="IBS391" s="160">
        <v>0</v>
      </c>
      <c r="IBT391" s="160">
        <v>0</v>
      </c>
      <c r="IBU391" s="160">
        <v>0</v>
      </c>
      <c r="IBV391" s="160">
        <v>0</v>
      </c>
      <c r="IBW391" s="160">
        <v>0</v>
      </c>
      <c r="IBX391" s="160">
        <v>0</v>
      </c>
      <c r="IBY391" s="160">
        <v>0</v>
      </c>
      <c r="IBZ391" s="160">
        <v>0</v>
      </c>
      <c r="ICA391" s="160">
        <v>0</v>
      </c>
      <c r="ICB391" s="160">
        <v>0</v>
      </c>
      <c r="ICC391" s="160">
        <v>0</v>
      </c>
      <c r="ICD391" s="160">
        <v>0</v>
      </c>
      <c r="ICE391" s="160">
        <v>0</v>
      </c>
      <c r="ICF391" s="160">
        <v>0</v>
      </c>
      <c r="ICG391" s="160">
        <v>0</v>
      </c>
      <c r="ICH391" s="160">
        <v>0</v>
      </c>
      <c r="ICI391" s="160">
        <v>0</v>
      </c>
      <c r="ICJ391" s="160">
        <v>0</v>
      </c>
      <c r="ICK391" s="160">
        <v>0</v>
      </c>
      <c r="ICL391" s="160">
        <v>0</v>
      </c>
      <c r="ICM391" s="160">
        <v>0</v>
      </c>
      <c r="ICN391" s="160">
        <v>0</v>
      </c>
      <c r="ICO391" s="160">
        <v>0</v>
      </c>
      <c r="ICP391" s="160">
        <v>0</v>
      </c>
      <c r="ICQ391" s="160">
        <v>0</v>
      </c>
      <c r="ICR391" s="160">
        <v>0</v>
      </c>
      <c r="ICS391" s="160">
        <v>0</v>
      </c>
      <c r="ICT391" s="160">
        <v>0</v>
      </c>
      <c r="ICU391" s="160">
        <v>0</v>
      </c>
      <c r="ICV391" s="160">
        <v>0</v>
      </c>
      <c r="ICW391" s="160">
        <v>0</v>
      </c>
      <c r="ICX391" s="160">
        <v>0</v>
      </c>
      <c r="ICY391" s="160">
        <v>0</v>
      </c>
      <c r="ICZ391" s="160">
        <v>0</v>
      </c>
      <c r="IDA391" s="160">
        <v>0</v>
      </c>
      <c r="IDB391" s="160">
        <v>0</v>
      </c>
      <c r="IDC391" s="160">
        <v>0</v>
      </c>
      <c r="IDD391" s="160">
        <v>0</v>
      </c>
      <c r="IDE391" s="160">
        <v>0</v>
      </c>
      <c r="IDF391" s="160">
        <v>0</v>
      </c>
      <c r="IDG391" s="160">
        <v>0</v>
      </c>
      <c r="IDH391" s="160">
        <v>0</v>
      </c>
      <c r="IDI391" s="160">
        <v>0</v>
      </c>
      <c r="IDJ391" s="160">
        <v>0</v>
      </c>
      <c r="IDK391" s="160">
        <v>0</v>
      </c>
      <c r="IDL391" s="160">
        <v>0</v>
      </c>
      <c r="IDM391" s="160">
        <v>0</v>
      </c>
      <c r="IDN391" s="160">
        <v>0</v>
      </c>
      <c r="IDO391" s="160">
        <v>0</v>
      </c>
      <c r="IDP391" s="160">
        <v>0</v>
      </c>
      <c r="IDQ391" s="160">
        <v>0</v>
      </c>
      <c r="IDR391" s="160">
        <v>0</v>
      </c>
      <c r="IDS391" s="160">
        <v>0</v>
      </c>
      <c r="IDT391" s="160">
        <v>0</v>
      </c>
      <c r="IDU391" s="160">
        <v>0</v>
      </c>
      <c r="IDV391" s="160">
        <v>0</v>
      </c>
      <c r="IDW391" s="160">
        <v>0</v>
      </c>
      <c r="IDX391" s="160">
        <v>0</v>
      </c>
      <c r="IDY391" s="160">
        <v>0</v>
      </c>
      <c r="IDZ391" s="160">
        <v>0</v>
      </c>
      <c r="IEA391" s="160">
        <v>0</v>
      </c>
      <c r="IEB391" s="160">
        <v>0</v>
      </c>
      <c r="IEC391" s="160">
        <v>0</v>
      </c>
      <c r="IED391" s="160">
        <v>0</v>
      </c>
      <c r="IEE391" s="160">
        <v>0</v>
      </c>
      <c r="IEF391" s="160">
        <v>0</v>
      </c>
      <c r="IEG391" s="160">
        <v>0</v>
      </c>
      <c r="IEH391" s="160">
        <v>0</v>
      </c>
      <c r="IEI391" s="160">
        <v>0</v>
      </c>
      <c r="IEJ391" s="160">
        <v>0</v>
      </c>
      <c r="IEK391" s="160">
        <v>0</v>
      </c>
      <c r="IEL391" s="160">
        <v>0</v>
      </c>
      <c r="IEM391" s="160">
        <v>0</v>
      </c>
      <c r="IEN391" s="160">
        <v>0</v>
      </c>
      <c r="IEO391" s="160">
        <v>0</v>
      </c>
      <c r="IEP391" s="160">
        <v>0</v>
      </c>
      <c r="IEQ391" s="160">
        <v>0</v>
      </c>
      <c r="IER391" s="160">
        <v>0</v>
      </c>
      <c r="IES391" s="160">
        <v>0</v>
      </c>
      <c r="IET391" s="160">
        <v>0</v>
      </c>
      <c r="IEU391" s="160">
        <v>0</v>
      </c>
      <c r="IEV391" s="160">
        <v>0</v>
      </c>
      <c r="IEW391" s="160">
        <v>0</v>
      </c>
      <c r="IEX391" s="160">
        <v>0</v>
      </c>
      <c r="IEY391" s="160">
        <v>0</v>
      </c>
      <c r="IEZ391" s="160">
        <v>0</v>
      </c>
      <c r="IFA391" s="160">
        <v>0</v>
      </c>
      <c r="IFB391" s="160">
        <v>0</v>
      </c>
      <c r="IFC391" s="160">
        <v>0</v>
      </c>
      <c r="IFD391" s="160">
        <v>0</v>
      </c>
      <c r="IFE391" s="160">
        <v>0</v>
      </c>
      <c r="IFF391" s="160">
        <v>0</v>
      </c>
      <c r="IFG391" s="160">
        <v>0</v>
      </c>
      <c r="IFH391" s="160">
        <v>0</v>
      </c>
      <c r="IFI391" s="160">
        <v>0</v>
      </c>
      <c r="IFJ391" s="160">
        <v>0</v>
      </c>
      <c r="IFK391" s="160">
        <v>0</v>
      </c>
      <c r="IFL391" s="160">
        <v>0</v>
      </c>
      <c r="IFM391" s="160">
        <v>0</v>
      </c>
      <c r="IFN391" s="160">
        <v>0</v>
      </c>
      <c r="IFO391" s="160">
        <v>0</v>
      </c>
      <c r="IFP391" s="160">
        <v>0</v>
      </c>
      <c r="IFQ391" s="160">
        <v>0</v>
      </c>
      <c r="IFR391" s="160">
        <v>0</v>
      </c>
      <c r="IFS391" s="160">
        <v>0</v>
      </c>
      <c r="IFT391" s="160">
        <v>0</v>
      </c>
      <c r="IFU391" s="160">
        <v>0</v>
      </c>
      <c r="IFV391" s="160">
        <v>0</v>
      </c>
      <c r="IFW391" s="160">
        <v>0</v>
      </c>
      <c r="IFX391" s="160">
        <v>0</v>
      </c>
      <c r="IFY391" s="160">
        <v>0</v>
      </c>
      <c r="IFZ391" s="160">
        <v>0</v>
      </c>
      <c r="IGA391" s="160">
        <v>0</v>
      </c>
      <c r="IGB391" s="160">
        <v>0</v>
      </c>
      <c r="IGC391" s="160">
        <v>0</v>
      </c>
      <c r="IGD391" s="160">
        <v>0</v>
      </c>
      <c r="IGE391" s="160">
        <v>0</v>
      </c>
      <c r="IGF391" s="160">
        <v>0</v>
      </c>
      <c r="IGG391" s="160">
        <v>0</v>
      </c>
      <c r="IGH391" s="160">
        <v>0</v>
      </c>
      <c r="IGI391" s="160">
        <v>0</v>
      </c>
      <c r="IGJ391" s="160">
        <v>0</v>
      </c>
      <c r="IGK391" s="160">
        <v>0</v>
      </c>
      <c r="IGL391" s="160">
        <v>0</v>
      </c>
      <c r="IGM391" s="160">
        <v>0</v>
      </c>
      <c r="IGN391" s="160">
        <v>0</v>
      </c>
      <c r="IGO391" s="160">
        <v>0</v>
      </c>
      <c r="IGP391" s="160">
        <v>0</v>
      </c>
      <c r="IGQ391" s="160">
        <v>0</v>
      </c>
      <c r="IGR391" s="160">
        <v>0</v>
      </c>
      <c r="IGS391" s="160">
        <v>0</v>
      </c>
      <c r="IGT391" s="160">
        <v>0</v>
      </c>
      <c r="IGU391" s="160">
        <v>0</v>
      </c>
      <c r="IGV391" s="160">
        <v>0</v>
      </c>
      <c r="IGW391" s="160">
        <v>0</v>
      </c>
      <c r="IGX391" s="160">
        <v>0</v>
      </c>
      <c r="IGY391" s="160">
        <v>0</v>
      </c>
      <c r="IGZ391" s="160">
        <v>0</v>
      </c>
      <c r="IHA391" s="160">
        <v>0</v>
      </c>
      <c r="IHB391" s="160">
        <v>0</v>
      </c>
      <c r="IHC391" s="160">
        <v>0</v>
      </c>
      <c r="IHD391" s="160">
        <v>0</v>
      </c>
      <c r="IHE391" s="160">
        <v>0</v>
      </c>
      <c r="IHF391" s="160">
        <v>0</v>
      </c>
      <c r="IHG391" s="160">
        <v>0</v>
      </c>
      <c r="IHH391" s="160">
        <v>0</v>
      </c>
      <c r="IHI391" s="160">
        <v>0</v>
      </c>
      <c r="IHJ391" s="160">
        <v>0</v>
      </c>
      <c r="IHK391" s="160">
        <v>0</v>
      </c>
      <c r="IHL391" s="160">
        <v>0</v>
      </c>
      <c r="IHM391" s="160">
        <v>0</v>
      </c>
      <c r="IHN391" s="160">
        <v>0</v>
      </c>
      <c r="IHO391" s="160">
        <v>0</v>
      </c>
      <c r="IHP391" s="160">
        <v>0</v>
      </c>
      <c r="IHQ391" s="160">
        <v>0</v>
      </c>
      <c r="IHR391" s="160">
        <v>0</v>
      </c>
      <c r="IHS391" s="160">
        <v>0</v>
      </c>
      <c r="IHT391" s="160">
        <v>0</v>
      </c>
      <c r="IHU391" s="160">
        <v>0</v>
      </c>
      <c r="IHV391" s="160">
        <v>0</v>
      </c>
      <c r="IHW391" s="160">
        <v>0</v>
      </c>
      <c r="IHX391" s="160">
        <v>0</v>
      </c>
      <c r="IHY391" s="160">
        <v>0</v>
      </c>
      <c r="IHZ391" s="160">
        <v>0</v>
      </c>
      <c r="IIA391" s="160">
        <v>0</v>
      </c>
      <c r="IIB391" s="160">
        <v>0</v>
      </c>
      <c r="IIC391" s="160">
        <v>0</v>
      </c>
      <c r="IID391" s="160">
        <v>0</v>
      </c>
      <c r="IIE391" s="160">
        <v>0</v>
      </c>
      <c r="IIF391" s="160">
        <v>0</v>
      </c>
      <c r="IIG391" s="160">
        <v>0</v>
      </c>
      <c r="IIH391" s="160">
        <v>0</v>
      </c>
      <c r="III391" s="160">
        <v>0</v>
      </c>
      <c r="IIJ391" s="160">
        <v>0</v>
      </c>
      <c r="IIK391" s="160">
        <v>0</v>
      </c>
      <c r="IIL391" s="160">
        <v>0</v>
      </c>
      <c r="IIM391" s="160">
        <v>0</v>
      </c>
      <c r="IIN391" s="160">
        <v>0</v>
      </c>
      <c r="IIO391" s="160">
        <v>0</v>
      </c>
      <c r="IIP391" s="160">
        <v>0</v>
      </c>
      <c r="IIQ391" s="160">
        <v>0</v>
      </c>
      <c r="IIR391" s="160">
        <v>0</v>
      </c>
      <c r="IIS391" s="160">
        <v>0</v>
      </c>
      <c r="IIT391" s="160">
        <v>0</v>
      </c>
      <c r="IIU391" s="160">
        <v>0</v>
      </c>
      <c r="IIV391" s="160">
        <v>0</v>
      </c>
      <c r="IIW391" s="160">
        <v>0</v>
      </c>
      <c r="IIX391" s="160">
        <v>0</v>
      </c>
      <c r="IIY391" s="160">
        <v>0</v>
      </c>
      <c r="IIZ391" s="160">
        <v>0</v>
      </c>
      <c r="IJA391" s="160">
        <v>0</v>
      </c>
      <c r="IJB391" s="160">
        <v>0</v>
      </c>
      <c r="IJC391" s="160">
        <v>0</v>
      </c>
      <c r="IJD391" s="160">
        <v>0</v>
      </c>
      <c r="IJE391" s="160">
        <v>0</v>
      </c>
      <c r="IJF391" s="160">
        <v>0</v>
      </c>
      <c r="IJG391" s="160">
        <v>0</v>
      </c>
      <c r="IJH391" s="160">
        <v>0</v>
      </c>
      <c r="IJI391" s="160">
        <v>0</v>
      </c>
      <c r="IJJ391" s="160">
        <v>0</v>
      </c>
      <c r="IJK391" s="160">
        <v>0</v>
      </c>
      <c r="IJL391" s="160">
        <v>0</v>
      </c>
      <c r="IJM391" s="160">
        <v>0</v>
      </c>
      <c r="IJN391" s="160">
        <v>0</v>
      </c>
      <c r="IJO391" s="160">
        <v>0</v>
      </c>
      <c r="IJP391" s="160">
        <v>0</v>
      </c>
      <c r="IJQ391" s="160">
        <v>0</v>
      </c>
      <c r="IJR391" s="160">
        <v>0</v>
      </c>
      <c r="IJS391" s="160">
        <v>0</v>
      </c>
      <c r="IJT391" s="160">
        <v>0</v>
      </c>
      <c r="IJU391" s="160">
        <v>0</v>
      </c>
      <c r="IJV391" s="160">
        <v>0</v>
      </c>
      <c r="IJW391" s="160">
        <v>0</v>
      </c>
      <c r="IJX391" s="160">
        <v>0</v>
      </c>
      <c r="IJY391" s="160">
        <v>0</v>
      </c>
      <c r="IJZ391" s="160">
        <v>0</v>
      </c>
      <c r="IKA391" s="160">
        <v>0</v>
      </c>
      <c r="IKB391" s="160">
        <v>0</v>
      </c>
      <c r="IKC391" s="160">
        <v>0</v>
      </c>
      <c r="IKD391" s="160">
        <v>0</v>
      </c>
      <c r="IKE391" s="160">
        <v>0</v>
      </c>
      <c r="IKF391" s="160">
        <v>0</v>
      </c>
      <c r="IKG391" s="160">
        <v>0</v>
      </c>
      <c r="IKH391" s="160">
        <v>0</v>
      </c>
      <c r="IKI391" s="160">
        <v>0</v>
      </c>
      <c r="IKJ391" s="160">
        <v>0</v>
      </c>
      <c r="IKK391" s="160">
        <v>0</v>
      </c>
      <c r="IKL391" s="160">
        <v>0</v>
      </c>
      <c r="IKM391" s="160">
        <v>0</v>
      </c>
      <c r="IKN391" s="160">
        <v>0</v>
      </c>
      <c r="IKO391" s="160">
        <v>0</v>
      </c>
      <c r="IKP391" s="160">
        <v>0</v>
      </c>
      <c r="IKQ391" s="160">
        <v>0</v>
      </c>
      <c r="IKR391" s="160">
        <v>0</v>
      </c>
      <c r="IKS391" s="160">
        <v>0</v>
      </c>
      <c r="IKT391" s="160">
        <v>0</v>
      </c>
      <c r="IKU391" s="160">
        <v>0</v>
      </c>
      <c r="IKV391" s="160">
        <v>0</v>
      </c>
      <c r="IKW391" s="160">
        <v>0</v>
      </c>
      <c r="IKX391" s="160">
        <v>0</v>
      </c>
      <c r="IKY391" s="160">
        <v>0</v>
      </c>
      <c r="IKZ391" s="160">
        <v>0</v>
      </c>
      <c r="ILA391" s="160">
        <v>0</v>
      </c>
      <c r="ILB391" s="160">
        <v>0</v>
      </c>
      <c r="ILC391" s="160">
        <v>0</v>
      </c>
      <c r="ILD391" s="160">
        <v>0</v>
      </c>
      <c r="ILE391" s="160">
        <v>0</v>
      </c>
      <c r="ILF391" s="160">
        <v>0</v>
      </c>
      <c r="ILG391" s="160">
        <v>0</v>
      </c>
      <c r="ILH391" s="160">
        <v>0</v>
      </c>
      <c r="ILI391" s="160">
        <v>0</v>
      </c>
      <c r="ILJ391" s="160">
        <v>0</v>
      </c>
      <c r="ILK391" s="160">
        <v>0</v>
      </c>
      <c r="ILL391" s="160">
        <v>0</v>
      </c>
      <c r="ILM391" s="160">
        <v>0</v>
      </c>
      <c r="ILN391" s="160">
        <v>0</v>
      </c>
      <c r="ILO391" s="160">
        <v>0</v>
      </c>
      <c r="ILP391" s="160">
        <v>0</v>
      </c>
      <c r="ILQ391" s="160">
        <v>0</v>
      </c>
      <c r="ILR391" s="160">
        <v>0</v>
      </c>
      <c r="ILS391" s="160">
        <v>0</v>
      </c>
      <c r="ILT391" s="160">
        <v>0</v>
      </c>
      <c r="ILU391" s="160">
        <v>0</v>
      </c>
      <c r="ILV391" s="160">
        <v>0</v>
      </c>
      <c r="ILW391" s="160">
        <v>0</v>
      </c>
      <c r="ILX391" s="160">
        <v>0</v>
      </c>
      <c r="ILY391" s="160">
        <v>0</v>
      </c>
      <c r="ILZ391" s="160">
        <v>0</v>
      </c>
      <c r="IMA391" s="160">
        <v>0</v>
      </c>
      <c r="IMB391" s="160">
        <v>0</v>
      </c>
      <c r="IMC391" s="160">
        <v>0</v>
      </c>
      <c r="IMD391" s="160">
        <v>0</v>
      </c>
      <c r="IME391" s="160">
        <v>0</v>
      </c>
      <c r="IMF391" s="160">
        <v>0</v>
      </c>
      <c r="IMG391" s="160">
        <v>0</v>
      </c>
      <c r="IMH391" s="160">
        <v>0</v>
      </c>
      <c r="IMI391" s="160">
        <v>0</v>
      </c>
      <c r="IMJ391" s="160">
        <v>0</v>
      </c>
      <c r="IMK391" s="160">
        <v>0</v>
      </c>
      <c r="IML391" s="160">
        <v>0</v>
      </c>
      <c r="IMM391" s="160">
        <v>0</v>
      </c>
      <c r="IMN391" s="160">
        <v>0</v>
      </c>
      <c r="IMO391" s="160">
        <v>0</v>
      </c>
      <c r="IMP391" s="160">
        <v>0</v>
      </c>
      <c r="IMQ391" s="160">
        <v>0</v>
      </c>
      <c r="IMR391" s="160">
        <v>0</v>
      </c>
      <c r="IMS391" s="160">
        <v>0</v>
      </c>
      <c r="IMT391" s="160">
        <v>0</v>
      </c>
      <c r="IMU391" s="160">
        <v>0</v>
      </c>
      <c r="IMV391" s="160">
        <v>0</v>
      </c>
      <c r="IMW391" s="160">
        <v>0</v>
      </c>
      <c r="IMX391" s="160">
        <v>0</v>
      </c>
      <c r="IMY391" s="160">
        <v>0</v>
      </c>
      <c r="IMZ391" s="160">
        <v>0</v>
      </c>
      <c r="INA391" s="160">
        <v>0</v>
      </c>
      <c r="INB391" s="160">
        <v>0</v>
      </c>
      <c r="INC391" s="160">
        <v>0</v>
      </c>
      <c r="IND391" s="160">
        <v>0</v>
      </c>
      <c r="INE391" s="160">
        <v>0</v>
      </c>
      <c r="INF391" s="160">
        <v>0</v>
      </c>
      <c r="ING391" s="160">
        <v>0</v>
      </c>
      <c r="INH391" s="160">
        <v>0</v>
      </c>
      <c r="INI391" s="160">
        <v>0</v>
      </c>
      <c r="INJ391" s="160">
        <v>0</v>
      </c>
      <c r="INK391" s="160">
        <v>0</v>
      </c>
      <c r="INL391" s="160">
        <v>0</v>
      </c>
      <c r="INM391" s="160">
        <v>0</v>
      </c>
      <c r="INN391" s="160">
        <v>0</v>
      </c>
      <c r="INO391" s="160">
        <v>0</v>
      </c>
      <c r="INP391" s="160">
        <v>0</v>
      </c>
      <c r="INQ391" s="160">
        <v>0</v>
      </c>
      <c r="INR391" s="160">
        <v>0</v>
      </c>
      <c r="INS391" s="160">
        <v>0</v>
      </c>
      <c r="INT391" s="160">
        <v>0</v>
      </c>
      <c r="INU391" s="160">
        <v>0</v>
      </c>
      <c r="INV391" s="160">
        <v>0</v>
      </c>
      <c r="INW391" s="160">
        <v>0</v>
      </c>
      <c r="INX391" s="160">
        <v>0</v>
      </c>
      <c r="INY391" s="160">
        <v>0</v>
      </c>
      <c r="INZ391" s="160">
        <v>0</v>
      </c>
      <c r="IOA391" s="160">
        <v>0</v>
      </c>
      <c r="IOB391" s="160">
        <v>0</v>
      </c>
      <c r="IOC391" s="160">
        <v>0</v>
      </c>
      <c r="IOD391" s="160">
        <v>0</v>
      </c>
      <c r="IOE391" s="160">
        <v>0</v>
      </c>
      <c r="IOF391" s="160">
        <v>0</v>
      </c>
      <c r="IOG391" s="160">
        <v>0</v>
      </c>
      <c r="IOH391" s="160">
        <v>0</v>
      </c>
      <c r="IOI391" s="160">
        <v>0</v>
      </c>
      <c r="IOJ391" s="160">
        <v>0</v>
      </c>
      <c r="IOK391" s="160">
        <v>0</v>
      </c>
      <c r="IOL391" s="160">
        <v>0</v>
      </c>
      <c r="IOM391" s="160">
        <v>0</v>
      </c>
      <c r="ION391" s="160">
        <v>0</v>
      </c>
      <c r="IOO391" s="160">
        <v>0</v>
      </c>
      <c r="IOP391" s="160">
        <v>0</v>
      </c>
      <c r="IOQ391" s="160">
        <v>0</v>
      </c>
      <c r="IOR391" s="160">
        <v>0</v>
      </c>
      <c r="IOS391" s="160">
        <v>0</v>
      </c>
      <c r="IOT391" s="160">
        <v>0</v>
      </c>
      <c r="IOU391" s="160">
        <v>0</v>
      </c>
      <c r="IOV391" s="160">
        <v>0</v>
      </c>
      <c r="IOW391" s="160">
        <v>0</v>
      </c>
      <c r="IOX391" s="160">
        <v>0</v>
      </c>
      <c r="IOY391" s="160">
        <v>0</v>
      </c>
      <c r="IOZ391" s="160">
        <v>0</v>
      </c>
      <c r="IPA391" s="160">
        <v>0</v>
      </c>
      <c r="IPB391" s="160">
        <v>0</v>
      </c>
      <c r="IPC391" s="160">
        <v>0</v>
      </c>
      <c r="IPD391" s="160">
        <v>0</v>
      </c>
      <c r="IPE391" s="160">
        <v>0</v>
      </c>
      <c r="IPF391" s="160">
        <v>0</v>
      </c>
      <c r="IPG391" s="160">
        <v>0</v>
      </c>
      <c r="IPH391" s="160">
        <v>0</v>
      </c>
      <c r="IPI391" s="160">
        <v>0</v>
      </c>
      <c r="IPJ391" s="160">
        <v>0</v>
      </c>
      <c r="IPK391" s="160">
        <v>0</v>
      </c>
      <c r="IPL391" s="160">
        <v>0</v>
      </c>
      <c r="IPM391" s="160">
        <v>0</v>
      </c>
      <c r="IPN391" s="160">
        <v>0</v>
      </c>
      <c r="IPO391" s="160">
        <v>0</v>
      </c>
      <c r="IPP391" s="160">
        <v>0</v>
      </c>
      <c r="IPQ391" s="160">
        <v>0</v>
      </c>
      <c r="IPR391" s="160">
        <v>0</v>
      </c>
      <c r="IPS391" s="160">
        <v>0</v>
      </c>
      <c r="IPT391" s="160">
        <v>0</v>
      </c>
      <c r="IPU391" s="160">
        <v>0</v>
      </c>
      <c r="IPV391" s="160">
        <v>0</v>
      </c>
      <c r="IPW391" s="160">
        <v>0</v>
      </c>
      <c r="IPX391" s="160">
        <v>0</v>
      </c>
      <c r="IPY391" s="160">
        <v>0</v>
      </c>
      <c r="IPZ391" s="160">
        <v>0</v>
      </c>
      <c r="IQA391" s="160">
        <v>0</v>
      </c>
      <c r="IQB391" s="160">
        <v>0</v>
      </c>
      <c r="IQC391" s="160">
        <v>0</v>
      </c>
      <c r="IQD391" s="160">
        <v>0</v>
      </c>
      <c r="IQE391" s="160">
        <v>0</v>
      </c>
      <c r="IQF391" s="160">
        <v>0</v>
      </c>
      <c r="IQG391" s="160">
        <v>0</v>
      </c>
      <c r="IQH391" s="160">
        <v>0</v>
      </c>
      <c r="IQI391" s="160">
        <v>0</v>
      </c>
      <c r="IQJ391" s="160">
        <v>0</v>
      </c>
      <c r="IQK391" s="160">
        <v>0</v>
      </c>
      <c r="IQL391" s="160">
        <v>0</v>
      </c>
      <c r="IQM391" s="160">
        <v>0</v>
      </c>
      <c r="IQN391" s="160">
        <v>0</v>
      </c>
      <c r="IQO391" s="160">
        <v>0</v>
      </c>
      <c r="IQP391" s="160">
        <v>0</v>
      </c>
      <c r="IQQ391" s="160">
        <v>0</v>
      </c>
      <c r="IQR391" s="160">
        <v>0</v>
      </c>
      <c r="IQS391" s="160">
        <v>0</v>
      </c>
      <c r="IQT391" s="160">
        <v>0</v>
      </c>
      <c r="IQU391" s="160">
        <v>0</v>
      </c>
      <c r="IQV391" s="160">
        <v>0</v>
      </c>
      <c r="IQW391" s="160">
        <v>0</v>
      </c>
      <c r="IQX391" s="160">
        <v>0</v>
      </c>
      <c r="IQY391" s="160">
        <v>0</v>
      </c>
      <c r="IQZ391" s="160">
        <v>0</v>
      </c>
      <c r="IRA391" s="160">
        <v>0</v>
      </c>
      <c r="IRB391" s="160">
        <v>0</v>
      </c>
      <c r="IRC391" s="160">
        <v>0</v>
      </c>
      <c r="IRD391" s="160">
        <v>0</v>
      </c>
      <c r="IRE391" s="160">
        <v>0</v>
      </c>
      <c r="IRF391" s="160">
        <v>0</v>
      </c>
      <c r="IRG391" s="160">
        <v>0</v>
      </c>
      <c r="IRH391" s="160">
        <v>0</v>
      </c>
      <c r="IRI391" s="160">
        <v>0</v>
      </c>
      <c r="IRJ391" s="160">
        <v>0</v>
      </c>
      <c r="IRK391" s="160">
        <v>0</v>
      </c>
      <c r="IRL391" s="160">
        <v>0</v>
      </c>
      <c r="IRM391" s="160">
        <v>0</v>
      </c>
      <c r="IRN391" s="160">
        <v>0</v>
      </c>
      <c r="IRO391" s="160">
        <v>0</v>
      </c>
      <c r="IRP391" s="160">
        <v>0</v>
      </c>
      <c r="IRQ391" s="160">
        <v>0</v>
      </c>
      <c r="IRR391" s="160">
        <v>0</v>
      </c>
      <c r="IRS391" s="160">
        <v>0</v>
      </c>
      <c r="IRT391" s="160">
        <v>0</v>
      </c>
      <c r="IRU391" s="160">
        <v>0</v>
      </c>
      <c r="IRV391" s="160">
        <v>0</v>
      </c>
      <c r="IRW391" s="160">
        <v>0</v>
      </c>
      <c r="IRX391" s="160">
        <v>0</v>
      </c>
      <c r="IRY391" s="160">
        <v>0</v>
      </c>
      <c r="IRZ391" s="160">
        <v>0</v>
      </c>
      <c r="ISA391" s="160">
        <v>0</v>
      </c>
      <c r="ISB391" s="160">
        <v>0</v>
      </c>
      <c r="ISC391" s="160">
        <v>0</v>
      </c>
      <c r="ISD391" s="160">
        <v>0</v>
      </c>
      <c r="ISE391" s="160">
        <v>0</v>
      </c>
      <c r="ISF391" s="160">
        <v>0</v>
      </c>
      <c r="ISG391" s="160">
        <v>0</v>
      </c>
      <c r="ISH391" s="160">
        <v>0</v>
      </c>
      <c r="ISI391" s="160">
        <v>0</v>
      </c>
      <c r="ISJ391" s="160">
        <v>0</v>
      </c>
      <c r="ISK391" s="160">
        <v>0</v>
      </c>
      <c r="ISL391" s="160">
        <v>0</v>
      </c>
      <c r="ISM391" s="160">
        <v>0</v>
      </c>
      <c r="ISN391" s="160">
        <v>0</v>
      </c>
      <c r="ISO391" s="160">
        <v>0</v>
      </c>
      <c r="ISP391" s="160">
        <v>0</v>
      </c>
      <c r="ISQ391" s="160">
        <v>0</v>
      </c>
      <c r="ISR391" s="160">
        <v>0</v>
      </c>
      <c r="ISS391" s="160">
        <v>0</v>
      </c>
      <c r="IST391" s="160">
        <v>0</v>
      </c>
      <c r="ISU391" s="160">
        <v>0</v>
      </c>
      <c r="ISV391" s="160">
        <v>0</v>
      </c>
      <c r="ISW391" s="160">
        <v>0</v>
      </c>
      <c r="ISX391" s="160">
        <v>0</v>
      </c>
      <c r="ISY391" s="160">
        <v>0</v>
      </c>
      <c r="ISZ391" s="160">
        <v>0</v>
      </c>
      <c r="ITA391" s="160">
        <v>0</v>
      </c>
      <c r="ITB391" s="160">
        <v>0</v>
      </c>
      <c r="ITC391" s="160">
        <v>0</v>
      </c>
      <c r="ITD391" s="160">
        <v>0</v>
      </c>
      <c r="ITE391" s="160">
        <v>0</v>
      </c>
      <c r="ITF391" s="160">
        <v>0</v>
      </c>
      <c r="ITG391" s="160">
        <v>0</v>
      </c>
      <c r="ITH391" s="160">
        <v>0</v>
      </c>
      <c r="ITI391" s="160">
        <v>0</v>
      </c>
      <c r="ITJ391" s="160">
        <v>0</v>
      </c>
      <c r="ITK391" s="160">
        <v>0</v>
      </c>
      <c r="ITL391" s="160">
        <v>0</v>
      </c>
      <c r="ITM391" s="160">
        <v>0</v>
      </c>
      <c r="ITN391" s="160">
        <v>0</v>
      </c>
      <c r="ITO391" s="160">
        <v>0</v>
      </c>
      <c r="ITP391" s="160">
        <v>0</v>
      </c>
      <c r="ITQ391" s="160">
        <v>0</v>
      </c>
      <c r="ITR391" s="160">
        <v>0</v>
      </c>
      <c r="ITS391" s="160">
        <v>0</v>
      </c>
      <c r="ITT391" s="160">
        <v>0</v>
      </c>
      <c r="ITU391" s="160">
        <v>0</v>
      </c>
      <c r="ITV391" s="160">
        <v>0</v>
      </c>
      <c r="ITW391" s="160">
        <v>0</v>
      </c>
      <c r="ITX391" s="160">
        <v>0</v>
      </c>
      <c r="ITY391" s="160">
        <v>0</v>
      </c>
      <c r="ITZ391" s="160">
        <v>0</v>
      </c>
      <c r="IUA391" s="160">
        <v>0</v>
      </c>
      <c r="IUB391" s="160">
        <v>0</v>
      </c>
      <c r="IUC391" s="160">
        <v>0</v>
      </c>
      <c r="IUD391" s="160">
        <v>0</v>
      </c>
      <c r="IUE391" s="160">
        <v>0</v>
      </c>
      <c r="IUF391" s="160">
        <v>0</v>
      </c>
      <c r="IUG391" s="160">
        <v>0</v>
      </c>
      <c r="IUH391" s="160">
        <v>0</v>
      </c>
      <c r="IUI391" s="160">
        <v>0</v>
      </c>
      <c r="IUJ391" s="160">
        <v>0</v>
      </c>
      <c r="IUK391" s="160">
        <v>0</v>
      </c>
      <c r="IUL391" s="160">
        <v>0</v>
      </c>
      <c r="IUM391" s="160">
        <v>0</v>
      </c>
      <c r="IUN391" s="160">
        <v>0</v>
      </c>
      <c r="IUO391" s="160">
        <v>0</v>
      </c>
      <c r="IUP391" s="160">
        <v>0</v>
      </c>
      <c r="IUQ391" s="160">
        <v>0</v>
      </c>
      <c r="IUR391" s="160">
        <v>0</v>
      </c>
      <c r="IUS391" s="160">
        <v>0</v>
      </c>
      <c r="IUT391" s="160">
        <v>0</v>
      </c>
      <c r="IUU391" s="160">
        <v>0</v>
      </c>
      <c r="IUV391" s="160">
        <v>0</v>
      </c>
      <c r="IUW391" s="160">
        <v>0</v>
      </c>
      <c r="IUX391" s="160">
        <v>0</v>
      </c>
      <c r="IUY391" s="160">
        <v>0</v>
      </c>
      <c r="IUZ391" s="160">
        <v>0</v>
      </c>
      <c r="IVA391" s="160">
        <v>0</v>
      </c>
      <c r="IVB391" s="160">
        <v>0</v>
      </c>
      <c r="IVC391" s="160">
        <v>0</v>
      </c>
      <c r="IVD391" s="160">
        <v>0</v>
      </c>
      <c r="IVE391" s="160">
        <v>0</v>
      </c>
      <c r="IVF391" s="160">
        <v>0</v>
      </c>
      <c r="IVG391" s="160">
        <v>0</v>
      </c>
      <c r="IVH391" s="160">
        <v>0</v>
      </c>
      <c r="IVI391" s="160">
        <v>0</v>
      </c>
      <c r="IVJ391" s="160">
        <v>0</v>
      </c>
      <c r="IVK391" s="160">
        <v>0</v>
      </c>
      <c r="IVL391" s="160">
        <v>0</v>
      </c>
      <c r="IVM391" s="160">
        <v>0</v>
      </c>
      <c r="IVN391" s="160">
        <v>0</v>
      </c>
      <c r="IVO391" s="160">
        <v>0</v>
      </c>
      <c r="IVP391" s="160">
        <v>0</v>
      </c>
      <c r="IVQ391" s="160">
        <v>0</v>
      </c>
      <c r="IVR391" s="160">
        <v>0</v>
      </c>
      <c r="IVS391" s="160">
        <v>0</v>
      </c>
      <c r="IVT391" s="160">
        <v>0</v>
      </c>
      <c r="IVU391" s="160">
        <v>0</v>
      </c>
      <c r="IVV391" s="160">
        <v>0</v>
      </c>
      <c r="IVW391" s="160">
        <v>0</v>
      </c>
      <c r="IVX391" s="160">
        <v>0</v>
      </c>
      <c r="IVY391" s="160">
        <v>0</v>
      </c>
      <c r="IVZ391" s="160">
        <v>0</v>
      </c>
      <c r="IWA391" s="160">
        <v>0</v>
      </c>
      <c r="IWB391" s="160">
        <v>0</v>
      </c>
      <c r="IWC391" s="160">
        <v>0</v>
      </c>
      <c r="IWD391" s="160">
        <v>0</v>
      </c>
      <c r="IWE391" s="160">
        <v>0</v>
      </c>
      <c r="IWF391" s="160">
        <v>0</v>
      </c>
      <c r="IWG391" s="160">
        <v>0</v>
      </c>
      <c r="IWH391" s="160">
        <v>0</v>
      </c>
      <c r="IWI391" s="160">
        <v>0</v>
      </c>
      <c r="IWJ391" s="160">
        <v>0</v>
      </c>
      <c r="IWK391" s="160">
        <v>0</v>
      </c>
      <c r="IWL391" s="160">
        <v>0</v>
      </c>
      <c r="IWM391" s="160">
        <v>0</v>
      </c>
      <c r="IWN391" s="160">
        <v>0</v>
      </c>
      <c r="IWO391" s="160">
        <v>0</v>
      </c>
      <c r="IWP391" s="160">
        <v>0</v>
      </c>
      <c r="IWQ391" s="160">
        <v>0</v>
      </c>
      <c r="IWR391" s="160">
        <v>0</v>
      </c>
      <c r="IWS391" s="160">
        <v>0</v>
      </c>
      <c r="IWT391" s="160">
        <v>0</v>
      </c>
      <c r="IWU391" s="160">
        <v>0</v>
      </c>
      <c r="IWV391" s="160">
        <v>0</v>
      </c>
      <c r="IWW391" s="160">
        <v>0</v>
      </c>
      <c r="IWX391" s="160">
        <v>0</v>
      </c>
      <c r="IWY391" s="160">
        <v>0</v>
      </c>
      <c r="IWZ391" s="160">
        <v>0</v>
      </c>
      <c r="IXA391" s="160">
        <v>0</v>
      </c>
      <c r="IXB391" s="160">
        <v>0</v>
      </c>
      <c r="IXC391" s="160">
        <v>0</v>
      </c>
      <c r="IXD391" s="160">
        <v>0</v>
      </c>
      <c r="IXE391" s="160">
        <v>0</v>
      </c>
      <c r="IXF391" s="160">
        <v>0</v>
      </c>
      <c r="IXG391" s="160">
        <v>0</v>
      </c>
      <c r="IXH391" s="160">
        <v>0</v>
      </c>
      <c r="IXI391" s="160">
        <v>0</v>
      </c>
      <c r="IXJ391" s="160">
        <v>0</v>
      </c>
      <c r="IXK391" s="160">
        <v>0</v>
      </c>
      <c r="IXL391" s="160">
        <v>0</v>
      </c>
      <c r="IXM391" s="160">
        <v>0</v>
      </c>
      <c r="IXN391" s="160">
        <v>0</v>
      </c>
      <c r="IXO391" s="160">
        <v>0</v>
      </c>
      <c r="IXP391" s="160">
        <v>0</v>
      </c>
      <c r="IXQ391" s="160">
        <v>0</v>
      </c>
      <c r="IXR391" s="160">
        <v>0</v>
      </c>
      <c r="IXS391" s="160">
        <v>0</v>
      </c>
      <c r="IXT391" s="160">
        <v>0</v>
      </c>
      <c r="IXU391" s="160">
        <v>0</v>
      </c>
      <c r="IXV391" s="160">
        <v>0</v>
      </c>
      <c r="IXW391" s="160">
        <v>0</v>
      </c>
      <c r="IXX391" s="160">
        <v>0</v>
      </c>
      <c r="IXY391" s="160">
        <v>0</v>
      </c>
      <c r="IXZ391" s="160">
        <v>0</v>
      </c>
      <c r="IYA391" s="160">
        <v>0</v>
      </c>
      <c r="IYB391" s="160">
        <v>0</v>
      </c>
      <c r="IYC391" s="160">
        <v>0</v>
      </c>
      <c r="IYD391" s="160">
        <v>0</v>
      </c>
      <c r="IYE391" s="160">
        <v>0</v>
      </c>
      <c r="IYF391" s="160">
        <v>0</v>
      </c>
      <c r="IYG391" s="160">
        <v>0</v>
      </c>
      <c r="IYH391" s="160">
        <v>0</v>
      </c>
      <c r="IYI391" s="160">
        <v>0</v>
      </c>
      <c r="IYJ391" s="160">
        <v>0</v>
      </c>
      <c r="IYK391" s="160">
        <v>0</v>
      </c>
      <c r="IYL391" s="160">
        <v>0</v>
      </c>
      <c r="IYM391" s="160">
        <v>0</v>
      </c>
      <c r="IYN391" s="160">
        <v>0</v>
      </c>
      <c r="IYO391" s="160">
        <v>0</v>
      </c>
      <c r="IYP391" s="160">
        <v>0</v>
      </c>
      <c r="IYQ391" s="160">
        <v>0</v>
      </c>
      <c r="IYR391" s="160">
        <v>0</v>
      </c>
      <c r="IYS391" s="160">
        <v>0</v>
      </c>
      <c r="IYT391" s="160">
        <v>0</v>
      </c>
      <c r="IYU391" s="160">
        <v>0</v>
      </c>
      <c r="IYV391" s="160">
        <v>0</v>
      </c>
      <c r="IYW391" s="160">
        <v>0</v>
      </c>
      <c r="IYX391" s="160">
        <v>0</v>
      </c>
      <c r="IYY391" s="160">
        <v>0</v>
      </c>
      <c r="IYZ391" s="160">
        <v>0</v>
      </c>
      <c r="IZA391" s="160">
        <v>0</v>
      </c>
      <c r="IZB391" s="160">
        <v>0</v>
      </c>
      <c r="IZC391" s="160">
        <v>0</v>
      </c>
      <c r="IZD391" s="160">
        <v>0</v>
      </c>
      <c r="IZE391" s="160">
        <v>0</v>
      </c>
      <c r="IZF391" s="160">
        <v>0</v>
      </c>
      <c r="IZG391" s="160">
        <v>0</v>
      </c>
      <c r="IZH391" s="160">
        <v>0</v>
      </c>
      <c r="IZI391" s="160">
        <v>0</v>
      </c>
      <c r="IZJ391" s="160">
        <v>0</v>
      </c>
      <c r="IZK391" s="160">
        <v>0</v>
      </c>
      <c r="IZL391" s="160">
        <v>0</v>
      </c>
      <c r="IZM391" s="160">
        <v>0</v>
      </c>
      <c r="IZN391" s="160">
        <v>0</v>
      </c>
      <c r="IZO391" s="160">
        <v>0</v>
      </c>
      <c r="IZP391" s="160">
        <v>0</v>
      </c>
      <c r="IZQ391" s="160">
        <v>0</v>
      </c>
      <c r="IZR391" s="160">
        <v>0</v>
      </c>
      <c r="IZS391" s="160">
        <v>0</v>
      </c>
      <c r="IZT391" s="160">
        <v>0</v>
      </c>
      <c r="IZU391" s="160">
        <v>0</v>
      </c>
      <c r="IZV391" s="160">
        <v>0</v>
      </c>
      <c r="IZW391" s="160">
        <v>0</v>
      </c>
      <c r="IZX391" s="160">
        <v>0</v>
      </c>
      <c r="IZY391" s="160">
        <v>0</v>
      </c>
      <c r="IZZ391" s="160">
        <v>0</v>
      </c>
      <c r="JAA391" s="160">
        <v>0</v>
      </c>
      <c r="JAB391" s="160">
        <v>0</v>
      </c>
      <c r="JAC391" s="160">
        <v>0</v>
      </c>
      <c r="JAD391" s="160">
        <v>0</v>
      </c>
      <c r="JAE391" s="160">
        <v>0</v>
      </c>
      <c r="JAF391" s="160">
        <v>0</v>
      </c>
      <c r="JAG391" s="160">
        <v>0</v>
      </c>
      <c r="JAH391" s="160">
        <v>0</v>
      </c>
      <c r="JAI391" s="160">
        <v>0</v>
      </c>
      <c r="JAJ391" s="160">
        <v>0</v>
      </c>
      <c r="JAK391" s="160">
        <v>0</v>
      </c>
      <c r="JAL391" s="160">
        <v>0</v>
      </c>
      <c r="JAM391" s="160">
        <v>0</v>
      </c>
      <c r="JAN391" s="160">
        <v>0</v>
      </c>
      <c r="JAO391" s="160">
        <v>0</v>
      </c>
      <c r="JAP391" s="160">
        <v>0</v>
      </c>
      <c r="JAQ391" s="160">
        <v>0</v>
      </c>
      <c r="JAR391" s="160">
        <v>0</v>
      </c>
      <c r="JAS391" s="160">
        <v>0</v>
      </c>
      <c r="JAT391" s="160">
        <v>0</v>
      </c>
      <c r="JAU391" s="160">
        <v>0</v>
      </c>
      <c r="JAV391" s="160">
        <v>0</v>
      </c>
      <c r="JAW391" s="160">
        <v>0</v>
      </c>
      <c r="JAX391" s="160">
        <v>0</v>
      </c>
      <c r="JAY391" s="160">
        <v>0</v>
      </c>
      <c r="JAZ391" s="160">
        <v>0</v>
      </c>
      <c r="JBA391" s="160">
        <v>0</v>
      </c>
      <c r="JBB391" s="160">
        <v>0</v>
      </c>
      <c r="JBC391" s="160">
        <v>0</v>
      </c>
      <c r="JBD391" s="160">
        <v>0</v>
      </c>
      <c r="JBE391" s="160">
        <v>0</v>
      </c>
      <c r="JBF391" s="160">
        <v>0</v>
      </c>
      <c r="JBG391" s="160">
        <v>0</v>
      </c>
      <c r="JBH391" s="160">
        <v>0</v>
      </c>
      <c r="JBI391" s="160">
        <v>0</v>
      </c>
      <c r="JBJ391" s="160">
        <v>0</v>
      </c>
      <c r="JBK391" s="160">
        <v>0</v>
      </c>
      <c r="JBL391" s="160">
        <v>0</v>
      </c>
      <c r="JBM391" s="160">
        <v>0</v>
      </c>
      <c r="JBN391" s="160">
        <v>0</v>
      </c>
      <c r="JBO391" s="160">
        <v>0</v>
      </c>
      <c r="JBP391" s="160">
        <v>0</v>
      </c>
      <c r="JBQ391" s="160">
        <v>0</v>
      </c>
      <c r="JBR391" s="160">
        <v>0</v>
      </c>
      <c r="JBS391" s="160">
        <v>0</v>
      </c>
      <c r="JBT391" s="160">
        <v>0</v>
      </c>
      <c r="JBU391" s="160">
        <v>0</v>
      </c>
      <c r="JBV391" s="160">
        <v>0</v>
      </c>
      <c r="JBW391" s="160">
        <v>0</v>
      </c>
      <c r="JBX391" s="160">
        <v>0</v>
      </c>
      <c r="JBY391" s="160">
        <v>0</v>
      </c>
      <c r="JBZ391" s="160">
        <v>0</v>
      </c>
      <c r="JCA391" s="160">
        <v>0</v>
      </c>
      <c r="JCB391" s="160">
        <v>0</v>
      </c>
      <c r="JCC391" s="160">
        <v>0</v>
      </c>
      <c r="JCD391" s="160">
        <v>0</v>
      </c>
      <c r="JCE391" s="160">
        <v>0</v>
      </c>
      <c r="JCF391" s="160">
        <v>0</v>
      </c>
      <c r="JCG391" s="160">
        <v>0</v>
      </c>
      <c r="JCH391" s="160">
        <v>0</v>
      </c>
      <c r="JCI391" s="160">
        <v>0</v>
      </c>
      <c r="JCJ391" s="160">
        <v>0</v>
      </c>
      <c r="JCK391" s="160">
        <v>0</v>
      </c>
      <c r="JCL391" s="160">
        <v>0</v>
      </c>
      <c r="JCM391" s="160">
        <v>0</v>
      </c>
      <c r="JCN391" s="160">
        <v>0</v>
      </c>
      <c r="JCO391" s="160">
        <v>0</v>
      </c>
      <c r="JCP391" s="160">
        <v>0</v>
      </c>
      <c r="JCQ391" s="160">
        <v>0</v>
      </c>
      <c r="JCR391" s="160">
        <v>0</v>
      </c>
      <c r="JCS391" s="160">
        <v>0</v>
      </c>
      <c r="JCT391" s="160">
        <v>0</v>
      </c>
      <c r="JCU391" s="160">
        <v>0</v>
      </c>
      <c r="JCV391" s="160">
        <v>0</v>
      </c>
      <c r="JCW391" s="160">
        <v>0</v>
      </c>
      <c r="JCX391" s="160">
        <v>0</v>
      </c>
      <c r="JCY391" s="160">
        <v>0</v>
      </c>
      <c r="JCZ391" s="160">
        <v>0</v>
      </c>
      <c r="JDA391" s="160">
        <v>0</v>
      </c>
      <c r="JDB391" s="160">
        <v>0</v>
      </c>
      <c r="JDC391" s="160">
        <v>0</v>
      </c>
      <c r="JDD391" s="160">
        <v>0</v>
      </c>
      <c r="JDE391" s="160">
        <v>0</v>
      </c>
      <c r="JDF391" s="160">
        <v>0</v>
      </c>
      <c r="JDG391" s="160">
        <v>0</v>
      </c>
      <c r="JDH391" s="160">
        <v>0</v>
      </c>
      <c r="JDI391" s="160">
        <v>0</v>
      </c>
      <c r="JDJ391" s="160">
        <v>0</v>
      </c>
      <c r="JDK391" s="160">
        <v>0</v>
      </c>
      <c r="JDL391" s="160">
        <v>0</v>
      </c>
      <c r="JDM391" s="160">
        <v>0</v>
      </c>
      <c r="JDN391" s="160">
        <v>0</v>
      </c>
      <c r="JDO391" s="160">
        <v>0</v>
      </c>
      <c r="JDP391" s="160">
        <v>0</v>
      </c>
      <c r="JDQ391" s="160">
        <v>0</v>
      </c>
      <c r="JDR391" s="160">
        <v>0</v>
      </c>
      <c r="JDS391" s="160">
        <v>0</v>
      </c>
      <c r="JDT391" s="160">
        <v>0</v>
      </c>
      <c r="JDU391" s="160">
        <v>0</v>
      </c>
      <c r="JDV391" s="160">
        <v>0</v>
      </c>
      <c r="JDW391" s="160">
        <v>0</v>
      </c>
      <c r="JDX391" s="160">
        <v>0</v>
      </c>
      <c r="JDY391" s="160">
        <v>0</v>
      </c>
      <c r="JDZ391" s="160">
        <v>0</v>
      </c>
      <c r="JEA391" s="160">
        <v>0</v>
      </c>
      <c r="JEB391" s="160">
        <v>0</v>
      </c>
      <c r="JEC391" s="160">
        <v>0</v>
      </c>
      <c r="JED391" s="160">
        <v>0</v>
      </c>
      <c r="JEE391" s="160">
        <v>0</v>
      </c>
      <c r="JEF391" s="160">
        <v>0</v>
      </c>
      <c r="JEG391" s="160">
        <v>0</v>
      </c>
      <c r="JEH391" s="160">
        <v>0</v>
      </c>
      <c r="JEI391" s="160">
        <v>0</v>
      </c>
      <c r="JEJ391" s="160">
        <v>0</v>
      </c>
      <c r="JEK391" s="160">
        <v>0</v>
      </c>
      <c r="JEL391" s="160">
        <v>0</v>
      </c>
      <c r="JEM391" s="160">
        <v>0</v>
      </c>
      <c r="JEN391" s="160">
        <v>0</v>
      </c>
      <c r="JEO391" s="160">
        <v>0</v>
      </c>
      <c r="JEP391" s="160">
        <v>0</v>
      </c>
      <c r="JEQ391" s="160">
        <v>0</v>
      </c>
      <c r="JER391" s="160">
        <v>0</v>
      </c>
      <c r="JES391" s="160">
        <v>0</v>
      </c>
      <c r="JET391" s="160">
        <v>0</v>
      </c>
      <c r="JEU391" s="160">
        <v>0</v>
      </c>
      <c r="JEV391" s="160">
        <v>0</v>
      </c>
      <c r="JEW391" s="160">
        <v>0</v>
      </c>
      <c r="JEX391" s="160">
        <v>0</v>
      </c>
      <c r="JEY391" s="160">
        <v>0</v>
      </c>
      <c r="JEZ391" s="160">
        <v>0</v>
      </c>
      <c r="JFA391" s="160">
        <v>0</v>
      </c>
      <c r="JFB391" s="160">
        <v>0</v>
      </c>
      <c r="JFC391" s="160">
        <v>0</v>
      </c>
      <c r="JFD391" s="160">
        <v>0</v>
      </c>
      <c r="JFE391" s="160">
        <v>0</v>
      </c>
      <c r="JFF391" s="160">
        <v>0</v>
      </c>
      <c r="JFG391" s="160">
        <v>0</v>
      </c>
      <c r="JFH391" s="160">
        <v>0</v>
      </c>
      <c r="JFI391" s="160">
        <v>0</v>
      </c>
      <c r="JFJ391" s="160">
        <v>0</v>
      </c>
      <c r="JFK391" s="160">
        <v>0</v>
      </c>
      <c r="JFL391" s="160">
        <v>0</v>
      </c>
      <c r="JFM391" s="160">
        <v>0</v>
      </c>
      <c r="JFN391" s="160">
        <v>0</v>
      </c>
      <c r="JFO391" s="160">
        <v>0</v>
      </c>
      <c r="JFP391" s="160">
        <v>0</v>
      </c>
      <c r="JFQ391" s="160">
        <v>0</v>
      </c>
      <c r="JFR391" s="160">
        <v>0</v>
      </c>
      <c r="JFS391" s="160">
        <v>0</v>
      </c>
      <c r="JFT391" s="160">
        <v>0</v>
      </c>
      <c r="JFU391" s="160">
        <v>0</v>
      </c>
      <c r="JFV391" s="160">
        <v>0</v>
      </c>
      <c r="JFW391" s="160">
        <v>0</v>
      </c>
      <c r="JFX391" s="160">
        <v>0</v>
      </c>
      <c r="JFY391" s="160">
        <v>0</v>
      </c>
      <c r="JFZ391" s="160">
        <v>0</v>
      </c>
      <c r="JGA391" s="160">
        <v>0</v>
      </c>
      <c r="JGB391" s="160">
        <v>0</v>
      </c>
      <c r="JGC391" s="160">
        <v>0</v>
      </c>
      <c r="JGD391" s="160">
        <v>0</v>
      </c>
      <c r="JGE391" s="160">
        <v>0</v>
      </c>
      <c r="JGF391" s="160">
        <v>0</v>
      </c>
      <c r="JGG391" s="160">
        <v>0</v>
      </c>
      <c r="JGH391" s="160">
        <v>0</v>
      </c>
      <c r="JGI391" s="160">
        <v>0</v>
      </c>
      <c r="JGJ391" s="160">
        <v>0</v>
      </c>
      <c r="JGK391" s="160">
        <v>0</v>
      </c>
      <c r="JGL391" s="160">
        <v>0</v>
      </c>
      <c r="JGM391" s="160">
        <v>0</v>
      </c>
      <c r="JGN391" s="160">
        <v>0</v>
      </c>
      <c r="JGO391" s="160">
        <v>0</v>
      </c>
      <c r="JGP391" s="160">
        <v>0</v>
      </c>
      <c r="JGQ391" s="160">
        <v>0</v>
      </c>
      <c r="JGR391" s="160">
        <v>0</v>
      </c>
      <c r="JGS391" s="160">
        <v>0</v>
      </c>
      <c r="JGT391" s="160">
        <v>0</v>
      </c>
      <c r="JGU391" s="160">
        <v>0</v>
      </c>
      <c r="JGV391" s="160">
        <v>0</v>
      </c>
      <c r="JGW391" s="160">
        <v>0</v>
      </c>
      <c r="JGX391" s="160">
        <v>0</v>
      </c>
      <c r="JGY391" s="160">
        <v>0</v>
      </c>
      <c r="JGZ391" s="160">
        <v>0</v>
      </c>
      <c r="JHA391" s="160">
        <v>0</v>
      </c>
      <c r="JHB391" s="160">
        <v>0</v>
      </c>
      <c r="JHC391" s="160">
        <v>0</v>
      </c>
      <c r="JHD391" s="160">
        <v>0</v>
      </c>
      <c r="JHE391" s="160">
        <v>0</v>
      </c>
      <c r="JHF391" s="160">
        <v>0</v>
      </c>
      <c r="JHG391" s="160">
        <v>0</v>
      </c>
      <c r="JHH391" s="160">
        <v>0</v>
      </c>
      <c r="JHI391" s="160">
        <v>0</v>
      </c>
      <c r="JHJ391" s="160">
        <v>0</v>
      </c>
      <c r="JHK391" s="160">
        <v>0</v>
      </c>
      <c r="JHL391" s="160">
        <v>0</v>
      </c>
      <c r="JHM391" s="160">
        <v>0</v>
      </c>
      <c r="JHN391" s="160">
        <v>0</v>
      </c>
      <c r="JHO391" s="160">
        <v>0</v>
      </c>
      <c r="JHP391" s="160">
        <v>0</v>
      </c>
      <c r="JHQ391" s="160">
        <v>0</v>
      </c>
      <c r="JHR391" s="160">
        <v>0</v>
      </c>
      <c r="JHS391" s="160">
        <v>0</v>
      </c>
      <c r="JHT391" s="160">
        <v>0</v>
      </c>
      <c r="JHU391" s="160">
        <v>0</v>
      </c>
      <c r="JHV391" s="160">
        <v>0</v>
      </c>
      <c r="JHW391" s="160">
        <v>0</v>
      </c>
      <c r="JHX391" s="160">
        <v>0</v>
      </c>
      <c r="JHY391" s="160">
        <v>0</v>
      </c>
      <c r="JHZ391" s="160">
        <v>0</v>
      </c>
      <c r="JIA391" s="160">
        <v>0</v>
      </c>
      <c r="JIB391" s="160">
        <v>0</v>
      </c>
      <c r="JIC391" s="160">
        <v>0</v>
      </c>
      <c r="JID391" s="160">
        <v>0</v>
      </c>
      <c r="JIE391" s="160">
        <v>0</v>
      </c>
      <c r="JIF391" s="160">
        <v>0</v>
      </c>
      <c r="JIG391" s="160">
        <v>0</v>
      </c>
      <c r="JIH391" s="160">
        <v>0</v>
      </c>
      <c r="JII391" s="160">
        <v>0</v>
      </c>
      <c r="JIJ391" s="160">
        <v>0</v>
      </c>
      <c r="JIK391" s="160">
        <v>0</v>
      </c>
      <c r="JIL391" s="160">
        <v>0</v>
      </c>
      <c r="JIM391" s="160">
        <v>0</v>
      </c>
      <c r="JIN391" s="160">
        <v>0</v>
      </c>
      <c r="JIO391" s="160">
        <v>0</v>
      </c>
      <c r="JIP391" s="160">
        <v>0</v>
      </c>
      <c r="JIQ391" s="160">
        <v>0</v>
      </c>
      <c r="JIR391" s="160">
        <v>0</v>
      </c>
      <c r="JIS391" s="160">
        <v>0</v>
      </c>
      <c r="JIT391" s="160">
        <v>0</v>
      </c>
      <c r="JIU391" s="160">
        <v>0</v>
      </c>
      <c r="JIV391" s="160">
        <v>0</v>
      </c>
      <c r="JIW391" s="160">
        <v>0</v>
      </c>
      <c r="JIX391" s="160">
        <v>0</v>
      </c>
      <c r="JIY391" s="160">
        <v>0</v>
      </c>
      <c r="JIZ391" s="160">
        <v>0</v>
      </c>
      <c r="JJA391" s="160">
        <v>0</v>
      </c>
      <c r="JJB391" s="160">
        <v>0</v>
      </c>
      <c r="JJC391" s="160">
        <v>0</v>
      </c>
      <c r="JJD391" s="160">
        <v>0</v>
      </c>
      <c r="JJE391" s="160">
        <v>0</v>
      </c>
      <c r="JJF391" s="160">
        <v>0</v>
      </c>
      <c r="JJG391" s="160">
        <v>0</v>
      </c>
      <c r="JJH391" s="160">
        <v>0</v>
      </c>
      <c r="JJI391" s="160">
        <v>0</v>
      </c>
      <c r="JJJ391" s="160">
        <v>0</v>
      </c>
      <c r="JJK391" s="160">
        <v>0</v>
      </c>
      <c r="JJL391" s="160">
        <v>0</v>
      </c>
      <c r="JJM391" s="160">
        <v>0</v>
      </c>
      <c r="JJN391" s="160">
        <v>0</v>
      </c>
      <c r="JJO391" s="160">
        <v>0</v>
      </c>
      <c r="JJP391" s="160">
        <v>0</v>
      </c>
      <c r="JJQ391" s="160">
        <v>0</v>
      </c>
      <c r="JJR391" s="160">
        <v>0</v>
      </c>
      <c r="JJS391" s="160">
        <v>0</v>
      </c>
      <c r="JJT391" s="160">
        <v>0</v>
      </c>
      <c r="JJU391" s="160">
        <v>0</v>
      </c>
      <c r="JJV391" s="160">
        <v>0</v>
      </c>
      <c r="JJW391" s="160">
        <v>0</v>
      </c>
      <c r="JJX391" s="160">
        <v>0</v>
      </c>
      <c r="JJY391" s="160">
        <v>0</v>
      </c>
      <c r="JJZ391" s="160">
        <v>0</v>
      </c>
      <c r="JKA391" s="160">
        <v>0</v>
      </c>
      <c r="JKB391" s="160">
        <v>0</v>
      </c>
      <c r="JKC391" s="160">
        <v>0</v>
      </c>
      <c r="JKD391" s="160">
        <v>0</v>
      </c>
      <c r="JKE391" s="160">
        <v>0</v>
      </c>
      <c r="JKF391" s="160">
        <v>0</v>
      </c>
      <c r="JKG391" s="160">
        <v>0</v>
      </c>
      <c r="JKH391" s="160">
        <v>0</v>
      </c>
      <c r="JKI391" s="160">
        <v>0</v>
      </c>
      <c r="JKJ391" s="160">
        <v>0</v>
      </c>
      <c r="JKK391" s="160">
        <v>0</v>
      </c>
      <c r="JKL391" s="160">
        <v>0</v>
      </c>
      <c r="JKM391" s="160">
        <v>0</v>
      </c>
      <c r="JKN391" s="160">
        <v>0</v>
      </c>
      <c r="JKO391" s="160">
        <v>0</v>
      </c>
      <c r="JKP391" s="160">
        <v>0</v>
      </c>
      <c r="JKQ391" s="160">
        <v>0</v>
      </c>
      <c r="JKR391" s="160">
        <v>0</v>
      </c>
      <c r="JKS391" s="160">
        <v>0</v>
      </c>
      <c r="JKT391" s="160">
        <v>0</v>
      </c>
      <c r="JKU391" s="160">
        <v>0</v>
      </c>
      <c r="JKV391" s="160">
        <v>0</v>
      </c>
      <c r="JKW391" s="160">
        <v>0</v>
      </c>
      <c r="JKX391" s="160">
        <v>0</v>
      </c>
      <c r="JKY391" s="160">
        <v>0</v>
      </c>
      <c r="JKZ391" s="160">
        <v>0</v>
      </c>
      <c r="JLA391" s="160">
        <v>0</v>
      </c>
      <c r="JLB391" s="160">
        <v>0</v>
      </c>
      <c r="JLC391" s="160">
        <v>0</v>
      </c>
      <c r="JLD391" s="160">
        <v>0</v>
      </c>
      <c r="JLE391" s="160">
        <v>0</v>
      </c>
      <c r="JLF391" s="160">
        <v>0</v>
      </c>
      <c r="JLG391" s="160">
        <v>0</v>
      </c>
      <c r="JLH391" s="160">
        <v>0</v>
      </c>
      <c r="JLI391" s="160">
        <v>0</v>
      </c>
      <c r="JLJ391" s="160">
        <v>0</v>
      </c>
      <c r="JLK391" s="160">
        <v>0</v>
      </c>
      <c r="JLL391" s="160">
        <v>0</v>
      </c>
      <c r="JLM391" s="160">
        <v>0</v>
      </c>
      <c r="JLN391" s="160">
        <v>0</v>
      </c>
      <c r="JLO391" s="160">
        <v>0</v>
      </c>
      <c r="JLP391" s="160">
        <v>0</v>
      </c>
      <c r="JLQ391" s="160">
        <v>0</v>
      </c>
      <c r="JLR391" s="160">
        <v>0</v>
      </c>
      <c r="JLS391" s="160">
        <v>0</v>
      </c>
      <c r="JLT391" s="160">
        <v>0</v>
      </c>
      <c r="JLU391" s="160">
        <v>0</v>
      </c>
      <c r="JLV391" s="160">
        <v>0</v>
      </c>
      <c r="JLW391" s="160">
        <v>0</v>
      </c>
      <c r="JLX391" s="160">
        <v>0</v>
      </c>
      <c r="JLY391" s="160">
        <v>0</v>
      </c>
      <c r="JLZ391" s="160">
        <v>0</v>
      </c>
      <c r="JMA391" s="160">
        <v>0</v>
      </c>
      <c r="JMB391" s="160">
        <v>0</v>
      </c>
      <c r="JMC391" s="160">
        <v>0</v>
      </c>
      <c r="JMD391" s="160">
        <v>0</v>
      </c>
      <c r="JME391" s="160">
        <v>0</v>
      </c>
      <c r="JMF391" s="160">
        <v>0</v>
      </c>
      <c r="JMG391" s="160">
        <v>0</v>
      </c>
      <c r="JMH391" s="160">
        <v>0</v>
      </c>
      <c r="JMI391" s="160">
        <v>0</v>
      </c>
      <c r="JMJ391" s="160">
        <v>0</v>
      </c>
      <c r="JMK391" s="160">
        <v>0</v>
      </c>
      <c r="JML391" s="160">
        <v>0</v>
      </c>
      <c r="JMM391" s="160">
        <v>0</v>
      </c>
      <c r="JMN391" s="160">
        <v>0</v>
      </c>
      <c r="JMO391" s="160">
        <v>0</v>
      </c>
      <c r="JMP391" s="160">
        <v>0</v>
      </c>
      <c r="JMQ391" s="160">
        <v>0</v>
      </c>
      <c r="JMR391" s="160">
        <v>0</v>
      </c>
      <c r="JMS391" s="160">
        <v>0</v>
      </c>
      <c r="JMT391" s="160">
        <v>0</v>
      </c>
      <c r="JMU391" s="160">
        <v>0</v>
      </c>
      <c r="JMV391" s="160">
        <v>0</v>
      </c>
      <c r="JMW391" s="160">
        <v>0</v>
      </c>
      <c r="JMX391" s="160">
        <v>0</v>
      </c>
      <c r="JMY391" s="160">
        <v>0</v>
      </c>
      <c r="JMZ391" s="160">
        <v>0</v>
      </c>
      <c r="JNA391" s="160">
        <v>0</v>
      </c>
      <c r="JNB391" s="160">
        <v>0</v>
      </c>
      <c r="JNC391" s="160">
        <v>0</v>
      </c>
      <c r="JND391" s="160">
        <v>0</v>
      </c>
      <c r="JNE391" s="160">
        <v>0</v>
      </c>
      <c r="JNF391" s="160">
        <v>0</v>
      </c>
      <c r="JNG391" s="160">
        <v>0</v>
      </c>
      <c r="JNH391" s="160">
        <v>0</v>
      </c>
      <c r="JNI391" s="160">
        <v>0</v>
      </c>
      <c r="JNJ391" s="160">
        <v>0</v>
      </c>
      <c r="JNK391" s="160">
        <v>0</v>
      </c>
      <c r="JNL391" s="160">
        <v>0</v>
      </c>
      <c r="JNM391" s="160">
        <v>0</v>
      </c>
      <c r="JNN391" s="160">
        <v>0</v>
      </c>
      <c r="JNO391" s="160">
        <v>0</v>
      </c>
      <c r="JNP391" s="160">
        <v>0</v>
      </c>
      <c r="JNQ391" s="160">
        <v>0</v>
      </c>
      <c r="JNR391" s="160">
        <v>0</v>
      </c>
      <c r="JNS391" s="160">
        <v>0</v>
      </c>
      <c r="JNT391" s="160">
        <v>0</v>
      </c>
      <c r="JNU391" s="160">
        <v>0</v>
      </c>
      <c r="JNV391" s="160">
        <v>0</v>
      </c>
      <c r="JNW391" s="160">
        <v>0</v>
      </c>
      <c r="JNX391" s="160">
        <v>0</v>
      </c>
      <c r="JNY391" s="160">
        <v>0</v>
      </c>
      <c r="JNZ391" s="160">
        <v>0</v>
      </c>
      <c r="JOA391" s="160">
        <v>0</v>
      </c>
      <c r="JOB391" s="160">
        <v>0</v>
      </c>
      <c r="JOC391" s="160">
        <v>0</v>
      </c>
      <c r="JOD391" s="160">
        <v>0</v>
      </c>
      <c r="JOE391" s="160">
        <v>0</v>
      </c>
      <c r="JOF391" s="160">
        <v>0</v>
      </c>
      <c r="JOG391" s="160">
        <v>0</v>
      </c>
      <c r="JOH391" s="160">
        <v>0</v>
      </c>
      <c r="JOI391" s="160">
        <v>0</v>
      </c>
      <c r="JOJ391" s="160">
        <v>0</v>
      </c>
      <c r="JOK391" s="160">
        <v>0</v>
      </c>
      <c r="JOL391" s="160">
        <v>0</v>
      </c>
      <c r="JOM391" s="160">
        <v>0</v>
      </c>
      <c r="JON391" s="160">
        <v>0</v>
      </c>
      <c r="JOO391" s="160">
        <v>0</v>
      </c>
      <c r="JOP391" s="160">
        <v>0</v>
      </c>
      <c r="JOQ391" s="160">
        <v>0</v>
      </c>
      <c r="JOR391" s="160">
        <v>0</v>
      </c>
      <c r="JOS391" s="160">
        <v>0</v>
      </c>
      <c r="JOT391" s="160">
        <v>0</v>
      </c>
      <c r="JOU391" s="160">
        <v>0</v>
      </c>
      <c r="JOV391" s="160">
        <v>0</v>
      </c>
      <c r="JOW391" s="160">
        <v>0</v>
      </c>
      <c r="JOX391" s="160">
        <v>0</v>
      </c>
      <c r="JOY391" s="160">
        <v>0</v>
      </c>
      <c r="JOZ391" s="160">
        <v>0</v>
      </c>
      <c r="JPA391" s="160">
        <v>0</v>
      </c>
      <c r="JPB391" s="160">
        <v>0</v>
      </c>
      <c r="JPC391" s="160">
        <v>0</v>
      </c>
      <c r="JPD391" s="160">
        <v>0</v>
      </c>
      <c r="JPE391" s="160">
        <v>0</v>
      </c>
      <c r="JPF391" s="160">
        <v>0</v>
      </c>
      <c r="JPG391" s="160">
        <v>0</v>
      </c>
      <c r="JPH391" s="160">
        <v>0</v>
      </c>
      <c r="JPI391" s="160">
        <v>0</v>
      </c>
      <c r="JPJ391" s="160">
        <v>0</v>
      </c>
      <c r="JPK391" s="160">
        <v>0</v>
      </c>
      <c r="JPL391" s="160">
        <v>0</v>
      </c>
      <c r="JPM391" s="160">
        <v>0</v>
      </c>
      <c r="JPN391" s="160">
        <v>0</v>
      </c>
      <c r="JPO391" s="160">
        <v>0</v>
      </c>
      <c r="JPP391" s="160">
        <v>0</v>
      </c>
      <c r="JPQ391" s="160">
        <v>0</v>
      </c>
      <c r="JPR391" s="160">
        <v>0</v>
      </c>
      <c r="JPS391" s="160">
        <v>0</v>
      </c>
      <c r="JPT391" s="160">
        <v>0</v>
      </c>
      <c r="JPU391" s="160">
        <v>0</v>
      </c>
      <c r="JPV391" s="160">
        <v>0</v>
      </c>
      <c r="JPW391" s="160">
        <v>0</v>
      </c>
      <c r="JPX391" s="160">
        <v>0</v>
      </c>
      <c r="JPY391" s="160">
        <v>0</v>
      </c>
      <c r="JPZ391" s="160">
        <v>0</v>
      </c>
      <c r="JQA391" s="160">
        <v>0</v>
      </c>
      <c r="JQB391" s="160">
        <v>0</v>
      </c>
      <c r="JQC391" s="160">
        <v>0</v>
      </c>
      <c r="JQD391" s="160">
        <v>0</v>
      </c>
      <c r="JQE391" s="160">
        <v>0</v>
      </c>
      <c r="JQF391" s="160">
        <v>0</v>
      </c>
      <c r="JQG391" s="160">
        <v>0</v>
      </c>
      <c r="JQH391" s="160">
        <v>0</v>
      </c>
      <c r="JQI391" s="160">
        <v>0</v>
      </c>
      <c r="JQJ391" s="160">
        <v>0</v>
      </c>
      <c r="JQK391" s="160">
        <v>0</v>
      </c>
      <c r="JQL391" s="160">
        <v>0</v>
      </c>
      <c r="JQM391" s="160">
        <v>0</v>
      </c>
      <c r="JQN391" s="160">
        <v>0</v>
      </c>
      <c r="JQO391" s="160">
        <v>0</v>
      </c>
      <c r="JQP391" s="160">
        <v>0</v>
      </c>
      <c r="JQQ391" s="160">
        <v>0</v>
      </c>
      <c r="JQR391" s="160">
        <v>0</v>
      </c>
      <c r="JQS391" s="160">
        <v>0</v>
      </c>
      <c r="JQT391" s="160">
        <v>0</v>
      </c>
      <c r="JQU391" s="160">
        <v>0</v>
      </c>
      <c r="JQV391" s="160">
        <v>0</v>
      </c>
      <c r="JQW391" s="160">
        <v>0</v>
      </c>
      <c r="JQX391" s="160">
        <v>0</v>
      </c>
      <c r="JQY391" s="160">
        <v>0</v>
      </c>
      <c r="JQZ391" s="160">
        <v>0</v>
      </c>
      <c r="JRA391" s="160">
        <v>0</v>
      </c>
      <c r="JRB391" s="160">
        <v>0</v>
      </c>
      <c r="JRC391" s="160">
        <v>0</v>
      </c>
      <c r="JRD391" s="160">
        <v>0</v>
      </c>
      <c r="JRE391" s="160">
        <v>0</v>
      </c>
      <c r="JRF391" s="160">
        <v>0</v>
      </c>
      <c r="JRG391" s="160">
        <v>0</v>
      </c>
      <c r="JRH391" s="160">
        <v>0</v>
      </c>
      <c r="JRI391" s="160">
        <v>0</v>
      </c>
      <c r="JRJ391" s="160">
        <v>0</v>
      </c>
      <c r="JRK391" s="160">
        <v>0</v>
      </c>
      <c r="JRL391" s="160">
        <v>0</v>
      </c>
      <c r="JRM391" s="160">
        <v>0</v>
      </c>
      <c r="JRN391" s="160">
        <v>0</v>
      </c>
      <c r="JRO391" s="160">
        <v>0</v>
      </c>
      <c r="JRP391" s="160">
        <v>0</v>
      </c>
      <c r="JRQ391" s="160">
        <v>0</v>
      </c>
      <c r="JRR391" s="160">
        <v>0</v>
      </c>
      <c r="JRS391" s="160">
        <v>0</v>
      </c>
      <c r="JRT391" s="160">
        <v>0</v>
      </c>
      <c r="JRU391" s="160">
        <v>0</v>
      </c>
      <c r="JRV391" s="160">
        <v>0</v>
      </c>
      <c r="JRW391" s="160">
        <v>0</v>
      </c>
      <c r="JRX391" s="160">
        <v>0</v>
      </c>
      <c r="JRY391" s="160">
        <v>0</v>
      </c>
      <c r="JRZ391" s="160">
        <v>0</v>
      </c>
      <c r="JSA391" s="160">
        <v>0</v>
      </c>
      <c r="JSB391" s="160">
        <v>0</v>
      </c>
      <c r="JSC391" s="160">
        <v>0</v>
      </c>
      <c r="JSD391" s="160">
        <v>0</v>
      </c>
      <c r="JSE391" s="160">
        <v>0</v>
      </c>
      <c r="JSF391" s="160">
        <v>0</v>
      </c>
      <c r="JSG391" s="160">
        <v>0</v>
      </c>
      <c r="JSH391" s="160">
        <v>0</v>
      </c>
      <c r="JSI391" s="160">
        <v>0</v>
      </c>
      <c r="JSJ391" s="160">
        <v>0</v>
      </c>
      <c r="JSK391" s="160">
        <v>0</v>
      </c>
      <c r="JSL391" s="160">
        <v>0</v>
      </c>
      <c r="JSM391" s="160">
        <v>0</v>
      </c>
      <c r="JSN391" s="160">
        <v>0</v>
      </c>
      <c r="JSO391" s="160">
        <v>0</v>
      </c>
      <c r="JSP391" s="160">
        <v>0</v>
      </c>
      <c r="JSQ391" s="160">
        <v>0</v>
      </c>
      <c r="JSR391" s="160">
        <v>0</v>
      </c>
      <c r="JSS391" s="160">
        <v>0</v>
      </c>
      <c r="JST391" s="160">
        <v>0</v>
      </c>
      <c r="JSU391" s="160">
        <v>0</v>
      </c>
      <c r="JSV391" s="160">
        <v>0</v>
      </c>
      <c r="JSW391" s="160">
        <v>0</v>
      </c>
      <c r="JSX391" s="160">
        <v>0</v>
      </c>
      <c r="JSY391" s="160">
        <v>0</v>
      </c>
      <c r="JSZ391" s="160">
        <v>0</v>
      </c>
      <c r="JTA391" s="160">
        <v>0</v>
      </c>
      <c r="JTB391" s="160">
        <v>0</v>
      </c>
      <c r="JTC391" s="160">
        <v>0</v>
      </c>
      <c r="JTD391" s="160">
        <v>0</v>
      </c>
      <c r="JTE391" s="160">
        <v>0</v>
      </c>
      <c r="JTF391" s="160">
        <v>0</v>
      </c>
      <c r="JTG391" s="160">
        <v>0</v>
      </c>
      <c r="JTH391" s="160">
        <v>0</v>
      </c>
      <c r="JTI391" s="160">
        <v>0</v>
      </c>
      <c r="JTJ391" s="160">
        <v>0</v>
      </c>
      <c r="JTK391" s="160">
        <v>0</v>
      </c>
      <c r="JTL391" s="160">
        <v>0</v>
      </c>
      <c r="JTM391" s="160">
        <v>0</v>
      </c>
      <c r="JTN391" s="160">
        <v>0</v>
      </c>
      <c r="JTO391" s="160">
        <v>0</v>
      </c>
      <c r="JTP391" s="160">
        <v>0</v>
      </c>
      <c r="JTQ391" s="160">
        <v>0</v>
      </c>
      <c r="JTR391" s="160">
        <v>0</v>
      </c>
      <c r="JTS391" s="160">
        <v>0</v>
      </c>
      <c r="JTT391" s="160">
        <v>0</v>
      </c>
      <c r="JTU391" s="160">
        <v>0</v>
      </c>
      <c r="JTV391" s="160">
        <v>0</v>
      </c>
      <c r="JTW391" s="160">
        <v>0</v>
      </c>
      <c r="JTX391" s="160">
        <v>0</v>
      </c>
      <c r="JTY391" s="160">
        <v>0</v>
      </c>
      <c r="JTZ391" s="160">
        <v>0</v>
      </c>
      <c r="JUA391" s="160">
        <v>0</v>
      </c>
      <c r="JUB391" s="160">
        <v>0</v>
      </c>
      <c r="JUC391" s="160">
        <v>0</v>
      </c>
      <c r="JUD391" s="160">
        <v>0</v>
      </c>
      <c r="JUE391" s="160">
        <v>0</v>
      </c>
      <c r="JUF391" s="160">
        <v>0</v>
      </c>
      <c r="JUG391" s="160">
        <v>0</v>
      </c>
      <c r="JUH391" s="160">
        <v>0</v>
      </c>
      <c r="JUI391" s="160">
        <v>0</v>
      </c>
      <c r="JUJ391" s="160">
        <v>0</v>
      </c>
      <c r="JUK391" s="160">
        <v>0</v>
      </c>
      <c r="JUL391" s="160">
        <v>0</v>
      </c>
      <c r="JUM391" s="160">
        <v>0</v>
      </c>
      <c r="JUN391" s="160">
        <v>0</v>
      </c>
      <c r="JUO391" s="160">
        <v>0</v>
      </c>
      <c r="JUP391" s="160">
        <v>0</v>
      </c>
      <c r="JUQ391" s="160">
        <v>0</v>
      </c>
      <c r="JUR391" s="160">
        <v>0</v>
      </c>
      <c r="JUS391" s="160">
        <v>0</v>
      </c>
      <c r="JUT391" s="160">
        <v>0</v>
      </c>
      <c r="JUU391" s="160">
        <v>0</v>
      </c>
      <c r="JUV391" s="160">
        <v>0</v>
      </c>
      <c r="JUW391" s="160">
        <v>0</v>
      </c>
      <c r="JUX391" s="160">
        <v>0</v>
      </c>
      <c r="JUY391" s="160">
        <v>0</v>
      </c>
      <c r="JUZ391" s="160">
        <v>0</v>
      </c>
      <c r="JVA391" s="160">
        <v>0</v>
      </c>
      <c r="JVB391" s="160">
        <v>0</v>
      </c>
      <c r="JVC391" s="160">
        <v>0</v>
      </c>
      <c r="JVD391" s="160">
        <v>0</v>
      </c>
      <c r="JVE391" s="160">
        <v>0</v>
      </c>
      <c r="JVF391" s="160">
        <v>0</v>
      </c>
      <c r="JVG391" s="160">
        <v>0</v>
      </c>
      <c r="JVH391" s="160">
        <v>0</v>
      </c>
      <c r="JVI391" s="160">
        <v>0</v>
      </c>
      <c r="JVJ391" s="160">
        <v>0</v>
      </c>
      <c r="JVK391" s="160">
        <v>0</v>
      </c>
      <c r="JVL391" s="160">
        <v>0</v>
      </c>
      <c r="JVM391" s="160">
        <v>0</v>
      </c>
      <c r="JVN391" s="160">
        <v>0</v>
      </c>
      <c r="JVO391" s="160">
        <v>0</v>
      </c>
      <c r="JVP391" s="160">
        <v>0</v>
      </c>
      <c r="JVQ391" s="160">
        <v>0</v>
      </c>
      <c r="JVR391" s="160">
        <v>0</v>
      </c>
      <c r="JVS391" s="160">
        <v>0</v>
      </c>
      <c r="JVT391" s="160">
        <v>0</v>
      </c>
      <c r="JVU391" s="160">
        <v>0</v>
      </c>
      <c r="JVV391" s="160">
        <v>0</v>
      </c>
      <c r="JVW391" s="160">
        <v>0</v>
      </c>
      <c r="JVX391" s="160">
        <v>0</v>
      </c>
      <c r="JVY391" s="160">
        <v>0</v>
      </c>
      <c r="JVZ391" s="160">
        <v>0</v>
      </c>
      <c r="JWA391" s="160">
        <v>0</v>
      </c>
      <c r="JWB391" s="160">
        <v>0</v>
      </c>
      <c r="JWC391" s="160">
        <v>0</v>
      </c>
      <c r="JWD391" s="160">
        <v>0</v>
      </c>
      <c r="JWE391" s="160">
        <v>0</v>
      </c>
      <c r="JWF391" s="160">
        <v>0</v>
      </c>
      <c r="JWG391" s="160">
        <v>0</v>
      </c>
      <c r="JWH391" s="160">
        <v>0</v>
      </c>
      <c r="JWI391" s="160">
        <v>0</v>
      </c>
      <c r="JWJ391" s="160">
        <v>0</v>
      </c>
      <c r="JWK391" s="160">
        <v>0</v>
      </c>
      <c r="JWL391" s="160">
        <v>0</v>
      </c>
      <c r="JWM391" s="160">
        <v>0</v>
      </c>
      <c r="JWN391" s="160">
        <v>0</v>
      </c>
      <c r="JWO391" s="160">
        <v>0</v>
      </c>
      <c r="JWP391" s="160">
        <v>0</v>
      </c>
      <c r="JWQ391" s="160">
        <v>0</v>
      </c>
      <c r="JWR391" s="160">
        <v>0</v>
      </c>
      <c r="JWS391" s="160">
        <v>0</v>
      </c>
      <c r="JWT391" s="160">
        <v>0</v>
      </c>
      <c r="JWU391" s="160">
        <v>0</v>
      </c>
      <c r="JWV391" s="160">
        <v>0</v>
      </c>
      <c r="JWW391" s="160">
        <v>0</v>
      </c>
      <c r="JWX391" s="160">
        <v>0</v>
      </c>
      <c r="JWY391" s="160">
        <v>0</v>
      </c>
      <c r="JWZ391" s="160">
        <v>0</v>
      </c>
      <c r="JXA391" s="160">
        <v>0</v>
      </c>
      <c r="JXB391" s="160">
        <v>0</v>
      </c>
      <c r="JXC391" s="160">
        <v>0</v>
      </c>
      <c r="JXD391" s="160">
        <v>0</v>
      </c>
      <c r="JXE391" s="160">
        <v>0</v>
      </c>
      <c r="JXF391" s="160">
        <v>0</v>
      </c>
      <c r="JXG391" s="160">
        <v>0</v>
      </c>
      <c r="JXH391" s="160">
        <v>0</v>
      </c>
      <c r="JXI391" s="160">
        <v>0</v>
      </c>
      <c r="JXJ391" s="160">
        <v>0</v>
      </c>
      <c r="JXK391" s="160">
        <v>0</v>
      </c>
      <c r="JXL391" s="160">
        <v>0</v>
      </c>
      <c r="JXM391" s="160">
        <v>0</v>
      </c>
      <c r="JXN391" s="160">
        <v>0</v>
      </c>
      <c r="JXO391" s="160">
        <v>0</v>
      </c>
      <c r="JXP391" s="160">
        <v>0</v>
      </c>
      <c r="JXQ391" s="160">
        <v>0</v>
      </c>
      <c r="JXR391" s="160">
        <v>0</v>
      </c>
      <c r="JXS391" s="160">
        <v>0</v>
      </c>
      <c r="JXT391" s="160">
        <v>0</v>
      </c>
      <c r="JXU391" s="160">
        <v>0</v>
      </c>
      <c r="JXV391" s="160">
        <v>0</v>
      </c>
      <c r="JXW391" s="160">
        <v>0</v>
      </c>
      <c r="JXX391" s="160">
        <v>0</v>
      </c>
      <c r="JXY391" s="160">
        <v>0</v>
      </c>
      <c r="JXZ391" s="160">
        <v>0</v>
      </c>
      <c r="JYA391" s="160">
        <v>0</v>
      </c>
      <c r="JYB391" s="160">
        <v>0</v>
      </c>
      <c r="JYC391" s="160">
        <v>0</v>
      </c>
      <c r="JYD391" s="160">
        <v>0</v>
      </c>
      <c r="JYE391" s="160">
        <v>0</v>
      </c>
      <c r="JYF391" s="160">
        <v>0</v>
      </c>
      <c r="JYG391" s="160">
        <v>0</v>
      </c>
      <c r="JYH391" s="160">
        <v>0</v>
      </c>
      <c r="JYI391" s="160">
        <v>0</v>
      </c>
      <c r="JYJ391" s="160">
        <v>0</v>
      </c>
      <c r="JYK391" s="160">
        <v>0</v>
      </c>
      <c r="JYL391" s="160">
        <v>0</v>
      </c>
      <c r="JYM391" s="160">
        <v>0</v>
      </c>
      <c r="JYN391" s="160">
        <v>0</v>
      </c>
      <c r="JYO391" s="160">
        <v>0</v>
      </c>
      <c r="JYP391" s="160">
        <v>0</v>
      </c>
      <c r="JYQ391" s="160">
        <v>0</v>
      </c>
      <c r="JYR391" s="160">
        <v>0</v>
      </c>
      <c r="JYS391" s="160">
        <v>0</v>
      </c>
      <c r="JYT391" s="160">
        <v>0</v>
      </c>
      <c r="JYU391" s="160">
        <v>0</v>
      </c>
      <c r="JYV391" s="160">
        <v>0</v>
      </c>
      <c r="JYW391" s="160">
        <v>0</v>
      </c>
      <c r="JYX391" s="160">
        <v>0</v>
      </c>
      <c r="JYY391" s="160">
        <v>0</v>
      </c>
      <c r="JYZ391" s="160">
        <v>0</v>
      </c>
      <c r="JZA391" s="160">
        <v>0</v>
      </c>
      <c r="JZB391" s="160">
        <v>0</v>
      </c>
      <c r="JZC391" s="160">
        <v>0</v>
      </c>
      <c r="JZD391" s="160">
        <v>0</v>
      </c>
      <c r="JZE391" s="160">
        <v>0</v>
      </c>
      <c r="JZF391" s="160">
        <v>0</v>
      </c>
      <c r="JZG391" s="160">
        <v>0</v>
      </c>
      <c r="JZH391" s="160">
        <v>0</v>
      </c>
      <c r="JZI391" s="160">
        <v>0</v>
      </c>
      <c r="JZJ391" s="160">
        <v>0</v>
      </c>
      <c r="JZK391" s="160">
        <v>0</v>
      </c>
      <c r="JZL391" s="160">
        <v>0</v>
      </c>
      <c r="JZM391" s="160">
        <v>0</v>
      </c>
      <c r="JZN391" s="160">
        <v>0</v>
      </c>
      <c r="JZO391" s="160">
        <v>0</v>
      </c>
      <c r="JZP391" s="160">
        <v>0</v>
      </c>
      <c r="JZQ391" s="160">
        <v>0</v>
      </c>
      <c r="JZR391" s="160">
        <v>0</v>
      </c>
      <c r="JZS391" s="160">
        <v>0</v>
      </c>
      <c r="JZT391" s="160">
        <v>0</v>
      </c>
      <c r="JZU391" s="160">
        <v>0</v>
      </c>
      <c r="JZV391" s="160">
        <v>0</v>
      </c>
      <c r="JZW391" s="160">
        <v>0</v>
      </c>
      <c r="JZX391" s="160">
        <v>0</v>
      </c>
      <c r="JZY391" s="160">
        <v>0</v>
      </c>
      <c r="JZZ391" s="160">
        <v>0</v>
      </c>
      <c r="KAA391" s="160">
        <v>0</v>
      </c>
      <c r="KAB391" s="160">
        <v>0</v>
      </c>
      <c r="KAC391" s="160">
        <v>0</v>
      </c>
      <c r="KAD391" s="160">
        <v>0</v>
      </c>
      <c r="KAE391" s="160">
        <v>0</v>
      </c>
      <c r="KAF391" s="160">
        <v>0</v>
      </c>
      <c r="KAG391" s="160">
        <v>0</v>
      </c>
      <c r="KAH391" s="160">
        <v>0</v>
      </c>
      <c r="KAI391" s="160">
        <v>0</v>
      </c>
      <c r="KAJ391" s="160">
        <v>0</v>
      </c>
      <c r="KAK391" s="160">
        <v>0</v>
      </c>
      <c r="KAL391" s="160">
        <v>0</v>
      </c>
      <c r="KAM391" s="160">
        <v>0</v>
      </c>
      <c r="KAN391" s="160">
        <v>0</v>
      </c>
      <c r="KAO391" s="160">
        <v>0</v>
      </c>
      <c r="KAP391" s="160">
        <v>0</v>
      </c>
      <c r="KAQ391" s="160">
        <v>0</v>
      </c>
      <c r="KAR391" s="160">
        <v>0</v>
      </c>
      <c r="KAS391" s="160">
        <v>0</v>
      </c>
      <c r="KAT391" s="160">
        <v>0</v>
      </c>
      <c r="KAU391" s="160">
        <v>0</v>
      </c>
      <c r="KAV391" s="160">
        <v>0</v>
      </c>
      <c r="KAW391" s="160">
        <v>0</v>
      </c>
      <c r="KAX391" s="160">
        <v>0</v>
      </c>
      <c r="KAY391" s="160">
        <v>0</v>
      </c>
      <c r="KAZ391" s="160">
        <v>0</v>
      </c>
      <c r="KBA391" s="160">
        <v>0</v>
      </c>
      <c r="KBB391" s="160">
        <v>0</v>
      </c>
      <c r="KBC391" s="160">
        <v>0</v>
      </c>
      <c r="KBD391" s="160">
        <v>0</v>
      </c>
      <c r="KBE391" s="160">
        <v>0</v>
      </c>
      <c r="KBF391" s="160">
        <v>0</v>
      </c>
      <c r="KBG391" s="160">
        <v>0</v>
      </c>
      <c r="KBH391" s="160">
        <v>0</v>
      </c>
      <c r="KBI391" s="160">
        <v>0</v>
      </c>
      <c r="KBJ391" s="160">
        <v>0</v>
      </c>
      <c r="KBK391" s="160">
        <v>0</v>
      </c>
      <c r="KBL391" s="160">
        <v>0</v>
      </c>
      <c r="KBM391" s="160">
        <v>0</v>
      </c>
      <c r="KBN391" s="160">
        <v>0</v>
      </c>
      <c r="KBO391" s="160">
        <v>0</v>
      </c>
      <c r="KBP391" s="160">
        <v>0</v>
      </c>
      <c r="KBQ391" s="160">
        <v>0</v>
      </c>
      <c r="KBR391" s="160">
        <v>0</v>
      </c>
      <c r="KBS391" s="160">
        <v>0</v>
      </c>
      <c r="KBT391" s="160">
        <v>0</v>
      </c>
      <c r="KBU391" s="160">
        <v>0</v>
      </c>
      <c r="KBV391" s="160">
        <v>0</v>
      </c>
      <c r="KBW391" s="160">
        <v>0</v>
      </c>
      <c r="KBX391" s="160">
        <v>0</v>
      </c>
      <c r="KBY391" s="160">
        <v>0</v>
      </c>
      <c r="KBZ391" s="160">
        <v>0</v>
      </c>
      <c r="KCA391" s="160">
        <v>0</v>
      </c>
      <c r="KCB391" s="160">
        <v>0</v>
      </c>
      <c r="KCC391" s="160">
        <v>0</v>
      </c>
      <c r="KCD391" s="160">
        <v>0</v>
      </c>
      <c r="KCE391" s="160">
        <v>0</v>
      </c>
      <c r="KCF391" s="160">
        <v>0</v>
      </c>
      <c r="KCG391" s="160">
        <v>0</v>
      </c>
      <c r="KCH391" s="160">
        <v>0</v>
      </c>
      <c r="KCI391" s="160">
        <v>0</v>
      </c>
      <c r="KCJ391" s="160">
        <v>0</v>
      </c>
      <c r="KCK391" s="160">
        <v>0</v>
      </c>
      <c r="KCL391" s="160">
        <v>0</v>
      </c>
      <c r="KCM391" s="160">
        <v>0</v>
      </c>
      <c r="KCN391" s="160">
        <v>0</v>
      </c>
      <c r="KCO391" s="160">
        <v>0</v>
      </c>
      <c r="KCP391" s="160">
        <v>0</v>
      </c>
      <c r="KCQ391" s="160">
        <v>0</v>
      </c>
      <c r="KCR391" s="160">
        <v>0</v>
      </c>
      <c r="KCS391" s="160">
        <v>0</v>
      </c>
      <c r="KCT391" s="160">
        <v>0</v>
      </c>
      <c r="KCU391" s="160">
        <v>0</v>
      </c>
      <c r="KCV391" s="160">
        <v>0</v>
      </c>
      <c r="KCW391" s="160">
        <v>0</v>
      </c>
      <c r="KCX391" s="160">
        <v>0</v>
      </c>
      <c r="KCY391" s="160">
        <v>0</v>
      </c>
      <c r="KCZ391" s="160">
        <v>0</v>
      </c>
      <c r="KDA391" s="160">
        <v>0</v>
      </c>
      <c r="KDB391" s="160">
        <v>0</v>
      </c>
      <c r="KDC391" s="160">
        <v>0</v>
      </c>
      <c r="KDD391" s="160">
        <v>0</v>
      </c>
      <c r="KDE391" s="160">
        <v>0</v>
      </c>
      <c r="KDF391" s="160">
        <v>0</v>
      </c>
      <c r="KDG391" s="160">
        <v>0</v>
      </c>
      <c r="KDH391" s="160">
        <v>0</v>
      </c>
      <c r="KDI391" s="160">
        <v>0</v>
      </c>
      <c r="KDJ391" s="160">
        <v>0</v>
      </c>
      <c r="KDK391" s="160">
        <v>0</v>
      </c>
      <c r="KDL391" s="160">
        <v>0</v>
      </c>
      <c r="KDM391" s="160">
        <v>0</v>
      </c>
      <c r="KDN391" s="160">
        <v>0</v>
      </c>
      <c r="KDO391" s="160">
        <v>0</v>
      </c>
      <c r="KDP391" s="160">
        <v>0</v>
      </c>
      <c r="KDQ391" s="160">
        <v>0</v>
      </c>
      <c r="KDR391" s="160">
        <v>0</v>
      </c>
      <c r="KDS391" s="160">
        <v>0</v>
      </c>
      <c r="KDT391" s="160">
        <v>0</v>
      </c>
      <c r="KDU391" s="160">
        <v>0</v>
      </c>
      <c r="KDV391" s="160">
        <v>0</v>
      </c>
      <c r="KDW391" s="160">
        <v>0</v>
      </c>
      <c r="KDX391" s="160">
        <v>0</v>
      </c>
      <c r="KDY391" s="160">
        <v>0</v>
      </c>
      <c r="KDZ391" s="160">
        <v>0</v>
      </c>
      <c r="KEA391" s="160">
        <v>0</v>
      </c>
      <c r="KEB391" s="160">
        <v>0</v>
      </c>
      <c r="KEC391" s="160">
        <v>0</v>
      </c>
      <c r="KED391" s="160">
        <v>0</v>
      </c>
      <c r="KEE391" s="160">
        <v>0</v>
      </c>
      <c r="KEF391" s="160">
        <v>0</v>
      </c>
      <c r="KEG391" s="160">
        <v>0</v>
      </c>
      <c r="KEH391" s="160">
        <v>0</v>
      </c>
      <c r="KEI391" s="160">
        <v>0</v>
      </c>
      <c r="KEJ391" s="160">
        <v>0</v>
      </c>
      <c r="KEK391" s="160">
        <v>0</v>
      </c>
      <c r="KEL391" s="160">
        <v>0</v>
      </c>
      <c r="KEM391" s="160">
        <v>0</v>
      </c>
      <c r="KEN391" s="160">
        <v>0</v>
      </c>
      <c r="KEO391" s="160">
        <v>0</v>
      </c>
      <c r="KEP391" s="160">
        <v>0</v>
      </c>
      <c r="KEQ391" s="160">
        <v>0</v>
      </c>
      <c r="KER391" s="160">
        <v>0</v>
      </c>
      <c r="KES391" s="160">
        <v>0</v>
      </c>
      <c r="KET391" s="160">
        <v>0</v>
      </c>
      <c r="KEU391" s="160">
        <v>0</v>
      </c>
      <c r="KEV391" s="160">
        <v>0</v>
      </c>
      <c r="KEW391" s="160">
        <v>0</v>
      </c>
      <c r="KEX391" s="160">
        <v>0</v>
      </c>
      <c r="KEY391" s="160">
        <v>0</v>
      </c>
      <c r="KEZ391" s="160">
        <v>0</v>
      </c>
      <c r="KFA391" s="160">
        <v>0</v>
      </c>
      <c r="KFB391" s="160">
        <v>0</v>
      </c>
      <c r="KFC391" s="160">
        <v>0</v>
      </c>
      <c r="KFD391" s="160">
        <v>0</v>
      </c>
      <c r="KFE391" s="160">
        <v>0</v>
      </c>
      <c r="KFF391" s="160">
        <v>0</v>
      </c>
      <c r="KFG391" s="160">
        <v>0</v>
      </c>
      <c r="KFH391" s="160">
        <v>0</v>
      </c>
      <c r="KFI391" s="160">
        <v>0</v>
      </c>
      <c r="KFJ391" s="160">
        <v>0</v>
      </c>
      <c r="KFK391" s="160">
        <v>0</v>
      </c>
      <c r="KFL391" s="160">
        <v>0</v>
      </c>
      <c r="KFM391" s="160">
        <v>0</v>
      </c>
      <c r="KFN391" s="160">
        <v>0</v>
      </c>
      <c r="KFO391" s="160">
        <v>0</v>
      </c>
      <c r="KFP391" s="160">
        <v>0</v>
      </c>
      <c r="KFQ391" s="160">
        <v>0</v>
      </c>
      <c r="KFR391" s="160">
        <v>0</v>
      </c>
      <c r="KFS391" s="160">
        <v>0</v>
      </c>
      <c r="KFT391" s="160">
        <v>0</v>
      </c>
      <c r="KFU391" s="160">
        <v>0</v>
      </c>
      <c r="KFV391" s="160">
        <v>0</v>
      </c>
      <c r="KFW391" s="160">
        <v>0</v>
      </c>
      <c r="KFX391" s="160">
        <v>0</v>
      </c>
      <c r="KFY391" s="160">
        <v>0</v>
      </c>
      <c r="KFZ391" s="160">
        <v>0</v>
      </c>
      <c r="KGA391" s="160">
        <v>0</v>
      </c>
      <c r="KGB391" s="160">
        <v>0</v>
      </c>
      <c r="KGC391" s="160">
        <v>0</v>
      </c>
      <c r="KGD391" s="160">
        <v>0</v>
      </c>
      <c r="KGE391" s="160">
        <v>0</v>
      </c>
      <c r="KGF391" s="160">
        <v>0</v>
      </c>
      <c r="KGG391" s="160">
        <v>0</v>
      </c>
      <c r="KGH391" s="160">
        <v>0</v>
      </c>
      <c r="KGI391" s="160">
        <v>0</v>
      </c>
      <c r="KGJ391" s="160">
        <v>0</v>
      </c>
      <c r="KGK391" s="160">
        <v>0</v>
      </c>
      <c r="KGL391" s="160">
        <v>0</v>
      </c>
      <c r="KGM391" s="160">
        <v>0</v>
      </c>
      <c r="KGN391" s="160">
        <v>0</v>
      </c>
      <c r="KGO391" s="160">
        <v>0</v>
      </c>
      <c r="KGP391" s="160">
        <v>0</v>
      </c>
      <c r="KGQ391" s="160">
        <v>0</v>
      </c>
      <c r="KGR391" s="160">
        <v>0</v>
      </c>
      <c r="KGS391" s="160">
        <v>0</v>
      </c>
      <c r="KGT391" s="160">
        <v>0</v>
      </c>
      <c r="KGU391" s="160">
        <v>0</v>
      </c>
      <c r="KGV391" s="160">
        <v>0</v>
      </c>
      <c r="KGW391" s="160">
        <v>0</v>
      </c>
      <c r="KGX391" s="160">
        <v>0</v>
      </c>
      <c r="KGY391" s="160">
        <v>0</v>
      </c>
      <c r="KGZ391" s="160">
        <v>0</v>
      </c>
      <c r="KHA391" s="160">
        <v>0</v>
      </c>
      <c r="KHB391" s="160">
        <v>0</v>
      </c>
      <c r="KHC391" s="160">
        <v>0</v>
      </c>
      <c r="KHD391" s="160">
        <v>0</v>
      </c>
      <c r="KHE391" s="160">
        <v>0</v>
      </c>
      <c r="KHF391" s="160">
        <v>0</v>
      </c>
      <c r="KHG391" s="160">
        <v>0</v>
      </c>
      <c r="KHH391" s="160">
        <v>0</v>
      </c>
      <c r="KHI391" s="160">
        <v>0</v>
      </c>
      <c r="KHJ391" s="160">
        <v>0</v>
      </c>
      <c r="KHK391" s="160">
        <v>0</v>
      </c>
      <c r="KHL391" s="160">
        <v>0</v>
      </c>
      <c r="KHM391" s="160">
        <v>0</v>
      </c>
      <c r="KHN391" s="160">
        <v>0</v>
      </c>
      <c r="KHO391" s="160">
        <v>0</v>
      </c>
      <c r="KHP391" s="160">
        <v>0</v>
      </c>
      <c r="KHQ391" s="160">
        <v>0</v>
      </c>
      <c r="KHR391" s="160">
        <v>0</v>
      </c>
      <c r="KHS391" s="160">
        <v>0</v>
      </c>
      <c r="KHT391" s="160">
        <v>0</v>
      </c>
      <c r="KHU391" s="160">
        <v>0</v>
      </c>
      <c r="KHV391" s="160">
        <v>0</v>
      </c>
      <c r="KHW391" s="160">
        <v>0</v>
      </c>
      <c r="KHX391" s="160">
        <v>0</v>
      </c>
      <c r="KHY391" s="160">
        <v>0</v>
      </c>
      <c r="KHZ391" s="160">
        <v>0</v>
      </c>
      <c r="KIA391" s="160">
        <v>0</v>
      </c>
      <c r="KIB391" s="160">
        <v>0</v>
      </c>
      <c r="KIC391" s="160">
        <v>0</v>
      </c>
      <c r="KID391" s="160">
        <v>0</v>
      </c>
      <c r="KIE391" s="160">
        <v>0</v>
      </c>
      <c r="KIF391" s="160">
        <v>0</v>
      </c>
      <c r="KIG391" s="160">
        <v>0</v>
      </c>
      <c r="KIH391" s="160">
        <v>0</v>
      </c>
      <c r="KII391" s="160">
        <v>0</v>
      </c>
      <c r="KIJ391" s="160">
        <v>0</v>
      </c>
      <c r="KIK391" s="160">
        <v>0</v>
      </c>
      <c r="KIL391" s="160">
        <v>0</v>
      </c>
      <c r="KIM391" s="160">
        <v>0</v>
      </c>
      <c r="KIN391" s="160">
        <v>0</v>
      </c>
      <c r="KIO391" s="160">
        <v>0</v>
      </c>
      <c r="KIP391" s="160">
        <v>0</v>
      </c>
      <c r="KIQ391" s="160">
        <v>0</v>
      </c>
      <c r="KIR391" s="160">
        <v>0</v>
      </c>
      <c r="KIS391" s="160">
        <v>0</v>
      </c>
      <c r="KIT391" s="160">
        <v>0</v>
      </c>
      <c r="KIU391" s="160">
        <v>0</v>
      </c>
      <c r="KIV391" s="160">
        <v>0</v>
      </c>
      <c r="KIW391" s="160">
        <v>0</v>
      </c>
      <c r="KIX391" s="160">
        <v>0</v>
      </c>
      <c r="KIY391" s="160">
        <v>0</v>
      </c>
      <c r="KIZ391" s="160">
        <v>0</v>
      </c>
      <c r="KJA391" s="160">
        <v>0</v>
      </c>
      <c r="KJB391" s="160">
        <v>0</v>
      </c>
      <c r="KJC391" s="160">
        <v>0</v>
      </c>
      <c r="KJD391" s="160">
        <v>0</v>
      </c>
      <c r="KJE391" s="160">
        <v>0</v>
      </c>
      <c r="KJF391" s="160">
        <v>0</v>
      </c>
      <c r="KJG391" s="160">
        <v>0</v>
      </c>
      <c r="KJH391" s="160">
        <v>0</v>
      </c>
      <c r="KJI391" s="160">
        <v>0</v>
      </c>
      <c r="KJJ391" s="160">
        <v>0</v>
      </c>
      <c r="KJK391" s="160">
        <v>0</v>
      </c>
      <c r="KJL391" s="160">
        <v>0</v>
      </c>
      <c r="KJM391" s="160">
        <v>0</v>
      </c>
      <c r="KJN391" s="160">
        <v>0</v>
      </c>
      <c r="KJO391" s="160">
        <v>0</v>
      </c>
      <c r="KJP391" s="160">
        <v>0</v>
      </c>
      <c r="KJQ391" s="160">
        <v>0</v>
      </c>
      <c r="KJR391" s="160">
        <v>0</v>
      </c>
      <c r="KJS391" s="160">
        <v>0</v>
      </c>
      <c r="KJT391" s="160">
        <v>0</v>
      </c>
      <c r="KJU391" s="160">
        <v>0</v>
      </c>
      <c r="KJV391" s="160">
        <v>0</v>
      </c>
      <c r="KJW391" s="160">
        <v>0</v>
      </c>
      <c r="KJX391" s="160">
        <v>0</v>
      </c>
      <c r="KJY391" s="160">
        <v>0</v>
      </c>
      <c r="KJZ391" s="160">
        <v>0</v>
      </c>
      <c r="KKA391" s="160">
        <v>0</v>
      </c>
      <c r="KKB391" s="160">
        <v>0</v>
      </c>
      <c r="KKC391" s="160">
        <v>0</v>
      </c>
      <c r="KKD391" s="160">
        <v>0</v>
      </c>
      <c r="KKE391" s="160">
        <v>0</v>
      </c>
      <c r="KKF391" s="160">
        <v>0</v>
      </c>
      <c r="KKG391" s="160">
        <v>0</v>
      </c>
      <c r="KKH391" s="160">
        <v>0</v>
      </c>
      <c r="KKI391" s="160">
        <v>0</v>
      </c>
      <c r="KKJ391" s="160">
        <v>0</v>
      </c>
      <c r="KKK391" s="160">
        <v>0</v>
      </c>
      <c r="KKL391" s="160">
        <v>0</v>
      </c>
      <c r="KKM391" s="160">
        <v>0</v>
      </c>
      <c r="KKN391" s="160">
        <v>0</v>
      </c>
      <c r="KKO391" s="160">
        <v>0</v>
      </c>
      <c r="KKP391" s="160">
        <v>0</v>
      </c>
      <c r="KKQ391" s="160">
        <v>0</v>
      </c>
      <c r="KKR391" s="160">
        <v>0</v>
      </c>
      <c r="KKS391" s="160">
        <v>0</v>
      </c>
      <c r="KKT391" s="160">
        <v>0</v>
      </c>
      <c r="KKU391" s="160">
        <v>0</v>
      </c>
      <c r="KKV391" s="160">
        <v>0</v>
      </c>
      <c r="KKW391" s="160">
        <v>0</v>
      </c>
      <c r="KKX391" s="160">
        <v>0</v>
      </c>
      <c r="KKY391" s="160">
        <v>0</v>
      </c>
      <c r="KKZ391" s="160">
        <v>0</v>
      </c>
      <c r="KLA391" s="160">
        <v>0</v>
      </c>
      <c r="KLB391" s="160">
        <v>0</v>
      </c>
      <c r="KLC391" s="160">
        <v>0</v>
      </c>
      <c r="KLD391" s="160">
        <v>0</v>
      </c>
      <c r="KLE391" s="160">
        <v>0</v>
      </c>
      <c r="KLF391" s="160">
        <v>0</v>
      </c>
      <c r="KLG391" s="160">
        <v>0</v>
      </c>
      <c r="KLH391" s="160">
        <v>0</v>
      </c>
      <c r="KLI391" s="160">
        <v>0</v>
      </c>
      <c r="KLJ391" s="160">
        <v>0</v>
      </c>
      <c r="KLK391" s="160">
        <v>0</v>
      </c>
      <c r="KLL391" s="160">
        <v>0</v>
      </c>
      <c r="KLM391" s="160">
        <v>0</v>
      </c>
      <c r="KLN391" s="160">
        <v>0</v>
      </c>
      <c r="KLO391" s="160">
        <v>0</v>
      </c>
      <c r="KLP391" s="160">
        <v>0</v>
      </c>
      <c r="KLQ391" s="160">
        <v>0</v>
      </c>
      <c r="KLR391" s="160">
        <v>0</v>
      </c>
      <c r="KLS391" s="160">
        <v>0</v>
      </c>
      <c r="KLT391" s="160">
        <v>0</v>
      </c>
      <c r="KLU391" s="160">
        <v>0</v>
      </c>
      <c r="KLV391" s="160">
        <v>0</v>
      </c>
      <c r="KLW391" s="160">
        <v>0</v>
      </c>
      <c r="KLX391" s="160">
        <v>0</v>
      </c>
      <c r="KLY391" s="160">
        <v>0</v>
      </c>
      <c r="KLZ391" s="160">
        <v>0</v>
      </c>
      <c r="KMA391" s="160">
        <v>0</v>
      </c>
      <c r="KMB391" s="160">
        <v>0</v>
      </c>
      <c r="KMC391" s="160">
        <v>0</v>
      </c>
      <c r="KMD391" s="160">
        <v>0</v>
      </c>
      <c r="KME391" s="160">
        <v>0</v>
      </c>
      <c r="KMF391" s="160">
        <v>0</v>
      </c>
      <c r="KMG391" s="160">
        <v>0</v>
      </c>
      <c r="KMH391" s="160">
        <v>0</v>
      </c>
      <c r="KMI391" s="160">
        <v>0</v>
      </c>
      <c r="KMJ391" s="160">
        <v>0</v>
      </c>
      <c r="KMK391" s="160">
        <v>0</v>
      </c>
      <c r="KML391" s="160">
        <v>0</v>
      </c>
      <c r="KMM391" s="160">
        <v>0</v>
      </c>
      <c r="KMN391" s="160">
        <v>0</v>
      </c>
      <c r="KMO391" s="160">
        <v>0</v>
      </c>
      <c r="KMP391" s="160">
        <v>0</v>
      </c>
      <c r="KMQ391" s="160">
        <v>0</v>
      </c>
      <c r="KMR391" s="160">
        <v>0</v>
      </c>
      <c r="KMS391" s="160">
        <v>0</v>
      </c>
      <c r="KMT391" s="160">
        <v>0</v>
      </c>
      <c r="KMU391" s="160">
        <v>0</v>
      </c>
      <c r="KMV391" s="160">
        <v>0</v>
      </c>
      <c r="KMW391" s="160">
        <v>0</v>
      </c>
      <c r="KMX391" s="160">
        <v>0</v>
      </c>
      <c r="KMY391" s="160">
        <v>0</v>
      </c>
      <c r="KMZ391" s="160">
        <v>0</v>
      </c>
      <c r="KNA391" s="160">
        <v>0</v>
      </c>
      <c r="KNB391" s="160">
        <v>0</v>
      </c>
      <c r="KNC391" s="160">
        <v>0</v>
      </c>
      <c r="KND391" s="160">
        <v>0</v>
      </c>
      <c r="KNE391" s="160">
        <v>0</v>
      </c>
      <c r="KNF391" s="160">
        <v>0</v>
      </c>
      <c r="KNG391" s="160">
        <v>0</v>
      </c>
      <c r="KNH391" s="160">
        <v>0</v>
      </c>
      <c r="KNI391" s="160">
        <v>0</v>
      </c>
      <c r="KNJ391" s="160">
        <v>0</v>
      </c>
      <c r="KNK391" s="160">
        <v>0</v>
      </c>
      <c r="KNL391" s="160">
        <v>0</v>
      </c>
      <c r="KNM391" s="160">
        <v>0</v>
      </c>
      <c r="KNN391" s="160">
        <v>0</v>
      </c>
      <c r="KNO391" s="160">
        <v>0</v>
      </c>
      <c r="KNP391" s="160">
        <v>0</v>
      </c>
      <c r="KNQ391" s="160">
        <v>0</v>
      </c>
      <c r="KNR391" s="160">
        <v>0</v>
      </c>
      <c r="KNS391" s="160">
        <v>0</v>
      </c>
      <c r="KNT391" s="160">
        <v>0</v>
      </c>
      <c r="KNU391" s="160">
        <v>0</v>
      </c>
      <c r="KNV391" s="160">
        <v>0</v>
      </c>
      <c r="KNW391" s="160">
        <v>0</v>
      </c>
      <c r="KNX391" s="160">
        <v>0</v>
      </c>
      <c r="KNY391" s="160">
        <v>0</v>
      </c>
      <c r="KNZ391" s="160">
        <v>0</v>
      </c>
      <c r="KOA391" s="160">
        <v>0</v>
      </c>
      <c r="KOB391" s="160">
        <v>0</v>
      </c>
      <c r="KOC391" s="160">
        <v>0</v>
      </c>
      <c r="KOD391" s="160">
        <v>0</v>
      </c>
      <c r="KOE391" s="160">
        <v>0</v>
      </c>
      <c r="KOF391" s="160">
        <v>0</v>
      </c>
      <c r="KOG391" s="160">
        <v>0</v>
      </c>
      <c r="KOH391" s="160">
        <v>0</v>
      </c>
      <c r="KOI391" s="160">
        <v>0</v>
      </c>
      <c r="KOJ391" s="160">
        <v>0</v>
      </c>
      <c r="KOK391" s="160">
        <v>0</v>
      </c>
      <c r="KOL391" s="160">
        <v>0</v>
      </c>
      <c r="KOM391" s="160">
        <v>0</v>
      </c>
      <c r="KON391" s="160">
        <v>0</v>
      </c>
      <c r="KOO391" s="160">
        <v>0</v>
      </c>
      <c r="KOP391" s="160">
        <v>0</v>
      </c>
      <c r="KOQ391" s="160">
        <v>0</v>
      </c>
      <c r="KOR391" s="160">
        <v>0</v>
      </c>
      <c r="KOS391" s="160">
        <v>0</v>
      </c>
      <c r="KOT391" s="160">
        <v>0</v>
      </c>
      <c r="KOU391" s="160">
        <v>0</v>
      </c>
      <c r="KOV391" s="160">
        <v>0</v>
      </c>
      <c r="KOW391" s="160">
        <v>0</v>
      </c>
      <c r="KOX391" s="160">
        <v>0</v>
      </c>
      <c r="KOY391" s="160">
        <v>0</v>
      </c>
      <c r="KOZ391" s="160">
        <v>0</v>
      </c>
      <c r="KPA391" s="160">
        <v>0</v>
      </c>
      <c r="KPB391" s="160">
        <v>0</v>
      </c>
      <c r="KPC391" s="160">
        <v>0</v>
      </c>
      <c r="KPD391" s="160">
        <v>0</v>
      </c>
      <c r="KPE391" s="160">
        <v>0</v>
      </c>
      <c r="KPF391" s="160">
        <v>0</v>
      </c>
      <c r="KPG391" s="160">
        <v>0</v>
      </c>
      <c r="KPH391" s="160">
        <v>0</v>
      </c>
      <c r="KPI391" s="160">
        <v>0</v>
      </c>
      <c r="KPJ391" s="160">
        <v>0</v>
      </c>
      <c r="KPK391" s="160">
        <v>0</v>
      </c>
      <c r="KPL391" s="160">
        <v>0</v>
      </c>
      <c r="KPM391" s="160">
        <v>0</v>
      </c>
      <c r="KPN391" s="160">
        <v>0</v>
      </c>
      <c r="KPO391" s="160">
        <v>0</v>
      </c>
      <c r="KPP391" s="160">
        <v>0</v>
      </c>
      <c r="KPQ391" s="160">
        <v>0</v>
      </c>
      <c r="KPR391" s="160">
        <v>0</v>
      </c>
      <c r="KPS391" s="160">
        <v>0</v>
      </c>
      <c r="KPT391" s="160">
        <v>0</v>
      </c>
      <c r="KPU391" s="160">
        <v>0</v>
      </c>
      <c r="KPV391" s="160">
        <v>0</v>
      </c>
      <c r="KPW391" s="160">
        <v>0</v>
      </c>
      <c r="KPX391" s="160">
        <v>0</v>
      </c>
      <c r="KPY391" s="160">
        <v>0</v>
      </c>
      <c r="KPZ391" s="160">
        <v>0</v>
      </c>
      <c r="KQA391" s="160">
        <v>0</v>
      </c>
      <c r="KQB391" s="160">
        <v>0</v>
      </c>
      <c r="KQC391" s="160">
        <v>0</v>
      </c>
      <c r="KQD391" s="160">
        <v>0</v>
      </c>
      <c r="KQE391" s="160">
        <v>0</v>
      </c>
      <c r="KQF391" s="160">
        <v>0</v>
      </c>
      <c r="KQG391" s="160">
        <v>0</v>
      </c>
      <c r="KQH391" s="160">
        <v>0</v>
      </c>
      <c r="KQI391" s="160">
        <v>0</v>
      </c>
      <c r="KQJ391" s="160">
        <v>0</v>
      </c>
      <c r="KQK391" s="160">
        <v>0</v>
      </c>
      <c r="KQL391" s="160">
        <v>0</v>
      </c>
      <c r="KQM391" s="160">
        <v>0</v>
      </c>
      <c r="KQN391" s="160">
        <v>0</v>
      </c>
      <c r="KQO391" s="160">
        <v>0</v>
      </c>
      <c r="KQP391" s="160">
        <v>0</v>
      </c>
      <c r="KQQ391" s="160">
        <v>0</v>
      </c>
      <c r="KQR391" s="160">
        <v>0</v>
      </c>
      <c r="KQS391" s="160">
        <v>0</v>
      </c>
      <c r="KQT391" s="160">
        <v>0</v>
      </c>
      <c r="KQU391" s="160">
        <v>0</v>
      </c>
      <c r="KQV391" s="160">
        <v>0</v>
      </c>
      <c r="KQW391" s="160">
        <v>0</v>
      </c>
      <c r="KQX391" s="160">
        <v>0</v>
      </c>
      <c r="KQY391" s="160">
        <v>0</v>
      </c>
      <c r="KQZ391" s="160">
        <v>0</v>
      </c>
      <c r="KRA391" s="160">
        <v>0</v>
      </c>
      <c r="KRB391" s="160">
        <v>0</v>
      </c>
      <c r="KRC391" s="160">
        <v>0</v>
      </c>
      <c r="KRD391" s="160">
        <v>0</v>
      </c>
      <c r="KRE391" s="160">
        <v>0</v>
      </c>
      <c r="KRF391" s="160">
        <v>0</v>
      </c>
      <c r="KRG391" s="160">
        <v>0</v>
      </c>
      <c r="KRH391" s="160">
        <v>0</v>
      </c>
      <c r="KRI391" s="160">
        <v>0</v>
      </c>
      <c r="KRJ391" s="160">
        <v>0</v>
      </c>
      <c r="KRK391" s="160">
        <v>0</v>
      </c>
      <c r="KRL391" s="160">
        <v>0</v>
      </c>
      <c r="KRM391" s="160">
        <v>0</v>
      </c>
      <c r="KRN391" s="160">
        <v>0</v>
      </c>
      <c r="KRO391" s="160">
        <v>0</v>
      </c>
      <c r="KRP391" s="160">
        <v>0</v>
      </c>
      <c r="KRQ391" s="160">
        <v>0</v>
      </c>
      <c r="KRR391" s="160">
        <v>0</v>
      </c>
      <c r="KRS391" s="160">
        <v>0</v>
      </c>
      <c r="KRT391" s="160">
        <v>0</v>
      </c>
      <c r="KRU391" s="160">
        <v>0</v>
      </c>
      <c r="KRV391" s="160">
        <v>0</v>
      </c>
      <c r="KRW391" s="160">
        <v>0</v>
      </c>
      <c r="KRX391" s="160">
        <v>0</v>
      </c>
      <c r="KRY391" s="160">
        <v>0</v>
      </c>
      <c r="KRZ391" s="160">
        <v>0</v>
      </c>
      <c r="KSA391" s="160">
        <v>0</v>
      </c>
      <c r="KSB391" s="160">
        <v>0</v>
      </c>
      <c r="KSC391" s="160">
        <v>0</v>
      </c>
      <c r="KSD391" s="160">
        <v>0</v>
      </c>
      <c r="KSE391" s="160">
        <v>0</v>
      </c>
      <c r="KSF391" s="160">
        <v>0</v>
      </c>
      <c r="KSG391" s="160">
        <v>0</v>
      </c>
      <c r="KSH391" s="160">
        <v>0</v>
      </c>
      <c r="KSI391" s="160">
        <v>0</v>
      </c>
      <c r="KSJ391" s="160">
        <v>0</v>
      </c>
      <c r="KSK391" s="160">
        <v>0</v>
      </c>
      <c r="KSL391" s="160">
        <v>0</v>
      </c>
      <c r="KSM391" s="160">
        <v>0</v>
      </c>
      <c r="KSN391" s="160">
        <v>0</v>
      </c>
      <c r="KSO391" s="160">
        <v>0</v>
      </c>
      <c r="KSP391" s="160">
        <v>0</v>
      </c>
      <c r="KSQ391" s="160">
        <v>0</v>
      </c>
      <c r="KSR391" s="160">
        <v>0</v>
      </c>
      <c r="KSS391" s="160">
        <v>0</v>
      </c>
      <c r="KST391" s="160">
        <v>0</v>
      </c>
      <c r="KSU391" s="160">
        <v>0</v>
      </c>
      <c r="KSV391" s="160">
        <v>0</v>
      </c>
      <c r="KSW391" s="160">
        <v>0</v>
      </c>
      <c r="KSX391" s="160">
        <v>0</v>
      </c>
      <c r="KSY391" s="160">
        <v>0</v>
      </c>
      <c r="KSZ391" s="160">
        <v>0</v>
      </c>
      <c r="KTA391" s="160">
        <v>0</v>
      </c>
      <c r="KTB391" s="160">
        <v>0</v>
      </c>
      <c r="KTC391" s="160">
        <v>0</v>
      </c>
      <c r="KTD391" s="160">
        <v>0</v>
      </c>
      <c r="KTE391" s="160">
        <v>0</v>
      </c>
      <c r="KTF391" s="160">
        <v>0</v>
      </c>
      <c r="KTG391" s="160">
        <v>0</v>
      </c>
      <c r="KTH391" s="160">
        <v>0</v>
      </c>
      <c r="KTI391" s="160">
        <v>0</v>
      </c>
      <c r="KTJ391" s="160">
        <v>0</v>
      </c>
      <c r="KTK391" s="160">
        <v>0</v>
      </c>
      <c r="KTL391" s="160">
        <v>0</v>
      </c>
      <c r="KTM391" s="160">
        <v>0</v>
      </c>
      <c r="KTN391" s="160">
        <v>0</v>
      </c>
      <c r="KTO391" s="160">
        <v>0</v>
      </c>
      <c r="KTP391" s="160">
        <v>0</v>
      </c>
      <c r="KTQ391" s="160">
        <v>0</v>
      </c>
      <c r="KTR391" s="160">
        <v>0</v>
      </c>
      <c r="KTS391" s="160">
        <v>0</v>
      </c>
      <c r="KTT391" s="160">
        <v>0</v>
      </c>
      <c r="KTU391" s="160">
        <v>0</v>
      </c>
      <c r="KTV391" s="160">
        <v>0</v>
      </c>
      <c r="KTW391" s="160">
        <v>0</v>
      </c>
      <c r="KTX391" s="160">
        <v>0</v>
      </c>
      <c r="KTY391" s="160">
        <v>0</v>
      </c>
      <c r="KTZ391" s="160">
        <v>0</v>
      </c>
      <c r="KUA391" s="160">
        <v>0</v>
      </c>
      <c r="KUB391" s="160">
        <v>0</v>
      </c>
      <c r="KUC391" s="160">
        <v>0</v>
      </c>
      <c r="KUD391" s="160">
        <v>0</v>
      </c>
      <c r="KUE391" s="160">
        <v>0</v>
      </c>
      <c r="KUF391" s="160">
        <v>0</v>
      </c>
      <c r="KUG391" s="160">
        <v>0</v>
      </c>
      <c r="KUH391" s="160">
        <v>0</v>
      </c>
      <c r="KUI391" s="160">
        <v>0</v>
      </c>
      <c r="KUJ391" s="160">
        <v>0</v>
      </c>
      <c r="KUK391" s="160">
        <v>0</v>
      </c>
      <c r="KUL391" s="160">
        <v>0</v>
      </c>
      <c r="KUM391" s="160">
        <v>0</v>
      </c>
      <c r="KUN391" s="160">
        <v>0</v>
      </c>
      <c r="KUO391" s="160">
        <v>0</v>
      </c>
      <c r="KUP391" s="160">
        <v>0</v>
      </c>
      <c r="KUQ391" s="160">
        <v>0</v>
      </c>
      <c r="KUR391" s="160">
        <v>0</v>
      </c>
      <c r="KUS391" s="160">
        <v>0</v>
      </c>
      <c r="KUT391" s="160">
        <v>0</v>
      </c>
      <c r="KUU391" s="160">
        <v>0</v>
      </c>
      <c r="KUV391" s="160">
        <v>0</v>
      </c>
      <c r="KUW391" s="160">
        <v>0</v>
      </c>
      <c r="KUX391" s="160">
        <v>0</v>
      </c>
      <c r="KUY391" s="160">
        <v>0</v>
      </c>
      <c r="KUZ391" s="160">
        <v>0</v>
      </c>
      <c r="KVA391" s="160">
        <v>0</v>
      </c>
      <c r="KVB391" s="160">
        <v>0</v>
      </c>
      <c r="KVC391" s="160">
        <v>0</v>
      </c>
      <c r="KVD391" s="160">
        <v>0</v>
      </c>
      <c r="KVE391" s="160">
        <v>0</v>
      </c>
      <c r="KVF391" s="160">
        <v>0</v>
      </c>
      <c r="KVG391" s="160">
        <v>0</v>
      </c>
      <c r="KVH391" s="160">
        <v>0</v>
      </c>
      <c r="KVI391" s="160">
        <v>0</v>
      </c>
      <c r="KVJ391" s="160">
        <v>0</v>
      </c>
      <c r="KVK391" s="160">
        <v>0</v>
      </c>
      <c r="KVL391" s="160">
        <v>0</v>
      </c>
      <c r="KVM391" s="160">
        <v>0</v>
      </c>
      <c r="KVN391" s="160">
        <v>0</v>
      </c>
      <c r="KVO391" s="160">
        <v>0</v>
      </c>
      <c r="KVP391" s="160">
        <v>0</v>
      </c>
      <c r="KVQ391" s="160">
        <v>0</v>
      </c>
      <c r="KVR391" s="160">
        <v>0</v>
      </c>
      <c r="KVS391" s="160">
        <v>0</v>
      </c>
      <c r="KVT391" s="160">
        <v>0</v>
      </c>
      <c r="KVU391" s="160">
        <v>0</v>
      </c>
      <c r="KVV391" s="160">
        <v>0</v>
      </c>
      <c r="KVW391" s="160">
        <v>0</v>
      </c>
      <c r="KVX391" s="160">
        <v>0</v>
      </c>
      <c r="KVY391" s="160">
        <v>0</v>
      </c>
      <c r="KVZ391" s="160">
        <v>0</v>
      </c>
      <c r="KWA391" s="160">
        <v>0</v>
      </c>
      <c r="KWB391" s="160">
        <v>0</v>
      </c>
      <c r="KWC391" s="160">
        <v>0</v>
      </c>
      <c r="KWD391" s="160">
        <v>0</v>
      </c>
      <c r="KWE391" s="160">
        <v>0</v>
      </c>
      <c r="KWF391" s="160">
        <v>0</v>
      </c>
      <c r="KWG391" s="160">
        <v>0</v>
      </c>
      <c r="KWH391" s="160">
        <v>0</v>
      </c>
      <c r="KWI391" s="160">
        <v>0</v>
      </c>
      <c r="KWJ391" s="160">
        <v>0</v>
      </c>
      <c r="KWK391" s="160">
        <v>0</v>
      </c>
      <c r="KWL391" s="160">
        <v>0</v>
      </c>
      <c r="KWM391" s="160">
        <v>0</v>
      </c>
      <c r="KWN391" s="160">
        <v>0</v>
      </c>
      <c r="KWO391" s="160">
        <v>0</v>
      </c>
      <c r="KWP391" s="160">
        <v>0</v>
      </c>
      <c r="KWQ391" s="160">
        <v>0</v>
      </c>
      <c r="KWR391" s="160">
        <v>0</v>
      </c>
      <c r="KWS391" s="160">
        <v>0</v>
      </c>
      <c r="KWT391" s="160">
        <v>0</v>
      </c>
      <c r="KWU391" s="160">
        <v>0</v>
      </c>
      <c r="KWV391" s="160">
        <v>0</v>
      </c>
      <c r="KWW391" s="160">
        <v>0</v>
      </c>
      <c r="KWX391" s="160">
        <v>0</v>
      </c>
      <c r="KWY391" s="160">
        <v>0</v>
      </c>
      <c r="KWZ391" s="160">
        <v>0</v>
      </c>
      <c r="KXA391" s="160">
        <v>0</v>
      </c>
      <c r="KXB391" s="160">
        <v>0</v>
      </c>
      <c r="KXC391" s="160">
        <v>0</v>
      </c>
      <c r="KXD391" s="160">
        <v>0</v>
      </c>
      <c r="KXE391" s="160">
        <v>0</v>
      </c>
      <c r="KXF391" s="160">
        <v>0</v>
      </c>
      <c r="KXG391" s="160">
        <v>0</v>
      </c>
      <c r="KXH391" s="160">
        <v>0</v>
      </c>
      <c r="KXI391" s="160">
        <v>0</v>
      </c>
      <c r="KXJ391" s="160">
        <v>0</v>
      </c>
      <c r="KXK391" s="160">
        <v>0</v>
      </c>
      <c r="KXL391" s="160">
        <v>0</v>
      </c>
      <c r="KXM391" s="160">
        <v>0</v>
      </c>
      <c r="KXN391" s="160">
        <v>0</v>
      </c>
      <c r="KXO391" s="160">
        <v>0</v>
      </c>
      <c r="KXP391" s="160">
        <v>0</v>
      </c>
      <c r="KXQ391" s="160">
        <v>0</v>
      </c>
      <c r="KXR391" s="160">
        <v>0</v>
      </c>
      <c r="KXS391" s="160">
        <v>0</v>
      </c>
      <c r="KXT391" s="160">
        <v>0</v>
      </c>
      <c r="KXU391" s="160">
        <v>0</v>
      </c>
      <c r="KXV391" s="160">
        <v>0</v>
      </c>
      <c r="KXW391" s="160">
        <v>0</v>
      </c>
      <c r="KXX391" s="160">
        <v>0</v>
      </c>
      <c r="KXY391" s="160">
        <v>0</v>
      </c>
      <c r="KXZ391" s="160">
        <v>0</v>
      </c>
      <c r="KYA391" s="160">
        <v>0</v>
      </c>
      <c r="KYB391" s="160">
        <v>0</v>
      </c>
      <c r="KYC391" s="160">
        <v>0</v>
      </c>
      <c r="KYD391" s="160">
        <v>0</v>
      </c>
      <c r="KYE391" s="160">
        <v>0</v>
      </c>
      <c r="KYF391" s="160">
        <v>0</v>
      </c>
      <c r="KYG391" s="160">
        <v>0</v>
      </c>
      <c r="KYH391" s="160">
        <v>0</v>
      </c>
      <c r="KYI391" s="160">
        <v>0</v>
      </c>
      <c r="KYJ391" s="160">
        <v>0</v>
      </c>
      <c r="KYK391" s="160">
        <v>0</v>
      </c>
      <c r="KYL391" s="160">
        <v>0</v>
      </c>
      <c r="KYM391" s="160">
        <v>0</v>
      </c>
      <c r="KYN391" s="160">
        <v>0</v>
      </c>
      <c r="KYO391" s="160">
        <v>0</v>
      </c>
      <c r="KYP391" s="160">
        <v>0</v>
      </c>
      <c r="KYQ391" s="160">
        <v>0</v>
      </c>
      <c r="KYR391" s="160">
        <v>0</v>
      </c>
      <c r="KYS391" s="160">
        <v>0</v>
      </c>
      <c r="KYT391" s="160">
        <v>0</v>
      </c>
      <c r="KYU391" s="160">
        <v>0</v>
      </c>
      <c r="KYV391" s="160">
        <v>0</v>
      </c>
      <c r="KYW391" s="160">
        <v>0</v>
      </c>
      <c r="KYX391" s="160">
        <v>0</v>
      </c>
      <c r="KYY391" s="160">
        <v>0</v>
      </c>
      <c r="KYZ391" s="160">
        <v>0</v>
      </c>
      <c r="KZA391" s="160">
        <v>0</v>
      </c>
      <c r="KZB391" s="160">
        <v>0</v>
      </c>
      <c r="KZC391" s="160">
        <v>0</v>
      </c>
      <c r="KZD391" s="160">
        <v>0</v>
      </c>
      <c r="KZE391" s="160">
        <v>0</v>
      </c>
      <c r="KZF391" s="160">
        <v>0</v>
      </c>
      <c r="KZG391" s="160">
        <v>0</v>
      </c>
      <c r="KZH391" s="160">
        <v>0</v>
      </c>
      <c r="KZI391" s="160">
        <v>0</v>
      </c>
      <c r="KZJ391" s="160">
        <v>0</v>
      </c>
      <c r="KZK391" s="160">
        <v>0</v>
      </c>
      <c r="KZL391" s="160">
        <v>0</v>
      </c>
      <c r="KZM391" s="160">
        <v>0</v>
      </c>
      <c r="KZN391" s="160">
        <v>0</v>
      </c>
      <c r="KZO391" s="160">
        <v>0</v>
      </c>
      <c r="KZP391" s="160">
        <v>0</v>
      </c>
      <c r="KZQ391" s="160">
        <v>0</v>
      </c>
      <c r="KZR391" s="160">
        <v>0</v>
      </c>
      <c r="KZS391" s="160">
        <v>0</v>
      </c>
      <c r="KZT391" s="160">
        <v>0</v>
      </c>
      <c r="KZU391" s="160">
        <v>0</v>
      </c>
      <c r="KZV391" s="160">
        <v>0</v>
      </c>
      <c r="KZW391" s="160">
        <v>0</v>
      </c>
      <c r="KZX391" s="160">
        <v>0</v>
      </c>
      <c r="KZY391" s="160">
        <v>0</v>
      </c>
      <c r="KZZ391" s="160">
        <v>0</v>
      </c>
      <c r="LAA391" s="160">
        <v>0</v>
      </c>
      <c r="LAB391" s="160">
        <v>0</v>
      </c>
      <c r="LAC391" s="160">
        <v>0</v>
      </c>
      <c r="LAD391" s="160">
        <v>0</v>
      </c>
      <c r="LAE391" s="160">
        <v>0</v>
      </c>
      <c r="LAF391" s="160">
        <v>0</v>
      </c>
      <c r="LAG391" s="160">
        <v>0</v>
      </c>
      <c r="LAH391" s="160">
        <v>0</v>
      </c>
      <c r="LAI391" s="160">
        <v>0</v>
      </c>
      <c r="LAJ391" s="160">
        <v>0</v>
      </c>
      <c r="LAK391" s="160">
        <v>0</v>
      </c>
      <c r="LAL391" s="160">
        <v>0</v>
      </c>
      <c r="LAM391" s="160">
        <v>0</v>
      </c>
      <c r="LAN391" s="160">
        <v>0</v>
      </c>
      <c r="LAO391" s="160">
        <v>0</v>
      </c>
      <c r="LAP391" s="160">
        <v>0</v>
      </c>
      <c r="LAQ391" s="160">
        <v>0</v>
      </c>
      <c r="LAR391" s="160">
        <v>0</v>
      </c>
      <c r="LAS391" s="160">
        <v>0</v>
      </c>
      <c r="LAT391" s="160">
        <v>0</v>
      </c>
      <c r="LAU391" s="160">
        <v>0</v>
      </c>
      <c r="LAV391" s="160">
        <v>0</v>
      </c>
      <c r="LAW391" s="160">
        <v>0</v>
      </c>
      <c r="LAX391" s="160">
        <v>0</v>
      </c>
      <c r="LAY391" s="160">
        <v>0</v>
      </c>
      <c r="LAZ391" s="160">
        <v>0</v>
      </c>
      <c r="LBA391" s="160">
        <v>0</v>
      </c>
      <c r="LBB391" s="160">
        <v>0</v>
      </c>
      <c r="LBC391" s="160">
        <v>0</v>
      </c>
      <c r="LBD391" s="160">
        <v>0</v>
      </c>
      <c r="LBE391" s="160">
        <v>0</v>
      </c>
      <c r="LBF391" s="160">
        <v>0</v>
      </c>
      <c r="LBG391" s="160">
        <v>0</v>
      </c>
      <c r="LBH391" s="160">
        <v>0</v>
      </c>
      <c r="LBI391" s="160">
        <v>0</v>
      </c>
      <c r="LBJ391" s="160">
        <v>0</v>
      </c>
      <c r="LBK391" s="160">
        <v>0</v>
      </c>
      <c r="LBL391" s="160">
        <v>0</v>
      </c>
      <c r="LBM391" s="160">
        <v>0</v>
      </c>
      <c r="LBN391" s="160">
        <v>0</v>
      </c>
      <c r="LBO391" s="160">
        <v>0</v>
      </c>
      <c r="LBP391" s="160">
        <v>0</v>
      </c>
      <c r="LBQ391" s="160">
        <v>0</v>
      </c>
      <c r="LBR391" s="160">
        <v>0</v>
      </c>
      <c r="LBS391" s="160">
        <v>0</v>
      </c>
      <c r="LBT391" s="160">
        <v>0</v>
      </c>
      <c r="LBU391" s="160">
        <v>0</v>
      </c>
      <c r="LBV391" s="160">
        <v>0</v>
      </c>
      <c r="LBW391" s="160">
        <v>0</v>
      </c>
      <c r="LBX391" s="160">
        <v>0</v>
      </c>
      <c r="LBY391" s="160">
        <v>0</v>
      </c>
      <c r="LBZ391" s="160">
        <v>0</v>
      </c>
      <c r="LCA391" s="160">
        <v>0</v>
      </c>
      <c r="LCB391" s="160">
        <v>0</v>
      </c>
      <c r="LCC391" s="160">
        <v>0</v>
      </c>
      <c r="LCD391" s="160">
        <v>0</v>
      </c>
      <c r="LCE391" s="160">
        <v>0</v>
      </c>
      <c r="LCF391" s="160">
        <v>0</v>
      </c>
      <c r="LCG391" s="160">
        <v>0</v>
      </c>
      <c r="LCH391" s="160">
        <v>0</v>
      </c>
      <c r="LCI391" s="160">
        <v>0</v>
      </c>
      <c r="LCJ391" s="160">
        <v>0</v>
      </c>
      <c r="LCK391" s="160">
        <v>0</v>
      </c>
      <c r="LCL391" s="160">
        <v>0</v>
      </c>
      <c r="LCM391" s="160">
        <v>0</v>
      </c>
      <c r="LCN391" s="160">
        <v>0</v>
      </c>
      <c r="LCO391" s="160">
        <v>0</v>
      </c>
      <c r="LCP391" s="160">
        <v>0</v>
      </c>
      <c r="LCQ391" s="160">
        <v>0</v>
      </c>
      <c r="LCR391" s="160">
        <v>0</v>
      </c>
      <c r="LCS391" s="160">
        <v>0</v>
      </c>
      <c r="LCT391" s="160">
        <v>0</v>
      </c>
      <c r="LCU391" s="160">
        <v>0</v>
      </c>
      <c r="LCV391" s="160">
        <v>0</v>
      </c>
      <c r="LCW391" s="160">
        <v>0</v>
      </c>
      <c r="LCX391" s="160">
        <v>0</v>
      </c>
      <c r="LCY391" s="160">
        <v>0</v>
      </c>
      <c r="LCZ391" s="160">
        <v>0</v>
      </c>
      <c r="LDA391" s="160">
        <v>0</v>
      </c>
      <c r="LDB391" s="160">
        <v>0</v>
      </c>
      <c r="LDC391" s="160">
        <v>0</v>
      </c>
      <c r="LDD391" s="160">
        <v>0</v>
      </c>
      <c r="LDE391" s="160">
        <v>0</v>
      </c>
      <c r="LDF391" s="160">
        <v>0</v>
      </c>
      <c r="LDG391" s="160">
        <v>0</v>
      </c>
      <c r="LDH391" s="160">
        <v>0</v>
      </c>
      <c r="LDI391" s="160">
        <v>0</v>
      </c>
      <c r="LDJ391" s="160">
        <v>0</v>
      </c>
      <c r="LDK391" s="160">
        <v>0</v>
      </c>
      <c r="LDL391" s="160">
        <v>0</v>
      </c>
      <c r="LDM391" s="160">
        <v>0</v>
      </c>
      <c r="LDN391" s="160">
        <v>0</v>
      </c>
      <c r="LDO391" s="160">
        <v>0</v>
      </c>
      <c r="LDP391" s="160">
        <v>0</v>
      </c>
      <c r="LDQ391" s="160">
        <v>0</v>
      </c>
      <c r="LDR391" s="160">
        <v>0</v>
      </c>
      <c r="LDS391" s="160">
        <v>0</v>
      </c>
      <c r="LDT391" s="160">
        <v>0</v>
      </c>
      <c r="LDU391" s="160">
        <v>0</v>
      </c>
      <c r="LDV391" s="160">
        <v>0</v>
      </c>
      <c r="LDW391" s="160">
        <v>0</v>
      </c>
      <c r="LDX391" s="160">
        <v>0</v>
      </c>
      <c r="LDY391" s="160">
        <v>0</v>
      </c>
      <c r="LDZ391" s="160">
        <v>0</v>
      </c>
      <c r="LEA391" s="160">
        <v>0</v>
      </c>
      <c r="LEB391" s="160">
        <v>0</v>
      </c>
      <c r="LEC391" s="160">
        <v>0</v>
      </c>
      <c r="LED391" s="160">
        <v>0</v>
      </c>
      <c r="LEE391" s="160">
        <v>0</v>
      </c>
      <c r="LEF391" s="160">
        <v>0</v>
      </c>
      <c r="LEG391" s="160">
        <v>0</v>
      </c>
      <c r="LEH391" s="160">
        <v>0</v>
      </c>
      <c r="LEI391" s="160">
        <v>0</v>
      </c>
      <c r="LEJ391" s="160">
        <v>0</v>
      </c>
      <c r="LEK391" s="160">
        <v>0</v>
      </c>
      <c r="LEL391" s="160">
        <v>0</v>
      </c>
      <c r="LEM391" s="160">
        <v>0</v>
      </c>
      <c r="LEN391" s="160">
        <v>0</v>
      </c>
      <c r="LEO391" s="160">
        <v>0</v>
      </c>
      <c r="LEP391" s="160">
        <v>0</v>
      </c>
      <c r="LEQ391" s="160">
        <v>0</v>
      </c>
      <c r="LER391" s="160">
        <v>0</v>
      </c>
      <c r="LES391" s="160">
        <v>0</v>
      </c>
      <c r="LET391" s="160">
        <v>0</v>
      </c>
      <c r="LEU391" s="160">
        <v>0</v>
      </c>
      <c r="LEV391" s="160">
        <v>0</v>
      </c>
      <c r="LEW391" s="160">
        <v>0</v>
      </c>
      <c r="LEX391" s="160">
        <v>0</v>
      </c>
      <c r="LEY391" s="160">
        <v>0</v>
      </c>
      <c r="LEZ391" s="160">
        <v>0</v>
      </c>
      <c r="LFA391" s="160">
        <v>0</v>
      </c>
      <c r="LFB391" s="160">
        <v>0</v>
      </c>
      <c r="LFC391" s="160">
        <v>0</v>
      </c>
      <c r="LFD391" s="160">
        <v>0</v>
      </c>
      <c r="LFE391" s="160">
        <v>0</v>
      </c>
      <c r="LFF391" s="160">
        <v>0</v>
      </c>
      <c r="LFG391" s="160">
        <v>0</v>
      </c>
      <c r="LFH391" s="160">
        <v>0</v>
      </c>
      <c r="LFI391" s="160">
        <v>0</v>
      </c>
      <c r="LFJ391" s="160">
        <v>0</v>
      </c>
      <c r="LFK391" s="160">
        <v>0</v>
      </c>
      <c r="LFL391" s="160">
        <v>0</v>
      </c>
      <c r="LFM391" s="160">
        <v>0</v>
      </c>
      <c r="LFN391" s="160">
        <v>0</v>
      </c>
      <c r="LFO391" s="160">
        <v>0</v>
      </c>
      <c r="LFP391" s="160">
        <v>0</v>
      </c>
      <c r="LFQ391" s="160">
        <v>0</v>
      </c>
      <c r="LFR391" s="160">
        <v>0</v>
      </c>
      <c r="LFS391" s="160">
        <v>0</v>
      </c>
      <c r="LFT391" s="160">
        <v>0</v>
      </c>
      <c r="LFU391" s="160">
        <v>0</v>
      </c>
      <c r="LFV391" s="160">
        <v>0</v>
      </c>
      <c r="LFW391" s="160">
        <v>0</v>
      </c>
      <c r="LFX391" s="160">
        <v>0</v>
      </c>
      <c r="LFY391" s="160">
        <v>0</v>
      </c>
      <c r="LFZ391" s="160">
        <v>0</v>
      </c>
      <c r="LGA391" s="160">
        <v>0</v>
      </c>
      <c r="LGB391" s="160">
        <v>0</v>
      </c>
      <c r="LGC391" s="160">
        <v>0</v>
      </c>
      <c r="LGD391" s="160">
        <v>0</v>
      </c>
      <c r="LGE391" s="160">
        <v>0</v>
      </c>
      <c r="LGF391" s="160">
        <v>0</v>
      </c>
      <c r="LGG391" s="160">
        <v>0</v>
      </c>
      <c r="LGH391" s="160">
        <v>0</v>
      </c>
      <c r="LGI391" s="160">
        <v>0</v>
      </c>
      <c r="LGJ391" s="160">
        <v>0</v>
      </c>
      <c r="LGK391" s="160">
        <v>0</v>
      </c>
      <c r="LGL391" s="160">
        <v>0</v>
      </c>
      <c r="LGM391" s="160">
        <v>0</v>
      </c>
      <c r="LGN391" s="160">
        <v>0</v>
      </c>
      <c r="LGO391" s="160">
        <v>0</v>
      </c>
      <c r="LGP391" s="160">
        <v>0</v>
      </c>
      <c r="LGQ391" s="160">
        <v>0</v>
      </c>
      <c r="LGR391" s="160">
        <v>0</v>
      </c>
      <c r="LGS391" s="160">
        <v>0</v>
      </c>
      <c r="LGT391" s="160">
        <v>0</v>
      </c>
      <c r="LGU391" s="160">
        <v>0</v>
      </c>
      <c r="LGV391" s="160">
        <v>0</v>
      </c>
      <c r="LGW391" s="160">
        <v>0</v>
      </c>
      <c r="LGX391" s="160">
        <v>0</v>
      </c>
      <c r="LGY391" s="160">
        <v>0</v>
      </c>
      <c r="LGZ391" s="160">
        <v>0</v>
      </c>
      <c r="LHA391" s="160">
        <v>0</v>
      </c>
      <c r="LHB391" s="160">
        <v>0</v>
      </c>
      <c r="LHC391" s="160">
        <v>0</v>
      </c>
      <c r="LHD391" s="160">
        <v>0</v>
      </c>
      <c r="LHE391" s="160">
        <v>0</v>
      </c>
      <c r="LHF391" s="160">
        <v>0</v>
      </c>
      <c r="LHG391" s="160">
        <v>0</v>
      </c>
      <c r="LHH391" s="160">
        <v>0</v>
      </c>
      <c r="LHI391" s="160">
        <v>0</v>
      </c>
      <c r="LHJ391" s="160">
        <v>0</v>
      </c>
      <c r="LHK391" s="160">
        <v>0</v>
      </c>
      <c r="LHL391" s="160">
        <v>0</v>
      </c>
      <c r="LHM391" s="160">
        <v>0</v>
      </c>
      <c r="LHN391" s="160">
        <v>0</v>
      </c>
      <c r="LHO391" s="160">
        <v>0</v>
      </c>
      <c r="LHP391" s="160">
        <v>0</v>
      </c>
      <c r="LHQ391" s="160">
        <v>0</v>
      </c>
      <c r="LHR391" s="160">
        <v>0</v>
      </c>
      <c r="LHS391" s="160">
        <v>0</v>
      </c>
      <c r="LHT391" s="160">
        <v>0</v>
      </c>
      <c r="LHU391" s="160">
        <v>0</v>
      </c>
      <c r="LHV391" s="160">
        <v>0</v>
      </c>
      <c r="LHW391" s="160">
        <v>0</v>
      </c>
      <c r="LHX391" s="160">
        <v>0</v>
      </c>
      <c r="LHY391" s="160">
        <v>0</v>
      </c>
      <c r="LHZ391" s="160">
        <v>0</v>
      </c>
      <c r="LIA391" s="160">
        <v>0</v>
      </c>
      <c r="LIB391" s="160">
        <v>0</v>
      </c>
      <c r="LIC391" s="160">
        <v>0</v>
      </c>
      <c r="LID391" s="160">
        <v>0</v>
      </c>
      <c r="LIE391" s="160">
        <v>0</v>
      </c>
      <c r="LIF391" s="160">
        <v>0</v>
      </c>
      <c r="LIG391" s="160">
        <v>0</v>
      </c>
      <c r="LIH391" s="160">
        <v>0</v>
      </c>
      <c r="LII391" s="160">
        <v>0</v>
      </c>
      <c r="LIJ391" s="160">
        <v>0</v>
      </c>
      <c r="LIK391" s="160">
        <v>0</v>
      </c>
      <c r="LIL391" s="160">
        <v>0</v>
      </c>
      <c r="LIM391" s="160">
        <v>0</v>
      </c>
      <c r="LIN391" s="160">
        <v>0</v>
      </c>
      <c r="LIO391" s="160">
        <v>0</v>
      </c>
      <c r="LIP391" s="160">
        <v>0</v>
      </c>
      <c r="LIQ391" s="160">
        <v>0</v>
      </c>
      <c r="LIR391" s="160">
        <v>0</v>
      </c>
      <c r="LIS391" s="160">
        <v>0</v>
      </c>
      <c r="LIT391" s="160">
        <v>0</v>
      </c>
      <c r="LIU391" s="160">
        <v>0</v>
      </c>
      <c r="LIV391" s="160">
        <v>0</v>
      </c>
      <c r="LIW391" s="160">
        <v>0</v>
      </c>
      <c r="LIX391" s="160">
        <v>0</v>
      </c>
      <c r="LIY391" s="160">
        <v>0</v>
      </c>
      <c r="LIZ391" s="160">
        <v>0</v>
      </c>
      <c r="LJA391" s="160">
        <v>0</v>
      </c>
      <c r="LJB391" s="160">
        <v>0</v>
      </c>
      <c r="LJC391" s="160">
        <v>0</v>
      </c>
      <c r="LJD391" s="160">
        <v>0</v>
      </c>
      <c r="LJE391" s="160">
        <v>0</v>
      </c>
      <c r="LJF391" s="160">
        <v>0</v>
      </c>
      <c r="LJG391" s="160">
        <v>0</v>
      </c>
      <c r="LJH391" s="160">
        <v>0</v>
      </c>
      <c r="LJI391" s="160">
        <v>0</v>
      </c>
      <c r="LJJ391" s="160">
        <v>0</v>
      </c>
      <c r="LJK391" s="160">
        <v>0</v>
      </c>
      <c r="LJL391" s="160">
        <v>0</v>
      </c>
      <c r="LJM391" s="160">
        <v>0</v>
      </c>
      <c r="LJN391" s="160">
        <v>0</v>
      </c>
      <c r="LJO391" s="160">
        <v>0</v>
      </c>
      <c r="LJP391" s="160">
        <v>0</v>
      </c>
      <c r="LJQ391" s="160">
        <v>0</v>
      </c>
      <c r="LJR391" s="160">
        <v>0</v>
      </c>
      <c r="LJS391" s="160">
        <v>0</v>
      </c>
      <c r="LJT391" s="160">
        <v>0</v>
      </c>
      <c r="LJU391" s="160">
        <v>0</v>
      </c>
      <c r="LJV391" s="160">
        <v>0</v>
      </c>
      <c r="LJW391" s="160">
        <v>0</v>
      </c>
      <c r="LJX391" s="160">
        <v>0</v>
      </c>
      <c r="LJY391" s="160">
        <v>0</v>
      </c>
      <c r="LJZ391" s="160">
        <v>0</v>
      </c>
      <c r="LKA391" s="160">
        <v>0</v>
      </c>
      <c r="LKB391" s="160">
        <v>0</v>
      </c>
      <c r="LKC391" s="160">
        <v>0</v>
      </c>
      <c r="LKD391" s="160">
        <v>0</v>
      </c>
      <c r="LKE391" s="160">
        <v>0</v>
      </c>
      <c r="LKF391" s="160">
        <v>0</v>
      </c>
      <c r="LKG391" s="160">
        <v>0</v>
      </c>
      <c r="LKH391" s="160">
        <v>0</v>
      </c>
      <c r="LKI391" s="160">
        <v>0</v>
      </c>
      <c r="LKJ391" s="160">
        <v>0</v>
      </c>
      <c r="LKK391" s="160">
        <v>0</v>
      </c>
      <c r="LKL391" s="160">
        <v>0</v>
      </c>
      <c r="LKM391" s="160">
        <v>0</v>
      </c>
      <c r="LKN391" s="160">
        <v>0</v>
      </c>
      <c r="LKO391" s="160">
        <v>0</v>
      </c>
      <c r="LKP391" s="160">
        <v>0</v>
      </c>
      <c r="LKQ391" s="160">
        <v>0</v>
      </c>
      <c r="LKR391" s="160">
        <v>0</v>
      </c>
      <c r="LKS391" s="160">
        <v>0</v>
      </c>
      <c r="LKT391" s="160">
        <v>0</v>
      </c>
      <c r="LKU391" s="160">
        <v>0</v>
      </c>
      <c r="LKV391" s="160">
        <v>0</v>
      </c>
      <c r="LKW391" s="160">
        <v>0</v>
      </c>
      <c r="LKX391" s="160">
        <v>0</v>
      </c>
      <c r="LKY391" s="160">
        <v>0</v>
      </c>
      <c r="LKZ391" s="160">
        <v>0</v>
      </c>
      <c r="LLA391" s="160">
        <v>0</v>
      </c>
      <c r="LLB391" s="160">
        <v>0</v>
      </c>
      <c r="LLC391" s="160">
        <v>0</v>
      </c>
      <c r="LLD391" s="160">
        <v>0</v>
      </c>
      <c r="LLE391" s="160">
        <v>0</v>
      </c>
      <c r="LLF391" s="160">
        <v>0</v>
      </c>
      <c r="LLG391" s="160">
        <v>0</v>
      </c>
      <c r="LLH391" s="160">
        <v>0</v>
      </c>
      <c r="LLI391" s="160">
        <v>0</v>
      </c>
      <c r="LLJ391" s="160">
        <v>0</v>
      </c>
      <c r="LLK391" s="160">
        <v>0</v>
      </c>
      <c r="LLL391" s="160">
        <v>0</v>
      </c>
      <c r="LLM391" s="160">
        <v>0</v>
      </c>
      <c r="LLN391" s="160">
        <v>0</v>
      </c>
      <c r="LLO391" s="160">
        <v>0</v>
      </c>
      <c r="LLP391" s="160">
        <v>0</v>
      </c>
      <c r="LLQ391" s="160">
        <v>0</v>
      </c>
      <c r="LLR391" s="160">
        <v>0</v>
      </c>
      <c r="LLS391" s="160">
        <v>0</v>
      </c>
      <c r="LLT391" s="160">
        <v>0</v>
      </c>
      <c r="LLU391" s="160">
        <v>0</v>
      </c>
      <c r="LLV391" s="160">
        <v>0</v>
      </c>
      <c r="LLW391" s="160">
        <v>0</v>
      </c>
      <c r="LLX391" s="160">
        <v>0</v>
      </c>
      <c r="LLY391" s="160">
        <v>0</v>
      </c>
      <c r="LLZ391" s="160">
        <v>0</v>
      </c>
      <c r="LMA391" s="160">
        <v>0</v>
      </c>
      <c r="LMB391" s="160">
        <v>0</v>
      </c>
      <c r="LMC391" s="160">
        <v>0</v>
      </c>
      <c r="LMD391" s="160">
        <v>0</v>
      </c>
      <c r="LME391" s="160">
        <v>0</v>
      </c>
      <c r="LMF391" s="160">
        <v>0</v>
      </c>
      <c r="LMG391" s="160">
        <v>0</v>
      </c>
      <c r="LMH391" s="160">
        <v>0</v>
      </c>
      <c r="LMI391" s="160">
        <v>0</v>
      </c>
      <c r="LMJ391" s="160">
        <v>0</v>
      </c>
      <c r="LMK391" s="160">
        <v>0</v>
      </c>
      <c r="LML391" s="160">
        <v>0</v>
      </c>
      <c r="LMM391" s="160">
        <v>0</v>
      </c>
      <c r="LMN391" s="160">
        <v>0</v>
      </c>
      <c r="LMO391" s="160">
        <v>0</v>
      </c>
      <c r="LMP391" s="160">
        <v>0</v>
      </c>
      <c r="LMQ391" s="160">
        <v>0</v>
      </c>
      <c r="LMR391" s="160">
        <v>0</v>
      </c>
      <c r="LMS391" s="160">
        <v>0</v>
      </c>
      <c r="LMT391" s="160">
        <v>0</v>
      </c>
      <c r="LMU391" s="160">
        <v>0</v>
      </c>
      <c r="LMV391" s="160">
        <v>0</v>
      </c>
      <c r="LMW391" s="160">
        <v>0</v>
      </c>
      <c r="LMX391" s="160">
        <v>0</v>
      </c>
      <c r="LMY391" s="160">
        <v>0</v>
      </c>
      <c r="LMZ391" s="160">
        <v>0</v>
      </c>
      <c r="LNA391" s="160">
        <v>0</v>
      </c>
      <c r="LNB391" s="160">
        <v>0</v>
      </c>
      <c r="LNC391" s="160">
        <v>0</v>
      </c>
      <c r="LND391" s="160">
        <v>0</v>
      </c>
      <c r="LNE391" s="160">
        <v>0</v>
      </c>
      <c r="LNF391" s="160">
        <v>0</v>
      </c>
      <c r="LNG391" s="160">
        <v>0</v>
      </c>
      <c r="LNH391" s="160">
        <v>0</v>
      </c>
      <c r="LNI391" s="160">
        <v>0</v>
      </c>
      <c r="LNJ391" s="160">
        <v>0</v>
      </c>
      <c r="LNK391" s="160">
        <v>0</v>
      </c>
      <c r="LNL391" s="160">
        <v>0</v>
      </c>
      <c r="LNM391" s="160">
        <v>0</v>
      </c>
      <c r="LNN391" s="160">
        <v>0</v>
      </c>
      <c r="LNO391" s="160">
        <v>0</v>
      </c>
      <c r="LNP391" s="160">
        <v>0</v>
      </c>
      <c r="LNQ391" s="160">
        <v>0</v>
      </c>
      <c r="LNR391" s="160">
        <v>0</v>
      </c>
      <c r="LNS391" s="160">
        <v>0</v>
      </c>
      <c r="LNT391" s="160">
        <v>0</v>
      </c>
      <c r="LNU391" s="160">
        <v>0</v>
      </c>
      <c r="LNV391" s="160">
        <v>0</v>
      </c>
      <c r="LNW391" s="160">
        <v>0</v>
      </c>
      <c r="LNX391" s="160">
        <v>0</v>
      </c>
      <c r="LNY391" s="160">
        <v>0</v>
      </c>
      <c r="LNZ391" s="160">
        <v>0</v>
      </c>
      <c r="LOA391" s="160">
        <v>0</v>
      </c>
      <c r="LOB391" s="160">
        <v>0</v>
      </c>
      <c r="LOC391" s="160">
        <v>0</v>
      </c>
      <c r="LOD391" s="160">
        <v>0</v>
      </c>
      <c r="LOE391" s="160">
        <v>0</v>
      </c>
      <c r="LOF391" s="160">
        <v>0</v>
      </c>
      <c r="LOG391" s="160">
        <v>0</v>
      </c>
      <c r="LOH391" s="160">
        <v>0</v>
      </c>
      <c r="LOI391" s="160">
        <v>0</v>
      </c>
      <c r="LOJ391" s="160">
        <v>0</v>
      </c>
      <c r="LOK391" s="160">
        <v>0</v>
      </c>
      <c r="LOL391" s="160">
        <v>0</v>
      </c>
      <c r="LOM391" s="160">
        <v>0</v>
      </c>
      <c r="LON391" s="160">
        <v>0</v>
      </c>
      <c r="LOO391" s="160">
        <v>0</v>
      </c>
      <c r="LOP391" s="160">
        <v>0</v>
      </c>
      <c r="LOQ391" s="160">
        <v>0</v>
      </c>
      <c r="LOR391" s="160">
        <v>0</v>
      </c>
      <c r="LOS391" s="160">
        <v>0</v>
      </c>
      <c r="LOT391" s="160">
        <v>0</v>
      </c>
      <c r="LOU391" s="160">
        <v>0</v>
      </c>
      <c r="LOV391" s="160">
        <v>0</v>
      </c>
      <c r="LOW391" s="160">
        <v>0</v>
      </c>
      <c r="LOX391" s="160">
        <v>0</v>
      </c>
      <c r="LOY391" s="160">
        <v>0</v>
      </c>
      <c r="LOZ391" s="160">
        <v>0</v>
      </c>
      <c r="LPA391" s="160">
        <v>0</v>
      </c>
      <c r="LPB391" s="160">
        <v>0</v>
      </c>
      <c r="LPC391" s="160">
        <v>0</v>
      </c>
      <c r="LPD391" s="160">
        <v>0</v>
      </c>
      <c r="LPE391" s="160">
        <v>0</v>
      </c>
      <c r="LPF391" s="160">
        <v>0</v>
      </c>
      <c r="LPG391" s="160">
        <v>0</v>
      </c>
      <c r="LPH391" s="160">
        <v>0</v>
      </c>
      <c r="LPI391" s="160">
        <v>0</v>
      </c>
      <c r="LPJ391" s="160">
        <v>0</v>
      </c>
      <c r="LPK391" s="160">
        <v>0</v>
      </c>
      <c r="LPL391" s="160">
        <v>0</v>
      </c>
      <c r="LPM391" s="160">
        <v>0</v>
      </c>
      <c r="LPN391" s="160">
        <v>0</v>
      </c>
      <c r="LPO391" s="160">
        <v>0</v>
      </c>
      <c r="LPP391" s="160">
        <v>0</v>
      </c>
      <c r="LPQ391" s="160">
        <v>0</v>
      </c>
      <c r="LPR391" s="160">
        <v>0</v>
      </c>
      <c r="LPS391" s="160">
        <v>0</v>
      </c>
      <c r="LPT391" s="160">
        <v>0</v>
      </c>
      <c r="LPU391" s="160">
        <v>0</v>
      </c>
      <c r="LPV391" s="160">
        <v>0</v>
      </c>
      <c r="LPW391" s="160">
        <v>0</v>
      </c>
      <c r="LPX391" s="160">
        <v>0</v>
      </c>
      <c r="LPY391" s="160">
        <v>0</v>
      </c>
      <c r="LPZ391" s="160">
        <v>0</v>
      </c>
      <c r="LQA391" s="160">
        <v>0</v>
      </c>
      <c r="LQB391" s="160">
        <v>0</v>
      </c>
      <c r="LQC391" s="160">
        <v>0</v>
      </c>
      <c r="LQD391" s="160">
        <v>0</v>
      </c>
      <c r="LQE391" s="160">
        <v>0</v>
      </c>
      <c r="LQF391" s="160">
        <v>0</v>
      </c>
      <c r="LQG391" s="160">
        <v>0</v>
      </c>
      <c r="LQH391" s="160">
        <v>0</v>
      </c>
      <c r="LQI391" s="160">
        <v>0</v>
      </c>
      <c r="LQJ391" s="160">
        <v>0</v>
      </c>
      <c r="LQK391" s="160">
        <v>0</v>
      </c>
      <c r="LQL391" s="160">
        <v>0</v>
      </c>
      <c r="LQM391" s="160">
        <v>0</v>
      </c>
      <c r="LQN391" s="160">
        <v>0</v>
      </c>
      <c r="LQO391" s="160">
        <v>0</v>
      </c>
      <c r="LQP391" s="160">
        <v>0</v>
      </c>
      <c r="LQQ391" s="160">
        <v>0</v>
      </c>
      <c r="LQR391" s="160">
        <v>0</v>
      </c>
      <c r="LQS391" s="160">
        <v>0</v>
      </c>
      <c r="LQT391" s="160">
        <v>0</v>
      </c>
      <c r="LQU391" s="160">
        <v>0</v>
      </c>
      <c r="LQV391" s="160">
        <v>0</v>
      </c>
      <c r="LQW391" s="160">
        <v>0</v>
      </c>
      <c r="LQX391" s="160">
        <v>0</v>
      </c>
      <c r="LQY391" s="160">
        <v>0</v>
      </c>
      <c r="LQZ391" s="160">
        <v>0</v>
      </c>
      <c r="LRA391" s="160">
        <v>0</v>
      </c>
      <c r="LRB391" s="160">
        <v>0</v>
      </c>
      <c r="LRC391" s="160">
        <v>0</v>
      </c>
      <c r="LRD391" s="160">
        <v>0</v>
      </c>
      <c r="LRE391" s="160">
        <v>0</v>
      </c>
      <c r="LRF391" s="160">
        <v>0</v>
      </c>
      <c r="LRG391" s="160">
        <v>0</v>
      </c>
      <c r="LRH391" s="160">
        <v>0</v>
      </c>
      <c r="LRI391" s="160">
        <v>0</v>
      </c>
      <c r="LRJ391" s="160">
        <v>0</v>
      </c>
      <c r="LRK391" s="160">
        <v>0</v>
      </c>
      <c r="LRL391" s="160">
        <v>0</v>
      </c>
      <c r="LRM391" s="160">
        <v>0</v>
      </c>
      <c r="LRN391" s="160">
        <v>0</v>
      </c>
      <c r="LRO391" s="160">
        <v>0</v>
      </c>
      <c r="LRP391" s="160">
        <v>0</v>
      </c>
      <c r="LRQ391" s="160">
        <v>0</v>
      </c>
      <c r="LRR391" s="160">
        <v>0</v>
      </c>
      <c r="LRS391" s="160">
        <v>0</v>
      </c>
      <c r="LRT391" s="160">
        <v>0</v>
      </c>
      <c r="LRU391" s="160">
        <v>0</v>
      </c>
      <c r="LRV391" s="160">
        <v>0</v>
      </c>
      <c r="LRW391" s="160">
        <v>0</v>
      </c>
      <c r="LRX391" s="160">
        <v>0</v>
      </c>
      <c r="LRY391" s="160">
        <v>0</v>
      </c>
      <c r="LRZ391" s="160">
        <v>0</v>
      </c>
      <c r="LSA391" s="160">
        <v>0</v>
      </c>
      <c r="LSB391" s="160">
        <v>0</v>
      </c>
      <c r="LSC391" s="160">
        <v>0</v>
      </c>
      <c r="LSD391" s="160">
        <v>0</v>
      </c>
      <c r="LSE391" s="160">
        <v>0</v>
      </c>
      <c r="LSF391" s="160">
        <v>0</v>
      </c>
      <c r="LSG391" s="160">
        <v>0</v>
      </c>
      <c r="LSH391" s="160">
        <v>0</v>
      </c>
      <c r="LSI391" s="160">
        <v>0</v>
      </c>
      <c r="LSJ391" s="160">
        <v>0</v>
      </c>
      <c r="LSK391" s="160">
        <v>0</v>
      </c>
      <c r="LSL391" s="160">
        <v>0</v>
      </c>
      <c r="LSM391" s="160">
        <v>0</v>
      </c>
      <c r="LSN391" s="160">
        <v>0</v>
      </c>
      <c r="LSO391" s="160">
        <v>0</v>
      </c>
      <c r="LSP391" s="160">
        <v>0</v>
      </c>
      <c r="LSQ391" s="160">
        <v>0</v>
      </c>
      <c r="LSR391" s="160">
        <v>0</v>
      </c>
      <c r="LSS391" s="160">
        <v>0</v>
      </c>
      <c r="LST391" s="160">
        <v>0</v>
      </c>
      <c r="LSU391" s="160">
        <v>0</v>
      </c>
      <c r="LSV391" s="160">
        <v>0</v>
      </c>
      <c r="LSW391" s="160">
        <v>0</v>
      </c>
      <c r="LSX391" s="160">
        <v>0</v>
      </c>
      <c r="LSY391" s="160">
        <v>0</v>
      </c>
      <c r="LSZ391" s="160">
        <v>0</v>
      </c>
      <c r="LTA391" s="160">
        <v>0</v>
      </c>
      <c r="LTB391" s="160">
        <v>0</v>
      </c>
      <c r="LTC391" s="160">
        <v>0</v>
      </c>
      <c r="LTD391" s="160">
        <v>0</v>
      </c>
      <c r="LTE391" s="160">
        <v>0</v>
      </c>
      <c r="LTF391" s="160">
        <v>0</v>
      </c>
      <c r="LTG391" s="160">
        <v>0</v>
      </c>
      <c r="LTH391" s="160">
        <v>0</v>
      </c>
      <c r="LTI391" s="160">
        <v>0</v>
      </c>
      <c r="LTJ391" s="160">
        <v>0</v>
      </c>
      <c r="LTK391" s="160">
        <v>0</v>
      </c>
      <c r="LTL391" s="160">
        <v>0</v>
      </c>
      <c r="LTM391" s="160">
        <v>0</v>
      </c>
      <c r="LTN391" s="160">
        <v>0</v>
      </c>
      <c r="LTO391" s="160">
        <v>0</v>
      </c>
      <c r="LTP391" s="160">
        <v>0</v>
      </c>
      <c r="LTQ391" s="160">
        <v>0</v>
      </c>
      <c r="LTR391" s="160">
        <v>0</v>
      </c>
      <c r="LTS391" s="160">
        <v>0</v>
      </c>
      <c r="LTT391" s="160">
        <v>0</v>
      </c>
      <c r="LTU391" s="160">
        <v>0</v>
      </c>
      <c r="LTV391" s="160">
        <v>0</v>
      </c>
      <c r="LTW391" s="160">
        <v>0</v>
      </c>
      <c r="LTX391" s="160">
        <v>0</v>
      </c>
      <c r="LTY391" s="160">
        <v>0</v>
      </c>
      <c r="LTZ391" s="160">
        <v>0</v>
      </c>
      <c r="LUA391" s="160">
        <v>0</v>
      </c>
      <c r="LUB391" s="160">
        <v>0</v>
      </c>
      <c r="LUC391" s="160">
        <v>0</v>
      </c>
      <c r="LUD391" s="160">
        <v>0</v>
      </c>
      <c r="LUE391" s="160">
        <v>0</v>
      </c>
      <c r="LUF391" s="160">
        <v>0</v>
      </c>
      <c r="LUG391" s="160">
        <v>0</v>
      </c>
      <c r="LUH391" s="160">
        <v>0</v>
      </c>
      <c r="LUI391" s="160">
        <v>0</v>
      </c>
      <c r="LUJ391" s="160">
        <v>0</v>
      </c>
      <c r="LUK391" s="160">
        <v>0</v>
      </c>
      <c r="LUL391" s="160">
        <v>0</v>
      </c>
      <c r="LUM391" s="160">
        <v>0</v>
      </c>
      <c r="LUN391" s="160">
        <v>0</v>
      </c>
      <c r="LUO391" s="160">
        <v>0</v>
      </c>
      <c r="LUP391" s="160">
        <v>0</v>
      </c>
      <c r="LUQ391" s="160">
        <v>0</v>
      </c>
      <c r="LUR391" s="160">
        <v>0</v>
      </c>
      <c r="LUS391" s="160">
        <v>0</v>
      </c>
      <c r="LUT391" s="160">
        <v>0</v>
      </c>
      <c r="LUU391" s="160">
        <v>0</v>
      </c>
      <c r="LUV391" s="160">
        <v>0</v>
      </c>
      <c r="LUW391" s="160">
        <v>0</v>
      </c>
      <c r="LUX391" s="160">
        <v>0</v>
      </c>
      <c r="LUY391" s="160">
        <v>0</v>
      </c>
      <c r="LUZ391" s="160">
        <v>0</v>
      </c>
      <c r="LVA391" s="160">
        <v>0</v>
      </c>
      <c r="LVB391" s="160">
        <v>0</v>
      </c>
      <c r="LVC391" s="160">
        <v>0</v>
      </c>
      <c r="LVD391" s="160">
        <v>0</v>
      </c>
      <c r="LVE391" s="160">
        <v>0</v>
      </c>
      <c r="LVF391" s="160">
        <v>0</v>
      </c>
      <c r="LVG391" s="160">
        <v>0</v>
      </c>
      <c r="LVH391" s="160">
        <v>0</v>
      </c>
      <c r="LVI391" s="160">
        <v>0</v>
      </c>
      <c r="LVJ391" s="160">
        <v>0</v>
      </c>
      <c r="LVK391" s="160">
        <v>0</v>
      </c>
      <c r="LVL391" s="160">
        <v>0</v>
      </c>
      <c r="LVM391" s="160">
        <v>0</v>
      </c>
      <c r="LVN391" s="160">
        <v>0</v>
      </c>
      <c r="LVO391" s="160">
        <v>0</v>
      </c>
      <c r="LVP391" s="160">
        <v>0</v>
      </c>
      <c r="LVQ391" s="160">
        <v>0</v>
      </c>
      <c r="LVR391" s="160">
        <v>0</v>
      </c>
      <c r="LVS391" s="160">
        <v>0</v>
      </c>
      <c r="LVT391" s="160">
        <v>0</v>
      </c>
      <c r="LVU391" s="160">
        <v>0</v>
      </c>
      <c r="LVV391" s="160">
        <v>0</v>
      </c>
      <c r="LVW391" s="160">
        <v>0</v>
      </c>
      <c r="LVX391" s="160">
        <v>0</v>
      </c>
      <c r="LVY391" s="160">
        <v>0</v>
      </c>
      <c r="LVZ391" s="160">
        <v>0</v>
      </c>
      <c r="LWA391" s="160">
        <v>0</v>
      </c>
      <c r="LWB391" s="160">
        <v>0</v>
      </c>
      <c r="LWC391" s="160">
        <v>0</v>
      </c>
      <c r="LWD391" s="160">
        <v>0</v>
      </c>
      <c r="LWE391" s="160">
        <v>0</v>
      </c>
      <c r="LWF391" s="160">
        <v>0</v>
      </c>
      <c r="LWG391" s="160">
        <v>0</v>
      </c>
      <c r="LWH391" s="160">
        <v>0</v>
      </c>
      <c r="LWI391" s="160">
        <v>0</v>
      </c>
      <c r="LWJ391" s="160">
        <v>0</v>
      </c>
      <c r="LWK391" s="160">
        <v>0</v>
      </c>
      <c r="LWL391" s="160">
        <v>0</v>
      </c>
      <c r="LWM391" s="160">
        <v>0</v>
      </c>
      <c r="LWN391" s="160">
        <v>0</v>
      </c>
      <c r="LWO391" s="160">
        <v>0</v>
      </c>
      <c r="LWP391" s="160">
        <v>0</v>
      </c>
      <c r="LWQ391" s="160">
        <v>0</v>
      </c>
      <c r="LWR391" s="160">
        <v>0</v>
      </c>
      <c r="LWS391" s="160">
        <v>0</v>
      </c>
      <c r="LWT391" s="160">
        <v>0</v>
      </c>
      <c r="LWU391" s="160">
        <v>0</v>
      </c>
      <c r="LWV391" s="160">
        <v>0</v>
      </c>
      <c r="LWW391" s="160">
        <v>0</v>
      </c>
      <c r="LWX391" s="160">
        <v>0</v>
      </c>
      <c r="LWY391" s="160">
        <v>0</v>
      </c>
      <c r="LWZ391" s="160">
        <v>0</v>
      </c>
      <c r="LXA391" s="160">
        <v>0</v>
      </c>
      <c r="LXB391" s="160">
        <v>0</v>
      </c>
      <c r="LXC391" s="160">
        <v>0</v>
      </c>
      <c r="LXD391" s="160">
        <v>0</v>
      </c>
      <c r="LXE391" s="160">
        <v>0</v>
      </c>
      <c r="LXF391" s="160">
        <v>0</v>
      </c>
      <c r="LXG391" s="160">
        <v>0</v>
      </c>
      <c r="LXH391" s="160">
        <v>0</v>
      </c>
      <c r="LXI391" s="160">
        <v>0</v>
      </c>
      <c r="LXJ391" s="160">
        <v>0</v>
      </c>
      <c r="LXK391" s="160">
        <v>0</v>
      </c>
      <c r="LXL391" s="160">
        <v>0</v>
      </c>
      <c r="LXM391" s="160">
        <v>0</v>
      </c>
      <c r="LXN391" s="160">
        <v>0</v>
      </c>
      <c r="LXO391" s="160">
        <v>0</v>
      </c>
      <c r="LXP391" s="160">
        <v>0</v>
      </c>
      <c r="LXQ391" s="160">
        <v>0</v>
      </c>
      <c r="LXR391" s="160">
        <v>0</v>
      </c>
      <c r="LXS391" s="160">
        <v>0</v>
      </c>
      <c r="LXT391" s="160">
        <v>0</v>
      </c>
      <c r="LXU391" s="160">
        <v>0</v>
      </c>
      <c r="LXV391" s="160">
        <v>0</v>
      </c>
      <c r="LXW391" s="160">
        <v>0</v>
      </c>
      <c r="LXX391" s="160">
        <v>0</v>
      </c>
      <c r="LXY391" s="160">
        <v>0</v>
      </c>
      <c r="LXZ391" s="160">
        <v>0</v>
      </c>
      <c r="LYA391" s="160">
        <v>0</v>
      </c>
      <c r="LYB391" s="160">
        <v>0</v>
      </c>
      <c r="LYC391" s="160">
        <v>0</v>
      </c>
      <c r="LYD391" s="160">
        <v>0</v>
      </c>
      <c r="LYE391" s="160">
        <v>0</v>
      </c>
      <c r="LYF391" s="160">
        <v>0</v>
      </c>
      <c r="LYG391" s="160">
        <v>0</v>
      </c>
      <c r="LYH391" s="160">
        <v>0</v>
      </c>
      <c r="LYI391" s="160">
        <v>0</v>
      </c>
      <c r="LYJ391" s="160">
        <v>0</v>
      </c>
      <c r="LYK391" s="160">
        <v>0</v>
      </c>
      <c r="LYL391" s="160">
        <v>0</v>
      </c>
      <c r="LYM391" s="160">
        <v>0</v>
      </c>
      <c r="LYN391" s="160">
        <v>0</v>
      </c>
      <c r="LYO391" s="160">
        <v>0</v>
      </c>
      <c r="LYP391" s="160">
        <v>0</v>
      </c>
      <c r="LYQ391" s="160">
        <v>0</v>
      </c>
      <c r="LYR391" s="160">
        <v>0</v>
      </c>
      <c r="LYS391" s="160">
        <v>0</v>
      </c>
      <c r="LYT391" s="160">
        <v>0</v>
      </c>
      <c r="LYU391" s="160">
        <v>0</v>
      </c>
      <c r="LYV391" s="160">
        <v>0</v>
      </c>
      <c r="LYW391" s="160">
        <v>0</v>
      </c>
      <c r="LYX391" s="160">
        <v>0</v>
      </c>
      <c r="LYY391" s="160">
        <v>0</v>
      </c>
      <c r="LYZ391" s="160">
        <v>0</v>
      </c>
      <c r="LZA391" s="160">
        <v>0</v>
      </c>
      <c r="LZB391" s="160">
        <v>0</v>
      </c>
      <c r="LZC391" s="160">
        <v>0</v>
      </c>
      <c r="LZD391" s="160">
        <v>0</v>
      </c>
      <c r="LZE391" s="160">
        <v>0</v>
      </c>
      <c r="LZF391" s="160">
        <v>0</v>
      </c>
      <c r="LZG391" s="160">
        <v>0</v>
      </c>
      <c r="LZH391" s="160">
        <v>0</v>
      </c>
      <c r="LZI391" s="160">
        <v>0</v>
      </c>
      <c r="LZJ391" s="160">
        <v>0</v>
      </c>
      <c r="LZK391" s="160">
        <v>0</v>
      </c>
      <c r="LZL391" s="160">
        <v>0</v>
      </c>
      <c r="LZM391" s="160">
        <v>0</v>
      </c>
      <c r="LZN391" s="160">
        <v>0</v>
      </c>
      <c r="LZO391" s="160">
        <v>0</v>
      </c>
      <c r="LZP391" s="160">
        <v>0</v>
      </c>
      <c r="LZQ391" s="160">
        <v>0</v>
      </c>
      <c r="LZR391" s="160">
        <v>0</v>
      </c>
      <c r="LZS391" s="160">
        <v>0</v>
      </c>
      <c r="LZT391" s="160">
        <v>0</v>
      </c>
      <c r="LZU391" s="160">
        <v>0</v>
      </c>
      <c r="LZV391" s="160">
        <v>0</v>
      </c>
      <c r="LZW391" s="160">
        <v>0</v>
      </c>
      <c r="LZX391" s="160">
        <v>0</v>
      </c>
      <c r="LZY391" s="160">
        <v>0</v>
      </c>
      <c r="LZZ391" s="160">
        <v>0</v>
      </c>
      <c r="MAA391" s="160">
        <v>0</v>
      </c>
      <c r="MAB391" s="160">
        <v>0</v>
      </c>
      <c r="MAC391" s="160">
        <v>0</v>
      </c>
      <c r="MAD391" s="160">
        <v>0</v>
      </c>
      <c r="MAE391" s="160">
        <v>0</v>
      </c>
      <c r="MAF391" s="160">
        <v>0</v>
      </c>
      <c r="MAG391" s="160">
        <v>0</v>
      </c>
      <c r="MAH391" s="160">
        <v>0</v>
      </c>
      <c r="MAI391" s="160">
        <v>0</v>
      </c>
      <c r="MAJ391" s="160">
        <v>0</v>
      </c>
      <c r="MAK391" s="160">
        <v>0</v>
      </c>
      <c r="MAL391" s="160">
        <v>0</v>
      </c>
      <c r="MAM391" s="160">
        <v>0</v>
      </c>
      <c r="MAN391" s="160">
        <v>0</v>
      </c>
      <c r="MAO391" s="160">
        <v>0</v>
      </c>
      <c r="MAP391" s="160">
        <v>0</v>
      </c>
      <c r="MAQ391" s="160">
        <v>0</v>
      </c>
      <c r="MAR391" s="160">
        <v>0</v>
      </c>
      <c r="MAS391" s="160">
        <v>0</v>
      </c>
      <c r="MAT391" s="160">
        <v>0</v>
      </c>
      <c r="MAU391" s="160">
        <v>0</v>
      </c>
      <c r="MAV391" s="160">
        <v>0</v>
      </c>
      <c r="MAW391" s="160">
        <v>0</v>
      </c>
      <c r="MAX391" s="160">
        <v>0</v>
      </c>
      <c r="MAY391" s="160">
        <v>0</v>
      </c>
      <c r="MAZ391" s="160">
        <v>0</v>
      </c>
      <c r="MBA391" s="160">
        <v>0</v>
      </c>
      <c r="MBB391" s="160">
        <v>0</v>
      </c>
      <c r="MBC391" s="160">
        <v>0</v>
      </c>
      <c r="MBD391" s="160">
        <v>0</v>
      </c>
      <c r="MBE391" s="160">
        <v>0</v>
      </c>
      <c r="MBF391" s="160">
        <v>0</v>
      </c>
      <c r="MBG391" s="160">
        <v>0</v>
      </c>
      <c r="MBH391" s="160">
        <v>0</v>
      </c>
      <c r="MBI391" s="160">
        <v>0</v>
      </c>
      <c r="MBJ391" s="160">
        <v>0</v>
      </c>
      <c r="MBK391" s="160">
        <v>0</v>
      </c>
      <c r="MBL391" s="160">
        <v>0</v>
      </c>
      <c r="MBM391" s="160">
        <v>0</v>
      </c>
      <c r="MBN391" s="160">
        <v>0</v>
      </c>
      <c r="MBO391" s="160">
        <v>0</v>
      </c>
      <c r="MBP391" s="160">
        <v>0</v>
      </c>
      <c r="MBQ391" s="160">
        <v>0</v>
      </c>
      <c r="MBR391" s="160">
        <v>0</v>
      </c>
      <c r="MBS391" s="160">
        <v>0</v>
      </c>
      <c r="MBT391" s="160">
        <v>0</v>
      </c>
      <c r="MBU391" s="160">
        <v>0</v>
      </c>
      <c r="MBV391" s="160">
        <v>0</v>
      </c>
      <c r="MBW391" s="160">
        <v>0</v>
      </c>
      <c r="MBX391" s="160">
        <v>0</v>
      </c>
      <c r="MBY391" s="160">
        <v>0</v>
      </c>
      <c r="MBZ391" s="160">
        <v>0</v>
      </c>
      <c r="MCA391" s="160">
        <v>0</v>
      </c>
      <c r="MCB391" s="160">
        <v>0</v>
      </c>
      <c r="MCC391" s="160">
        <v>0</v>
      </c>
      <c r="MCD391" s="160">
        <v>0</v>
      </c>
      <c r="MCE391" s="160">
        <v>0</v>
      </c>
      <c r="MCF391" s="160">
        <v>0</v>
      </c>
      <c r="MCG391" s="160">
        <v>0</v>
      </c>
      <c r="MCH391" s="160">
        <v>0</v>
      </c>
      <c r="MCI391" s="160">
        <v>0</v>
      </c>
      <c r="MCJ391" s="160">
        <v>0</v>
      </c>
      <c r="MCK391" s="160">
        <v>0</v>
      </c>
      <c r="MCL391" s="160">
        <v>0</v>
      </c>
      <c r="MCM391" s="160">
        <v>0</v>
      </c>
      <c r="MCN391" s="160">
        <v>0</v>
      </c>
      <c r="MCO391" s="160">
        <v>0</v>
      </c>
      <c r="MCP391" s="160">
        <v>0</v>
      </c>
      <c r="MCQ391" s="160">
        <v>0</v>
      </c>
      <c r="MCR391" s="160">
        <v>0</v>
      </c>
      <c r="MCS391" s="160">
        <v>0</v>
      </c>
      <c r="MCT391" s="160">
        <v>0</v>
      </c>
      <c r="MCU391" s="160">
        <v>0</v>
      </c>
      <c r="MCV391" s="160">
        <v>0</v>
      </c>
      <c r="MCW391" s="160">
        <v>0</v>
      </c>
      <c r="MCX391" s="160">
        <v>0</v>
      </c>
      <c r="MCY391" s="160">
        <v>0</v>
      </c>
      <c r="MCZ391" s="160">
        <v>0</v>
      </c>
      <c r="MDA391" s="160">
        <v>0</v>
      </c>
      <c r="MDB391" s="160">
        <v>0</v>
      </c>
      <c r="MDC391" s="160">
        <v>0</v>
      </c>
      <c r="MDD391" s="160">
        <v>0</v>
      </c>
      <c r="MDE391" s="160">
        <v>0</v>
      </c>
      <c r="MDF391" s="160">
        <v>0</v>
      </c>
      <c r="MDG391" s="160">
        <v>0</v>
      </c>
      <c r="MDH391" s="160">
        <v>0</v>
      </c>
      <c r="MDI391" s="160">
        <v>0</v>
      </c>
      <c r="MDJ391" s="160">
        <v>0</v>
      </c>
      <c r="MDK391" s="160">
        <v>0</v>
      </c>
      <c r="MDL391" s="160">
        <v>0</v>
      </c>
      <c r="MDM391" s="160">
        <v>0</v>
      </c>
      <c r="MDN391" s="160">
        <v>0</v>
      </c>
      <c r="MDO391" s="160">
        <v>0</v>
      </c>
      <c r="MDP391" s="160">
        <v>0</v>
      </c>
      <c r="MDQ391" s="160">
        <v>0</v>
      </c>
      <c r="MDR391" s="160">
        <v>0</v>
      </c>
      <c r="MDS391" s="160">
        <v>0</v>
      </c>
      <c r="MDT391" s="160">
        <v>0</v>
      </c>
      <c r="MDU391" s="160">
        <v>0</v>
      </c>
      <c r="MDV391" s="160">
        <v>0</v>
      </c>
      <c r="MDW391" s="160">
        <v>0</v>
      </c>
      <c r="MDX391" s="160">
        <v>0</v>
      </c>
      <c r="MDY391" s="160">
        <v>0</v>
      </c>
      <c r="MDZ391" s="160">
        <v>0</v>
      </c>
      <c r="MEA391" s="160">
        <v>0</v>
      </c>
      <c r="MEB391" s="160">
        <v>0</v>
      </c>
      <c r="MEC391" s="160">
        <v>0</v>
      </c>
      <c r="MED391" s="160">
        <v>0</v>
      </c>
      <c r="MEE391" s="160">
        <v>0</v>
      </c>
      <c r="MEF391" s="160">
        <v>0</v>
      </c>
      <c r="MEG391" s="160">
        <v>0</v>
      </c>
      <c r="MEH391" s="160">
        <v>0</v>
      </c>
      <c r="MEI391" s="160">
        <v>0</v>
      </c>
      <c r="MEJ391" s="160">
        <v>0</v>
      </c>
      <c r="MEK391" s="160">
        <v>0</v>
      </c>
      <c r="MEL391" s="160">
        <v>0</v>
      </c>
      <c r="MEM391" s="160">
        <v>0</v>
      </c>
      <c r="MEN391" s="160">
        <v>0</v>
      </c>
      <c r="MEO391" s="160">
        <v>0</v>
      </c>
      <c r="MEP391" s="160">
        <v>0</v>
      </c>
      <c r="MEQ391" s="160">
        <v>0</v>
      </c>
      <c r="MER391" s="160">
        <v>0</v>
      </c>
      <c r="MES391" s="160">
        <v>0</v>
      </c>
      <c r="MET391" s="160">
        <v>0</v>
      </c>
      <c r="MEU391" s="160">
        <v>0</v>
      </c>
      <c r="MEV391" s="160">
        <v>0</v>
      </c>
      <c r="MEW391" s="160">
        <v>0</v>
      </c>
      <c r="MEX391" s="160">
        <v>0</v>
      </c>
      <c r="MEY391" s="160">
        <v>0</v>
      </c>
      <c r="MEZ391" s="160">
        <v>0</v>
      </c>
      <c r="MFA391" s="160">
        <v>0</v>
      </c>
      <c r="MFB391" s="160">
        <v>0</v>
      </c>
      <c r="MFC391" s="160">
        <v>0</v>
      </c>
      <c r="MFD391" s="160">
        <v>0</v>
      </c>
      <c r="MFE391" s="160">
        <v>0</v>
      </c>
      <c r="MFF391" s="160">
        <v>0</v>
      </c>
      <c r="MFG391" s="160">
        <v>0</v>
      </c>
      <c r="MFH391" s="160">
        <v>0</v>
      </c>
      <c r="MFI391" s="160">
        <v>0</v>
      </c>
      <c r="MFJ391" s="160">
        <v>0</v>
      </c>
      <c r="MFK391" s="160">
        <v>0</v>
      </c>
      <c r="MFL391" s="160">
        <v>0</v>
      </c>
      <c r="MFM391" s="160">
        <v>0</v>
      </c>
      <c r="MFN391" s="160">
        <v>0</v>
      </c>
      <c r="MFO391" s="160">
        <v>0</v>
      </c>
      <c r="MFP391" s="160">
        <v>0</v>
      </c>
      <c r="MFQ391" s="160">
        <v>0</v>
      </c>
      <c r="MFR391" s="160">
        <v>0</v>
      </c>
      <c r="MFS391" s="160">
        <v>0</v>
      </c>
      <c r="MFT391" s="160">
        <v>0</v>
      </c>
      <c r="MFU391" s="160">
        <v>0</v>
      </c>
      <c r="MFV391" s="160">
        <v>0</v>
      </c>
      <c r="MFW391" s="160">
        <v>0</v>
      </c>
      <c r="MFX391" s="160">
        <v>0</v>
      </c>
      <c r="MFY391" s="160">
        <v>0</v>
      </c>
      <c r="MFZ391" s="160">
        <v>0</v>
      </c>
      <c r="MGA391" s="160">
        <v>0</v>
      </c>
      <c r="MGB391" s="160">
        <v>0</v>
      </c>
      <c r="MGC391" s="160">
        <v>0</v>
      </c>
      <c r="MGD391" s="160">
        <v>0</v>
      </c>
      <c r="MGE391" s="160">
        <v>0</v>
      </c>
      <c r="MGF391" s="160">
        <v>0</v>
      </c>
      <c r="MGG391" s="160">
        <v>0</v>
      </c>
      <c r="MGH391" s="160">
        <v>0</v>
      </c>
      <c r="MGI391" s="160">
        <v>0</v>
      </c>
      <c r="MGJ391" s="160">
        <v>0</v>
      </c>
      <c r="MGK391" s="160">
        <v>0</v>
      </c>
      <c r="MGL391" s="160">
        <v>0</v>
      </c>
      <c r="MGM391" s="160">
        <v>0</v>
      </c>
      <c r="MGN391" s="160">
        <v>0</v>
      </c>
      <c r="MGO391" s="160">
        <v>0</v>
      </c>
      <c r="MGP391" s="160">
        <v>0</v>
      </c>
      <c r="MGQ391" s="160">
        <v>0</v>
      </c>
      <c r="MGR391" s="160">
        <v>0</v>
      </c>
      <c r="MGS391" s="160">
        <v>0</v>
      </c>
      <c r="MGT391" s="160">
        <v>0</v>
      </c>
      <c r="MGU391" s="160">
        <v>0</v>
      </c>
      <c r="MGV391" s="160">
        <v>0</v>
      </c>
      <c r="MGW391" s="160">
        <v>0</v>
      </c>
      <c r="MGX391" s="160">
        <v>0</v>
      </c>
      <c r="MGY391" s="160">
        <v>0</v>
      </c>
      <c r="MGZ391" s="160">
        <v>0</v>
      </c>
      <c r="MHA391" s="160">
        <v>0</v>
      </c>
      <c r="MHB391" s="160">
        <v>0</v>
      </c>
      <c r="MHC391" s="160">
        <v>0</v>
      </c>
      <c r="MHD391" s="160">
        <v>0</v>
      </c>
      <c r="MHE391" s="160">
        <v>0</v>
      </c>
      <c r="MHF391" s="160">
        <v>0</v>
      </c>
      <c r="MHG391" s="160">
        <v>0</v>
      </c>
      <c r="MHH391" s="160">
        <v>0</v>
      </c>
      <c r="MHI391" s="160">
        <v>0</v>
      </c>
      <c r="MHJ391" s="160">
        <v>0</v>
      </c>
      <c r="MHK391" s="160">
        <v>0</v>
      </c>
      <c r="MHL391" s="160">
        <v>0</v>
      </c>
      <c r="MHM391" s="160">
        <v>0</v>
      </c>
      <c r="MHN391" s="160">
        <v>0</v>
      </c>
      <c r="MHO391" s="160">
        <v>0</v>
      </c>
      <c r="MHP391" s="160">
        <v>0</v>
      </c>
      <c r="MHQ391" s="160">
        <v>0</v>
      </c>
      <c r="MHR391" s="160">
        <v>0</v>
      </c>
      <c r="MHS391" s="160">
        <v>0</v>
      </c>
      <c r="MHT391" s="160">
        <v>0</v>
      </c>
      <c r="MHU391" s="160">
        <v>0</v>
      </c>
      <c r="MHV391" s="160">
        <v>0</v>
      </c>
      <c r="MHW391" s="160">
        <v>0</v>
      </c>
      <c r="MHX391" s="160">
        <v>0</v>
      </c>
      <c r="MHY391" s="160">
        <v>0</v>
      </c>
      <c r="MHZ391" s="160">
        <v>0</v>
      </c>
      <c r="MIA391" s="160">
        <v>0</v>
      </c>
      <c r="MIB391" s="160">
        <v>0</v>
      </c>
      <c r="MIC391" s="160">
        <v>0</v>
      </c>
      <c r="MID391" s="160">
        <v>0</v>
      </c>
      <c r="MIE391" s="160">
        <v>0</v>
      </c>
      <c r="MIF391" s="160">
        <v>0</v>
      </c>
      <c r="MIG391" s="160">
        <v>0</v>
      </c>
      <c r="MIH391" s="160">
        <v>0</v>
      </c>
      <c r="MII391" s="160">
        <v>0</v>
      </c>
      <c r="MIJ391" s="160">
        <v>0</v>
      </c>
      <c r="MIK391" s="160">
        <v>0</v>
      </c>
      <c r="MIL391" s="160">
        <v>0</v>
      </c>
      <c r="MIM391" s="160">
        <v>0</v>
      </c>
      <c r="MIN391" s="160">
        <v>0</v>
      </c>
      <c r="MIO391" s="160">
        <v>0</v>
      </c>
      <c r="MIP391" s="160">
        <v>0</v>
      </c>
      <c r="MIQ391" s="160">
        <v>0</v>
      </c>
      <c r="MIR391" s="160">
        <v>0</v>
      </c>
      <c r="MIS391" s="160">
        <v>0</v>
      </c>
      <c r="MIT391" s="160">
        <v>0</v>
      </c>
      <c r="MIU391" s="160">
        <v>0</v>
      </c>
      <c r="MIV391" s="160">
        <v>0</v>
      </c>
      <c r="MIW391" s="160">
        <v>0</v>
      </c>
      <c r="MIX391" s="160">
        <v>0</v>
      </c>
      <c r="MIY391" s="160">
        <v>0</v>
      </c>
      <c r="MIZ391" s="160">
        <v>0</v>
      </c>
      <c r="MJA391" s="160">
        <v>0</v>
      </c>
      <c r="MJB391" s="160">
        <v>0</v>
      </c>
      <c r="MJC391" s="160">
        <v>0</v>
      </c>
      <c r="MJD391" s="160">
        <v>0</v>
      </c>
      <c r="MJE391" s="160">
        <v>0</v>
      </c>
      <c r="MJF391" s="160">
        <v>0</v>
      </c>
      <c r="MJG391" s="160">
        <v>0</v>
      </c>
      <c r="MJH391" s="160">
        <v>0</v>
      </c>
      <c r="MJI391" s="160">
        <v>0</v>
      </c>
      <c r="MJJ391" s="160">
        <v>0</v>
      </c>
      <c r="MJK391" s="160">
        <v>0</v>
      </c>
      <c r="MJL391" s="160">
        <v>0</v>
      </c>
      <c r="MJM391" s="160">
        <v>0</v>
      </c>
      <c r="MJN391" s="160">
        <v>0</v>
      </c>
      <c r="MJO391" s="160">
        <v>0</v>
      </c>
      <c r="MJP391" s="160">
        <v>0</v>
      </c>
      <c r="MJQ391" s="160">
        <v>0</v>
      </c>
      <c r="MJR391" s="160">
        <v>0</v>
      </c>
      <c r="MJS391" s="160">
        <v>0</v>
      </c>
      <c r="MJT391" s="160">
        <v>0</v>
      </c>
      <c r="MJU391" s="160">
        <v>0</v>
      </c>
      <c r="MJV391" s="160">
        <v>0</v>
      </c>
      <c r="MJW391" s="160">
        <v>0</v>
      </c>
      <c r="MJX391" s="160">
        <v>0</v>
      </c>
      <c r="MJY391" s="160">
        <v>0</v>
      </c>
      <c r="MJZ391" s="160">
        <v>0</v>
      </c>
      <c r="MKA391" s="160">
        <v>0</v>
      </c>
      <c r="MKB391" s="160">
        <v>0</v>
      </c>
      <c r="MKC391" s="160">
        <v>0</v>
      </c>
      <c r="MKD391" s="160">
        <v>0</v>
      </c>
      <c r="MKE391" s="160">
        <v>0</v>
      </c>
      <c r="MKF391" s="160">
        <v>0</v>
      </c>
      <c r="MKG391" s="160">
        <v>0</v>
      </c>
      <c r="MKH391" s="160">
        <v>0</v>
      </c>
      <c r="MKI391" s="160">
        <v>0</v>
      </c>
      <c r="MKJ391" s="160">
        <v>0</v>
      </c>
      <c r="MKK391" s="160">
        <v>0</v>
      </c>
      <c r="MKL391" s="160">
        <v>0</v>
      </c>
      <c r="MKM391" s="160">
        <v>0</v>
      </c>
      <c r="MKN391" s="160">
        <v>0</v>
      </c>
      <c r="MKO391" s="160">
        <v>0</v>
      </c>
      <c r="MKP391" s="160">
        <v>0</v>
      </c>
      <c r="MKQ391" s="160">
        <v>0</v>
      </c>
      <c r="MKR391" s="160">
        <v>0</v>
      </c>
      <c r="MKS391" s="160">
        <v>0</v>
      </c>
      <c r="MKT391" s="160">
        <v>0</v>
      </c>
      <c r="MKU391" s="160">
        <v>0</v>
      </c>
      <c r="MKV391" s="160">
        <v>0</v>
      </c>
      <c r="MKW391" s="160">
        <v>0</v>
      </c>
      <c r="MKX391" s="160">
        <v>0</v>
      </c>
      <c r="MKY391" s="160">
        <v>0</v>
      </c>
      <c r="MKZ391" s="160">
        <v>0</v>
      </c>
      <c r="MLA391" s="160">
        <v>0</v>
      </c>
      <c r="MLB391" s="160">
        <v>0</v>
      </c>
      <c r="MLC391" s="160">
        <v>0</v>
      </c>
      <c r="MLD391" s="160">
        <v>0</v>
      </c>
      <c r="MLE391" s="160">
        <v>0</v>
      </c>
      <c r="MLF391" s="160">
        <v>0</v>
      </c>
      <c r="MLG391" s="160">
        <v>0</v>
      </c>
      <c r="MLH391" s="160">
        <v>0</v>
      </c>
      <c r="MLI391" s="160">
        <v>0</v>
      </c>
      <c r="MLJ391" s="160">
        <v>0</v>
      </c>
      <c r="MLK391" s="160">
        <v>0</v>
      </c>
      <c r="MLL391" s="160">
        <v>0</v>
      </c>
      <c r="MLM391" s="160">
        <v>0</v>
      </c>
      <c r="MLN391" s="160">
        <v>0</v>
      </c>
      <c r="MLO391" s="160">
        <v>0</v>
      </c>
      <c r="MLP391" s="160">
        <v>0</v>
      </c>
      <c r="MLQ391" s="160">
        <v>0</v>
      </c>
      <c r="MLR391" s="160">
        <v>0</v>
      </c>
      <c r="MLS391" s="160">
        <v>0</v>
      </c>
      <c r="MLT391" s="160">
        <v>0</v>
      </c>
      <c r="MLU391" s="160">
        <v>0</v>
      </c>
      <c r="MLV391" s="160">
        <v>0</v>
      </c>
      <c r="MLW391" s="160">
        <v>0</v>
      </c>
      <c r="MLX391" s="160">
        <v>0</v>
      </c>
      <c r="MLY391" s="160">
        <v>0</v>
      </c>
      <c r="MLZ391" s="160">
        <v>0</v>
      </c>
      <c r="MMA391" s="160">
        <v>0</v>
      </c>
      <c r="MMB391" s="160">
        <v>0</v>
      </c>
      <c r="MMC391" s="160">
        <v>0</v>
      </c>
      <c r="MMD391" s="160">
        <v>0</v>
      </c>
      <c r="MME391" s="160">
        <v>0</v>
      </c>
      <c r="MMF391" s="160">
        <v>0</v>
      </c>
      <c r="MMG391" s="160">
        <v>0</v>
      </c>
      <c r="MMH391" s="160">
        <v>0</v>
      </c>
      <c r="MMI391" s="160">
        <v>0</v>
      </c>
      <c r="MMJ391" s="160">
        <v>0</v>
      </c>
      <c r="MMK391" s="160">
        <v>0</v>
      </c>
      <c r="MML391" s="160">
        <v>0</v>
      </c>
      <c r="MMM391" s="160">
        <v>0</v>
      </c>
      <c r="MMN391" s="160">
        <v>0</v>
      </c>
      <c r="MMO391" s="160">
        <v>0</v>
      </c>
      <c r="MMP391" s="160">
        <v>0</v>
      </c>
      <c r="MMQ391" s="160">
        <v>0</v>
      </c>
      <c r="MMR391" s="160">
        <v>0</v>
      </c>
      <c r="MMS391" s="160">
        <v>0</v>
      </c>
      <c r="MMT391" s="160">
        <v>0</v>
      </c>
      <c r="MMU391" s="160">
        <v>0</v>
      </c>
      <c r="MMV391" s="160">
        <v>0</v>
      </c>
      <c r="MMW391" s="160">
        <v>0</v>
      </c>
      <c r="MMX391" s="160">
        <v>0</v>
      </c>
      <c r="MMY391" s="160">
        <v>0</v>
      </c>
      <c r="MMZ391" s="160">
        <v>0</v>
      </c>
      <c r="MNA391" s="160">
        <v>0</v>
      </c>
      <c r="MNB391" s="160">
        <v>0</v>
      </c>
      <c r="MNC391" s="160">
        <v>0</v>
      </c>
      <c r="MND391" s="160">
        <v>0</v>
      </c>
      <c r="MNE391" s="160">
        <v>0</v>
      </c>
      <c r="MNF391" s="160">
        <v>0</v>
      </c>
      <c r="MNG391" s="160">
        <v>0</v>
      </c>
      <c r="MNH391" s="160">
        <v>0</v>
      </c>
      <c r="MNI391" s="160">
        <v>0</v>
      </c>
      <c r="MNJ391" s="160">
        <v>0</v>
      </c>
      <c r="MNK391" s="160">
        <v>0</v>
      </c>
      <c r="MNL391" s="160">
        <v>0</v>
      </c>
      <c r="MNM391" s="160">
        <v>0</v>
      </c>
      <c r="MNN391" s="160">
        <v>0</v>
      </c>
      <c r="MNO391" s="160">
        <v>0</v>
      </c>
      <c r="MNP391" s="160">
        <v>0</v>
      </c>
      <c r="MNQ391" s="160">
        <v>0</v>
      </c>
      <c r="MNR391" s="160">
        <v>0</v>
      </c>
      <c r="MNS391" s="160">
        <v>0</v>
      </c>
      <c r="MNT391" s="160">
        <v>0</v>
      </c>
      <c r="MNU391" s="160">
        <v>0</v>
      </c>
      <c r="MNV391" s="160">
        <v>0</v>
      </c>
      <c r="MNW391" s="160">
        <v>0</v>
      </c>
      <c r="MNX391" s="160">
        <v>0</v>
      </c>
      <c r="MNY391" s="160">
        <v>0</v>
      </c>
      <c r="MNZ391" s="160">
        <v>0</v>
      </c>
      <c r="MOA391" s="160">
        <v>0</v>
      </c>
      <c r="MOB391" s="160">
        <v>0</v>
      </c>
      <c r="MOC391" s="160">
        <v>0</v>
      </c>
      <c r="MOD391" s="160">
        <v>0</v>
      </c>
      <c r="MOE391" s="160">
        <v>0</v>
      </c>
      <c r="MOF391" s="160">
        <v>0</v>
      </c>
      <c r="MOG391" s="160">
        <v>0</v>
      </c>
      <c r="MOH391" s="160">
        <v>0</v>
      </c>
      <c r="MOI391" s="160">
        <v>0</v>
      </c>
      <c r="MOJ391" s="160">
        <v>0</v>
      </c>
      <c r="MOK391" s="160">
        <v>0</v>
      </c>
      <c r="MOL391" s="160">
        <v>0</v>
      </c>
      <c r="MOM391" s="160">
        <v>0</v>
      </c>
      <c r="MON391" s="160">
        <v>0</v>
      </c>
      <c r="MOO391" s="160">
        <v>0</v>
      </c>
      <c r="MOP391" s="160">
        <v>0</v>
      </c>
      <c r="MOQ391" s="160">
        <v>0</v>
      </c>
      <c r="MOR391" s="160">
        <v>0</v>
      </c>
      <c r="MOS391" s="160">
        <v>0</v>
      </c>
      <c r="MOT391" s="160">
        <v>0</v>
      </c>
      <c r="MOU391" s="160">
        <v>0</v>
      </c>
      <c r="MOV391" s="160">
        <v>0</v>
      </c>
      <c r="MOW391" s="160">
        <v>0</v>
      </c>
      <c r="MOX391" s="160">
        <v>0</v>
      </c>
      <c r="MOY391" s="160">
        <v>0</v>
      </c>
      <c r="MOZ391" s="160">
        <v>0</v>
      </c>
      <c r="MPA391" s="160">
        <v>0</v>
      </c>
      <c r="MPB391" s="160">
        <v>0</v>
      </c>
      <c r="MPC391" s="160">
        <v>0</v>
      </c>
      <c r="MPD391" s="160">
        <v>0</v>
      </c>
      <c r="MPE391" s="160">
        <v>0</v>
      </c>
      <c r="MPF391" s="160">
        <v>0</v>
      </c>
      <c r="MPG391" s="160">
        <v>0</v>
      </c>
      <c r="MPH391" s="160">
        <v>0</v>
      </c>
      <c r="MPI391" s="160">
        <v>0</v>
      </c>
      <c r="MPJ391" s="160">
        <v>0</v>
      </c>
      <c r="MPK391" s="160">
        <v>0</v>
      </c>
      <c r="MPL391" s="160">
        <v>0</v>
      </c>
      <c r="MPM391" s="160">
        <v>0</v>
      </c>
      <c r="MPN391" s="160">
        <v>0</v>
      </c>
      <c r="MPO391" s="160">
        <v>0</v>
      </c>
      <c r="MPP391" s="160">
        <v>0</v>
      </c>
      <c r="MPQ391" s="160">
        <v>0</v>
      </c>
      <c r="MPR391" s="160">
        <v>0</v>
      </c>
      <c r="MPS391" s="160">
        <v>0</v>
      </c>
      <c r="MPT391" s="160">
        <v>0</v>
      </c>
      <c r="MPU391" s="160">
        <v>0</v>
      </c>
      <c r="MPV391" s="160">
        <v>0</v>
      </c>
      <c r="MPW391" s="160">
        <v>0</v>
      </c>
      <c r="MPX391" s="160">
        <v>0</v>
      </c>
      <c r="MPY391" s="160">
        <v>0</v>
      </c>
      <c r="MPZ391" s="160">
        <v>0</v>
      </c>
      <c r="MQA391" s="160">
        <v>0</v>
      </c>
      <c r="MQB391" s="160">
        <v>0</v>
      </c>
      <c r="MQC391" s="160">
        <v>0</v>
      </c>
      <c r="MQD391" s="160">
        <v>0</v>
      </c>
      <c r="MQE391" s="160">
        <v>0</v>
      </c>
      <c r="MQF391" s="160">
        <v>0</v>
      </c>
      <c r="MQG391" s="160">
        <v>0</v>
      </c>
      <c r="MQH391" s="160">
        <v>0</v>
      </c>
      <c r="MQI391" s="160">
        <v>0</v>
      </c>
      <c r="MQJ391" s="160">
        <v>0</v>
      </c>
      <c r="MQK391" s="160">
        <v>0</v>
      </c>
      <c r="MQL391" s="160">
        <v>0</v>
      </c>
      <c r="MQM391" s="160">
        <v>0</v>
      </c>
      <c r="MQN391" s="160">
        <v>0</v>
      </c>
      <c r="MQO391" s="160">
        <v>0</v>
      </c>
      <c r="MQP391" s="160">
        <v>0</v>
      </c>
      <c r="MQQ391" s="160">
        <v>0</v>
      </c>
      <c r="MQR391" s="160">
        <v>0</v>
      </c>
      <c r="MQS391" s="160">
        <v>0</v>
      </c>
      <c r="MQT391" s="160">
        <v>0</v>
      </c>
      <c r="MQU391" s="160">
        <v>0</v>
      </c>
      <c r="MQV391" s="160">
        <v>0</v>
      </c>
      <c r="MQW391" s="160">
        <v>0</v>
      </c>
      <c r="MQX391" s="160">
        <v>0</v>
      </c>
      <c r="MQY391" s="160">
        <v>0</v>
      </c>
      <c r="MQZ391" s="160">
        <v>0</v>
      </c>
      <c r="MRA391" s="160">
        <v>0</v>
      </c>
      <c r="MRB391" s="160">
        <v>0</v>
      </c>
      <c r="MRC391" s="160">
        <v>0</v>
      </c>
      <c r="MRD391" s="160">
        <v>0</v>
      </c>
      <c r="MRE391" s="160">
        <v>0</v>
      </c>
      <c r="MRF391" s="160">
        <v>0</v>
      </c>
      <c r="MRG391" s="160">
        <v>0</v>
      </c>
      <c r="MRH391" s="160">
        <v>0</v>
      </c>
      <c r="MRI391" s="160">
        <v>0</v>
      </c>
      <c r="MRJ391" s="160">
        <v>0</v>
      </c>
      <c r="MRK391" s="160">
        <v>0</v>
      </c>
      <c r="MRL391" s="160">
        <v>0</v>
      </c>
      <c r="MRM391" s="160">
        <v>0</v>
      </c>
      <c r="MRN391" s="160">
        <v>0</v>
      </c>
      <c r="MRO391" s="160">
        <v>0</v>
      </c>
      <c r="MRP391" s="160">
        <v>0</v>
      </c>
      <c r="MRQ391" s="160">
        <v>0</v>
      </c>
      <c r="MRR391" s="160">
        <v>0</v>
      </c>
      <c r="MRS391" s="160">
        <v>0</v>
      </c>
      <c r="MRT391" s="160">
        <v>0</v>
      </c>
      <c r="MRU391" s="160">
        <v>0</v>
      </c>
      <c r="MRV391" s="160">
        <v>0</v>
      </c>
      <c r="MRW391" s="160">
        <v>0</v>
      </c>
      <c r="MRX391" s="160">
        <v>0</v>
      </c>
      <c r="MRY391" s="160">
        <v>0</v>
      </c>
      <c r="MRZ391" s="160">
        <v>0</v>
      </c>
      <c r="MSA391" s="160">
        <v>0</v>
      </c>
      <c r="MSB391" s="160">
        <v>0</v>
      </c>
      <c r="MSC391" s="160">
        <v>0</v>
      </c>
      <c r="MSD391" s="160">
        <v>0</v>
      </c>
      <c r="MSE391" s="160">
        <v>0</v>
      </c>
      <c r="MSF391" s="160">
        <v>0</v>
      </c>
      <c r="MSG391" s="160">
        <v>0</v>
      </c>
      <c r="MSH391" s="160">
        <v>0</v>
      </c>
      <c r="MSI391" s="160">
        <v>0</v>
      </c>
      <c r="MSJ391" s="160">
        <v>0</v>
      </c>
      <c r="MSK391" s="160">
        <v>0</v>
      </c>
      <c r="MSL391" s="160">
        <v>0</v>
      </c>
      <c r="MSM391" s="160">
        <v>0</v>
      </c>
      <c r="MSN391" s="160">
        <v>0</v>
      </c>
      <c r="MSO391" s="160">
        <v>0</v>
      </c>
      <c r="MSP391" s="160">
        <v>0</v>
      </c>
      <c r="MSQ391" s="160">
        <v>0</v>
      </c>
      <c r="MSR391" s="160">
        <v>0</v>
      </c>
      <c r="MSS391" s="160">
        <v>0</v>
      </c>
      <c r="MST391" s="160">
        <v>0</v>
      </c>
      <c r="MSU391" s="160">
        <v>0</v>
      </c>
      <c r="MSV391" s="160">
        <v>0</v>
      </c>
      <c r="MSW391" s="160">
        <v>0</v>
      </c>
      <c r="MSX391" s="160">
        <v>0</v>
      </c>
      <c r="MSY391" s="160">
        <v>0</v>
      </c>
      <c r="MSZ391" s="160">
        <v>0</v>
      </c>
      <c r="MTA391" s="160">
        <v>0</v>
      </c>
      <c r="MTB391" s="160">
        <v>0</v>
      </c>
      <c r="MTC391" s="160">
        <v>0</v>
      </c>
      <c r="MTD391" s="160">
        <v>0</v>
      </c>
      <c r="MTE391" s="160">
        <v>0</v>
      </c>
      <c r="MTF391" s="160">
        <v>0</v>
      </c>
      <c r="MTG391" s="160">
        <v>0</v>
      </c>
      <c r="MTH391" s="160">
        <v>0</v>
      </c>
      <c r="MTI391" s="160">
        <v>0</v>
      </c>
      <c r="MTJ391" s="160">
        <v>0</v>
      </c>
      <c r="MTK391" s="160">
        <v>0</v>
      </c>
      <c r="MTL391" s="160">
        <v>0</v>
      </c>
      <c r="MTM391" s="160">
        <v>0</v>
      </c>
      <c r="MTN391" s="160">
        <v>0</v>
      </c>
      <c r="MTO391" s="160">
        <v>0</v>
      </c>
      <c r="MTP391" s="160">
        <v>0</v>
      </c>
      <c r="MTQ391" s="160">
        <v>0</v>
      </c>
      <c r="MTR391" s="160">
        <v>0</v>
      </c>
      <c r="MTS391" s="160">
        <v>0</v>
      </c>
      <c r="MTT391" s="160">
        <v>0</v>
      </c>
      <c r="MTU391" s="160">
        <v>0</v>
      </c>
      <c r="MTV391" s="160">
        <v>0</v>
      </c>
      <c r="MTW391" s="160">
        <v>0</v>
      </c>
      <c r="MTX391" s="160">
        <v>0</v>
      </c>
      <c r="MTY391" s="160">
        <v>0</v>
      </c>
      <c r="MTZ391" s="160">
        <v>0</v>
      </c>
      <c r="MUA391" s="160">
        <v>0</v>
      </c>
      <c r="MUB391" s="160">
        <v>0</v>
      </c>
      <c r="MUC391" s="160">
        <v>0</v>
      </c>
      <c r="MUD391" s="160">
        <v>0</v>
      </c>
      <c r="MUE391" s="160">
        <v>0</v>
      </c>
      <c r="MUF391" s="160">
        <v>0</v>
      </c>
      <c r="MUG391" s="160">
        <v>0</v>
      </c>
      <c r="MUH391" s="160">
        <v>0</v>
      </c>
      <c r="MUI391" s="160">
        <v>0</v>
      </c>
      <c r="MUJ391" s="160">
        <v>0</v>
      </c>
      <c r="MUK391" s="160">
        <v>0</v>
      </c>
      <c r="MUL391" s="160">
        <v>0</v>
      </c>
      <c r="MUM391" s="160">
        <v>0</v>
      </c>
      <c r="MUN391" s="160">
        <v>0</v>
      </c>
      <c r="MUO391" s="160">
        <v>0</v>
      </c>
      <c r="MUP391" s="160">
        <v>0</v>
      </c>
      <c r="MUQ391" s="160">
        <v>0</v>
      </c>
      <c r="MUR391" s="160">
        <v>0</v>
      </c>
      <c r="MUS391" s="160">
        <v>0</v>
      </c>
      <c r="MUT391" s="160">
        <v>0</v>
      </c>
      <c r="MUU391" s="160">
        <v>0</v>
      </c>
      <c r="MUV391" s="160">
        <v>0</v>
      </c>
      <c r="MUW391" s="160">
        <v>0</v>
      </c>
      <c r="MUX391" s="160">
        <v>0</v>
      </c>
      <c r="MUY391" s="160">
        <v>0</v>
      </c>
      <c r="MUZ391" s="160">
        <v>0</v>
      </c>
      <c r="MVA391" s="160">
        <v>0</v>
      </c>
      <c r="MVB391" s="160">
        <v>0</v>
      </c>
      <c r="MVC391" s="160">
        <v>0</v>
      </c>
      <c r="MVD391" s="160">
        <v>0</v>
      </c>
      <c r="MVE391" s="160">
        <v>0</v>
      </c>
      <c r="MVF391" s="160">
        <v>0</v>
      </c>
      <c r="MVG391" s="160">
        <v>0</v>
      </c>
      <c r="MVH391" s="160">
        <v>0</v>
      </c>
      <c r="MVI391" s="160">
        <v>0</v>
      </c>
      <c r="MVJ391" s="160">
        <v>0</v>
      </c>
      <c r="MVK391" s="160">
        <v>0</v>
      </c>
      <c r="MVL391" s="160">
        <v>0</v>
      </c>
      <c r="MVM391" s="160">
        <v>0</v>
      </c>
      <c r="MVN391" s="160">
        <v>0</v>
      </c>
      <c r="MVO391" s="160">
        <v>0</v>
      </c>
      <c r="MVP391" s="160">
        <v>0</v>
      </c>
      <c r="MVQ391" s="160">
        <v>0</v>
      </c>
      <c r="MVR391" s="160">
        <v>0</v>
      </c>
      <c r="MVS391" s="160">
        <v>0</v>
      </c>
      <c r="MVT391" s="160">
        <v>0</v>
      </c>
      <c r="MVU391" s="160">
        <v>0</v>
      </c>
      <c r="MVV391" s="160">
        <v>0</v>
      </c>
      <c r="MVW391" s="160">
        <v>0</v>
      </c>
      <c r="MVX391" s="160">
        <v>0</v>
      </c>
      <c r="MVY391" s="160">
        <v>0</v>
      </c>
      <c r="MVZ391" s="160">
        <v>0</v>
      </c>
      <c r="MWA391" s="160">
        <v>0</v>
      </c>
      <c r="MWB391" s="160">
        <v>0</v>
      </c>
      <c r="MWC391" s="160">
        <v>0</v>
      </c>
      <c r="MWD391" s="160">
        <v>0</v>
      </c>
      <c r="MWE391" s="160">
        <v>0</v>
      </c>
      <c r="MWF391" s="160">
        <v>0</v>
      </c>
      <c r="MWG391" s="160">
        <v>0</v>
      </c>
      <c r="MWH391" s="160">
        <v>0</v>
      </c>
      <c r="MWI391" s="160">
        <v>0</v>
      </c>
      <c r="MWJ391" s="160">
        <v>0</v>
      </c>
      <c r="MWK391" s="160">
        <v>0</v>
      </c>
      <c r="MWL391" s="160">
        <v>0</v>
      </c>
      <c r="MWM391" s="160">
        <v>0</v>
      </c>
      <c r="MWN391" s="160">
        <v>0</v>
      </c>
      <c r="MWO391" s="160">
        <v>0</v>
      </c>
      <c r="MWP391" s="160">
        <v>0</v>
      </c>
      <c r="MWQ391" s="160">
        <v>0</v>
      </c>
      <c r="MWR391" s="160">
        <v>0</v>
      </c>
      <c r="MWS391" s="160">
        <v>0</v>
      </c>
      <c r="MWT391" s="160">
        <v>0</v>
      </c>
      <c r="MWU391" s="160">
        <v>0</v>
      </c>
      <c r="MWV391" s="160">
        <v>0</v>
      </c>
      <c r="MWW391" s="160">
        <v>0</v>
      </c>
      <c r="MWX391" s="160">
        <v>0</v>
      </c>
      <c r="MWY391" s="160">
        <v>0</v>
      </c>
      <c r="MWZ391" s="160">
        <v>0</v>
      </c>
      <c r="MXA391" s="160">
        <v>0</v>
      </c>
      <c r="MXB391" s="160">
        <v>0</v>
      </c>
      <c r="MXC391" s="160">
        <v>0</v>
      </c>
      <c r="MXD391" s="160">
        <v>0</v>
      </c>
      <c r="MXE391" s="160">
        <v>0</v>
      </c>
      <c r="MXF391" s="160">
        <v>0</v>
      </c>
      <c r="MXG391" s="160">
        <v>0</v>
      </c>
      <c r="MXH391" s="160">
        <v>0</v>
      </c>
      <c r="MXI391" s="160">
        <v>0</v>
      </c>
      <c r="MXJ391" s="160">
        <v>0</v>
      </c>
      <c r="MXK391" s="160">
        <v>0</v>
      </c>
      <c r="MXL391" s="160">
        <v>0</v>
      </c>
      <c r="MXM391" s="160">
        <v>0</v>
      </c>
      <c r="MXN391" s="160">
        <v>0</v>
      </c>
      <c r="MXO391" s="160">
        <v>0</v>
      </c>
      <c r="MXP391" s="160">
        <v>0</v>
      </c>
      <c r="MXQ391" s="160">
        <v>0</v>
      </c>
      <c r="MXR391" s="160">
        <v>0</v>
      </c>
      <c r="MXS391" s="160">
        <v>0</v>
      </c>
      <c r="MXT391" s="160">
        <v>0</v>
      </c>
      <c r="MXU391" s="160">
        <v>0</v>
      </c>
      <c r="MXV391" s="160">
        <v>0</v>
      </c>
      <c r="MXW391" s="160">
        <v>0</v>
      </c>
      <c r="MXX391" s="160">
        <v>0</v>
      </c>
      <c r="MXY391" s="160">
        <v>0</v>
      </c>
      <c r="MXZ391" s="160">
        <v>0</v>
      </c>
      <c r="MYA391" s="160">
        <v>0</v>
      </c>
      <c r="MYB391" s="160">
        <v>0</v>
      </c>
      <c r="MYC391" s="160">
        <v>0</v>
      </c>
      <c r="MYD391" s="160">
        <v>0</v>
      </c>
      <c r="MYE391" s="160">
        <v>0</v>
      </c>
      <c r="MYF391" s="160">
        <v>0</v>
      </c>
      <c r="MYG391" s="160">
        <v>0</v>
      </c>
      <c r="MYH391" s="160">
        <v>0</v>
      </c>
      <c r="MYI391" s="160">
        <v>0</v>
      </c>
      <c r="MYJ391" s="160">
        <v>0</v>
      </c>
      <c r="MYK391" s="160">
        <v>0</v>
      </c>
      <c r="MYL391" s="160">
        <v>0</v>
      </c>
      <c r="MYM391" s="160">
        <v>0</v>
      </c>
      <c r="MYN391" s="160">
        <v>0</v>
      </c>
      <c r="MYO391" s="160">
        <v>0</v>
      </c>
      <c r="MYP391" s="160">
        <v>0</v>
      </c>
      <c r="MYQ391" s="160">
        <v>0</v>
      </c>
      <c r="MYR391" s="160">
        <v>0</v>
      </c>
      <c r="MYS391" s="160">
        <v>0</v>
      </c>
      <c r="MYT391" s="160">
        <v>0</v>
      </c>
      <c r="MYU391" s="160">
        <v>0</v>
      </c>
      <c r="MYV391" s="160">
        <v>0</v>
      </c>
      <c r="MYW391" s="160">
        <v>0</v>
      </c>
      <c r="MYX391" s="160">
        <v>0</v>
      </c>
      <c r="MYY391" s="160">
        <v>0</v>
      </c>
      <c r="MYZ391" s="160">
        <v>0</v>
      </c>
      <c r="MZA391" s="160">
        <v>0</v>
      </c>
      <c r="MZB391" s="160">
        <v>0</v>
      </c>
      <c r="MZC391" s="160">
        <v>0</v>
      </c>
      <c r="MZD391" s="160">
        <v>0</v>
      </c>
      <c r="MZE391" s="160">
        <v>0</v>
      </c>
      <c r="MZF391" s="160">
        <v>0</v>
      </c>
      <c r="MZG391" s="160">
        <v>0</v>
      </c>
      <c r="MZH391" s="160">
        <v>0</v>
      </c>
      <c r="MZI391" s="160">
        <v>0</v>
      </c>
      <c r="MZJ391" s="160">
        <v>0</v>
      </c>
      <c r="MZK391" s="160">
        <v>0</v>
      </c>
      <c r="MZL391" s="160">
        <v>0</v>
      </c>
      <c r="MZM391" s="160">
        <v>0</v>
      </c>
      <c r="MZN391" s="160">
        <v>0</v>
      </c>
      <c r="MZO391" s="160">
        <v>0</v>
      </c>
      <c r="MZP391" s="160">
        <v>0</v>
      </c>
      <c r="MZQ391" s="160">
        <v>0</v>
      </c>
      <c r="MZR391" s="160">
        <v>0</v>
      </c>
      <c r="MZS391" s="160">
        <v>0</v>
      </c>
      <c r="MZT391" s="160">
        <v>0</v>
      </c>
      <c r="MZU391" s="160">
        <v>0</v>
      </c>
      <c r="MZV391" s="160">
        <v>0</v>
      </c>
      <c r="MZW391" s="160">
        <v>0</v>
      </c>
      <c r="MZX391" s="160">
        <v>0</v>
      </c>
      <c r="MZY391" s="160">
        <v>0</v>
      </c>
      <c r="MZZ391" s="160">
        <v>0</v>
      </c>
      <c r="NAA391" s="160">
        <v>0</v>
      </c>
      <c r="NAB391" s="160">
        <v>0</v>
      </c>
      <c r="NAC391" s="160">
        <v>0</v>
      </c>
      <c r="NAD391" s="160">
        <v>0</v>
      </c>
      <c r="NAE391" s="160">
        <v>0</v>
      </c>
      <c r="NAF391" s="160">
        <v>0</v>
      </c>
      <c r="NAG391" s="160">
        <v>0</v>
      </c>
      <c r="NAH391" s="160">
        <v>0</v>
      </c>
      <c r="NAI391" s="160">
        <v>0</v>
      </c>
      <c r="NAJ391" s="160">
        <v>0</v>
      </c>
      <c r="NAK391" s="160">
        <v>0</v>
      </c>
      <c r="NAL391" s="160">
        <v>0</v>
      </c>
      <c r="NAM391" s="160">
        <v>0</v>
      </c>
      <c r="NAN391" s="160">
        <v>0</v>
      </c>
      <c r="NAO391" s="160">
        <v>0</v>
      </c>
      <c r="NAP391" s="160">
        <v>0</v>
      </c>
      <c r="NAQ391" s="160">
        <v>0</v>
      </c>
      <c r="NAR391" s="160">
        <v>0</v>
      </c>
      <c r="NAS391" s="160">
        <v>0</v>
      </c>
      <c r="NAT391" s="160">
        <v>0</v>
      </c>
      <c r="NAU391" s="160">
        <v>0</v>
      </c>
      <c r="NAV391" s="160">
        <v>0</v>
      </c>
      <c r="NAW391" s="160">
        <v>0</v>
      </c>
      <c r="NAX391" s="160">
        <v>0</v>
      </c>
      <c r="NAY391" s="160">
        <v>0</v>
      </c>
      <c r="NAZ391" s="160">
        <v>0</v>
      </c>
      <c r="NBA391" s="160">
        <v>0</v>
      </c>
      <c r="NBB391" s="160">
        <v>0</v>
      </c>
      <c r="NBC391" s="160">
        <v>0</v>
      </c>
      <c r="NBD391" s="160">
        <v>0</v>
      </c>
      <c r="NBE391" s="160">
        <v>0</v>
      </c>
      <c r="NBF391" s="160">
        <v>0</v>
      </c>
      <c r="NBG391" s="160">
        <v>0</v>
      </c>
      <c r="NBH391" s="160">
        <v>0</v>
      </c>
      <c r="NBI391" s="160">
        <v>0</v>
      </c>
      <c r="NBJ391" s="160">
        <v>0</v>
      </c>
      <c r="NBK391" s="160">
        <v>0</v>
      </c>
      <c r="NBL391" s="160">
        <v>0</v>
      </c>
      <c r="NBM391" s="160">
        <v>0</v>
      </c>
      <c r="NBN391" s="160">
        <v>0</v>
      </c>
      <c r="NBO391" s="160">
        <v>0</v>
      </c>
      <c r="NBP391" s="160">
        <v>0</v>
      </c>
      <c r="NBQ391" s="160">
        <v>0</v>
      </c>
      <c r="NBR391" s="160">
        <v>0</v>
      </c>
      <c r="NBS391" s="160">
        <v>0</v>
      </c>
      <c r="NBT391" s="160">
        <v>0</v>
      </c>
      <c r="NBU391" s="160">
        <v>0</v>
      </c>
      <c r="NBV391" s="160">
        <v>0</v>
      </c>
      <c r="NBW391" s="160">
        <v>0</v>
      </c>
      <c r="NBX391" s="160">
        <v>0</v>
      </c>
      <c r="NBY391" s="160">
        <v>0</v>
      </c>
      <c r="NBZ391" s="160">
        <v>0</v>
      </c>
      <c r="NCA391" s="160">
        <v>0</v>
      </c>
      <c r="NCB391" s="160">
        <v>0</v>
      </c>
      <c r="NCC391" s="160">
        <v>0</v>
      </c>
      <c r="NCD391" s="160">
        <v>0</v>
      </c>
      <c r="NCE391" s="160">
        <v>0</v>
      </c>
      <c r="NCF391" s="160">
        <v>0</v>
      </c>
      <c r="NCG391" s="160">
        <v>0</v>
      </c>
      <c r="NCH391" s="160">
        <v>0</v>
      </c>
      <c r="NCI391" s="160">
        <v>0</v>
      </c>
      <c r="NCJ391" s="160">
        <v>0</v>
      </c>
      <c r="NCK391" s="160">
        <v>0</v>
      </c>
      <c r="NCL391" s="160">
        <v>0</v>
      </c>
      <c r="NCM391" s="160">
        <v>0</v>
      </c>
      <c r="NCN391" s="160">
        <v>0</v>
      </c>
      <c r="NCO391" s="160">
        <v>0</v>
      </c>
      <c r="NCP391" s="160">
        <v>0</v>
      </c>
      <c r="NCQ391" s="160">
        <v>0</v>
      </c>
      <c r="NCR391" s="160">
        <v>0</v>
      </c>
      <c r="NCS391" s="160">
        <v>0</v>
      </c>
      <c r="NCT391" s="160">
        <v>0</v>
      </c>
      <c r="NCU391" s="160">
        <v>0</v>
      </c>
      <c r="NCV391" s="160">
        <v>0</v>
      </c>
      <c r="NCW391" s="160">
        <v>0</v>
      </c>
      <c r="NCX391" s="160">
        <v>0</v>
      </c>
      <c r="NCY391" s="160">
        <v>0</v>
      </c>
      <c r="NCZ391" s="160">
        <v>0</v>
      </c>
      <c r="NDA391" s="160">
        <v>0</v>
      </c>
      <c r="NDB391" s="160">
        <v>0</v>
      </c>
      <c r="NDC391" s="160">
        <v>0</v>
      </c>
      <c r="NDD391" s="160">
        <v>0</v>
      </c>
      <c r="NDE391" s="160">
        <v>0</v>
      </c>
      <c r="NDF391" s="160">
        <v>0</v>
      </c>
      <c r="NDG391" s="160">
        <v>0</v>
      </c>
      <c r="NDH391" s="160">
        <v>0</v>
      </c>
      <c r="NDI391" s="160">
        <v>0</v>
      </c>
      <c r="NDJ391" s="160">
        <v>0</v>
      </c>
      <c r="NDK391" s="160">
        <v>0</v>
      </c>
      <c r="NDL391" s="160">
        <v>0</v>
      </c>
      <c r="NDM391" s="160">
        <v>0</v>
      </c>
      <c r="NDN391" s="160">
        <v>0</v>
      </c>
      <c r="NDO391" s="160">
        <v>0</v>
      </c>
      <c r="NDP391" s="160">
        <v>0</v>
      </c>
      <c r="NDQ391" s="160">
        <v>0</v>
      </c>
      <c r="NDR391" s="160">
        <v>0</v>
      </c>
      <c r="NDS391" s="160">
        <v>0</v>
      </c>
      <c r="NDT391" s="160">
        <v>0</v>
      </c>
      <c r="NDU391" s="160">
        <v>0</v>
      </c>
      <c r="NDV391" s="160">
        <v>0</v>
      </c>
      <c r="NDW391" s="160">
        <v>0</v>
      </c>
      <c r="NDX391" s="160">
        <v>0</v>
      </c>
      <c r="NDY391" s="160">
        <v>0</v>
      </c>
      <c r="NDZ391" s="160">
        <v>0</v>
      </c>
      <c r="NEA391" s="160">
        <v>0</v>
      </c>
      <c r="NEB391" s="160">
        <v>0</v>
      </c>
      <c r="NEC391" s="160">
        <v>0</v>
      </c>
      <c r="NED391" s="160">
        <v>0</v>
      </c>
      <c r="NEE391" s="160">
        <v>0</v>
      </c>
      <c r="NEF391" s="160">
        <v>0</v>
      </c>
      <c r="NEG391" s="160">
        <v>0</v>
      </c>
      <c r="NEH391" s="160">
        <v>0</v>
      </c>
      <c r="NEI391" s="160">
        <v>0</v>
      </c>
      <c r="NEJ391" s="160">
        <v>0</v>
      </c>
      <c r="NEK391" s="160">
        <v>0</v>
      </c>
      <c r="NEL391" s="160">
        <v>0</v>
      </c>
      <c r="NEM391" s="160">
        <v>0</v>
      </c>
      <c r="NEN391" s="160">
        <v>0</v>
      </c>
      <c r="NEO391" s="160">
        <v>0</v>
      </c>
      <c r="NEP391" s="160">
        <v>0</v>
      </c>
      <c r="NEQ391" s="160">
        <v>0</v>
      </c>
      <c r="NER391" s="160">
        <v>0</v>
      </c>
      <c r="NES391" s="160">
        <v>0</v>
      </c>
      <c r="NET391" s="160">
        <v>0</v>
      </c>
      <c r="NEU391" s="160">
        <v>0</v>
      </c>
      <c r="NEV391" s="160">
        <v>0</v>
      </c>
      <c r="NEW391" s="160">
        <v>0</v>
      </c>
      <c r="NEX391" s="160">
        <v>0</v>
      </c>
      <c r="NEY391" s="160">
        <v>0</v>
      </c>
      <c r="NEZ391" s="160">
        <v>0</v>
      </c>
      <c r="NFA391" s="160">
        <v>0</v>
      </c>
      <c r="NFB391" s="160">
        <v>0</v>
      </c>
      <c r="NFC391" s="160">
        <v>0</v>
      </c>
      <c r="NFD391" s="160">
        <v>0</v>
      </c>
      <c r="NFE391" s="160">
        <v>0</v>
      </c>
      <c r="NFF391" s="160">
        <v>0</v>
      </c>
      <c r="NFG391" s="160">
        <v>0</v>
      </c>
      <c r="NFH391" s="160">
        <v>0</v>
      </c>
      <c r="NFI391" s="160">
        <v>0</v>
      </c>
      <c r="NFJ391" s="160">
        <v>0</v>
      </c>
      <c r="NFK391" s="160">
        <v>0</v>
      </c>
      <c r="NFL391" s="160">
        <v>0</v>
      </c>
      <c r="NFM391" s="160">
        <v>0</v>
      </c>
      <c r="NFN391" s="160">
        <v>0</v>
      </c>
      <c r="NFO391" s="160">
        <v>0</v>
      </c>
      <c r="NFP391" s="160">
        <v>0</v>
      </c>
      <c r="NFQ391" s="160">
        <v>0</v>
      </c>
      <c r="NFR391" s="160">
        <v>0</v>
      </c>
      <c r="NFS391" s="160">
        <v>0</v>
      </c>
      <c r="NFT391" s="160">
        <v>0</v>
      </c>
      <c r="NFU391" s="160">
        <v>0</v>
      </c>
      <c r="NFV391" s="160">
        <v>0</v>
      </c>
      <c r="NFW391" s="160">
        <v>0</v>
      </c>
      <c r="NFX391" s="160">
        <v>0</v>
      </c>
      <c r="NFY391" s="160">
        <v>0</v>
      </c>
      <c r="NFZ391" s="160">
        <v>0</v>
      </c>
      <c r="NGA391" s="160">
        <v>0</v>
      </c>
      <c r="NGB391" s="160">
        <v>0</v>
      </c>
      <c r="NGC391" s="160">
        <v>0</v>
      </c>
      <c r="NGD391" s="160">
        <v>0</v>
      </c>
      <c r="NGE391" s="160">
        <v>0</v>
      </c>
      <c r="NGF391" s="160">
        <v>0</v>
      </c>
      <c r="NGG391" s="160">
        <v>0</v>
      </c>
      <c r="NGH391" s="160">
        <v>0</v>
      </c>
      <c r="NGI391" s="160">
        <v>0</v>
      </c>
      <c r="NGJ391" s="160">
        <v>0</v>
      </c>
      <c r="NGK391" s="160">
        <v>0</v>
      </c>
      <c r="NGL391" s="160">
        <v>0</v>
      </c>
      <c r="NGM391" s="160">
        <v>0</v>
      </c>
      <c r="NGN391" s="160">
        <v>0</v>
      </c>
      <c r="NGO391" s="160">
        <v>0</v>
      </c>
      <c r="NGP391" s="160">
        <v>0</v>
      </c>
      <c r="NGQ391" s="160">
        <v>0</v>
      </c>
      <c r="NGR391" s="160">
        <v>0</v>
      </c>
      <c r="NGS391" s="160">
        <v>0</v>
      </c>
      <c r="NGT391" s="160">
        <v>0</v>
      </c>
      <c r="NGU391" s="160">
        <v>0</v>
      </c>
      <c r="NGV391" s="160">
        <v>0</v>
      </c>
      <c r="NGW391" s="160">
        <v>0</v>
      </c>
      <c r="NGX391" s="160">
        <v>0</v>
      </c>
      <c r="NGY391" s="160">
        <v>0</v>
      </c>
      <c r="NGZ391" s="160">
        <v>0</v>
      </c>
      <c r="NHA391" s="160">
        <v>0</v>
      </c>
      <c r="NHB391" s="160">
        <v>0</v>
      </c>
      <c r="NHC391" s="160">
        <v>0</v>
      </c>
      <c r="NHD391" s="160">
        <v>0</v>
      </c>
      <c r="NHE391" s="160">
        <v>0</v>
      </c>
      <c r="NHF391" s="160">
        <v>0</v>
      </c>
      <c r="NHG391" s="160">
        <v>0</v>
      </c>
      <c r="NHH391" s="160">
        <v>0</v>
      </c>
      <c r="NHI391" s="160">
        <v>0</v>
      </c>
      <c r="NHJ391" s="160">
        <v>0</v>
      </c>
      <c r="NHK391" s="160">
        <v>0</v>
      </c>
      <c r="NHL391" s="160">
        <v>0</v>
      </c>
      <c r="NHM391" s="160">
        <v>0</v>
      </c>
      <c r="NHN391" s="160">
        <v>0</v>
      </c>
      <c r="NHO391" s="160">
        <v>0</v>
      </c>
      <c r="NHP391" s="160">
        <v>0</v>
      </c>
      <c r="NHQ391" s="160">
        <v>0</v>
      </c>
      <c r="NHR391" s="160">
        <v>0</v>
      </c>
      <c r="NHS391" s="160">
        <v>0</v>
      </c>
      <c r="NHT391" s="160">
        <v>0</v>
      </c>
      <c r="NHU391" s="160">
        <v>0</v>
      </c>
      <c r="NHV391" s="160">
        <v>0</v>
      </c>
      <c r="NHW391" s="160">
        <v>0</v>
      </c>
      <c r="NHX391" s="160">
        <v>0</v>
      </c>
      <c r="NHY391" s="160">
        <v>0</v>
      </c>
      <c r="NHZ391" s="160">
        <v>0</v>
      </c>
      <c r="NIA391" s="160">
        <v>0</v>
      </c>
      <c r="NIB391" s="160">
        <v>0</v>
      </c>
      <c r="NIC391" s="160">
        <v>0</v>
      </c>
      <c r="NID391" s="160">
        <v>0</v>
      </c>
      <c r="NIE391" s="160">
        <v>0</v>
      </c>
      <c r="NIF391" s="160">
        <v>0</v>
      </c>
      <c r="NIG391" s="160">
        <v>0</v>
      </c>
      <c r="NIH391" s="160">
        <v>0</v>
      </c>
      <c r="NII391" s="160">
        <v>0</v>
      </c>
      <c r="NIJ391" s="160">
        <v>0</v>
      </c>
      <c r="NIK391" s="160">
        <v>0</v>
      </c>
      <c r="NIL391" s="160">
        <v>0</v>
      </c>
      <c r="NIM391" s="160">
        <v>0</v>
      </c>
      <c r="NIN391" s="160">
        <v>0</v>
      </c>
      <c r="NIO391" s="160">
        <v>0</v>
      </c>
      <c r="NIP391" s="160">
        <v>0</v>
      </c>
      <c r="NIQ391" s="160">
        <v>0</v>
      </c>
      <c r="NIR391" s="160">
        <v>0</v>
      </c>
      <c r="NIS391" s="160">
        <v>0</v>
      </c>
      <c r="NIT391" s="160">
        <v>0</v>
      </c>
      <c r="NIU391" s="160">
        <v>0</v>
      </c>
      <c r="NIV391" s="160">
        <v>0</v>
      </c>
      <c r="NIW391" s="160">
        <v>0</v>
      </c>
      <c r="NIX391" s="160">
        <v>0</v>
      </c>
      <c r="NIY391" s="160">
        <v>0</v>
      </c>
      <c r="NIZ391" s="160">
        <v>0</v>
      </c>
      <c r="NJA391" s="160">
        <v>0</v>
      </c>
      <c r="NJB391" s="160">
        <v>0</v>
      </c>
      <c r="NJC391" s="160">
        <v>0</v>
      </c>
      <c r="NJD391" s="160">
        <v>0</v>
      </c>
      <c r="NJE391" s="160">
        <v>0</v>
      </c>
      <c r="NJF391" s="160">
        <v>0</v>
      </c>
      <c r="NJG391" s="160">
        <v>0</v>
      </c>
      <c r="NJH391" s="160">
        <v>0</v>
      </c>
      <c r="NJI391" s="160">
        <v>0</v>
      </c>
      <c r="NJJ391" s="160">
        <v>0</v>
      </c>
      <c r="NJK391" s="160">
        <v>0</v>
      </c>
      <c r="NJL391" s="160">
        <v>0</v>
      </c>
      <c r="NJM391" s="160">
        <v>0</v>
      </c>
      <c r="NJN391" s="160">
        <v>0</v>
      </c>
      <c r="NJO391" s="160">
        <v>0</v>
      </c>
      <c r="NJP391" s="160">
        <v>0</v>
      </c>
      <c r="NJQ391" s="160">
        <v>0</v>
      </c>
      <c r="NJR391" s="160">
        <v>0</v>
      </c>
      <c r="NJS391" s="160">
        <v>0</v>
      </c>
      <c r="NJT391" s="160">
        <v>0</v>
      </c>
      <c r="NJU391" s="160">
        <v>0</v>
      </c>
      <c r="NJV391" s="160">
        <v>0</v>
      </c>
      <c r="NJW391" s="160">
        <v>0</v>
      </c>
      <c r="NJX391" s="160">
        <v>0</v>
      </c>
      <c r="NJY391" s="160">
        <v>0</v>
      </c>
      <c r="NJZ391" s="160">
        <v>0</v>
      </c>
      <c r="NKA391" s="160">
        <v>0</v>
      </c>
      <c r="NKB391" s="160">
        <v>0</v>
      </c>
      <c r="NKC391" s="160">
        <v>0</v>
      </c>
      <c r="NKD391" s="160">
        <v>0</v>
      </c>
      <c r="NKE391" s="160">
        <v>0</v>
      </c>
      <c r="NKF391" s="160">
        <v>0</v>
      </c>
      <c r="NKG391" s="160">
        <v>0</v>
      </c>
      <c r="NKH391" s="160">
        <v>0</v>
      </c>
      <c r="NKI391" s="160">
        <v>0</v>
      </c>
      <c r="NKJ391" s="160">
        <v>0</v>
      </c>
      <c r="NKK391" s="160">
        <v>0</v>
      </c>
      <c r="NKL391" s="160">
        <v>0</v>
      </c>
      <c r="NKM391" s="160">
        <v>0</v>
      </c>
      <c r="NKN391" s="160">
        <v>0</v>
      </c>
      <c r="NKO391" s="160">
        <v>0</v>
      </c>
      <c r="NKP391" s="160">
        <v>0</v>
      </c>
      <c r="NKQ391" s="160">
        <v>0</v>
      </c>
      <c r="NKR391" s="160">
        <v>0</v>
      </c>
      <c r="NKS391" s="160">
        <v>0</v>
      </c>
      <c r="NKT391" s="160">
        <v>0</v>
      </c>
      <c r="NKU391" s="160">
        <v>0</v>
      </c>
      <c r="NKV391" s="160">
        <v>0</v>
      </c>
      <c r="NKW391" s="160">
        <v>0</v>
      </c>
      <c r="NKX391" s="160">
        <v>0</v>
      </c>
      <c r="NKY391" s="160">
        <v>0</v>
      </c>
      <c r="NKZ391" s="160">
        <v>0</v>
      </c>
      <c r="NLA391" s="160">
        <v>0</v>
      </c>
      <c r="NLB391" s="160">
        <v>0</v>
      </c>
      <c r="NLC391" s="160">
        <v>0</v>
      </c>
      <c r="NLD391" s="160">
        <v>0</v>
      </c>
      <c r="NLE391" s="160">
        <v>0</v>
      </c>
      <c r="NLF391" s="160">
        <v>0</v>
      </c>
      <c r="NLG391" s="160">
        <v>0</v>
      </c>
      <c r="NLH391" s="160">
        <v>0</v>
      </c>
      <c r="NLI391" s="160">
        <v>0</v>
      </c>
      <c r="NLJ391" s="160">
        <v>0</v>
      </c>
      <c r="NLK391" s="160">
        <v>0</v>
      </c>
      <c r="NLL391" s="160">
        <v>0</v>
      </c>
      <c r="NLM391" s="160">
        <v>0</v>
      </c>
      <c r="NLN391" s="160">
        <v>0</v>
      </c>
      <c r="NLO391" s="160">
        <v>0</v>
      </c>
      <c r="NLP391" s="160">
        <v>0</v>
      </c>
      <c r="NLQ391" s="160">
        <v>0</v>
      </c>
      <c r="NLR391" s="160">
        <v>0</v>
      </c>
      <c r="NLS391" s="160">
        <v>0</v>
      </c>
      <c r="NLT391" s="160">
        <v>0</v>
      </c>
      <c r="NLU391" s="160">
        <v>0</v>
      </c>
      <c r="NLV391" s="160">
        <v>0</v>
      </c>
      <c r="NLW391" s="160">
        <v>0</v>
      </c>
      <c r="NLX391" s="160">
        <v>0</v>
      </c>
      <c r="NLY391" s="160">
        <v>0</v>
      </c>
      <c r="NLZ391" s="160">
        <v>0</v>
      </c>
      <c r="NMA391" s="160">
        <v>0</v>
      </c>
      <c r="NMB391" s="160">
        <v>0</v>
      </c>
      <c r="NMC391" s="160">
        <v>0</v>
      </c>
      <c r="NMD391" s="160">
        <v>0</v>
      </c>
      <c r="NME391" s="160">
        <v>0</v>
      </c>
      <c r="NMF391" s="160">
        <v>0</v>
      </c>
      <c r="NMG391" s="160">
        <v>0</v>
      </c>
      <c r="NMH391" s="160">
        <v>0</v>
      </c>
      <c r="NMI391" s="160">
        <v>0</v>
      </c>
      <c r="NMJ391" s="160">
        <v>0</v>
      </c>
      <c r="NMK391" s="160">
        <v>0</v>
      </c>
      <c r="NML391" s="160">
        <v>0</v>
      </c>
      <c r="NMM391" s="160">
        <v>0</v>
      </c>
      <c r="NMN391" s="160">
        <v>0</v>
      </c>
      <c r="NMO391" s="160">
        <v>0</v>
      </c>
      <c r="NMP391" s="160">
        <v>0</v>
      </c>
      <c r="NMQ391" s="160">
        <v>0</v>
      </c>
      <c r="NMR391" s="160">
        <v>0</v>
      </c>
      <c r="NMS391" s="160">
        <v>0</v>
      </c>
      <c r="NMT391" s="160">
        <v>0</v>
      </c>
      <c r="NMU391" s="160">
        <v>0</v>
      </c>
      <c r="NMV391" s="160">
        <v>0</v>
      </c>
      <c r="NMW391" s="160">
        <v>0</v>
      </c>
      <c r="NMX391" s="160">
        <v>0</v>
      </c>
      <c r="NMY391" s="160">
        <v>0</v>
      </c>
      <c r="NMZ391" s="160">
        <v>0</v>
      </c>
      <c r="NNA391" s="160">
        <v>0</v>
      </c>
      <c r="NNB391" s="160">
        <v>0</v>
      </c>
      <c r="NNC391" s="160">
        <v>0</v>
      </c>
      <c r="NND391" s="160">
        <v>0</v>
      </c>
      <c r="NNE391" s="160">
        <v>0</v>
      </c>
      <c r="NNF391" s="160">
        <v>0</v>
      </c>
      <c r="NNG391" s="160">
        <v>0</v>
      </c>
      <c r="NNH391" s="160">
        <v>0</v>
      </c>
      <c r="NNI391" s="160">
        <v>0</v>
      </c>
      <c r="NNJ391" s="160">
        <v>0</v>
      </c>
      <c r="NNK391" s="160">
        <v>0</v>
      </c>
      <c r="NNL391" s="160">
        <v>0</v>
      </c>
      <c r="NNM391" s="160">
        <v>0</v>
      </c>
      <c r="NNN391" s="160">
        <v>0</v>
      </c>
      <c r="NNO391" s="160">
        <v>0</v>
      </c>
      <c r="NNP391" s="160">
        <v>0</v>
      </c>
      <c r="NNQ391" s="160">
        <v>0</v>
      </c>
      <c r="NNR391" s="160">
        <v>0</v>
      </c>
      <c r="NNS391" s="160">
        <v>0</v>
      </c>
      <c r="NNT391" s="160">
        <v>0</v>
      </c>
      <c r="NNU391" s="160">
        <v>0</v>
      </c>
      <c r="NNV391" s="160">
        <v>0</v>
      </c>
      <c r="NNW391" s="160">
        <v>0</v>
      </c>
      <c r="NNX391" s="160">
        <v>0</v>
      </c>
      <c r="NNY391" s="160">
        <v>0</v>
      </c>
      <c r="NNZ391" s="160">
        <v>0</v>
      </c>
      <c r="NOA391" s="160">
        <v>0</v>
      </c>
      <c r="NOB391" s="160">
        <v>0</v>
      </c>
      <c r="NOC391" s="160">
        <v>0</v>
      </c>
      <c r="NOD391" s="160">
        <v>0</v>
      </c>
      <c r="NOE391" s="160">
        <v>0</v>
      </c>
      <c r="NOF391" s="160">
        <v>0</v>
      </c>
      <c r="NOG391" s="160">
        <v>0</v>
      </c>
      <c r="NOH391" s="160">
        <v>0</v>
      </c>
      <c r="NOI391" s="160">
        <v>0</v>
      </c>
      <c r="NOJ391" s="160">
        <v>0</v>
      </c>
      <c r="NOK391" s="160">
        <v>0</v>
      </c>
      <c r="NOL391" s="160">
        <v>0</v>
      </c>
      <c r="NOM391" s="160">
        <v>0</v>
      </c>
      <c r="NON391" s="160">
        <v>0</v>
      </c>
      <c r="NOO391" s="160">
        <v>0</v>
      </c>
      <c r="NOP391" s="160">
        <v>0</v>
      </c>
      <c r="NOQ391" s="160">
        <v>0</v>
      </c>
      <c r="NOR391" s="160">
        <v>0</v>
      </c>
      <c r="NOS391" s="160">
        <v>0</v>
      </c>
      <c r="NOT391" s="160">
        <v>0</v>
      </c>
      <c r="NOU391" s="160">
        <v>0</v>
      </c>
      <c r="NOV391" s="160">
        <v>0</v>
      </c>
      <c r="NOW391" s="160">
        <v>0</v>
      </c>
      <c r="NOX391" s="160">
        <v>0</v>
      </c>
      <c r="NOY391" s="160">
        <v>0</v>
      </c>
      <c r="NOZ391" s="160">
        <v>0</v>
      </c>
      <c r="NPA391" s="160">
        <v>0</v>
      </c>
      <c r="NPB391" s="160">
        <v>0</v>
      </c>
      <c r="NPC391" s="160">
        <v>0</v>
      </c>
      <c r="NPD391" s="160">
        <v>0</v>
      </c>
      <c r="NPE391" s="160">
        <v>0</v>
      </c>
      <c r="NPF391" s="160">
        <v>0</v>
      </c>
      <c r="NPG391" s="160">
        <v>0</v>
      </c>
      <c r="NPH391" s="160">
        <v>0</v>
      </c>
      <c r="NPI391" s="160">
        <v>0</v>
      </c>
      <c r="NPJ391" s="160">
        <v>0</v>
      </c>
      <c r="NPK391" s="160">
        <v>0</v>
      </c>
      <c r="NPL391" s="160">
        <v>0</v>
      </c>
      <c r="NPM391" s="160">
        <v>0</v>
      </c>
      <c r="NPN391" s="160">
        <v>0</v>
      </c>
      <c r="NPO391" s="160">
        <v>0</v>
      </c>
      <c r="NPP391" s="160">
        <v>0</v>
      </c>
      <c r="NPQ391" s="160">
        <v>0</v>
      </c>
      <c r="NPR391" s="160">
        <v>0</v>
      </c>
      <c r="NPS391" s="160">
        <v>0</v>
      </c>
      <c r="NPT391" s="160">
        <v>0</v>
      </c>
      <c r="NPU391" s="160">
        <v>0</v>
      </c>
      <c r="NPV391" s="160">
        <v>0</v>
      </c>
      <c r="NPW391" s="160">
        <v>0</v>
      </c>
      <c r="NPX391" s="160">
        <v>0</v>
      </c>
      <c r="NPY391" s="160">
        <v>0</v>
      </c>
      <c r="NPZ391" s="160">
        <v>0</v>
      </c>
      <c r="NQA391" s="160">
        <v>0</v>
      </c>
      <c r="NQB391" s="160">
        <v>0</v>
      </c>
      <c r="NQC391" s="160">
        <v>0</v>
      </c>
      <c r="NQD391" s="160">
        <v>0</v>
      </c>
      <c r="NQE391" s="160">
        <v>0</v>
      </c>
      <c r="NQF391" s="160">
        <v>0</v>
      </c>
      <c r="NQG391" s="160">
        <v>0</v>
      </c>
      <c r="NQH391" s="160">
        <v>0</v>
      </c>
      <c r="NQI391" s="160">
        <v>0</v>
      </c>
      <c r="NQJ391" s="160">
        <v>0</v>
      </c>
      <c r="NQK391" s="160">
        <v>0</v>
      </c>
      <c r="NQL391" s="160">
        <v>0</v>
      </c>
      <c r="NQM391" s="160">
        <v>0</v>
      </c>
      <c r="NQN391" s="160">
        <v>0</v>
      </c>
      <c r="NQO391" s="160">
        <v>0</v>
      </c>
      <c r="NQP391" s="160">
        <v>0</v>
      </c>
      <c r="NQQ391" s="160">
        <v>0</v>
      </c>
      <c r="NQR391" s="160">
        <v>0</v>
      </c>
      <c r="NQS391" s="160">
        <v>0</v>
      </c>
      <c r="NQT391" s="160">
        <v>0</v>
      </c>
      <c r="NQU391" s="160">
        <v>0</v>
      </c>
      <c r="NQV391" s="160">
        <v>0</v>
      </c>
      <c r="NQW391" s="160">
        <v>0</v>
      </c>
      <c r="NQX391" s="160">
        <v>0</v>
      </c>
      <c r="NQY391" s="160">
        <v>0</v>
      </c>
      <c r="NQZ391" s="160">
        <v>0</v>
      </c>
      <c r="NRA391" s="160">
        <v>0</v>
      </c>
      <c r="NRB391" s="160">
        <v>0</v>
      </c>
      <c r="NRC391" s="160">
        <v>0</v>
      </c>
      <c r="NRD391" s="160">
        <v>0</v>
      </c>
      <c r="NRE391" s="160">
        <v>0</v>
      </c>
      <c r="NRF391" s="160">
        <v>0</v>
      </c>
      <c r="NRG391" s="160">
        <v>0</v>
      </c>
      <c r="NRH391" s="160">
        <v>0</v>
      </c>
      <c r="NRI391" s="160">
        <v>0</v>
      </c>
      <c r="NRJ391" s="160">
        <v>0</v>
      </c>
      <c r="NRK391" s="160">
        <v>0</v>
      </c>
      <c r="NRL391" s="160">
        <v>0</v>
      </c>
      <c r="NRM391" s="160">
        <v>0</v>
      </c>
      <c r="NRN391" s="160">
        <v>0</v>
      </c>
      <c r="NRO391" s="160">
        <v>0</v>
      </c>
      <c r="NRP391" s="160">
        <v>0</v>
      </c>
      <c r="NRQ391" s="160">
        <v>0</v>
      </c>
      <c r="NRR391" s="160">
        <v>0</v>
      </c>
      <c r="NRS391" s="160">
        <v>0</v>
      </c>
      <c r="NRT391" s="160">
        <v>0</v>
      </c>
      <c r="NRU391" s="160">
        <v>0</v>
      </c>
      <c r="NRV391" s="160">
        <v>0</v>
      </c>
      <c r="NRW391" s="160">
        <v>0</v>
      </c>
      <c r="NRX391" s="160">
        <v>0</v>
      </c>
      <c r="NRY391" s="160">
        <v>0</v>
      </c>
      <c r="NRZ391" s="160">
        <v>0</v>
      </c>
      <c r="NSA391" s="160">
        <v>0</v>
      </c>
      <c r="NSB391" s="160">
        <v>0</v>
      </c>
      <c r="NSC391" s="160">
        <v>0</v>
      </c>
      <c r="NSD391" s="160">
        <v>0</v>
      </c>
      <c r="NSE391" s="160">
        <v>0</v>
      </c>
      <c r="NSF391" s="160">
        <v>0</v>
      </c>
      <c r="NSG391" s="160">
        <v>0</v>
      </c>
      <c r="NSH391" s="160">
        <v>0</v>
      </c>
      <c r="NSI391" s="160">
        <v>0</v>
      </c>
      <c r="NSJ391" s="160">
        <v>0</v>
      </c>
      <c r="NSK391" s="160">
        <v>0</v>
      </c>
      <c r="NSL391" s="160">
        <v>0</v>
      </c>
      <c r="NSM391" s="160">
        <v>0</v>
      </c>
      <c r="NSN391" s="160">
        <v>0</v>
      </c>
      <c r="NSO391" s="160">
        <v>0</v>
      </c>
      <c r="NSP391" s="160">
        <v>0</v>
      </c>
      <c r="NSQ391" s="160">
        <v>0</v>
      </c>
      <c r="NSR391" s="160">
        <v>0</v>
      </c>
      <c r="NSS391" s="160">
        <v>0</v>
      </c>
      <c r="NST391" s="160">
        <v>0</v>
      </c>
      <c r="NSU391" s="160">
        <v>0</v>
      </c>
      <c r="NSV391" s="160">
        <v>0</v>
      </c>
      <c r="NSW391" s="160">
        <v>0</v>
      </c>
      <c r="NSX391" s="160">
        <v>0</v>
      </c>
      <c r="NSY391" s="160">
        <v>0</v>
      </c>
      <c r="NSZ391" s="160">
        <v>0</v>
      </c>
      <c r="NTA391" s="160">
        <v>0</v>
      </c>
      <c r="NTB391" s="160">
        <v>0</v>
      </c>
      <c r="NTC391" s="160">
        <v>0</v>
      </c>
      <c r="NTD391" s="160">
        <v>0</v>
      </c>
      <c r="NTE391" s="160">
        <v>0</v>
      </c>
      <c r="NTF391" s="160">
        <v>0</v>
      </c>
      <c r="NTG391" s="160">
        <v>0</v>
      </c>
      <c r="NTH391" s="160">
        <v>0</v>
      </c>
      <c r="NTI391" s="160">
        <v>0</v>
      </c>
      <c r="NTJ391" s="160">
        <v>0</v>
      </c>
      <c r="NTK391" s="160">
        <v>0</v>
      </c>
      <c r="NTL391" s="160">
        <v>0</v>
      </c>
      <c r="NTM391" s="160">
        <v>0</v>
      </c>
      <c r="NTN391" s="160">
        <v>0</v>
      </c>
      <c r="NTO391" s="160">
        <v>0</v>
      </c>
      <c r="NTP391" s="160">
        <v>0</v>
      </c>
      <c r="NTQ391" s="160">
        <v>0</v>
      </c>
      <c r="NTR391" s="160">
        <v>0</v>
      </c>
      <c r="NTS391" s="160">
        <v>0</v>
      </c>
      <c r="NTT391" s="160">
        <v>0</v>
      </c>
      <c r="NTU391" s="160">
        <v>0</v>
      </c>
      <c r="NTV391" s="160">
        <v>0</v>
      </c>
      <c r="NTW391" s="160">
        <v>0</v>
      </c>
      <c r="NTX391" s="160">
        <v>0</v>
      </c>
      <c r="NTY391" s="160">
        <v>0</v>
      </c>
      <c r="NTZ391" s="160">
        <v>0</v>
      </c>
      <c r="NUA391" s="160">
        <v>0</v>
      </c>
      <c r="NUB391" s="160">
        <v>0</v>
      </c>
      <c r="NUC391" s="160">
        <v>0</v>
      </c>
      <c r="NUD391" s="160">
        <v>0</v>
      </c>
      <c r="NUE391" s="160">
        <v>0</v>
      </c>
      <c r="NUF391" s="160">
        <v>0</v>
      </c>
      <c r="NUG391" s="160">
        <v>0</v>
      </c>
      <c r="NUH391" s="160">
        <v>0</v>
      </c>
      <c r="NUI391" s="160">
        <v>0</v>
      </c>
      <c r="NUJ391" s="160">
        <v>0</v>
      </c>
      <c r="NUK391" s="160">
        <v>0</v>
      </c>
      <c r="NUL391" s="160">
        <v>0</v>
      </c>
      <c r="NUM391" s="160">
        <v>0</v>
      </c>
      <c r="NUN391" s="160">
        <v>0</v>
      </c>
      <c r="NUO391" s="160">
        <v>0</v>
      </c>
      <c r="NUP391" s="160">
        <v>0</v>
      </c>
      <c r="NUQ391" s="160">
        <v>0</v>
      </c>
      <c r="NUR391" s="160">
        <v>0</v>
      </c>
      <c r="NUS391" s="160">
        <v>0</v>
      </c>
      <c r="NUT391" s="160">
        <v>0</v>
      </c>
      <c r="NUU391" s="160">
        <v>0</v>
      </c>
      <c r="NUV391" s="160">
        <v>0</v>
      </c>
      <c r="NUW391" s="160">
        <v>0</v>
      </c>
      <c r="NUX391" s="160">
        <v>0</v>
      </c>
      <c r="NUY391" s="160">
        <v>0</v>
      </c>
      <c r="NUZ391" s="160">
        <v>0</v>
      </c>
      <c r="NVA391" s="160">
        <v>0</v>
      </c>
      <c r="NVB391" s="160">
        <v>0</v>
      </c>
      <c r="NVC391" s="160">
        <v>0</v>
      </c>
      <c r="NVD391" s="160">
        <v>0</v>
      </c>
      <c r="NVE391" s="160">
        <v>0</v>
      </c>
      <c r="NVF391" s="160">
        <v>0</v>
      </c>
      <c r="NVG391" s="160">
        <v>0</v>
      </c>
      <c r="NVH391" s="160">
        <v>0</v>
      </c>
      <c r="NVI391" s="160">
        <v>0</v>
      </c>
      <c r="NVJ391" s="160">
        <v>0</v>
      </c>
      <c r="NVK391" s="160">
        <v>0</v>
      </c>
      <c r="NVL391" s="160">
        <v>0</v>
      </c>
      <c r="NVM391" s="160">
        <v>0</v>
      </c>
      <c r="NVN391" s="160">
        <v>0</v>
      </c>
      <c r="NVO391" s="160">
        <v>0</v>
      </c>
      <c r="NVP391" s="160">
        <v>0</v>
      </c>
      <c r="NVQ391" s="160">
        <v>0</v>
      </c>
      <c r="NVR391" s="160">
        <v>0</v>
      </c>
      <c r="NVS391" s="160">
        <v>0</v>
      </c>
      <c r="NVT391" s="160">
        <v>0</v>
      </c>
      <c r="NVU391" s="160">
        <v>0</v>
      </c>
      <c r="NVV391" s="160">
        <v>0</v>
      </c>
      <c r="NVW391" s="160">
        <v>0</v>
      </c>
      <c r="NVX391" s="160">
        <v>0</v>
      </c>
      <c r="NVY391" s="160">
        <v>0</v>
      </c>
      <c r="NVZ391" s="160">
        <v>0</v>
      </c>
      <c r="NWA391" s="160">
        <v>0</v>
      </c>
      <c r="NWB391" s="160">
        <v>0</v>
      </c>
      <c r="NWC391" s="160">
        <v>0</v>
      </c>
      <c r="NWD391" s="160">
        <v>0</v>
      </c>
      <c r="NWE391" s="160">
        <v>0</v>
      </c>
      <c r="NWF391" s="160">
        <v>0</v>
      </c>
      <c r="NWG391" s="160">
        <v>0</v>
      </c>
      <c r="NWH391" s="160">
        <v>0</v>
      </c>
      <c r="NWI391" s="160">
        <v>0</v>
      </c>
      <c r="NWJ391" s="160">
        <v>0</v>
      </c>
      <c r="NWK391" s="160">
        <v>0</v>
      </c>
      <c r="NWL391" s="160">
        <v>0</v>
      </c>
      <c r="NWM391" s="160">
        <v>0</v>
      </c>
      <c r="NWN391" s="160">
        <v>0</v>
      </c>
      <c r="NWO391" s="160">
        <v>0</v>
      </c>
      <c r="NWP391" s="160">
        <v>0</v>
      </c>
      <c r="NWQ391" s="160">
        <v>0</v>
      </c>
      <c r="NWR391" s="160">
        <v>0</v>
      </c>
      <c r="NWS391" s="160">
        <v>0</v>
      </c>
      <c r="NWT391" s="160">
        <v>0</v>
      </c>
      <c r="NWU391" s="160">
        <v>0</v>
      </c>
      <c r="NWV391" s="160">
        <v>0</v>
      </c>
      <c r="NWW391" s="160">
        <v>0</v>
      </c>
      <c r="NWX391" s="160">
        <v>0</v>
      </c>
      <c r="NWY391" s="160">
        <v>0</v>
      </c>
      <c r="NWZ391" s="160">
        <v>0</v>
      </c>
      <c r="NXA391" s="160">
        <v>0</v>
      </c>
      <c r="NXB391" s="160">
        <v>0</v>
      </c>
      <c r="NXC391" s="160">
        <v>0</v>
      </c>
      <c r="NXD391" s="160">
        <v>0</v>
      </c>
      <c r="NXE391" s="160">
        <v>0</v>
      </c>
      <c r="NXF391" s="160">
        <v>0</v>
      </c>
      <c r="NXG391" s="160">
        <v>0</v>
      </c>
      <c r="NXH391" s="160">
        <v>0</v>
      </c>
      <c r="NXI391" s="160">
        <v>0</v>
      </c>
      <c r="NXJ391" s="160">
        <v>0</v>
      </c>
      <c r="NXK391" s="160">
        <v>0</v>
      </c>
      <c r="NXL391" s="160">
        <v>0</v>
      </c>
      <c r="NXM391" s="160">
        <v>0</v>
      </c>
      <c r="NXN391" s="160">
        <v>0</v>
      </c>
      <c r="NXO391" s="160">
        <v>0</v>
      </c>
      <c r="NXP391" s="160">
        <v>0</v>
      </c>
      <c r="NXQ391" s="160">
        <v>0</v>
      </c>
      <c r="NXR391" s="160">
        <v>0</v>
      </c>
      <c r="NXS391" s="160">
        <v>0</v>
      </c>
      <c r="NXT391" s="160">
        <v>0</v>
      </c>
      <c r="NXU391" s="160">
        <v>0</v>
      </c>
      <c r="NXV391" s="160">
        <v>0</v>
      </c>
      <c r="NXW391" s="160">
        <v>0</v>
      </c>
      <c r="NXX391" s="160">
        <v>0</v>
      </c>
      <c r="NXY391" s="160">
        <v>0</v>
      </c>
      <c r="NXZ391" s="160">
        <v>0</v>
      </c>
      <c r="NYA391" s="160">
        <v>0</v>
      </c>
      <c r="NYB391" s="160">
        <v>0</v>
      </c>
      <c r="NYC391" s="160">
        <v>0</v>
      </c>
      <c r="NYD391" s="160">
        <v>0</v>
      </c>
      <c r="NYE391" s="160">
        <v>0</v>
      </c>
      <c r="NYF391" s="160">
        <v>0</v>
      </c>
      <c r="NYG391" s="160">
        <v>0</v>
      </c>
      <c r="NYH391" s="160">
        <v>0</v>
      </c>
      <c r="NYI391" s="160">
        <v>0</v>
      </c>
      <c r="NYJ391" s="160">
        <v>0</v>
      </c>
      <c r="NYK391" s="160">
        <v>0</v>
      </c>
      <c r="NYL391" s="160">
        <v>0</v>
      </c>
      <c r="NYM391" s="160">
        <v>0</v>
      </c>
      <c r="NYN391" s="160">
        <v>0</v>
      </c>
      <c r="NYO391" s="160">
        <v>0</v>
      </c>
      <c r="NYP391" s="160">
        <v>0</v>
      </c>
      <c r="NYQ391" s="160">
        <v>0</v>
      </c>
      <c r="NYR391" s="160">
        <v>0</v>
      </c>
      <c r="NYS391" s="160">
        <v>0</v>
      </c>
      <c r="NYT391" s="160">
        <v>0</v>
      </c>
      <c r="NYU391" s="160">
        <v>0</v>
      </c>
      <c r="NYV391" s="160">
        <v>0</v>
      </c>
      <c r="NYW391" s="160">
        <v>0</v>
      </c>
      <c r="NYX391" s="160">
        <v>0</v>
      </c>
      <c r="NYY391" s="160">
        <v>0</v>
      </c>
      <c r="NYZ391" s="160">
        <v>0</v>
      </c>
      <c r="NZA391" s="160">
        <v>0</v>
      </c>
      <c r="NZB391" s="160">
        <v>0</v>
      </c>
      <c r="NZC391" s="160">
        <v>0</v>
      </c>
      <c r="NZD391" s="160">
        <v>0</v>
      </c>
      <c r="NZE391" s="160">
        <v>0</v>
      </c>
      <c r="NZF391" s="160">
        <v>0</v>
      </c>
      <c r="NZG391" s="160">
        <v>0</v>
      </c>
      <c r="NZH391" s="160">
        <v>0</v>
      </c>
      <c r="NZI391" s="160">
        <v>0</v>
      </c>
      <c r="NZJ391" s="160">
        <v>0</v>
      </c>
      <c r="NZK391" s="160">
        <v>0</v>
      </c>
      <c r="NZL391" s="160">
        <v>0</v>
      </c>
      <c r="NZM391" s="160">
        <v>0</v>
      </c>
      <c r="NZN391" s="160">
        <v>0</v>
      </c>
      <c r="NZO391" s="160">
        <v>0</v>
      </c>
      <c r="NZP391" s="160">
        <v>0</v>
      </c>
      <c r="NZQ391" s="160">
        <v>0</v>
      </c>
      <c r="NZR391" s="160">
        <v>0</v>
      </c>
      <c r="NZS391" s="160">
        <v>0</v>
      </c>
      <c r="NZT391" s="160">
        <v>0</v>
      </c>
      <c r="NZU391" s="160">
        <v>0</v>
      </c>
      <c r="NZV391" s="160">
        <v>0</v>
      </c>
      <c r="NZW391" s="160">
        <v>0</v>
      </c>
      <c r="NZX391" s="160">
        <v>0</v>
      </c>
      <c r="NZY391" s="160">
        <v>0</v>
      </c>
      <c r="NZZ391" s="160">
        <v>0</v>
      </c>
      <c r="OAA391" s="160">
        <v>0</v>
      </c>
      <c r="OAB391" s="160">
        <v>0</v>
      </c>
      <c r="OAC391" s="160">
        <v>0</v>
      </c>
      <c r="OAD391" s="160">
        <v>0</v>
      </c>
      <c r="OAE391" s="160">
        <v>0</v>
      </c>
      <c r="OAF391" s="160">
        <v>0</v>
      </c>
      <c r="OAG391" s="160">
        <v>0</v>
      </c>
      <c r="OAH391" s="160">
        <v>0</v>
      </c>
      <c r="OAI391" s="160">
        <v>0</v>
      </c>
      <c r="OAJ391" s="160">
        <v>0</v>
      </c>
      <c r="OAK391" s="160">
        <v>0</v>
      </c>
      <c r="OAL391" s="160">
        <v>0</v>
      </c>
      <c r="OAM391" s="160">
        <v>0</v>
      </c>
      <c r="OAN391" s="160">
        <v>0</v>
      </c>
      <c r="OAO391" s="160">
        <v>0</v>
      </c>
      <c r="OAP391" s="160">
        <v>0</v>
      </c>
      <c r="OAQ391" s="160">
        <v>0</v>
      </c>
      <c r="OAR391" s="160">
        <v>0</v>
      </c>
      <c r="OAS391" s="160">
        <v>0</v>
      </c>
      <c r="OAT391" s="160">
        <v>0</v>
      </c>
      <c r="OAU391" s="160">
        <v>0</v>
      </c>
      <c r="OAV391" s="160">
        <v>0</v>
      </c>
      <c r="OAW391" s="160">
        <v>0</v>
      </c>
      <c r="OAX391" s="160">
        <v>0</v>
      </c>
      <c r="OAY391" s="160">
        <v>0</v>
      </c>
      <c r="OAZ391" s="160">
        <v>0</v>
      </c>
      <c r="OBA391" s="160">
        <v>0</v>
      </c>
      <c r="OBB391" s="160">
        <v>0</v>
      </c>
      <c r="OBC391" s="160">
        <v>0</v>
      </c>
      <c r="OBD391" s="160">
        <v>0</v>
      </c>
      <c r="OBE391" s="160">
        <v>0</v>
      </c>
      <c r="OBF391" s="160">
        <v>0</v>
      </c>
      <c r="OBG391" s="160">
        <v>0</v>
      </c>
      <c r="OBH391" s="160">
        <v>0</v>
      </c>
      <c r="OBI391" s="160">
        <v>0</v>
      </c>
      <c r="OBJ391" s="160">
        <v>0</v>
      </c>
      <c r="OBK391" s="160">
        <v>0</v>
      </c>
      <c r="OBL391" s="160">
        <v>0</v>
      </c>
      <c r="OBM391" s="160">
        <v>0</v>
      </c>
      <c r="OBN391" s="160">
        <v>0</v>
      </c>
      <c r="OBO391" s="160">
        <v>0</v>
      </c>
      <c r="OBP391" s="160">
        <v>0</v>
      </c>
      <c r="OBQ391" s="160">
        <v>0</v>
      </c>
      <c r="OBR391" s="160">
        <v>0</v>
      </c>
      <c r="OBS391" s="160">
        <v>0</v>
      </c>
      <c r="OBT391" s="160">
        <v>0</v>
      </c>
      <c r="OBU391" s="160">
        <v>0</v>
      </c>
      <c r="OBV391" s="160">
        <v>0</v>
      </c>
      <c r="OBW391" s="160">
        <v>0</v>
      </c>
      <c r="OBX391" s="160">
        <v>0</v>
      </c>
      <c r="OBY391" s="160">
        <v>0</v>
      </c>
      <c r="OBZ391" s="160">
        <v>0</v>
      </c>
      <c r="OCA391" s="160">
        <v>0</v>
      </c>
      <c r="OCB391" s="160">
        <v>0</v>
      </c>
      <c r="OCC391" s="160">
        <v>0</v>
      </c>
      <c r="OCD391" s="160">
        <v>0</v>
      </c>
      <c r="OCE391" s="160">
        <v>0</v>
      </c>
      <c r="OCF391" s="160">
        <v>0</v>
      </c>
      <c r="OCG391" s="160">
        <v>0</v>
      </c>
      <c r="OCH391" s="160">
        <v>0</v>
      </c>
      <c r="OCI391" s="160">
        <v>0</v>
      </c>
      <c r="OCJ391" s="160">
        <v>0</v>
      </c>
      <c r="OCK391" s="160">
        <v>0</v>
      </c>
      <c r="OCL391" s="160">
        <v>0</v>
      </c>
      <c r="OCM391" s="160">
        <v>0</v>
      </c>
      <c r="OCN391" s="160">
        <v>0</v>
      </c>
      <c r="OCO391" s="160">
        <v>0</v>
      </c>
      <c r="OCP391" s="160">
        <v>0</v>
      </c>
      <c r="OCQ391" s="160">
        <v>0</v>
      </c>
      <c r="OCR391" s="160">
        <v>0</v>
      </c>
      <c r="OCS391" s="160">
        <v>0</v>
      </c>
      <c r="OCT391" s="160">
        <v>0</v>
      </c>
      <c r="OCU391" s="160">
        <v>0</v>
      </c>
      <c r="OCV391" s="160">
        <v>0</v>
      </c>
      <c r="OCW391" s="160">
        <v>0</v>
      </c>
      <c r="OCX391" s="160">
        <v>0</v>
      </c>
      <c r="OCY391" s="160">
        <v>0</v>
      </c>
      <c r="OCZ391" s="160">
        <v>0</v>
      </c>
      <c r="ODA391" s="160">
        <v>0</v>
      </c>
      <c r="ODB391" s="160">
        <v>0</v>
      </c>
      <c r="ODC391" s="160">
        <v>0</v>
      </c>
      <c r="ODD391" s="160">
        <v>0</v>
      </c>
      <c r="ODE391" s="160">
        <v>0</v>
      </c>
      <c r="ODF391" s="160">
        <v>0</v>
      </c>
      <c r="ODG391" s="160">
        <v>0</v>
      </c>
      <c r="ODH391" s="160">
        <v>0</v>
      </c>
      <c r="ODI391" s="160">
        <v>0</v>
      </c>
      <c r="ODJ391" s="160">
        <v>0</v>
      </c>
      <c r="ODK391" s="160">
        <v>0</v>
      </c>
      <c r="ODL391" s="160">
        <v>0</v>
      </c>
      <c r="ODM391" s="160">
        <v>0</v>
      </c>
      <c r="ODN391" s="160">
        <v>0</v>
      </c>
      <c r="ODO391" s="160">
        <v>0</v>
      </c>
      <c r="ODP391" s="160">
        <v>0</v>
      </c>
      <c r="ODQ391" s="160">
        <v>0</v>
      </c>
      <c r="ODR391" s="160">
        <v>0</v>
      </c>
      <c r="ODS391" s="160">
        <v>0</v>
      </c>
      <c r="ODT391" s="160">
        <v>0</v>
      </c>
      <c r="ODU391" s="160">
        <v>0</v>
      </c>
      <c r="ODV391" s="160">
        <v>0</v>
      </c>
      <c r="ODW391" s="160">
        <v>0</v>
      </c>
      <c r="ODX391" s="160">
        <v>0</v>
      </c>
      <c r="ODY391" s="160">
        <v>0</v>
      </c>
      <c r="ODZ391" s="160">
        <v>0</v>
      </c>
      <c r="OEA391" s="160">
        <v>0</v>
      </c>
      <c r="OEB391" s="160">
        <v>0</v>
      </c>
      <c r="OEC391" s="160">
        <v>0</v>
      </c>
      <c r="OED391" s="160">
        <v>0</v>
      </c>
      <c r="OEE391" s="160">
        <v>0</v>
      </c>
      <c r="OEF391" s="160">
        <v>0</v>
      </c>
      <c r="OEG391" s="160">
        <v>0</v>
      </c>
      <c r="OEH391" s="160">
        <v>0</v>
      </c>
      <c r="OEI391" s="160">
        <v>0</v>
      </c>
      <c r="OEJ391" s="160">
        <v>0</v>
      </c>
      <c r="OEK391" s="160">
        <v>0</v>
      </c>
      <c r="OEL391" s="160">
        <v>0</v>
      </c>
      <c r="OEM391" s="160">
        <v>0</v>
      </c>
      <c r="OEN391" s="160">
        <v>0</v>
      </c>
      <c r="OEO391" s="160">
        <v>0</v>
      </c>
      <c r="OEP391" s="160">
        <v>0</v>
      </c>
      <c r="OEQ391" s="160">
        <v>0</v>
      </c>
      <c r="OER391" s="160">
        <v>0</v>
      </c>
      <c r="OES391" s="160">
        <v>0</v>
      </c>
      <c r="OET391" s="160">
        <v>0</v>
      </c>
      <c r="OEU391" s="160">
        <v>0</v>
      </c>
      <c r="OEV391" s="160">
        <v>0</v>
      </c>
      <c r="OEW391" s="160">
        <v>0</v>
      </c>
      <c r="OEX391" s="160">
        <v>0</v>
      </c>
      <c r="OEY391" s="160">
        <v>0</v>
      </c>
      <c r="OEZ391" s="160">
        <v>0</v>
      </c>
      <c r="OFA391" s="160">
        <v>0</v>
      </c>
      <c r="OFB391" s="160">
        <v>0</v>
      </c>
      <c r="OFC391" s="160">
        <v>0</v>
      </c>
      <c r="OFD391" s="160">
        <v>0</v>
      </c>
      <c r="OFE391" s="160">
        <v>0</v>
      </c>
      <c r="OFF391" s="160">
        <v>0</v>
      </c>
      <c r="OFG391" s="160">
        <v>0</v>
      </c>
      <c r="OFH391" s="160">
        <v>0</v>
      </c>
      <c r="OFI391" s="160">
        <v>0</v>
      </c>
      <c r="OFJ391" s="160">
        <v>0</v>
      </c>
      <c r="OFK391" s="160">
        <v>0</v>
      </c>
      <c r="OFL391" s="160">
        <v>0</v>
      </c>
      <c r="OFM391" s="160">
        <v>0</v>
      </c>
      <c r="OFN391" s="160">
        <v>0</v>
      </c>
      <c r="OFO391" s="160">
        <v>0</v>
      </c>
      <c r="OFP391" s="160">
        <v>0</v>
      </c>
      <c r="OFQ391" s="160">
        <v>0</v>
      </c>
      <c r="OFR391" s="160">
        <v>0</v>
      </c>
      <c r="OFS391" s="160">
        <v>0</v>
      </c>
      <c r="OFT391" s="160">
        <v>0</v>
      </c>
      <c r="OFU391" s="160">
        <v>0</v>
      </c>
      <c r="OFV391" s="160">
        <v>0</v>
      </c>
      <c r="OFW391" s="160">
        <v>0</v>
      </c>
      <c r="OFX391" s="160">
        <v>0</v>
      </c>
      <c r="OFY391" s="160">
        <v>0</v>
      </c>
      <c r="OFZ391" s="160">
        <v>0</v>
      </c>
      <c r="OGA391" s="160">
        <v>0</v>
      </c>
      <c r="OGB391" s="160">
        <v>0</v>
      </c>
      <c r="OGC391" s="160">
        <v>0</v>
      </c>
      <c r="OGD391" s="160">
        <v>0</v>
      </c>
      <c r="OGE391" s="160">
        <v>0</v>
      </c>
      <c r="OGF391" s="160">
        <v>0</v>
      </c>
      <c r="OGG391" s="160">
        <v>0</v>
      </c>
      <c r="OGH391" s="160">
        <v>0</v>
      </c>
      <c r="OGI391" s="160">
        <v>0</v>
      </c>
      <c r="OGJ391" s="160">
        <v>0</v>
      </c>
      <c r="OGK391" s="160">
        <v>0</v>
      </c>
      <c r="OGL391" s="160">
        <v>0</v>
      </c>
      <c r="OGM391" s="160">
        <v>0</v>
      </c>
      <c r="OGN391" s="160">
        <v>0</v>
      </c>
      <c r="OGO391" s="160">
        <v>0</v>
      </c>
      <c r="OGP391" s="160">
        <v>0</v>
      </c>
      <c r="OGQ391" s="160">
        <v>0</v>
      </c>
      <c r="OGR391" s="160">
        <v>0</v>
      </c>
      <c r="OGS391" s="160">
        <v>0</v>
      </c>
      <c r="OGT391" s="160">
        <v>0</v>
      </c>
      <c r="OGU391" s="160">
        <v>0</v>
      </c>
      <c r="OGV391" s="160">
        <v>0</v>
      </c>
      <c r="OGW391" s="160">
        <v>0</v>
      </c>
      <c r="OGX391" s="160">
        <v>0</v>
      </c>
      <c r="OGY391" s="160">
        <v>0</v>
      </c>
      <c r="OGZ391" s="160">
        <v>0</v>
      </c>
      <c r="OHA391" s="160">
        <v>0</v>
      </c>
      <c r="OHB391" s="160">
        <v>0</v>
      </c>
      <c r="OHC391" s="160">
        <v>0</v>
      </c>
      <c r="OHD391" s="160">
        <v>0</v>
      </c>
      <c r="OHE391" s="160">
        <v>0</v>
      </c>
      <c r="OHF391" s="160">
        <v>0</v>
      </c>
      <c r="OHG391" s="160">
        <v>0</v>
      </c>
      <c r="OHH391" s="160">
        <v>0</v>
      </c>
      <c r="OHI391" s="160">
        <v>0</v>
      </c>
      <c r="OHJ391" s="160">
        <v>0</v>
      </c>
      <c r="OHK391" s="160">
        <v>0</v>
      </c>
      <c r="OHL391" s="160">
        <v>0</v>
      </c>
      <c r="OHM391" s="160">
        <v>0</v>
      </c>
      <c r="OHN391" s="160">
        <v>0</v>
      </c>
      <c r="OHO391" s="160">
        <v>0</v>
      </c>
      <c r="OHP391" s="160">
        <v>0</v>
      </c>
      <c r="OHQ391" s="160">
        <v>0</v>
      </c>
      <c r="OHR391" s="160">
        <v>0</v>
      </c>
      <c r="OHS391" s="160">
        <v>0</v>
      </c>
      <c r="OHT391" s="160">
        <v>0</v>
      </c>
      <c r="OHU391" s="160">
        <v>0</v>
      </c>
      <c r="OHV391" s="160">
        <v>0</v>
      </c>
      <c r="OHW391" s="160">
        <v>0</v>
      </c>
      <c r="OHX391" s="160">
        <v>0</v>
      </c>
      <c r="OHY391" s="160">
        <v>0</v>
      </c>
      <c r="OHZ391" s="160">
        <v>0</v>
      </c>
      <c r="OIA391" s="160">
        <v>0</v>
      </c>
      <c r="OIB391" s="160">
        <v>0</v>
      </c>
      <c r="OIC391" s="160">
        <v>0</v>
      </c>
      <c r="OID391" s="160">
        <v>0</v>
      </c>
      <c r="OIE391" s="160">
        <v>0</v>
      </c>
      <c r="OIF391" s="160">
        <v>0</v>
      </c>
      <c r="OIG391" s="160">
        <v>0</v>
      </c>
      <c r="OIH391" s="160">
        <v>0</v>
      </c>
      <c r="OII391" s="160">
        <v>0</v>
      </c>
      <c r="OIJ391" s="160">
        <v>0</v>
      </c>
      <c r="OIK391" s="160">
        <v>0</v>
      </c>
      <c r="OIL391" s="160">
        <v>0</v>
      </c>
      <c r="OIM391" s="160">
        <v>0</v>
      </c>
      <c r="OIN391" s="160">
        <v>0</v>
      </c>
      <c r="OIO391" s="160">
        <v>0</v>
      </c>
      <c r="OIP391" s="160">
        <v>0</v>
      </c>
      <c r="OIQ391" s="160">
        <v>0</v>
      </c>
      <c r="OIR391" s="160">
        <v>0</v>
      </c>
      <c r="OIS391" s="160">
        <v>0</v>
      </c>
      <c r="OIT391" s="160">
        <v>0</v>
      </c>
      <c r="OIU391" s="160">
        <v>0</v>
      </c>
      <c r="OIV391" s="160">
        <v>0</v>
      </c>
      <c r="OIW391" s="160">
        <v>0</v>
      </c>
      <c r="OIX391" s="160">
        <v>0</v>
      </c>
      <c r="OIY391" s="160">
        <v>0</v>
      </c>
      <c r="OIZ391" s="160">
        <v>0</v>
      </c>
      <c r="OJA391" s="160">
        <v>0</v>
      </c>
      <c r="OJB391" s="160">
        <v>0</v>
      </c>
      <c r="OJC391" s="160">
        <v>0</v>
      </c>
      <c r="OJD391" s="160">
        <v>0</v>
      </c>
      <c r="OJE391" s="160">
        <v>0</v>
      </c>
      <c r="OJF391" s="160">
        <v>0</v>
      </c>
      <c r="OJG391" s="160">
        <v>0</v>
      </c>
      <c r="OJH391" s="160">
        <v>0</v>
      </c>
      <c r="OJI391" s="160">
        <v>0</v>
      </c>
      <c r="OJJ391" s="160">
        <v>0</v>
      </c>
      <c r="OJK391" s="160">
        <v>0</v>
      </c>
      <c r="OJL391" s="160">
        <v>0</v>
      </c>
      <c r="OJM391" s="160">
        <v>0</v>
      </c>
      <c r="OJN391" s="160">
        <v>0</v>
      </c>
      <c r="OJO391" s="160">
        <v>0</v>
      </c>
      <c r="OJP391" s="160">
        <v>0</v>
      </c>
      <c r="OJQ391" s="160">
        <v>0</v>
      </c>
      <c r="OJR391" s="160">
        <v>0</v>
      </c>
      <c r="OJS391" s="160">
        <v>0</v>
      </c>
      <c r="OJT391" s="160">
        <v>0</v>
      </c>
      <c r="OJU391" s="160">
        <v>0</v>
      </c>
      <c r="OJV391" s="160">
        <v>0</v>
      </c>
      <c r="OJW391" s="160">
        <v>0</v>
      </c>
      <c r="OJX391" s="160">
        <v>0</v>
      </c>
      <c r="OJY391" s="160">
        <v>0</v>
      </c>
      <c r="OJZ391" s="160">
        <v>0</v>
      </c>
      <c r="OKA391" s="160">
        <v>0</v>
      </c>
      <c r="OKB391" s="160">
        <v>0</v>
      </c>
      <c r="OKC391" s="160">
        <v>0</v>
      </c>
      <c r="OKD391" s="160">
        <v>0</v>
      </c>
      <c r="OKE391" s="160">
        <v>0</v>
      </c>
      <c r="OKF391" s="160">
        <v>0</v>
      </c>
      <c r="OKG391" s="160">
        <v>0</v>
      </c>
      <c r="OKH391" s="160">
        <v>0</v>
      </c>
      <c r="OKI391" s="160">
        <v>0</v>
      </c>
      <c r="OKJ391" s="160">
        <v>0</v>
      </c>
      <c r="OKK391" s="160">
        <v>0</v>
      </c>
      <c r="OKL391" s="160">
        <v>0</v>
      </c>
      <c r="OKM391" s="160">
        <v>0</v>
      </c>
      <c r="OKN391" s="160">
        <v>0</v>
      </c>
      <c r="OKO391" s="160">
        <v>0</v>
      </c>
      <c r="OKP391" s="160">
        <v>0</v>
      </c>
      <c r="OKQ391" s="160">
        <v>0</v>
      </c>
      <c r="OKR391" s="160">
        <v>0</v>
      </c>
      <c r="OKS391" s="160">
        <v>0</v>
      </c>
      <c r="OKT391" s="160">
        <v>0</v>
      </c>
      <c r="OKU391" s="160">
        <v>0</v>
      </c>
      <c r="OKV391" s="160">
        <v>0</v>
      </c>
      <c r="OKW391" s="160">
        <v>0</v>
      </c>
      <c r="OKX391" s="160">
        <v>0</v>
      </c>
      <c r="OKY391" s="160">
        <v>0</v>
      </c>
      <c r="OKZ391" s="160">
        <v>0</v>
      </c>
      <c r="OLA391" s="160">
        <v>0</v>
      </c>
      <c r="OLB391" s="160">
        <v>0</v>
      </c>
      <c r="OLC391" s="160">
        <v>0</v>
      </c>
      <c r="OLD391" s="160">
        <v>0</v>
      </c>
      <c r="OLE391" s="160">
        <v>0</v>
      </c>
      <c r="OLF391" s="160">
        <v>0</v>
      </c>
      <c r="OLG391" s="160">
        <v>0</v>
      </c>
      <c r="OLH391" s="160">
        <v>0</v>
      </c>
      <c r="OLI391" s="160">
        <v>0</v>
      </c>
      <c r="OLJ391" s="160">
        <v>0</v>
      </c>
      <c r="OLK391" s="160">
        <v>0</v>
      </c>
      <c r="OLL391" s="160">
        <v>0</v>
      </c>
      <c r="OLM391" s="160">
        <v>0</v>
      </c>
      <c r="OLN391" s="160">
        <v>0</v>
      </c>
      <c r="OLO391" s="160">
        <v>0</v>
      </c>
      <c r="OLP391" s="160">
        <v>0</v>
      </c>
      <c r="OLQ391" s="160">
        <v>0</v>
      </c>
      <c r="OLR391" s="160">
        <v>0</v>
      </c>
      <c r="OLS391" s="160">
        <v>0</v>
      </c>
      <c r="OLT391" s="160">
        <v>0</v>
      </c>
      <c r="OLU391" s="160">
        <v>0</v>
      </c>
      <c r="OLV391" s="160">
        <v>0</v>
      </c>
      <c r="OLW391" s="160">
        <v>0</v>
      </c>
      <c r="OLX391" s="160">
        <v>0</v>
      </c>
      <c r="OLY391" s="160">
        <v>0</v>
      </c>
      <c r="OLZ391" s="160">
        <v>0</v>
      </c>
      <c r="OMA391" s="160">
        <v>0</v>
      </c>
      <c r="OMB391" s="160">
        <v>0</v>
      </c>
      <c r="OMC391" s="160">
        <v>0</v>
      </c>
      <c r="OMD391" s="160">
        <v>0</v>
      </c>
      <c r="OME391" s="160">
        <v>0</v>
      </c>
      <c r="OMF391" s="160">
        <v>0</v>
      </c>
      <c r="OMG391" s="160">
        <v>0</v>
      </c>
      <c r="OMH391" s="160">
        <v>0</v>
      </c>
      <c r="OMI391" s="160">
        <v>0</v>
      </c>
      <c r="OMJ391" s="160">
        <v>0</v>
      </c>
      <c r="OMK391" s="160">
        <v>0</v>
      </c>
      <c r="OML391" s="160">
        <v>0</v>
      </c>
      <c r="OMM391" s="160">
        <v>0</v>
      </c>
      <c r="OMN391" s="160">
        <v>0</v>
      </c>
      <c r="OMO391" s="160">
        <v>0</v>
      </c>
      <c r="OMP391" s="160">
        <v>0</v>
      </c>
      <c r="OMQ391" s="160">
        <v>0</v>
      </c>
      <c r="OMR391" s="160">
        <v>0</v>
      </c>
      <c r="OMS391" s="160">
        <v>0</v>
      </c>
      <c r="OMT391" s="160">
        <v>0</v>
      </c>
      <c r="OMU391" s="160">
        <v>0</v>
      </c>
      <c r="OMV391" s="160">
        <v>0</v>
      </c>
      <c r="OMW391" s="160">
        <v>0</v>
      </c>
      <c r="OMX391" s="160">
        <v>0</v>
      </c>
      <c r="OMY391" s="160">
        <v>0</v>
      </c>
      <c r="OMZ391" s="160">
        <v>0</v>
      </c>
      <c r="ONA391" s="160">
        <v>0</v>
      </c>
      <c r="ONB391" s="160">
        <v>0</v>
      </c>
      <c r="ONC391" s="160">
        <v>0</v>
      </c>
      <c r="OND391" s="160">
        <v>0</v>
      </c>
      <c r="ONE391" s="160">
        <v>0</v>
      </c>
      <c r="ONF391" s="160">
        <v>0</v>
      </c>
      <c r="ONG391" s="160">
        <v>0</v>
      </c>
      <c r="ONH391" s="160">
        <v>0</v>
      </c>
      <c r="ONI391" s="160">
        <v>0</v>
      </c>
      <c r="ONJ391" s="160">
        <v>0</v>
      </c>
      <c r="ONK391" s="160">
        <v>0</v>
      </c>
      <c r="ONL391" s="160">
        <v>0</v>
      </c>
      <c r="ONM391" s="160">
        <v>0</v>
      </c>
      <c r="ONN391" s="160">
        <v>0</v>
      </c>
      <c r="ONO391" s="160">
        <v>0</v>
      </c>
      <c r="ONP391" s="160">
        <v>0</v>
      </c>
      <c r="ONQ391" s="160">
        <v>0</v>
      </c>
      <c r="ONR391" s="160">
        <v>0</v>
      </c>
      <c r="ONS391" s="160">
        <v>0</v>
      </c>
      <c r="ONT391" s="160">
        <v>0</v>
      </c>
      <c r="ONU391" s="160">
        <v>0</v>
      </c>
      <c r="ONV391" s="160">
        <v>0</v>
      </c>
      <c r="ONW391" s="160">
        <v>0</v>
      </c>
      <c r="ONX391" s="160">
        <v>0</v>
      </c>
      <c r="ONY391" s="160">
        <v>0</v>
      </c>
      <c r="ONZ391" s="160">
        <v>0</v>
      </c>
      <c r="OOA391" s="160">
        <v>0</v>
      </c>
      <c r="OOB391" s="160">
        <v>0</v>
      </c>
      <c r="OOC391" s="160">
        <v>0</v>
      </c>
      <c r="OOD391" s="160">
        <v>0</v>
      </c>
      <c r="OOE391" s="160">
        <v>0</v>
      </c>
      <c r="OOF391" s="160">
        <v>0</v>
      </c>
      <c r="OOG391" s="160">
        <v>0</v>
      </c>
      <c r="OOH391" s="160">
        <v>0</v>
      </c>
      <c r="OOI391" s="160">
        <v>0</v>
      </c>
      <c r="OOJ391" s="160">
        <v>0</v>
      </c>
      <c r="OOK391" s="160">
        <v>0</v>
      </c>
      <c r="OOL391" s="160">
        <v>0</v>
      </c>
      <c r="OOM391" s="160">
        <v>0</v>
      </c>
      <c r="OON391" s="160">
        <v>0</v>
      </c>
      <c r="OOO391" s="160">
        <v>0</v>
      </c>
      <c r="OOP391" s="160">
        <v>0</v>
      </c>
      <c r="OOQ391" s="160">
        <v>0</v>
      </c>
      <c r="OOR391" s="160">
        <v>0</v>
      </c>
      <c r="OOS391" s="160">
        <v>0</v>
      </c>
      <c r="OOT391" s="160">
        <v>0</v>
      </c>
      <c r="OOU391" s="160">
        <v>0</v>
      </c>
      <c r="OOV391" s="160">
        <v>0</v>
      </c>
      <c r="OOW391" s="160">
        <v>0</v>
      </c>
      <c r="OOX391" s="160">
        <v>0</v>
      </c>
      <c r="OOY391" s="160">
        <v>0</v>
      </c>
      <c r="OOZ391" s="160">
        <v>0</v>
      </c>
      <c r="OPA391" s="160">
        <v>0</v>
      </c>
      <c r="OPB391" s="160">
        <v>0</v>
      </c>
      <c r="OPC391" s="160">
        <v>0</v>
      </c>
      <c r="OPD391" s="160">
        <v>0</v>
      </c>
      <c r="OPE391" s="160">
        <v>0</v>
      </c>
      <c r="OPF391" s="160">
        <v>0</v>
      </c>
      <c r="OPG391" s="160">
        <v>0</v>
      </c>
      <c r="OPH391" s="160">
        <v>0</v>
      </c>
      <c r="OPI391" s="160">
        <v>0</v>
      </c>
      <c r="OPJ391" s="160">
        <v>0</v>
      </c>
      <c r="OPK391" s="160">
        <v>0</v>
      </c>
      <c r="OPL391" s="160">
        <v>0</v>
      </c>
      <c r="OPM391" s="160">
        <v>0</v>
      </c>
      <c r="OPN391" s="160">
        <v>0</v>
      </c>
      <c r="OPO391" s="160">
        <v>0</v>
      </c>
      <c r="OPP391" s="160">
        <v>0</v>
      </c>
      <c r="OPQ391" s="160">
        <v>0</v>
      </c>
      <c r="OPR391" s="160">
        <v>0</v>
      </c>
      <c r="OPS391" s="160">
        <v>0</v>
      </c>
      <c r="OPT391" s="160">
        <v>0</v>
      </c>
      <c r="OPU391" s="160">
        <v>0</v>
      </c>
      <c r="OPV391" s="160">
        <v>0</v>
      </c>
      <c r="OPW391" s="160">
        <v>0</v>
      </c>
      <c r="OPX391" s="160">
        <v>0</v>
      </c>
      <c r="OPY391" s="160">
        <v>0</v>
      </c>
      <c r="OPZ391" s="160">
        <v>0</v>
      </c>
      <c r="OQA391" s="160">
        <v>0</v>
      </c>
      <c r="OQB391" s="160">
        <v>0</v>
      </c>
      <c r="OQC391" s="160">
        <v>0</v>
      </c>
      <c r="OQD391" s="160">
        <v>0</v>
      </c>
      <c r="OQE391" s="160">
        <v>0</v>
      </c>
      <c r="OQF391" s="160">
        <v>0</v>
      </c>
      <c r="OQG391" s="160">
        <v>0</v>
      </c>
      <c r="OQH391" s="160">
        <v>0</v>
      </c>
      <c r="OQI391" s="160">
        <v>0</v>
      </c>
      <c r="OQJ391" s="160">
        <v>0</v>
      </c>
      <c r="OQK391" s="160">
        <v>0</v>
      </c>
      <c r="OQL391" s="160">
        <v>0</v>
      </c>
      <c r="OQM391" s="160">
        <v>0</v>
      </c>
      <c r="OQN391" s="160">
        <v>0</v>
      </c>
      <c r="OQO391" s="160">
        <v>0</v>
      </c>
      <c r="OQP391" s="160">
        <v>0</v>
      </c>
      <c r="OQQ391" s="160">
        <v>0</v>
      </c>
      <c r="OQR391" s="160">
        <v>0</v>
      </c>
      <c r="OQS391" s="160">
        <v>0</v>
      </c>
      <c r="OQT391" s="160">
        <v>0</v>
      </c>
      <c r="OQU391" s="160">
        <v>0</v>
      </c>
      <c r="OQV391" s="160">
        <v>0</v>
      </c>
      <c r="OQW391" s="160">
        <v>0</v>
      </c>
      <c r="OQX391" s="160">
        <v>0</v>
      </c>
      <c r="OQY391" s="160">
        <v>0</v>
      </c>
      <c r="OQZ391" s="160">
        <v>0</v>
      </c>
      <c r="ORA391" s="160">
        <v>0</v>
      </c>
      <c r="ORB391" s="160">
        <v>0</v>
      </c>
      <c r="ORC391" s="160">
        <v>0</v>
      </c>
      <c r="ORD391" s="160">
        <v>0</v>
      </c>
      <c r="ORE391" s="160">
        <v>0</v>
      </c>
      <c r="ORF391" s="160">
        <v>0</v>
      </c>
      <c r="ORG391" s="160">
        <v>0</v>
      </c>
      <c r="ORH391" s="160">
        <v>0</v>
      </c>
      <c r="ORI391" s="160">
        <v>0</v>
      </c>
      <c r="ORJ391" s="160">
        <v>0</v>
      </c>
      <c r="ORK391" s="160">
        <v>0</v>
      </c>
      <c r="ORL391" s="160">
        <v>0</v>
      </c>
      <c r="ORM391" s="160">
        <v>0</v>
      </c>
      <c r="ORN391" s="160">
        <v>0</v>
      </c>
      <c r="ORO391" s="160">
        <v>0</v>
      </c>
      <c r="ORP391" s="160">
        <v>0</v>
      </c>
      <c r="ORQ391" s="160">
        <v>0</v>
      </c>
      <c r="ORR391" s="160">
        <v>0</v>
      </c>
      <c r="ORS391" s="160">
        <v>0</v>
      </c>
      <c r="ORT391" s="160">
        <v>0</v>
      </c>
      <c r="ORU391" s="160">
        <v>0</v>
      </c>
      <c r="ORV391" s="160">
        <v>0</v>
      </c>
      <c r="ORW391" s="160">
        <v>0</v>
      </c>
      <c r="ORX391" s="160">
        <v>0</v>
      </c>
      <c r="ORY391" s="160">
        <v>0</v>
      </c>
      <c r="ORZ391" s="160">
        <v>0</v>
      </c>
      <c r="OSA391" s="160">
        <v>0</v>
      </c>
      <c r="OSB391" s="160">
        <v>0</v>
      </c>
      <c r="OSC391" s="160">
        <v>0</v>
      </c>
      <c r="OSD391" s="160">
        <v>0</v>
      </c>
      <c r="OSE391" s="160">
        <v>0</v>
      </c>
      <c r="OSF391" s="160">
        <v>0</v>
      </c>
      <c r="OSG391" s="160">
        <v>0</v>
      </c>
      <c r="OSH391" s="160">
        <v>0</v>
      </c>
      <c r="OSI391" s="160">
        <v>0</v>
      </c>
      <c r="OSJ391" s="160">
        <v>0</v>
      </c>
      <c r="OSK391" s="160">
        <v>0</v>
      </c>
      <c r="OSL391" s="160">
        <v>0</v>
      </c>
      <c r="OSM391" s="160">
        <v>0</v>
      </c>
      <c r="OSN391" s="160">
        <v>0</v>
      </c>
      <c r="OSO391" s="160">
        <v>0</v>
      </c>
      <c r="OSP391" s="160">
        <v>0</v>
      </c>
      <c r="OSQ391" s="160">
        <v>0</v>
      </c>
      <c r="OSR391" s="160">
        <v>0</v>
      </c>
      <c r="OSS391" s="160">
        <v>0</v>
      </c>
      <c r="OST391" s="160">
        <v>0</v>
      </c>
      <c r="OSU391" s="160">
        <v>0</v>
      </c>
      <c r="OSV391" s="160">
        <v>0</v>
      </c>
      <c r="OSW391" s="160">
        <v>0</v>
      </c>
      <c r="OSX391" s="160">
        <v>0</v>
      </c>
      <c r="OSY391" s="160">
        <v>0</v>
      </c>
      <c r="OSZ391" s="160">
        <v>0</v>
      </c>
      <c r="OTA391" s="160">
        <v>0</v>
      </c>
      <c r="OTB391" s="160">
        <v>0</v>
      </c>
      <c r="OTC391" s="160">
        <v>0</v>
      </c>
      <c r="OTD391" s="160">
        <v>0</v>
      </c>
      <c r="OTE391" s="160">
        <v>0</v>
      </c>
      <c r="OTF391" s="160">
        <v>0</v>
      </c>
      <c r="OTG391" s="160">
        <v>0</v>
      </c>
      <c r="OTH391" s="160">
        <v>0</v>
      </c>
      <c r="OTI391" s="160">
        <v>0</v>
      </c>
      <c r="OTJ391" s="160">
        <v>0</v>
      </c>
      <c r="OTK391" s="160">
        <v>0</v>
      </c>
      <c r="OTL391" s="160">
        <v>0</v>
      </c>
      <c r="OTM391" s="160">
        <v>0</v>
      </c>
      <c r="OTN391" s="160">
        <v>0</v>
      </c>
      <c r="OTO391" s="160">
        <v>0</v>
      </c>
      <c r="OTP391" s="160">
        <v>0</v>
      </c>
      <c r="OTQ391" s="160">
        <v>0</v>
      </c>
      <c r="OTR391" s="160">
        <v>0</v>
      </c>
      <c r="OTS391" s="160">
        <v>0</v>
      </c>
      <c r="OTT391" s="160">
        <v>0</v>
      </c>
      <c r="OTU391" s="160">
        <v>0</v>
      </c>
      <c r="OTV391" s="160">
        <v>0</v>
      </c>
      <c r="OTW391" s="160">
        <v>0</v>
      </c>
      <c r="OTX391" s="160">
        <v>0</v>
      </c>
      <c r="OTY391" s="160">
        <v>0</v>
      </c>
      <c r="OTZ391" s="160">
        <v>0</v>
      </c>
      <c r="OUA391" s="160">
        <v>0</v>
      </c>
      <c r="OUB391" s="160">
        <v>0</v>
      </c>
      <c r="OUC391" s="160">
        <v>0</v>
      </c>
      <c r="OUD391" s="160">
        <v>0</v>
      </c>
      <c r="OUE391" s="160">
        <v>0</v>
      </c>
      <c r="OUF391" s="160">
        <v>0</v>
      </c>
      <c r="OUG391" s="160">
        <v>0</v>
      </c>
      <c r="OUH391" s="160">
        <v>0</v>
      </c>
      <c r="OUI391" s="160">
        <v>0</v>
      </c>
      <c r="OUJ391" s="160">
        <v>0</v>
      </c>
      <c r="OUK391" s="160">
        <v>0</v>
      </c>
      <c r="OUL391" s="160">
        <v>0</v>
      </c>
      <c r="OUM391" s="160">
        <v>0</v>
      </c>
      <c r="OUN391" s="160">
        <v>0</v>
      </c>
      <c r="OUO391" s="160">
        <v>0</v>
      </c>
      <c r="OUP391" s="160">
        <v>0</v>
      </c>
      <c r="OUQ391" s="160">
        <v>0</v>
      </c>
      <c r="OUR391" s="160">
        <v>0</v>
      </c>
      <c r="OUS391" s="160">
        <v>0</v>
      </c>
      <c r="OUT391" s="160">
        <v>0</v>
      </c>
      <c r="OUU391" s="160">
        <v>0</v>
      </c>
      <c r="OUV391" s="160">
        <v>0</v>
      </c>
      <c r="OUW391" s="160">
        <v>0</v>
      </c>
      <c r="OUX391" s="160">
        <v>0</v>
      </c>
      <c r="OUY391" s="160">
        <v>0</v>
      </c>
      <c r="OUZ391" s="160">
        <v>0</v>
      </c>
      <c r="OVA391" s="160">
        <v>0</v>
      </c>
      <c r="OVB391" s="160">
        <v>0</v>
      </c>
      <c r="OVC391" s="160">
        <v>0</v>
      </c>
      <c r="OVD391" s="160">
        <v>0</v>
      </c>
      <c r="OVE391" s="160">
        <v>0</v>
      </c>
      <c r="OVF391" s="160">
        <v>0</v>
      </c>
      <c r="OVG391" s="160">
        <v>0</v>
      </c>
      <c r="OVH391" s="160">
        <v>0</v>
      </c>
      <c r="OVI391" s="160">
        <v>0</v>
      </c>
      <c r="OVJ391" s="160">
        <v>0</v>
      </c>
      <c r="OVK391" s="160">
        <v>0</v>
      </c>
      <c r="OVL391" s="160">
        <v>0</v>
      </c>
      <c r="OVM391" s="160">
        <v>0</v>
      </c>
      <c r="OVN391" s="160">
        <v>0</v>
      </c>
      <c r="OVO391" s="160">
        <v>0</v>
      </c>
      <c r="OVP391" s="160">
        <v>0</v>
      </c>
      <c r="OVQ391" s="160">
        <v>0</v>
      </c>
      <c r="OVR391" s="160">
        <v>0</v>
      </c>
      <c r="OVS391" s="160">
        <v>0</v>
      </c>
      <c r="OVT391" s="160">
        <v>0</v>
      </c>
      <c r="OVU391" s="160">
        <v>0</v>
      </c>
      <c r="OVV391" s="160">
        <v>0</v>
      </c>
      <c r="OVW391" s="160">
        <v>0</v>
      </c>
      <c r="OVX391" s="160">
        <v>0</v>
      </c>
      <c r="OVY391" s="160">
        <v>0</v>
      </c>
      <c r="OVZ391" s="160">
        <v>0</v>
      </c>
      <c r="OWA391" s="160">
        <v>0</v>
      </c>
      <c r="OWB391" s="160">
        <v>0</v>
      </c>
      <c r="OWC391" s="160">
        <v>0</v>
      </c>
      <c r="OWD391" s="160">
        <v>0</v>
      </c>
      <c r="OWE391" s="160">
        <v>0</v>
      </c>
      <c r="OWF391" s="160">
        <v>0</v>
      </c>
      <c r="OWG391" s="160">
        <v>0</v>
      </c>
      <c r="OWH391" s="160">
        <v>0</v>
      </c>
      <c r="OWI391" s="160">
        <v>0</v>
      </c>
      <c r="OWJ391" s="160">
        <v>0</v>
      </c>
      <c r="OWK391" s="160">
        <v>0</v>
      </c>
      <c r="OWL391" s="160">
        <v>0</v>
      </c>
      <c r="OWM391" s="160">
        <v>0</v>
      </c>
      <c r="OWN391" s="160">
        <v>0</v>
      </c>
      <c r="OWO391" s="160">
        <v>0</v>
      </c>
      <c r="OWP391" s="160">
        <v>0</v>
      </c>
      <c r="OWQ391" s="160">
        <v>0</v>
      </c>
      <c r="OWR391" s="160">
        <v>0</v>
      </c>
      <c r="OWS391" s="160">
        <v>0</v>
      </c>
      <c r="OWT391" s="160">
        <v>0</v>
      </c>
      <c r="OWU391" s="160">
        <v>0</v>
      </c>
      <c r="OWV391" s="160">
        <v>0</v>
      </c>
      <c r="OWW391" s="160">
        <v>0</v>
      </c>
      <c r="OWX391" s="160">
        <v>0</v>
      </c>
      <c r="OWY391" s="160">
        <v>0</v>
      </c>
      <c r="OWZ391" s="160">
        <v>0</v>
      </c>
      <c r="OXA391" s="160">
        <v>0</v>
      </c>
      <c r="OXB391" s="160">
        <v>0</v>
      </c>
      <c r="OXC391" s="160">
        <v>0</v>
      </c>
      <c r="OXD391" s="160">
        <v>0</v>
      </c>
      <c r="OXE391" s="160">
        <v>0</v>
      </c>
      <c r="OXF391" s="160">
        <v>0</v>
      </c>
      <c r="OXG391" s="160">
        <v>0</v>
      </c>
      <c r="OXH391" s="160">
        <v>0</v>
      </c>
      <c r="OXI391" s="160">
        <v>0</v>
      </c>
      <c r="OXJ391" s="160">
        <v>0</v>
      </c>
      <c r="OXK391" s="160">
        <v>0</v>
      </c>
      <c r="OXL391" s="160">
        <v>0</v>
      </c>
      <c r="OXM391" s="160">
        <v>0</v>
      </c>
      <c r="OXN391" s="160">
        <v>0</v>
      </c>
      <c r="OXO391" s="160">
        <v>0</v>
      </c>
      <c r="OXP391" s="160">
        <v>0</v>
      </c>
      <c r="OXQ391" s="160">
        <v>0</v>
      </c>
      <c r="OXR391" s="160">
        <v>0</v>
      </c>
      <c r="OXS391" s="160">
        <v>0</v>
      </c>
      <c r="OXT391" s="160">
        <v>0</v>
      </c>
      <c r="OXU391" s="160">
        <v>0</v>
      </c>
      <c r="OXV391" s="160">
        <v>0</v>
      </c>
      <c r="OXW391" s="160">
        <v>0</v>
      </c>
      <c r="OXX391" s="160">
        <v>0</v>
      </c>
      <c r="OXY391" s="160">
        <v>0</v>
      </c>
      <c r="OXZ391" s="160">
        <v>0</v>
      </c>
      <c r="OYA391" s="160">
        <v>0</v>
      </c>
      <c r="OYB391" s="160">
        <v>0</v>
      </c>
      <c r="OYC391" s="160">
        <v>0</v>
      </c>
      <c r="OYD391" s="160">
        <v>0</v>
      </c>
      <c r="OYE391" s="160">
        <v>0</v>
      </c>
      <c r="OYF391" s="160">
        <v>0</v>
      </c>
      <c r="OYG391" s="160">
        <v>0</v>
      </c>
      <c r="OYH391" s="160">
        <v>0</v>
      </c>
      <c r="OYI391" s="160">
        <v>0</v>
      </c>
      <c r="OYJ391" s="160">
        <v>0</v>
      </c>
      <c r="OYK391" s="160">
        <v>0</v>
      </c>
      <c r="OYL391" s="160">
        <v>0</v>
      </c>
      <c r="OYM391" s="160">
        <v>0</v>
      </c>
      <c r="OYN391" s="160">
        <v>0</v>
      </c>
      <c r="OYO391" s="160">
        <v>0</v>
      </c>
      <c r="OYP391" s="160">
        <v>0</v>
      </c>
      <c r="OYQ391" s="160">
        <v>0</v>
      </c>
      <c r="OYR391" s="160">
        <v>0</v>
      </c>
      <c r="OYS391" s="160">
        <v>0</v>
      </c>
      <c r="OYT391" s="160">
        <v>0</v>
      </c>
      <c r="OYU391" s="160">
        <v>0</v>
      </c>
      <c r="OYV391" s="160">
        <v>0</v>
      </c>
      <c r="OYW391" s="160">
        <v>0</v>
      </c>
      <c r="OYX391" s="160">
        <v>0</v>
      </c>
      <c r="OYY391" s="160">
        <v>0</v>
      </c>
      <c r="OYZ391" s="160">
        <v>0</v>
      </c>
      <c r="OZA391" s="160">
        <v>0</v>
      </c>
      <c r="OZB391" s="160">
        <v>0</v>
      </c>
      <c r="OZC391" s="160">
        <v>0</v>
      </c>
      <c r="OZD391" s="160">
        <v>0</v>
      </c>
      <c r="OZE391" s="160">
        <v>0</v>
      </c>
      <c r="OZF391" s="160">
        <v>0</v>
      </c>
      <c r="OZG391" s="160">
        <v>0</v>
      </c>
      <c r="OZH391" s="160">
        <v>0</v>
      </c>
      <c r="OZI391" s="160">
        <v>0</v>
      </c>
      <c r="OZJ391" s="160">
        <v>0</v>
      </c>
      <c r="OZK391" s="160">
        <v>0</v>
      </c>
      <c r="OZL391" s="160">
        <v>0</v>
      </c>
      <c r="OZM391" s="160">
        <v>0</v>
      </c>
      <c r="OZN391" s="160">
        <v>0</v>
      </c>
      <c r="OZO391" s="160">
        <v>0</v>
      </c>
      <c r="OZP391" s="160">
        <v>0</v>
      </c>
      <c r="OZQ391" s="160">
        <v>0</v>
      </c>
      <c r="OZR391" s="160">
        <v>0</v>
      </c>
      <c r="OZS391" s="160">
        <v>0</v>
      </c>
      <c r="OZT391" s="160">
        <v>0</v>
      </c>
      <c r="OZU391" s="160">
        <v>0</v>
      </c>
      <c r="OZV391" s="160">
        <v>0</v>
      </c>
      <c r="OZW391" s="160">
        <v>0</v>
      </c>
      <c r="OZX391" s="160">
        <v>0</v>
      </c>
      <c r="OZY391" s="160">
        <v>0</v>
      </c>
      <c r="OZZ391" s="160">
        <v>0</v>
      </c>
      <c r="PAA391" s="160">
        <v>0</v>
      </c>
      <c r="PAB391" s="160">
        <v>0</v>
      </c>
      <c r="PAC391" s="160">
        <v>0</v>
      </c>
      <c r="PAD391" s="160">
        <v>0</v>
      </c>
      <c r="PAE391" s="160">
        <v>0</v>
      </c>
      <c r="PAF391" s="160">
        <v>0</v>
      </c>
      <c r="PAG391" s="160">
        <v>0</v>
      </c>
      <c r="PAH391" s="160">
        <v>0</v>
      </c>
      <c r="PAI391" s="160">
        <v>0</v>
      </c>
      <c r="PAJ391" s="160">
        <v>0</v>
      </c>
      <c r="PAK391" s="160">
        <v>0</v>
      </c>
      <c r="PAL391" s="160">
        <v>0</v>
      </c>
      <c r="PAM391" s="160">
        <v>0</v>
      </c>
      <c r="PAN391" s="160">
        <v>0</v>
      </c>
      <c r="PAO391" s="160">
        <v>0</v>
      </c>
      <c r="PAP391" s="160">
        <v>0</v>
      </c>
      <c r="PAQ391" s="160">
        <v>0</v>
      </c>
      <c r="PAR391" s="160">
        <v>0</v>
      </c>
      <c r="PAS391" s="160">
        <v>0</v>
      </c>
      <c r="PAT391" s="160">
        <v>0</v>
      </c>
      <c r="PAU391" s="160">
        <v>0</v>
      </c>
      <c r="PAV391" s="160">
        <v>0</v>
      </c>
      <c r="PAW391" s="160">
        <v>0</v>
      </c>
      <c r="PAX391" s="160">
        <v>0</v>
      </c>
      <c r="PAY391" s="160">
        <v>0</v>
      </c>
      <c r="PAZ391" s="160">
        <v>0</v>
      </c>
      <c r="PBA391" s="160">
        <v>0</v>
      </c>
      <c r="PBB391" s="160">
        <v>0</v>
      </c>
      <c r="PBC391" s="160">
        <v>0</v>
      </c>
      <c r="PBD391" s="160">
        <v>0</v>
      </c>
      <c r="PBE391" s="160">
        <v>0</v>
      </c>
      <c r="PBF391" s="160">
        <v>0</v>
      </c>
      <c r="PBG391" s="160">
        <v>0</v>
      </c>
      <c r="PBH391" s="160">
        <v>0</v>
      </c>
      <c r="PBI391" s="160">
        <v>0</v>
      </c>
      <c r="PBJ391" s="160">
        <v>0</v>
      </c>
      <c r="PBK391" s="160">
        <v>0</v>
      </c>
      <c r="PBL391" s="160">
        <v>0</v>
      </c>
      <c r="PBM391" s="160">
        <v>0</v>
      </c>
      <c r="PBN391" s="160">
        <v>0</v>
      </c>
      <c r="PBO391" s="160">
        <v>0</v>
      </c>
      <c r="PBP391" s="160">
        <v>0</v>
      </c>
      <c r="PBQ391" s="160">
        <v>0</v>
      </c>
      <c r="PBR391" s="160">
        <v>0</v>
      </c>
      <c r="PBS391" s="160">
        <v>0</v>
      </c>
      <c r="PBT391" s="160">
        <v>0</v>
      </c>
      <c r="PBU391" s="160">
        <v>0</v>
      </c>
      <c r="PBV391" s="160">
        <v>0</v>
      </c>
      <c r="PBW391" s="160">
        <v>0</v>
      </c>
      <c r="PBX391" s="160">
        <v>0</v>
      </c>
      <c r="PBY391" s="160">
        <v>0</v>
      </c>
      <c r="PBZ391" s="160">
        <v>0</v>
      </c>
      <c r="PCA391" s="160">
        <v>0</v>
      </c>
      <c r="PCB391" s="160">
        <v>0</v>
      </c>
      <c r="PCC391" s="160">
        <v>0</v>
      </c>
      <c r="PCD391" s="160">
        <v>0</v>
      </c>
      <c r="PCE391" s="160">
        <v>0</v>
      </c>
      <c r="PCF391" s="160">
        <v>0</v>
      </c>
      <c r="PCG391" s="160">
        <v>0</v>
      </c>
      <c r="PCH391" s="160">
        <v>0</v>
      </c>
      <c r="PCI391" s="160">
        <v>0</v>
      </c>
      <c r="PCJ391" s="160">
        <v>0</v>
      </c>
      <c r="PCK391" s="160">
        <v>0</v>
      </c>
      <c r="PCL391" s="160">
        <v>0</v>
      </c>
      <c r="PCM391" s="160">
        <v>0</v>
      </c>
      <c r="PCN391" s="160">
        <v>0</v>
      </c>
      <c r="PCO391" s="160">
        <v>0</v>
      </c>
      <c r="PCP391" s="160">
        <v>0</v>
      </c>
      <c r="PCQ391" s="160">
        <v>0</v>
      </c>
      <c r="PCR391" s="160">
        <v>0</v>
      </c>
      <c r="PCS391" s="160">
        <v>0</v>
      </c>
      <c r="PCT391" s="160">
        <v>0</v>
      </c>
      <c r="PCU391" s="160">
        <v>0</v>
      </c>
      <c r="PCV391" s="160">
        <v>0</v>
      </c>
      <c r="PCW391" s="160">
        <v>0</v>
      </c>
      <c r="PCX391" s="160">
        <v>0</v>
      </c>
      <c r="PCY391" s="160">
        <v>0</v>
      </c>
      <c r="PCZ391" s="160">
        <v>0</v>
      </c>
      <c r="PDA391" s="160">
        <v>0</v>
      </c>
      <c r="PDB391" s="160">
        <v>0</v>
      </c>
      <c r="PDC391" s="160">
        <v>0</v>
      </c>
      <c r="PDD391" s="160">
        <v>0</v>
      </c>
      <c r="PDE391" s="160">
        <v>0</v>
      </c>
      <c r="PDF391" s="160">
        <v>0</v>
      </c>
      <c r="PDG391" s="160">
        <v>0</v>
      </c>
      <c r="PDH391" s="160">
        <v>0</v>
      </c>
      <c r="PDI391" s="160">
        <v>0</v>
      </c>
      <c r="PDJ391" s="160">
        <v>0</v>
      </c>
      <c r="PDK391" s="160">
        <v>0</v>
      </c>
      <c r="PDL391" s="160">
        <v>0</v>
      </c>
      <c r="PDM391" s="160">
        <v>0</v>
      </c>
      <c r="PDN391" s="160">
        <v>0</v>
      </c>
      <c r="PDO391" s="160">
        <v>0</v>
      </c>
      <c r="PDP391" s="160">
        <v>0</v>
      </c>
      <c r="PDQ391" s="160">
        <v>0</v>
      </c>
      <c r="PDR391" s="160">
        <v>0</v>
      </c>
      <c r="PDS391" s="160">
        <v>0</v>
      </c>
      <c r="PDT391" s="160">
        <v>0</v>
      </c>
      <c r="PDU391" s="160">
        <v>0</v>
      </c>
      <c r="PDV391" s="160">
        <v>0</v>
      </c>
      <c r="PDW391" s="160">
        <v>0</v>
      </c>
      <c r="PDX391" s="160">
        <v>0</v>
      </c>
      <c r="PDY391" s="160">
        <v>0</v>
      </c>
      <c r="PDZ391" s="160">
        <v>0</v>
      </c>
      <c r="PEA391" s="160">
        <v>0</v>
      </c>
      <c r="PEB391" s="160">
        <v>0</v>
      </c>
      <c r="PEC391" s="160">
        <v>0</v>
      </c>
      <c r="PED391" s="160">
        <v>0</v>
      </c>
      <c r="PEE391" s="160">
        <v>0</v>
      </c>
      <c r="PEF391" s="160">
        <v>0</v>
      </c>
      <c r="PEG391" s="160">
        <v>0</v>
      </c>
      <c r="PEH391" s="160">
        <v>0</v>
      </c>
      <c r="PEI391" s="160">
        <v>0</v>
      </c>
      <c r="PEJ391" s="160">
        <v>0</v>
      </c>
      <c r="PEK391" s="160">
        <v>0</v>
      </c>
      <c r="PEL391" s="160">
        <v>0</v>
      </c>
      <c r="PEM391" s="160">
        <v>0</v>
      </c>
      <c r="PEN391" s="160">
        <v>0</v>
      </c>
      <c r="PEO391" s="160">
        <v>0</v>
      </c>
      <c r="PEP391" s="160">
        <v>0</v>
      </c>
      <c r="PEQ391" s="160">
        <v>0</v>
      </c>
      <c r="PER391" s="160">
        <v>0</v>
      </c>
      <c r="PES391" s="160">
        <v>0</v>
      </c>
      <c r="PET391" s="160">
        <v>0</v>
      </c>
      <c r="PEU391" s="160">
        <v>0</v>
      </c>
      <c r="PEV391" s="160">
        <v>0</v>
      </c>
      <c r="PEW391" s="160">
        <v>0</v>
      </c>
      <c r="PEX391" s="160">
        <v>0</v>
      </c>
      <c r="PEY391" s="160">
        <v>0</v>
      </c>
      <c r="PEZ391" s="160">
        <v>0</v>
      </c>
      <c r="PFA391" s="160">
        <v>0</v>
      </c>
      <c r="PFB391" s="160">
        <v>0</v>
      </c>
      <c r="PFC391" s="160">
        <v>0</v>
      </c>
      <c r="PFD391" s="160">
        <v>0</v>
      </c>
      <c r="PFE391" s="160">
        <v>0</v>
      </c>
      <c r="PFF391" s="160">
        <v>0</v>
      </c>
      <c r="PFG391" s="160">
        <v>0</v>
      </c>
      <c r="PFH391" s="160">
        <v>0</v>
      </c>
      <c r="PFI391" s="160">
        <v>0</v>
      </c>
      <c r="PFJ391" s="160">
        <v>0</v>
      </c>
      <c r="PFK391" s="160">
        <v>0</v>
      </c>
      <c r="PFL391" s="160">
        <v>0</v>
      </c>
      <c r="PFM391" s="160">
        <v>0</v>
      </c>
      <c r="PFN391" s="160">
        <v>0</v>
      </c>
      <c r="PFO391" s="160">
        <v>0</v>
      </c>
      <c r="PFP391" s="160">
        <v>0</v>
      </c>
      <c r="PFQ391" s="160">
        <v>0</v>
      </c>
      <c r="PFR391" s="160">
        <v>0</v>
      </c>
      <c r="PFS391" s="160">
        <v>0</v>
      </c>
      <c r="PFT391" s="160">
        <v>0</v>
      </c>
      <c r="PFU391" s="160">
        <v>0</v>
      </c>
      <c r="PFV391" s="160">
        <v>0</v>
      </c>
      <c r="PFW391" s="160">
        <v>0</v>
      </c>
      <c r="PFX391" s="160">
        <v>0</v>
      </c>
      <c r="PFY391" s="160">
        <v>0</v>
      </c>
      <c r="PFZ391" s="160">
        <v>0</v>
      </c>
      <c r="PGA391" s="160">
        <v>0</v>
      </c>
      <c r="PGB391" s="160">
        <v>0</v>
      </c>
      <c r="PGC391" s="160">
        <v>0</v>
      </c>
      <c r="PGD391" s="160">
        <v>0</v>
      </c>
      <c r="PGE391" s="160">
        <v>0</v>
      </c>
      <c r="PGF391" s="160">
        <v>0</v>
      </c>
      <c r="PGG391" s="160">
        <v>0</v>
      </c>
      <c r="PGH391" s="160">
        <v>0</v>
      </c>
      <c r="PGI391" s="160">
        <v>0</v>
      </c>
      <c r="PGJ391" s="160">
        <v>0</v>
      </c>
      <c r="PGK391" s="160">
        <v>0</v>
      </c>
      <c r="PGL391" s="160">
        <v>0</v>
      </c>
      <c r="PGM391" s="160">
        <v>0</v>
      </c>
      <c r="PGN391" s="160">
        <v>0</v>
      </c>
      <c r="PGO391" s="160">
        <v>0</v>
      </c>
      <c r="PGP391" s="160">
        <v>0</v>
      </c>
      <c r="PGQ391" s="160">
        <v>0</v>
      </c>
      <c r="PGR391" s="160">
        <v>0</v>
      </c>
      <c r="PGS391" s="160">
        <v>0</v>
      </c>
      <c r="PGT391" s="160">
        <v>0</v>
      </c>
      <c r="PGU391" s="160">
        <v>0</v>
      </c>
      <c r="PGV391" s="160">
        <v>0</v>
      </c>
      <c r="PGW391" s="160">
        <v>0</v>
      </c>
      <c r="PGX391" s="160">
        <v>0</v>
      </c>
      <c r="PGY391" s="160">
        <v>0</v>
      </c>
      <c r="PGZ391" s="160">
        <v>0</v>
      </c>
      <c r="PHA391" s="160">
        <v>0</v>
      </c>
      <c r="PHB391" s="160">
        <v>0</v>
      </c>
      <c r="PHC391" s="160">
        <v>0</v>
      </c>
      <c r="PHD391" s="160">
        <v>0</v>
      </c>
      <c r="PHE391" s="160">
        <v>0</v>
      </c>
      <c r="PHF391" s="160">
        <v>0</v>
      </c>
      <c r="PHG391" s="160">
        <v>0</v>
      </c>
      <c r="PHH391" s="160">
        <v>0</v>
      </c>
      <c r="PHI391" s="160">
        <v>0</v>
      </c>
      <c r="PHJ391" s="160">
        <v>0</v>
      </c>
      <c r="PHK391" s="160">
        <v>0</v>
      </c>
      <c r="PHL391" s="160">
        <v>0</v>
      </c>
      <c r="PHM391" s="160">
        <v>0</v>
      </c>
      <c r="PHN391" s="160">
        <v>0</v>
      </c>
      <c r="PHO391" s="160">
        <v>0</v>
      </c>
      <c r="PHP391" s="160">
        <v>0</v>
      </c>
      <c r="PHQ391" s="160">
        <v>0</v>
      </c>
      <c r="PHR391" s="160">
        <v>0</v>
      </c>
      <c r="PHS391" s="160">
        <v>0</v>
      </c>
      <c r="PHT391" s="160">
        <v>0</v>
      </c>
      <c r="PHU391" s="160">
        <v>0</v>
      </c>
      <c r="PHV391" s="160">
        <v>0</v>
      </c>
      <c r="PHW391" s="160">
        <v>0</v>
      </c>
      <c r="PHX391" s="160">
        <v>0</v>
      </c>
      <c r="PHY391" s="160">
        <v>0</v>
      </c>
      <c r="PHZ391" s="160">
        <v>0</v>
      </c>
      <c r="PIA391" s="160">
        <v>0</v>
      </c>
      <c r="PIB391" s="160">
        <v>0</v>
      </c>
      <c r="PIC391" s="160">
        <v>0</v>
      </c>
      <c r="PID391" s="160">
        <v>0</v>
      </c>
      <c r="PIE391" s="160">
        <v>0</v>
      </c>
      <c r="PIF391" s="160">
        <v>0</v>
      </c>
      <c r="PIG391" s="160">
        <v>0</v>
      </c>
      <c r="PIH391" s="160">
        <v>0</v>
      </c>
      <c r="PII391" s="160">
        <v>0</v>
      </c>
      <c r="PIJ391" s="160">
        <v>0</v>
      </c>
      <c r="PIK391" s="160">
        <v>0</v>
      </c>
      <c r="PIL391" s="160">
        <v>0</v>
      </c>
      <c r="PIM391" s="160">
        <v>0</v>
      </c>
      <c r="PIN391" s="160">
        <v>0</v>
      </c>
      <c r="PIO391" s="160">
        <v>0</v>
      </c>
      <c r="PIP391" s="160">
        <v>0</v>
      </c>
      <c r="PIQ391" s="160">
        <v>0</v>
      </c>
      <c r="PIR391" s="160">
        <v>0</v>
      </c>
      <c r="PIS391" s="160">
        <v>0</v>
      </c>
      <c r="PIT391" s="160">
        <v>0</v>
      </c>
      <c r="PIU391" s="160">
        <v>0</v>
      </c>
      <c r="PIV391" s="160">
        <v>0</v>
      </c>
      <c r="PIW391" s="160">
        <v>0</v>
      </c>
      <c r="PIX391" s="160">
        <v>0</v>
      </c>
      <c r="PIY391" s="160">
        <v>0</v>
      </c>
      <c r="PIZ391" s="160">
        <v>0</v>
      </c>
      <c r="PJA391" s="160">
        <v>0</v>
      </c>
      <c r="PJB391" s="160">
        <v>0</v>
      </c>
      <c r="PJC391" s="160">
        <v>0</v>
      </c>
      <c r="PJD391" s="160">
        <v>0</v>
      </c>
      <c r="PJE391" s="160">
        <v>0</v>
      </c>
      <c r="PJF391" s="160">
        <v>0</v>
      </c>
      <c r="PJG391" s="160">
        <v>0</v>
      </c>
      <c r="PJH391" s="160">
        <v>0</v>
      </c>
      <c r="PJI391" s="160">
        <v>0</v>
      </c>
      <c r="PJJ391" s="160">
        <v>0</v>
      </c>
      <c r="PJK391" s="160">
        <v>0</v>
      </c>
      <c r="PJL391" s="160">
        <v>0</v>
      </c>
      <c r="PJM391" s="160">
        <v>0</v>
      </c>
      <c r="PJN391" s="160">
        <v>0</v>
      </c>
      <c r="PJO391" s="160">
        <v>0</v>
      </c>
      <c r="PJP391" s="160">
        <v>0</v>
      </c>
      <c r="PJQ391" s="160">
        <v>0</v>
      </c>
      <c r="PJR391" s="160">
        <v>0</v>
      </c>
      <c r="PJS391" s="160">
        <v>0</v>
      </c>
      <c r="PJT391" s="160">
        <v>0</v>
      </c>
      <c r="PJU391" s="160">
        <v>0</v>
      </c>
      <c r="PJV391" s="160">
        <v>0</v>
      </c>
      <c r="PJW391" s="160">
        <v>0</v>
      </c>
      <c r="PJX391" s="160">
        <v>0</v>
      </c>
      <c r="PJY391" s="160">
        <v>0</v>
      </c>
      <c r="PJZ391" s="160">
        <v>0</v>
      </c>
      <c r="PKA391" s="160">
        <v>0</v>
      </c>
      <c r="PKB391" s="160">
        <v>0</v>
      </c>
      <c r="PKC391" s="160">
        <v>0</v>
      </c>
      <c r="PKD391" s="160">
        <v>0</v>
      </c>
      <c r="PKE391" s="160">
        <v>0</v>
      </c>
      <c r="PKF391" s="160">
        <v>0</v>
      </c>
      <c r="PKG391" s="160">
        <v>0</v>
      </c>
      <c r="PKH391" s="160">
        <v>0</v>
      </c>
      <c r="PKI391" s="160">
        <v>0</v>
      </c>
      <c r="PKJ391" s="160">
        <v>0</v>
      </c>
      <c r="PKK391" s="160">
        <v>0</v>
      </c>
      <c r="PKL391" s="160">
        <v>0</v>
      </c>
      <c r="PKM391" s="160">
        <v>0</v>
      </c>
      <c r="PKN391" s="160">
        <v>0</v>
      </c>
      <c r="PKO391" s="160">
        <v>0</v>
      </c>
      <c r="PKP391" s="160">
        <v>0</v>
      </c>
      <c r="PKQ391" s="160">
        <v>0</v>
      </c>
      <c r="PKR391" s="160">
        <v>0</v>
      </c>
      <c r="PKS391" s="160">
        <v>0</v>
      </c>
      <c r="PKT391" s="160">
        <v>0</v>
      </c>
      <c r="PKU391" s="160">
        <v>0</v>
      </c>
      <c r="PKV391" s="160">
        <v>0</v>
      </c>
      <c r="PKW391" s="160">
        <v>0</v>
      </c>
      <c r="PKX391" s="160">
        <v>0</v>
      </c>
      <c r="PKY391" s="160">
        <v>0</v>
      </c>
      <c r="PKZ391" s="160">
        <v>0</v>
      </c>
      <c r="PLA391" s="160">
        <v>0</v>
      </c>
      <c r="PLB391" s="160">
        <v>0</v>
      </c>
      <c r="PLC391" s="160">
        <v>0</v>
      </c>
      <c r="PLD391" s="160">
        <v>0</v>
      </c>
      <c r="PLE391" s="160">
        <v>0</v>
      </c>
      <c r="PLF391" s="160">
        <v>0</v>
      </c>
      <c r="PLG391" s="160">
        <v>0</v>
      </c>
      <c r="PLH391" s="160">
        <v>0</v>
      </c>
      <c r="PLI391" s="160">
        <v>0</v>
      </c>
      <c r="PLJ391" s="160">
        <v>0</v>
      </c>
      <c r="PLK391" s="160">
        <v>0</v>
      </c>
      <c r="PLL391" s="160">
        <v>0</v>
      </c>
      <c r="PLM391" s="160">
        <v>0</v>
      </c>
      <c r="PLN391" s="160">
        <v>0</v>
      </c>
      <c r="PLO391" s="160">
        <v>0</v>
      </c>
      <c r="PLP391" s="160">
        <v>0</v>
      </c>
      <c r="PLQ391" s="160">
        <v>0</v>
      </c>
      <c r="PLR391" s="160">
        <v>0</v>
      </c>
      <c r="PLS391" s="160">
        <v>0</v>
      </c>
      <c r="PLT391" s="160">
        <v>0</v>
      </c>
      <c r="PLU391" s="160">
        <v>0</v>
      </c>
      <c r="PLV391" s="160">
        <v>0</v>
      </c>
      <c r="PLW391" s="160">
        <v>0</v>
      </c>
      <c r="PLX391" s="160">
        <v>0</v>
      </c>
      <c r="PLY391" s="160">
        <v>0</v>
      </c>
      <c r="PLZ391" s="160">
        <v>0</v>
      </c>
      <c r="PMA391" s="160">
        <v>0</v>
      </c>
      <c r="PMB391" s="160">
        <v>0</v>
      </c>
      <c r="PMC391" s="160">
        <v>0</v>
      </c>
      <c r="PMD391" s="160">
        <v>0</v>
      </c>
      <c r="PME391" s="160">
        <v>0</v>
      </c>
      <c r="PMF391" s="160">
        <v>0</v>
      </c>
      <c r="PMG391" s="160">
        <v>0</v>
      </c>
      <c r="PMH391" s="160">
        <v>0</v>
      </c>
      <c r="PMI391" s="160">
        <v>0</v>
      </c>
      <c r="PMJ391" s="160">
        <v>0</v>
      </c>
      <c r="PMK391" s="160">
        <v>0</v>
      </c>
      <c r="PML391" s="160">
        <v>0</v>
      </c>
      <c r="PMM391" s="160">
        <v>0</v>
      </c>
      <c r="PMN391" s="160">
        <v>0</v>
      </c>
      <c r="PMO391" s="160">
        <v>0</v>
      </c>
      <c r="PMP391" s="160">
        <v>0</v>
      </c>
      <c r="PMQ391" s="160">
        <v>0</v>
      </c>
      <c r="PMR391" s="160">
        <v>0</v>
      </c>
      <c r="PMS391" s="160">
        <v>0</v>
      </c>
      <c r="PMT391" s="160">
        <v>0</v>
      </c>
      <c r="PMU391" s="160">
        <v>0</v>
      </c>
      <c r="PMV391" s="160">
        <v>0</v>
      </c>
      <c r="PMW391" s="160">
        <v>0</v>
      </c>
      <c r="PMX391" s="160">
        <v>0</v>
      </c>
      <c r="PMY391" s="160">
        <v>0</v>
      </c>
      <c r="PMZ391" s="160">
        <v>0</v>
      </c>
      <c r="PNA391" s="160">
        <v>0</v>
      </c>
      <c r="PNB391" s="160">
        <v>0</v>
      </c>
      <c r="PNC391" s="160">
        <v>0</v>
      </c>
      <c r="PND391" s="160">
        <v>0</v>
      </c>
      <c r="PNE391" s="160">
        <v>0</v>
      </c>
      <c r="PNF391" s="160">
        <v>0</v>
      </c>
      <c r="PNG391" s="160">
        <v>0</v>
      </c>
      <c r="PNH391" s="160">
        <v>0</v>
      </c>
      <c r="PNI391" s="160">
        <v>0</v>
      </c>
      <c r="PNJ391" s="160">
        <v>0</v>
      </c>
      <c r="PNK391" s="160">
        <v>0</v>
      </c>
      <c r="PNL391" s="160">
        <v>0</v>
      </c>
      <c r="PNM391" s="160">
        <v>0</v>
      </c>
      <c r="PNN391" s="160">
        <v>0</v>
      </c>
      <c r="PNO391" s="160">
        <v>0</v>
      </c>
      <c r="PNP391" s="160">
        <v>0</v>
      </c>
      <c r="PNQ391" s="160">
        <v>0</v>
      </c>
      <c r="PNR391" s="160">
        <v>0</v>
      </c>
      <c r="PNS391" s="160">
        <v>0</v>
      </c>
      <c r="PNT391" s="160">
        <v>0</v>
      </c>
      <c r="PNU391" s="160">
        <v>0</v>
      </c>
      <c r="PNV391" s="160">
        <v>0</v>
      </c>
      <c r="PNW391" s="160">
        <v>0</v>
      </c>
      <c r="PNX391" s="160">
        <v>0</v>
      </c>
      <c r="PNY391" s="160">
        <v>0</v>
      </c>
      <c r="PNZ391" s="160">
        <v>0</v>
      </c>
      <c r="POA391" s="160">
        <v>0</v>
      </c>
      <c r="POB391" s="160">
        <v>0</v>
      </c>
      <c r="POC391" s="160">
        <v>0</v>
      </c>
      <c r="POD391" s="160">
        <v>0</v>
      </c>
      <c r="POE391" s="160">
        <v>0</v>
      </c>
      <c r="POF391" s="160">
        <v>0</v>
      </c>
      <c r="POG391" s="160">
        <v>0</v>
      </c>
      <c r="POH391" s="160">
        <v>0</v>
      </c>
      <c r="POI391" s="160">
        <v>0</v>
      </c>
      <c r="POJ391" s="160">
        <v>0</v>
      </c>
      <c r="POK391" s="160">
        <v>0</v>
      </c>
      <c r="POL391" s="160">
        <v>0</v>
      </c>
      <c r="POM391" s="160">
        <v>0</v>
      </c>
      <c r="PON391" s="160">
        <v>0</v>
      </c>
      <c r="POO391" s="160">
        <v>0</v>
      </c>
      <c r="POP391" s="160">
        <v>0</v>
      </c>
      <c r="POQ391" s="160">
        <v>0</v>
      </c>
      <c r="POR391" s="160">
        <v>0</v>
      </c>
      <c r="POS391" s="160">
        <v>0</v>
      </c>
      <c r="POT391" s="160">
        <v>0</v>
      </c>
      <c r="POU391" s="160">
        <v>0</v>
      </c>
      <c r="POV391" s="160">
        <v>0</v>
      </c>
      <c r="POW391" s="160">
        <v>0</v>
      </c>
      <c r="POX391" s="160">
        <v>0</v>
      </c>
      <c r="POY391" s="160">
        <v>0</v>
      </c>
      <c r="POZ391" s="160">
        <v>0</v>
      </c>
      <c r="PPA391" s="160">
        <v>0</v>
      </c>
      <c r="PPB391" s="160">
        <v>0</v>
      </c>
      <c r="PPC391" s="160">
        <v>0</v>
      </c>
      <c r="PPD391" s="160">
        <v>0</v>
      </c>
      <c r="PPE391" s="160">
        <v>0</v>
      </c>
      <c r="PPF391" s="160">
        <v>0</v>
      </c>
      <c r="PPG391" s="160">
        <v>0</v>
      </c>
      <c r="PPH391" s="160">
        <v>0</v>
      </c>
      <c r="PPI391" s="160">
        <v>0</v>
      </c>
      <c r="PPJ391" s="160">
        <v>0</v>
      </c>
      <c r="PPK391" s="160">
        <v>0</v>
      </c>
      <c r="PPL391" s="160">
        <v>0</v>
      </c>
      <c r="PPM391" s="160">
        <v>0</v>
      </c>
      <c r="PPN391" s="160">
        <v>0</v>
      </c>
      <c r="PPO391" s="160">
        <v>0</v>
      </c>
      <c r="PPP391" s="160">
        <v>0</v>
      </c>
      <c r="PPQ391" s="160">
        <v>0</v>
      </c>
      <c r="PPR391" s="160">
        <v>0</v>
      </c>
      <c r="PPS391" s="160">
        <v>0</v>
      </c>
      <c r="PPT391" s="160">
        <v>0</v>
      </c>
      <c r="PPU391" s="160">
        <v>0</v>
      </c>
      <c r="PPV391" s="160">
        <v>0</v>
      </c>
      <c r="PPW391" s="160">
        <v>0</v>
      </c>
      <c r="PPX391" s="160">
        <v>0</v>
      </c>
      <c r="PPY391" s="160">
        <v>0</v>
      </c>
      <c r="PPZ391" s="160">
        <v>0</v>
      </c>
      <c r="PQA391" s="160">
        <v>0</v>
      </c>
      <c r="PQB391" s="160">
        <v>0</v>
      </c>
      <c r="PQC391" s="160">
        <v>0</v>
      </c>
      <c r="PQD391" s="160">
        <v>0</v>
      </c>
      <c r="PQE391" s="160">
        <v>0</v>
      </c>
      <c r="PQF391" s="160">
        <v>0</v>
      </c>
      <c r="PQG391" s="160">
        <v>0</v>
      </c>
      <c r="PQH391" s="160">
        <v>0</v>
      </c>
      <c r="PQI391" s="160">
        <v>0</v>
      </c>
      <c r="PQJ391" s="160">
        <v>0</v>
      </c>
      <c r="PQK391" s="160">
        <v>0</v>
      </c>
      <c r="PQL391" s="160">
        <v>0</v>
      </c>
      <c r="PQM391" s="160">
        <v>0</v>
      </c>
      <c r="PQN391" s="160">
        <v>0</v>
      </c>
      <c r="PQO391" s="160">
        <v>0</v>
      </c>
      <c r="PQP391" s="160">
        <v>0</v>
      </c>
      <c r="PQQ391" s="160">
        <v>0</v>
      </c>
      <c r="PQR391" s="160">
        <v>0</v>
      </c>
      <c r="PQS391" s="160">
        <v>0</v>
      </c>
      <c r="PQT391" s="160">
        <v>0</v>
      </c>
      <c r="PQU391" s="160">
        <v>0</v>
      </c>
      <c r="PQV391" s="160">
        <v>0</v>
      </c>
      <c r="PQW391" s="160">
        <v>0</v>
      </c>
      <c r="PQX391" s="160">
        <v>0</v>
      </c>
      <c r="PQY391" s="160">
        <v>0</v>
      </c>
      <c r="PQZ391" s="160">
        <v>0</v>
      </c>
      <c r="PRA391" s="160">
        <v>0</v>
      </c>
      <c r="PRB391" s="160">
        <v>0</v>
      </c>
      <c r="PRC391" s="160">
        <v>0</v>
      </c>
      <c r="PRD391" s="160">
        <v>0</v>
      </c>
      <c r="PRE391" s="160">
        <v>0</v>
      </c>
      <c r="PRF391" s="160">
        <v>0</v>
      </c>
      <c r="PRG391" s="160">
        <v>0</v>
      </c>
      <c r="PRH391" s="160">
        <v>0</v>
      </c>
      <c r="PRI391" s="160">
        <v>0</v>
      </c>
      <c r="PRJ391" s="160">
        <v>0</v>
      </c>
      <c r="PRK391" s="160">
        <v>0</v>
      </c>
      <c r="PRL391" s="160">
        <v>0</v>
      </c>
      <c r="PRM391" s="160">
        <v>0</v>
      </c>
      <c r="PRN391" s="160">
        <v>0</v>
      </c>
      <c r="PRO391" s="160">
        <v>0</v>
      </c>
      <c r="PRP391" s="160">
        <v>0</v>
      </c>
      <c r="PRQ391" s="160">
        <v>0</v>
      </c>
      <c r="PRR391" s="160">
        <v>0</v>
      </c>
      <c r="PRS391" s="160">
        <v>0</v>
      </c>
      <c r="PRT391" s="160">
        <v>0</v>
      </c>
      <c r="PRU391" s="160">
        <v>0</v>
      </c>
      <c r="PRV391" s="160">
        <v>0</v>
      </c>
      <c r="PRW391" s="160">
        <v>0</v>
      </c>
      <c r="PRX391" s="160">
        <v>0</v>
      </c>
      <c r="PRY391" s="160">
        <v>0</v>
      </c>
      <c r="PRZ391" s="160">
        <v>0</v>
      </c>
      <c r="PSA391" s="160">
        <v>0</v>
      </c>
      <c r="PSB391" s="160">
        <v>0</v>
      </c>
      <c r="PSC391" s="160">
        <v>0</v>
      </c>
      <c r="PSD391" s="160">
        <v>0</v>
      </c>
      <c r="PSE391" s="160">
        <v>0</v>
      </c>
      <c r="PSF391" s="160">
        <v>0</v>
      </c>
      <c r="PSG391" s="160">
        <v>0</v>
      </c>
      <c r="PSH391" s="160">
        <v>0</v>
      </c>
      <c r="PSI391" s="160">
        <v>0</v>
      </c>
      <c r="PSJ391" s="160">
        <v>0</v>
      </c>
      <c r="PSK391" s="160">
        <v>0</v>
      </c>
      <c r="PSL391" s="160">
        <v>0</v>
      </c>
      <c r="PSM391" s="160">
        <v>0</v>
      </c>
      <c r="PSN391" s="160">
        <v>0</v>
      </c>
      <c r="PSO391" s="160">
        <v>0</v>
      </c>
      <c r="PSP391" s="160">
        <v>0</v>
      </c>
      <c r="PSQ391" s="160">
        <v>0</v>
      </c>
      <c r="PSR391" s="160">
        <v>0</v>
      </c>
      <c r="PSS391" s="160">
        <v>0</v>
      </c>
      <c r="PST391" s="160">
        <v>0</v>
      </c>
      <c r="PSU391" s="160">
        <v>0</v>
      </c>
      <c r="PSV391" s="160">
        <v>0</v>
      </c>
      <c r="PSW391" s="160">
        <v>0</v>
      </c>
      <c r="PSX391" s="160">
        <v>0</v>
      </c>
      <c r="PSY391" s="160">
        <v>0</v>
      </c>
      <c r="PSZ391" s="160">
        <v>0</v>
      </c>
      <c r="PTA391" s="160">
        <v>0</v>
      </c>
      <c r="PTB391" s="160">
        <v>0</v>
      </c>
      <c r="PTC391" s="160">
        <v>0</v>
      </c>
      <c r="PTD391" s="160">
        <v>0</v>
      </c>
      <c r="PTE391" s="160">
        <v>0</v>
      </c>
      <c r="PTF391" s="160">
        <v>0</v>
      </c>
      <c r="PTG391" s="160">
        <v>0</v>
      </c>
      <c r="PTH391" s="160">
        <v>0</v>
      </c>
      <c r="PTI391" s="160">
        <v>0</v>
      </c>
      <c r="PTJ391" s="160">
        <v>0</v>
      </c>
      <c r="PTK391" s="160">
        <v>0</v>
      </c>
      <c r="PTL391" s="160">
        <v>0</v>
      </c>
      <c r="PTM391" s="160">
        <v>0</v>
      </c>
      <c r="PTN391" s="160">
        <v>0</v>
      </c>
      <c r="PTO391" s="160">
        <v>0</v>
      </c>
      <c r="PTP391" s="160">
        <v>0</v>
      </c>
      <c r="PTQ391" s="160">
        <v>0</v>
      </c>
      <c r="PTR391" s="160">
        <v>0</v>
      </c>
      <c r="PTS391" s="160">
        <v>0</v>
      </c>
      <c r="PTT391" s="160">
        <v>0</v>
      </c>
      <c r="PTU391" s="160">
        <v>0</v>
      </c>
      <c r="PTV391" s="160">
        <v>0</v>
      </c>
      <c r="PTW391" s="160">
        <v>0</v>
      </c>
      <c r="PTX391" s="160">
        <v>0</v>
      </c>
      <c r="PTY391" s="160">
        <v>0</v>
      </c>
      <c r="PTZ391" s="160">
        <v>0</v>
      </c>
      <c r="PUA391" s="160">
        <v>0</v>
      </c>
      <c r="PUB391" s="160">
        <v>0</v>
      </c>
      <c r="PUC391" s="160">
        <v>0</v>
      </c>
      <c r="PUD391" s="160">
        <v>0</v>
      </c>
      <c r="PUE391" s="160">
        <v>0</v>
      </c>
      <c r="PUF391" s="160">
        <v>0</v>
      </c>
      <c r="PUG391" s="160">
        <v>0</v>
      </c>
      <c r="PUH391" s="160">
        <v>0</v>
      </c>
      <c r="PUI391" s="160">
        <v>0</v>
      </c>
      <c r="PUJ391" s="160">
        <v>0</v>
      </c>
      <c r="PUK391" s="160">
        <v>0</v>
      </c>
      <c r="PUL391" s="160">
        <v>0</v>
      </c>
      <c r="PUM391" s="160">
        <v>0</v>
      </c>
      <c r="PUN391" s="160">
        <v>0</v>
      </c>
      <c r="PUO391" s="160">
        <v>0</v>
      </c>
      <c r="PUP391" s="160">
        <v>0</v>
      </c>
      <c r="PUQ391" s="160">
        <v>0</v>
      </c>
      <c r="PUR391" s="160">
        <v>0</v>
      </c>
      <c r="PUS391" s="160">
        <v>0</v>
      </c>
      <c r="PUT391" s="160">
        <v>0</v>
      </c>
      <c r="PUU391" s="160">
        <v>0</v>
      </c>
      <c r="PUV391" s="160">
        <v>0</v>
      </c>
      <c r="PUW391" s="160">
        <v>0</v>
      </c>
      <c r="PUX391" s="160">
        <v>0</v>
      </c>
      <c r="PUY391" s="160">
        <v>0</v>
      </c>
      <c r="PUZ391" s="160">
        <v>0</v>
      </c>
      <c r="PVA391" s="160">
        <v>0</v>
      </c>
      <c r="PVB391" s="160">
        <v>0</v>
      </c>
      <c r="PVC391" s="160">
        <v>0</v>
      </c>
      <c r="PVD391" s="160">
        <v>0</v>
      </c>
      <c r="PVE391" s="160">
        <v>0</v>
      </c>
      <c r="PVF391" s="160">
        <v>0</v>
      </c>
      <c r="PVG391" s="160">
        <v>0</v>
      </c>
      <c r="PVH391" s="160">
        <v>0</v>
      </c>
      <c r="PVI391" s="160">
        <v>0</v>
      </c>
      <c r="PVJ391" s="160">
        <v>0</v>
      </c>
      <c r="PVK391" s="160">
        <v>0</v>
      </c>
      <c r="PVL391" s="160">
        <v>0</v>
      </c>
      <c r="PVM391" s="160">
        <v>0</v>
      </c>
      <c r="PVN391" s="160">
        <v>0</v>
      </c>
      <c r="PVO391" s="160">
        <v>0</v>
      </c>
      <c r="PVP391" s="160">
        <v>0</v>
      </c>
      <c r="PVQ391" s="160">
        <v>0</v>
      </c>
      <c r="PVR391" s="160">
        <v>0</v>
      </c>
      <c r="PVS391" s="160">
        <v>0</v>
      </c>
      <c r="PVT391" s="160">
        <v>0</v>
      </c>
      <c r="PVU391" s="160">
        <v>0</v>
      </c>
      <c r="PVV391" s="160">
        <v>0</v>
      </c>
      <c r="PVW391" s="160">
        <v>0</v>
      </c>
      <c r="PVX391" s="160">
        <v>0</v>
      </c>
      <c r="PVY391" s="160">
        <v>0</v>
      </c>
      <c r="PVZ391" s="160">
        <v>0</v>
      </c>
      <c r="PWA391" s="160">
        <v>0</v>
      </c>
      <c r="PWB391" s="160">
        <v>0</v>
      </c>
      <c r="PWC391" s="160">
        <v>0</v>
      </c>
      <c r="PWD391" s="160">
        <v>0</v>
      </c>
      <c r="PWE391" s="160">
        <v>0</v>
      </c>
      <c r="PWF391" s="160">
        <v>0</v>
      </c>
      <c r="PWG391" s="160">
        <v>0</v>
      </c>
      <c r="PWH391" s="160">
        <v>0</v>
      </c>
      <c r="PWI391" s="160">
        <v>0</v>
      </c>
      <c r="PWJ391" s="160">
        <v>0</v>
      </c>
      <c r="PWK391" s="160">
        <v>0</v>
      </c>
      <c r="PWL391" s="160">
        <v>0</v>
      </c>
      <c r="PWM391" s="160">
        <v>0</v>
      </c>
      <c r="PWN391" s="160">
        <v>0</v>
      </c>
      <c r="PWO391" s="160">
        <v>0</v>
      </c>
      <c r="PWP391" s="160">
        <v>0</v>
      </c>
      <c r="PWQ391" s="160">
        <v>0</v>
      </c>
      <c r="PWR391" s="160">
        <v>0</v>
      </c>
      <c r="PWS391" s="160">
        <v>0</v>
      </c>
      <c r="PWT391" s="160">
        <v>0</v>
      </c>
      <c r="PWU391" s="160">
        <v>0</v>
      </c>
      <c r="PWV391" s="160">
        <v>0</v>
      </c>
      <c r="PWW391" s="160">
        <v>0</v>
      </c>
      <c r="PWX391" s="160">
        <v>0</v>
      </c>
      <c r="PWY391" s="160">
        <v>0</v>
      </c>
      <c r="PWZ391" s="160">
        <v>0</v>
      </c>
      <c r="PXA391" s="160">
        <v>0</v>
      </c>
      <c r="PXB391" s="160">
        <v>0</v>
      </c>
      <c r="PXC391" s="160">
        <v>0</v>
      </c>
      <c r="PXD391" s="160">
        <v>0</v>
      </c>
      <c r="PXE391" s="160">
        <v>0</v>
      </c>
      <c r="PXF391" s="160">
        <v>0</v>
      </c>
      <c r="PXG391" s="160">
        <v>0</v>
      </c>
      <c r="PXH391" s="160">
        <v>0</v>
      </c>
      <c r="PXI391" s="160">
        <v>0</v>
      </c>
      <c r="PXJ391" s="160">
        <v>0</v>
      </c>
      <c r="PXK391" s="160">
        <v>0</v>
      </c>
      <c r="PXL391" s="160">
        <v>0</v>
      </c>
      <c r="PXM391" s="160">
        <v>0</v>
      </c>
      <c r="PXN391" s="160">
        <v>0</v>
      </c>
      <c r="PXO391" s="160">
        <v>0</v>
      </c>
      <c r="PXP391" s="160">
        <v>0</v>
      </c>
      <c r="PXQ391" s="160">
        <v>0</v>
      </c>
      <c r="PXR391" s="160">
        <v>0</v>
      </c>
      <c r="PXS391" s="160">
        <v>0</v>
      </c>
      <c r="PXT391" s="160">
        <v>0</v>
      </c>
      <c r="PXU391" s="160">
        <v>0</v>
      </c>
      <c r="PXV391" s="160">
        <v>0</v>
      </c>
      <c r="PXW391" s="160">
        <v>0</v>
      </c>
      <c r="PXX391" s="160">
        <v>0</v>
      </c>
      <c r="PXY391" s="160">
        <v>0</v>
      </c>
      <c r="PXZ391" s="160">
        <v>0</v>
      </c>
      <c r="PYA391" s="160">
        <v>0</v>
      </c>
      <c r="PYB391" s="160">
        <v>0</v>
      </c>
      <c r="PYC391" s="160">
        <v>0</v>
      </c>
      <c r="PYD391" s="160">
        <v>0</v>
      </c>
      <c r="PYE391" s="160">
        <v>0</v>
      </c>
      <c r="PYF391" s="160">
        <v>0</v>
      </c>
      <c r="PYG391" s="160">
        <v>0</v>
      </c>
      <c r="PYH391" s="160">
        <v>0</v>
      </c>
      <c r="PYI391" s="160">
        <v>0</v>
      </c>
      <c r="PYJ391" s="160">
        <v>0</v>
      </c>
      <c r="PYK391" s="160">
        <v>0</v>
      </c>
      <c r="PYL391" s="160">
        <v>0</v>
      </c>
      <c r="PYM391" s="160">
        <v>0</v>
      </c>
      <c r="PYN391" s="160">
        <v>0</v>
      </c>
      <c r="PYO391" s="160">
        <v>0</v>
      </c>
      <c r="PYP391" s="160">
        <v>0</v>
      </c>
      <c r="PYQ391" s="160">
        <v>0</v>
      </c>
      <c r="PYR391" s="160">
        <v>0</v>
      </c>
      <c r="PYS391" s="160">
        <v>0</v>
      </c>
      <c r="PYT391" s="160">
        <v>0</v>
      </c>
      <c r="PYU391" s="160">
        <v>0</v>
      </c>
      <c r="PYV391" s="160">
        <v>0</v>
      </c>
      <c r="PYW391" s="160">
        <v>0</v>
      </c>
      <c r="PYX391" s="160">
        <v>0</v>
      </c>
      <c r="PYY391" s="160">
        <v>0</v>
      </c>
      <c r="PYZ391" s="160">
        <v>0</v>
      </c>
      <c r="PZA391" s="160">
        <v>0</v>
      </c>
      <c r="PZB391" s="160">
        <v>0</v>
      </c>
      <c r="PZC391" s="160">
        <v>0</v>
      </c>
      <c r="PZD391" s="160">
        <v>0</v>
      </c>
      <c r="PZE391" s="160">
        <v>0</v>
      </c>
      <c r="PZF391" s="160">
        <v>0</v>
      </c>
      <c r="PZG391" s="160">
        <v>0</v>
      </c>
      <c r="PZH391" s="160">
        <v>0</v>
      </c>
      <c r="PZI391" s="160">
        <v>0</v>
      </c>
      <c r="PZJ391" s="160">
        <v>0</v>
      </c>
      <c r="PZK391" s="160">
        <v>0</v>
      </c>
      <c r="PZL391" s="160">
        <v>0</v>
      </c>
      <c r="PZM391" s="160">
        <v>0</v>
      </c>
      <c r="PZN391" s="160">
        <v>0</v>
      </c>
      <c r="PZO391" s="160">
        <v>0</v>
      </c>
      <c r="PZP391" s="160">
        <v>0</v>
      </c>
      <c r="PZQ391" s="160">
        <v>0</v>
      </c>
      <c r="PZR391" s="160">
        <v>0</v>
      </c>
      <c r="PZS391" s="160">
        <v>0</v>
      </c>
      <c r="PZT391" s="160">
        <v>0</v>
      </c>
      <c r="PZU391" s="160">
        <v>0</v>
      </c>
      <c r="PZV391" s="160">
        <v>0</v>
      </c>
      <c r="PZW391" s="160">
        <v>0</v>
      </c>
      <c r="PZX391" s="160">
        <v>0</v>
      </c>
      <c r="PZY391" s="160">
        <v>0</v>
      </c>
      <c r="PZZ391" s="160">
        <v>0</v>
      </c>
      <c r="QAA391" s="160">
        <v>0</v>
      </c>
      <c r="QAB391" s="160">
        <v>0</v>
      </c>
      <c r="QAC391" s="160">
        <v>0</v>
      </c>
      <c r="QAD391" s="160">
        <v>0</v>
      </c>
      <c r="QAE391" s="160">
        <v>0</v>
      </c>
      <c r="QAF391" s="160">
        <v>0</v>
      </c>
      <c r="QAG391" s="160">
        <v>0</v>
      </c>
      <c r="QAH391" s="160">
        <v>0</v>
      </c>
      <c r="QAI391" s="160">
        <v>0</v>
      </c>
      <c r="QAJ391" s="160">
        <v>0</v>
      </c>
      <c r="QAK391" s="160">
        <v>0</v>
      </c>
      <c r="QAL391" s="160">
        <v>0</v>
      </c>
      <c r="QAM391" s="160">
        <v>0</v>
      </c>
      <c r="QAN391" s="160">
        <v>0</v>
      </c>
      <c r="QAO391" s="160">
        <v>0</v>
      </c>
      <c r="QAP391" s="160">
        <v>0</v>
      </c>
      <c r="QAQ391" s="160">
        <v>0</v>
      </c>
      <c r="QAR391" s="160">
        <v>0</v>
      </c>
      <c r="QAS391" s="160">
        <v>0</v>
      </c>
      <c r="QAT391" s="160">
        <v>0</v>
      </c>
      <c r="QAU391" s="160">
        <v>0</v>
      </c>
      <c r="QAV391" s="160">
        <v>0</v>
      </c>
      <c r="QAW391" s="160">
        <v>0</v>
      </c>
      <c r="QAX391" s="160">
        <v>0</v>
      </c>
      <c r="QAY391" s="160">
        <v>0</v>
      </c>
      <c r="QAZ391" s="160">
        <v>0</v>
      </c>
      <c r="QBA391" s="160">
        <v>0</v>
      </c>
      <c r="QBB391" s="160">
        <v>0</v>
      </c>
      <c r="QBC391" s="160">
        <v>0</v>
      </c>
      <c r="QBD391" s="160">
        <v>0</v>
      </c>
      <c r="QBE391" s="160">
        <v>0</v>
      </c>
      <c r="QBF391" s="160">
        <v>0</v>
      </c>
      <c r="QBG391" s="160">
        <v>0</v>
      </c>
      <c r="QBH391" s="160">
        <v>0</v>
      </c>
      <c r="QBI391" s="160">
        <v>0</v>
      </c>
      <c r="QBJ391" s="160">
        <v>0</v>
      </c>
      <c r="QBK391" s="160">
        <v>0</v>
      </c>
      <c r="QBL391" s="160">
        <v>0</v>
      </c>
      <c r="QBM391" s="160">
        <v>0</v>
      </c>
      <c r="QBN391" s="160">
        <v>0</v>
      </c>
      <c r="QBO391" s="160">
        <v>0</v>
      </c>
      <c r="QBP391" s="160">
        <v>0</v>
      </c>
      <c r="QBQ391" s="160">
        <v>0</v>
      </c>
      <c r="QBR391" s="160">
        <v>0</v>
      </c>
      <c r="QBS391" s="160">
        <v>0</v>
      </c>
      <c r="QBT391" s="160">
        <v>0</v>
      </c>
      <c r="QBU391" s="160">
        <v>0</v>
      </c>
      <c r="QBV391" s="160">
        <v>0</v>
      </c>
      <c r="QBW391" s="160">
        <v>0</v>
      </c>
      <c r="QBX391" s="160">
        <v>0</v>
      </c>
      <c r="QBY391" s="160">
        <v>0</v>
      </c>
      <c r="QBZ391" s="160">
        <v>0</v>
      </c>
      <c r="QCA391" s="160">
        <v>0</v>
      </c>
      <c r="QCB391" s="160">
        <v>0</v>
      </c>
      <c r="QCC391" s="160">
        <v>0</v>
      </c>
      <c r="QCD391" s="160">
        <v>0</v>
      </c>
      <c r="QCE391" s="160">
        <v>0</v>
      </c>
      <c r="QCF391" s="160">
        <v>0</v>
      </c>
      <c r="QCG391" s="160">
        <v>0</v>
      </c>
      <c r="QCH391" s="160">
        <v>0</v>
      </c>
      <c r="QCI391" s="160">
        <v>0</v>
      </c>
      <c r="QCJ391" s="160">
        <v>0</v>
      </c>
      <c r="QCK391" s="160">
        <v>0</v>
      </c>
      <c r="QCL391" s="160">
        <v>0</v>
      </c>
      <c r="QCM391" s="160">
        <v>0</v>
      </c>
      <c r="QCN391" s="160">
        <v>0</v>
      </c>
      <c r="QCO391" s="160">
        <v>0</v>
      </c>
      <c r="QCP391" s="160">
        <v>0</v>
      </c>
      <c r="QCQ391" s="160">
        <v>0</v>
      </c>
      <c r="QCR391" s="160">
        <v>0</v>
      </c>
      <c r="QCS391" s="160">
        <v>0</v>
      </c>
      <c r="QCT391" s="160">
        <v>0</v>
      </c>
      <c r="QCU391" s="160">
        <v>0</v>
      </c>
      <c r="QCV391" s="160">
        <v>0</v>
      </c>
      <c r="QCW391" s="160">
        <v>0</v>
      </c>
      <c r="QCX391" s="160">
        <v>0</v>
      </c>
      <c r="QCY391" s="160">
        <v>0</v>
      </c>
      <c r="QCZ391" s="160">
        <v>0</v>
      </c>
      <c r="QDA391" s="160">
        <v>0</v>
      </c>
      <c r="QDB391" s="160">
        <v>0</v>
      </c>
      <c r="QDC391" s="160">
        <v>0</v>
      </c>
      <c r="QDD391" s="160">
        <v>0</v>
      </c>
      <c r="QDE391" s="160">
        <v>0</v>
      </c>
      <c r="QDF391" s="160">
        <v>0</v>
      </c>
      <c r="QDG391" s="160">
        <v>0</v>
      </c>
      <c r="QDH391" s="160">
        <v>0</v>
      </c>
      <c r="QDI391" s="160">
        <v>0</v>
      </c>
      <c r="QDJ391" s="160">
        <v>0</v>
      </c>
      <c r="QDK391" s="160">
        <v>0</v>
      </c>
      <c r="QDL391" s="160">
        <v>0</v>
      </c>
      <c r="QDM391" s="160">
        <v>0</v>
      </c>
      <c r="QDN391" s="160">
        <v>0</v>
      </c>
      <c r="QDO391" s="160">
        <v>0</v>
      </c>
      <c r="QDP391" s="160">
        <v>0</v>
      </c>
      <c r="QDQ391" s="160">
        <v>0</v>
      </c>
      <c r="QDR391" s="160">
        <v>0</v>
      </c>
      <c r="QDS391" s="160">
        <v>0</v>
      </c>
      <c r="QDT391" s="160">
        <v>0</v>
      </c>
      <c r="QDU391" s="160">
        <v>0</v>
      </c>
      <c r="QDV391" s="160">
        <v>0</v>
      </c>
      <c r="QDW391" s="160">
        <v>0</v>
      </c>
      <c r="QDX391" s="160">
        <v>0</v>
      </c>
      <c r="QDY391" s="160">
        <v>0</v>
      </c>
      <c r="QDZ391" s="160">
        <v>0</v>
      </c>
      <c r="QEA391" s="160">
        <v>0</v>
      </c>
      <c r="QEB391" s="160">
        <v>0</v>
      </c>
      <c r="QEC391" s="160">
        <v>0</v>
      </c>
      <c r="QED391" s="160">
        <v>0</v>
      </c>
      <c r="QEE391" s="160">
        <v>0</v>
      </c>
      <c r="QEF391" s="160">
        <v>0</v>
      </c>
      <c r="QEG391" s="160">
        <v>0</v>
      </c>
      <c r="QEH391" s="160">
        <v>0</v>
      </c>
      <c r="QEI391" s="160">
        <v>0</v>
      </c>
      <c r="QEJ391" s="160">
        <v>0</v>
      </c>
      <c r="QEK391" s="160">
        <v>0</v>
      </c>
      <c r="QEL391" s="160">
        <v>0</v>
      </c>
      <c r="QEM391" s="160">
        <v>0</v>
      </c>
      <c r="QEN391" s="160">
        <v>0</v>
      </c>
      <c r="QEO391" s="160">
        <v>0</v>
      </c>
      <c r="QEP391" s="160">
        <v>0</v>
      </c>
      <c r="QEQ391" s="160">
        <v>0</v>
      </c>
      <c r="QER391" s="160">
        <v>0</v>
      </c>
      <c r="QES391" s="160">
        <v>0</v>
      </c>
      <c r="QET391" s="160">
        <v>0</v>
      </c>
      <c r="QEU391" s="160">
        <v>0</v>
      </c>
      <c r="QEV391" s="160">
        <v>0</v>
      </c>
      <c r="QEW391" s="160">
        <v>0</v>
      </c>
      <c r="QEX391" s="160">
        <v>0</v>
      </c>
      <c r="QEY391" s="160">
        <v>0</v>
      </c>
      <c r="QEZ391" s="160">
        <v>0</v>
      </c>
      <c r="QFA391" s="160">
        <v>0</v>
      </c>
      <c r="QFB391" s="160">
        <v>0</v>
      </c>
      <c r="QFC391" s="160">
        <v>0</v>
      </c>
      <c r="QFD391" s="160">
        <v>0</v>
      </c>
      <c r="QFE391" s="160">
        <v>0</v>
      </c>
      <c r="QFF391" s="160">
        <v>0</v>
      </c>
      <c r="QFG391" s="160">
        <v>0</v>
      </c>
      <c r="QFH391" s="160">
        <v>0</v>
      </c>
      <c r="QFI391" s="160">
        <v>0</v>
      </c>
      <c r="QFJ391" s="160">
        <v>0</v>
      </c>
      <c r="QFK391" s="160">
        <v>0</v>
      </c>
      <c r="QFL391" s="160">
        <v>0</v>
      </c>
      <c r="QFM391" s="160">
        <v>0</v>
      </c>
      <c r="QFN391" s="160">
        <v>0</v>
      </c>
      <c r="QFO391" s="160">
        <v>0</v>
      </c>
      <c r="QFP391" s="160">
        <v>0</v>
      </c>
      <c r="QFQ391" s="160">
        <v>0</v>
      </c>
      <c r="QFR391" s="160">
        <v>0</v>
      </c>
      <c r="QFS391" s="160">
        <v>0</v>
      </c>
      <c r="QFT391" s="160">
        <v>0</v>
      </c>
      <c r="QFU391" s="160">
        <v>0</v>
      </c>
      <c r="QFV391" s="160">
        <v>0</v>
      </c>
      <c r="QFW391" s="160">
        <v>0</v>
      </c>
      <c r="QFX391" s="160">
        <v>0</v>
      </c>
      <c r="QFY391" s="160">
        <v>0</v>
      </c>
      <c r="QFZ391" s="160">
        <v>0</v>
      </c>
      <c r="QGA391" s="160">
        <v>0</v>
      </c>
      <c r="QGB391" s="160">
        <v>0</v>
      </c>
      <c r="QGC391" s="160">
        <v>0</v>
      </c>
      <c r="QGD391" s="160">
        <v>0</v>
      </c>
      <c r="QGE391" s="160">
        <v>0</v>
      </c>
      <c r="QGF391" s="160">
        <v>0</v>
      </c>
      <c r="QGG391" s="160">
        <v>0</v>
      </c>
      <c r="QGH391" s="160">
        <v>0</v>
      </c>
      <c r="QGI391" s="160">
        <v>0</v>
      </c>
      <c r="QGJ391" s="160">
        <v>0</v>
      </c>
      <c r="QGK391" s="160">
        <v>0</v>
      </c>
      <c r="QGL391" s="160">
        <v>0</v>
      </c>
      <c r="QGM391" s="160">
        <v>0</v>
      </c>
      <c r="QGN391" s="160">
        <v>0</v>
      </c>
      <c r="QGO391" s="160">
        <v>0</v>
      </c>
      <c r="QGP391" s="160">
        <v>0</v>
      </c>
      <c r="QGQ391" s="160">
        <v>0</v>
      </c>
      <c r="QGR391" s="160">
        <v>0</v>
      </c>
      <c r="QGS391" s="160">
        <v>0</v>
      </c>
      <c r="QGT391" s="160">
        <v>0</v>
      </c>
      <c r="QGU391" s="160">
        <v>0</v>
      </c>
      <c r="QGV391" s="160">
        <v>0</v>
      </c>
      <c r="QGW391" s="160">
        <v>0</v>
      </c>
      <c r="QGX391" s="160">
        <v>0</v>
      </c>
      <c r="QGY391" s="160">
        <v>0</v>
      </c>
      <c r="QGZ391" s="160">
        <v>0</v>
      </c>
      <c r="QHA391" s="160">
        <v>0</v>
      </c>
      <c r="QHB391" s="160">
        <v>0</v>
      </c>
      <c r="QHC391" s="160">
        <v>0</v>
      </c>
      <c r="QHD391" s="160">
        <v>0</v>
      </c>
      <c r="QHE391" s="160">
        <v>0</v>
      </c>
      <c r="QHF391" s="160">
        <v>0</v>
      </c>
      <c r="QHG391" s="160">
        <v>0</v>
      </c>
      <c r="QHH391" s="160">
        <v>0</v>
      </c>
      <c r="QHI391" s="160">
        <v>0</v>
      </c>
      <c r="QHJ391" s="160">
        <v>0</v>
      </c>
      <c r="QHK391" s="160">
        <v>0</v>
      </c>
      <c r="QHL391" s="160">
        <v>0</v>
      </c>
      <c r="QHM391" s="160">
        <v>0</v>
      </c>
      <c r="QHN391" s="160">
        <v>0</v>
      </c>
      <c r="QHO391" s="160">
        <v>0</v>
      </c>
      <c r="QHP391" s="160">
        <v>0</v>
      </c>
      <c r="QHQ391" s="160">
        <v>0</v>
      </c>
      <c r="QHR391" s="160">
        <v>0</v>
      </c>
      <c r="QHS391" s="160">
        <v>0</v>
      </c>
      <c r="QHT391" s="160">
        <v>0</v>
      </c>
      <c r="QHU391" s="160">
        <v>0</v>
      </c>
      <c r="QHV391" s="160">
        <v>0</v>
      </c>
      <c r="QHW391" s="160">
        <v>0</v>
      </c>
      <c r="QHX391" s="160">
        <v>0</v>
      </c>
      <c r="QHY391" s="160">
        <v>0</v>
      </c>
      <c r="QHZ391" s="160">
        <v>0</v>
      </c>
      <c r="QIA391" s="160">
        <v>0</v>
      </c>
      <c r="QIB391" s="160">
        <v>0</v>
      </c>
      <c r="QIC391" s="160">
        <v>0</v>
      </c>
      <c r="QID391" s="160">
        <v>0</v>
      </c>
      <c r="QIE391" s="160">
        <v>0</v>
      </c>
      <c r="QIF391" s="160">
        <v>0</v>
      </c>
      <c r="QIG391" s="160">
        <v>0</v>
      </c>
      <c r="QIH391" s="160">
        <v>0</v>
      </c>
      <c r="QII391" s="160">
        <v>0</v>
      </c>
      <c r="QIJ391" s="160">
        <v>0</v>
      </c>
      <c r="QIK391" s="160">
        <v>0</v>
      </c>
      <c r="QIL391" s="160">
        <v>0</v>
      </c>
      <c r="QIM391" s="160">
        <v>0</v>
      </c>
      <c r="QIN391" s="160">
        <v>0</v>
      </c>
      <c r="QIO391" s="160">
        <v>0</v>
      </c>
      <c r="QIP391" s="160">
        <v>0</v>
      </c>
      <c r="QIQ391" s="160">
        <v>0</v>
      </c>
      <c r="QIR391" s="160">
        <v>0</v>
      </c>
      <c r="QIS391" s="160">
        <v>0</v>
      </c>
      <c r="QIT391" s="160">
        <v>0</v>
      </c>
      <c r="QIU391" s="160">
        <v>0</v>
      </c>
      <c r="QIV391" s="160">
        <v>0</v>
      </c>
      <c r="QIW391" s="160">
        <v>0</v>
      </c>
      <c r="QIX391" s="160">
        <v>0</v>
      </c>
      <c r="QIY391" s="160">
        <v>0</v>
      </c>
      <c r="QIZ391" s="160">
        <v>0</v>
      </c>
      <c r="QJA391" s="160">
        <v>0</v>
      </c>
      <c r="QJB391" s="160">
        <v>0</v>
      </c>
      <c r="QJC391" s="160">
        <v>0</v>
      </c>
      <c r="QJD391" s="160">
        <v>0</v>
      </c>
      <c r="QJE391" s="160">
        <v>0</v>
      </c>
      <c r="QJF391" s="160">
        <v>0</v>
      </c>
      <c r="QJG391" s="160">
        <v>0</v>
      </c>
      <c r="QJH391" s="160">
        <v>0</v>
      </c>
      <c r="QJI391" s="160">
        <v>0</v>
      </c>
      <c r="QJJ391" s="160">
        <v>0</v>
      </c>
      <c r="QJK391" s="160">
        <v>0</v>
      </c>
      <c r="QJL391" s="160">
        <v>0</v>
      </c>
      <c r="QJM391" s="160">
        <v>0</v>
      </c>
      <c r="QJN391" s="160">
        <v>0</v>
      </c>
      <c r="QJO391" s="160">
        <v>0</v>
      </c>
      <c r="QJP391" s="160">
        <v>0</v>
      </c>
      <c r="QJQ391" s="160">
        <v>0</v>
      </c>
      <c r="QJR391" s="160">
        <v>0</v>
      </c>
      <c r="QJS391" s="160">
        <v>0</v>
      </c>
      <c r="QJT391" s="160">
        <v>0</v>
      </c>
      <c r="QJU391" s="160">
        <v>0</v>
      </c>
      <c r="QJV391" s="160">
        <v>0</v>
      </c>
      <c r="QJW391" s="160">
        <v>0</v>
      </c>
      <c r="QJX391" s="160">
        <v>0</v>
      </c>
      <c r="QJY391" s="160">
        <v>0</v>
      </c>
      <c r="QJZ391" s="160">
        <v>0</v>
      </c>
      <c r="QKA391" s="160">
        <v>0</v>
      </c>
      <c r="QKB391" s="160">
        <v>0</v>
      </c>
      <c r="QKC391" s="160">
        <v>0</v>
      </c>
      <c r="QKD391" s="160">
        <v>0</v>
      </c>
      <c r="QKE391" s="160">
        <v>0</v>
      </c>
      <c r="QKF391" s="160">
        <v>0</v>
      </c>
      <c r="QKG391" s="160">
        <v>0</v>
      </c>
      <c r="QKH391" s="160">
        <v>0</v>
      </c>
      <c r="QKI391" s="160">
        <v>0</v>
      </c>
      <c r="QKJ391" s="160">
        <v>0</v>
      </c>
      <c r="QKK391" s="160">
        <v>0</v>
      </c>
      <c r="QKL391" s="160">
        <v>0</v>
      </c>
      <c r="QKM391" s="160">
        <v>0</v>
      </c>
      <c r="QKN391" s="160">
        <v>0</v>
      </c>
      <c r="QKO391" s="160">
        <v>0</v>
      </c>
      <c r="QKP391" s="160">
        <v>0</v>
      </c>
      <c r="QKQ391" s="160">
        <v>0</v>
      </c>
      <c r="QKR391" s="160">
        <v>0</v>
      </c>
      <c r="QKS391" s="160">
        <v>0</v>
      </c>
      <c r="QKT391" s="160">
        <v>0</v>
      </c>
      <c r="QKU391" s="160">
        <v>0</v>
      </c>
      <c r="QKV391" s="160">
        <v>0</v>
      </c>
      <c r="QKW391" s="160">
        <v>0</v>
      </c>
      <c r="QKX391" s="160">
        <v>0</v>
      </c>
      <c r="QKY391" s="160">
        <v>0</v>
      </c>
      <c r="QKZ391" s="160">
        <v>0</v>
      </c>
      <c r="QLA391" s="160">
        <v>0</v>
      </c>
      <c r="QLB391" s="160">
        <v>0</v>
      </c>
      <c r="QLC391" s="160">
        <v>0</v>
      </c>
      <c r="QLD391" s="160">
        <v>0</v>
      </c>
      <c r="QLE391" s="160">
        <v>0</v>
      </c>
      <c r="QLF391" s="160">
        <v>0</v>
      </c>
      <c r="QLG391" s="160">
        <v>0</v>
      </c>
      <c r="QLH391" s="160">
        <v>0</v>
      </c>
      <c r="QLI391" s="160">
        <v>0</v>
      </c>
      <c r="QLJ391" s="160">
        <v>0</v>
      </c>
      <c r="QLK391" s="160">
        <v>0</v>
      </c>
      <c r="QLL391" s="160">
        <v>0</v>
      </c>
      <c r="QLM391" s="160">
        <v>0</v>
      </c>
      <c r="QLN391" s="160">
        <v>0</v>
      </c>
      <c r="QLO391" s="160">
        <v>0</v>
      </c>
      <c r="QLP391" s="160">
        <v>0</v>
      </c>
      <c r="QLQ391" s="160">
        <v>0</v>
      </c>
      <c r="QLR391" s="160">
        <v>0</v>
      </c>
      <c r="QLS391" s="160">
        <v>0</v>
      </c>
      <c r="QLT391" s="160">
        <v>0</v>
      </c>
      <c r="QLU391" s="160">
        <v>0</v>
      </c>
      <c r="QLV391" s="160">
        <v>0</v>
      </c>
      <c r="QLW391" s="160">
        <v>0</v>
      </c>
      <c r="QLX391" s="160">
        <v>0</v>
      </c>
      <c r="QLY391" s="160">
        <v>0</v>
      </c>
      <c r="QLZ391" s="160">
        <v>0</v>
      </c>
      <c r="QMA391" s="160">
        <v>0</v>
      </c>
      <c r="QMB391" s="160">
        <v>0</v>
      </c>
      <c r="QMC391" s="160">
        <v>0</v>
      </c>
      <c r="QMD391" s="160">
        <v>0</v>
      </c>
      <c r="QME391" s="160">
        <v>0</v>
      </c>
      <c r="QMF391" s="160">
        <v>0</v>
      </c>
      <c r="QMG391" s="160">
        <v>0</v>
      </c>
      <c r="QMH391" s="160">
        <v>0</v>
      </c>
      <c r="QMI391" s="160">
        <v>0</v>
      </c>
      <c r="QMJ391" s="160">
        <v>0</v>
      </c>
      <c r="QMK391" s="160">
        <v>0</v>
      </c>
      <c r="QML391" s="160">
        <v>0</v>
      </c>
      <c r="QMM391" s="160">
        <v>0</v>
      </c>
      <c r="QMN391" s="160">
        <v>0</v>
      </c>
      <c r="QMO391" s="160">
        <v>0</v>
      </c>
      <c r="QMP391" s="160">
        <v>0</v>
      </c>
      <c r="QMQ391" s="160">
        <v>0</v>
      </c>
      <c r="QMR391" s="160">
        <v>0</v>
      </c>
      <c r="QMS391" s="160">
        <v>0</v>
      </c>
      <c r="QMT391" s="160">
        <v>0</v>
      </c>
      <c r="QMU391" s="160">
        <v>0</v>
      </c>
      <c r="QMV391" s="160">
        <v>0</v>
      </c>
      <c r="QMW391" s="160">
        <v>0</v>
      </c>
      <c r="QMX391" s="160">
        <v>0</v>
      </c>
      <c r="QMY391" s="160">
        <v>0</v>
      </c>
      <c r="QMZ391" s="160">
        <v>0</v>
      </c>
      <c r="QNA391" s="160">
        <v>0</v>
      </c>
      <c r="QNB391" s="160">
        <v>0</v>
      </c>
      <c r="QNC391" s="160">
        <v>0</v>
      </c>
      <c r="QND391" s="160">
        <v>0</v>
      </c>
      <c r="QNE391" s="160">
        <v>0</v>
      </c>
      <c r="QNF391" s="160">
        <v>0</v>
      </c>
      <c r="QNG391" s="160">
        <v>0</v>
      </c>
      <c r="QNH391" s="160">
        <v>0</v>
      </c>
      <c r="QNI391" s="160">
        <v>0</v>
      </c>
      <c r="QNJ391" s="160">
        <v>0</v>
      </c>
      <c r="QNK391" s="160">
        <v>0</v>
      </c>
      <c r="QNL391" s="160">
        <v>0</v>
      </c>
      <c r="QNM391" s="160">
        <v>0</v>
      </c>
      <c r="QNN391" s="160">
        <v>0</v>
      </c>
      <c r="QNO391" s="160">
        <v>0</v>
      </c>
      <c r="QNP391" s="160">
        <v>0</v>
      </c>
      <c r="QNQ391" s="160">
        <v>0</v>
      </c>
      <c r="QNR391" s="160">
        <v>0</v>
      </c>
      <c r="QNS391" s="160">
        <v>0</v>
      </c>
      <c r="QNT391" s="160">
        <v>0</v>
      </c>
      <c r="QNU391" s="160">
        <v>0</v>
      </c>
      <c r="QNV391" s="160">
        <v>0</v>
      </c>
      <c r="QNW391" s="160">
        <v>0</v>
      </c>
      <c r="QNX391" s="160">
        <v>0</v>
      </c>
      <c r="QNY391" s="160">
        <v>0</v>
      </c>
      <c r="QNZ391" s="160">
        <v>0</v>
      </c>
      <c r="QOA391" s="160">
        <v>0</v>
      </c>
      <c r="QOB391" s="160">
        <v>0</v>
      </c>
      <c r="QOC391" s="160">
        <v>0</v>
      </c>
      <c r="QOD391" s="160">
        <v>0</v>
      </c>
      <c r="QOE391" s="160">
        <v>0</v>
      </c>
      <c r="QOF391" s="160">
        <v>0</v>
      </c>
      <c r="QOG391" s="160">
        <v>0</v>
      </c>
      <c r="QOH391" s="160">
        <v>0</v>
      </c>
      <c r="QOI391" s="160">
        <v>0</v>
      </c>
      <c r="QOJ391" s="160">
        <v>0</v>
      </c>
      <c r="QOK391" s="160">
        <v>0</v>
      </c>
      <c r="QOL391" s="160">
        <v>0</v>
      </c>
      <c r="QOM391" s="160">
        <v>0</v>
      </c>
      <c r="QON391" s="160">
        <v>0</v>
      </c>
      <c r="QOO391" s="160">
        <v>0</v>
      </c>
      <c r="QOP391" s="160">
        <v>0</v>
      </c>
      <c r="QOQ391" s="160">
        <v>0</v>
      </c>
      <c r="QOR391" s="160">
        <v>0</v>
      </c>
      <c r="QOS391" s="160">
        <v>0</v>
      </c>
      <c r="QOT391" s="160">
        <v>0</v>
      </c>
      <c r="QOU391" s="160">
        <v>0</v>
      </c>
      <c r="QOV391" s="160">
        <v>0</v>
      </c>
      <c r="QOW391" s="160">
        <v>0</v>
      </c>
      <c r="QOX391" s="160">
        <v>0</v>
      </c>
      <c r="QOY391" s="160">
        <v>0</v>
      </c>
      <c r="QOZ391" s="160">
        <v>0</v>
      </c>
      <c r="QPA391" s="160">
        <v>0</v>
      </c>
      <c r="QPB391" s="160">
        <v>0</v>
      </c>
      <c r="QPC391" s="160">
        <v>0</v>
      </c>
      <c r="QPD391" s="160">
        <v>0</v>
      </c>
      <c r="QPE391" s="160">
        <v>0</v>
      </c>
      <c r="QPF391" s="160">
        <v>0</v>
      </c>
      <c r="QPG391" s="160">
        <v>0</v>
      </c>
      <c r="QPH391" s="160">
        <v>0</v>
      </c>
      <c r="QPI391" s="160">
        <v>0</v>
      </c>
      <c r="QPJ391" s="160">
        <v>0</v>
      </c>
      <c r="QPK391" s="160">
        <v>0</v>
      </c>
      <c r="QPL391" s="160">
        <v>0</v>
      </c>
      <c r="QPM391" s="160">
        <v>0</v>
      </c>
      <c r="QPN391" s="160">
        <v>0</v>
      </c>
      <c r="QPO391" s="160">
        <v>0</v>
      </c>
      <c r="QPP391" s="160">
        <v>0</v>
      </c>
      <c r="QPQ391" s="160">
        <v>0</v>
      </c>
      <c r="QPR391" s="160">
        <v>0</v>
      </c>
      <c r="QPS391" s="160">
        <v>0</v>
      </c>
      <c r="QPT391" s="160">
        <v>0</v>
      </c>
      <c r="QPU391" s="160">
        <v>0</v>
      </c>
      <c r="QPV391" s="160">
        <v>0</v>
      </c>
      <c r="QPW391" s="160">
        <v>0</v>
      </c>
      <c r="QPX391" s="160">
        <v>0</v>
      </c>
      <c r="QPY391" s="160">
        <v>0</v>
      </c>
      <c r="QPZ391" s="160">
        <v>0</v>
      </c>
      <c r="QQA391" s="160">
        <v>0</v>
      </c>
      <c r="QQB391" s="160">
        <v>0</v>
      </c>
      <c r="QQC391" s="160">
        <v>0</v>
      </c>
      <c r="QQD391" s="160">
        <v>0</v>
      </c>
      <c r="QQE391" s="160">
        <v>0</v>
      </c>
      <c r="QQF391" s="160">
        <v>0</v>
      </c>
      <c r="QQG391" s="160">
        <v>0</v>
      </c>
      <c r="QQH391" s="160">
        <v>0</v>
      </c>
      <c r="QQI391" s="160">
        <v>0</v>
      </c>
      <c r="QQJ391" s="160">
        <v>0</v>
      </c>
      <c r="QQK391" s="160">
        <v>0</v>
      </c>
      <c r="QQL391" s="160">
        <v>0</v>
      </c>
      <c r="QQM391" s="160">
        <v>0</v>
      </c>
      <c r="QQN391" s="160">
        <v>0</v>
      </c>
      <c r="QQO391" s="160">
        <v>0</v>
      </c>
      <c r="QQP391" s="160">
        <v>0</v>
      </c>
      <c r="QQQ391" s="160">
        <v>0</v>
      </c>
      <c r="QQR391" s="160">
        <v>0</v>
      </c>
      <c r="QQS391" s="160">
        <v>0</v>
      </c>
      <c r="QQT391" s="160">
        <v>0</v>
      </c>
      <c r="QQU391" s="160">
        <v>0</v>
      </c>
      <c r="QQV391" s="160">
        <v>0</v>
      </c>
      <c r="QQW391" s="160">
        <v>0</v>
      </c>
      <c r="QQX391" s="160">
        <v>0</v>
      </c>
      <c r="QQY391" s="160">
        <v>0</v>
      </c>
      <c r="QQZ391" s="160">
        <v>0</v>
      </c>
      <c r="QRA391" s="160">
        <v>0</v>
      </c>
      <c r="QRB391" s="160">
        <v>0</v>
      </c>
      <c r="QRC391" s="160">
        <v>0</v>
      </c>
      <c r="QRD391" s="160">
        <v>0</v>
      </c>
      <c r="QRE391" s="160">
        <v>0</v>
      </c>
      <c r="QRF391" s="160">
        <v>0</v>
      </c>
      <c r="QRG391" s="160">
        <v>0</v>
      </c>
      <c r="QRH391" s="160">
        <v>0</v>
      </c>
      <c r="QRI391" s="160">
        <v>0</v>
      </c>
      <c r="QRJ391" s="160">
        <v>0</v>
      </c>
      <c r="QRK391" s="160">
        <v>0</v>
      </c>
      <c r="QRL391" s="160">
        <v>0</v>
      </c>
      <c r="QRM391" s="160">
        <v>0</v>
      </c>
      <c r="QRN391" s="160">
        <v>0</v>
      </c>
      <c r="QRO391" s="160">
        <v>0</v>
      </c>
      <c r="QRP391" s="160">
        <v>0</v>
      </c>
      <c r="QRQ391" s="160">
        <v>0</v>
      </c>
      <c r="QRR391" s="160">
        <v>0</v>
      </c>
      <c r="QRS391" s="160">
        <v>0</v>
      </c>
      <c r="QRT391" s="160">
        <v>0</v>
      </c>
      <c r="QRU391" s="160">
        <v>0</v>
      </c>
      <c r="QRV391" s="160">
        <v>0</v>
      </c>
      <c r="QRW391" s="160">
        <v>0</v>
      </c>
      <c r="QRX391" s="160">
        <v>0</v>
      </c>
      <c r="QRY391" s="160">
        <v>0</v>
      </c>
      <c r="QRZ391" s="160">
        <v>0</v>
      </c>
      <c r="QSA391" s="160">
        <v>0</v>
      </c>
      <c r="QSB391" s="160">
        <v>0</v>
      </c>
      <c r="QSC391" s="160">
        <v>0</v>
      </c>
      <c r="QSD391" s="160">
        <v>0</v>
      </c>
      <c r="QSE391" s="160">
        <v>0</v>
      </c>
      <c r="QSF391" s="160">
        <v>0</v>
      </c>
      <c r="QSG391" s="160">
        <v>0</v>
      </c>
      <c r="QSH391" s="160">
        <v>0</v>
      </c>
      <c r="QSI391" s="160">
        <v>0</v>
      </c>
      <c r="QSJ391" s="160">
        <v>0</v>
      </c>
      <c r="QSK391" s="160">
        <v>0</v>
      </c>
      <c r="QSL391" s="160">
        <v>0</v>
      </c>
      <c r="QSM391" s="160">
        <v>0</v>
      </c>
      <c r="QSN391" s="160">
        <v>0</v>
      </c>
      <c r="QSO391" s="160">
        <v>0</v>
      </c>
      <c r="QSP391" s="160">
        <v>0</v>
      </c>
      <c r="QSQ391" s="160">
        <v>0</v>
      </c>
      <c r="QSR391" s="160">
        <v>0</v>
      </c>
      <c r="QSS391" s="160">
        <v>0</v>
      </c>
      <c r="QST391" s="160">
        <v>0</v>
      </c>
      <c r="QSU391" s="160">
        <v>0</v>
      </c>
      <c r="QSV391" s="160">
        <v>0</v>
      </c>
      <c r="QSW391" s="160">
        <v>0</v>
      </c>
      <c r="QSX391" s="160">
        <v>0</v>
      </c>
      <c r="QSY391" s="160">
        <v>0</v>
      </c>
      <c r="QSZ391" s="160">
        <v>0</v>
      </c>
      <c r="QTA391" s="160">
        <v>0</v>
      </c>
      <c r="QTB391" s="160">
        <v>0</v>
      </c>
      <c r="QTC391" s="160">
        <v>0</v>
      </c>
      <c r="QTD391" s="160">
        <v>0</v>
      </c>
      <c r="QTE391" s="160">
        <v>0</v>
      </c>
      <c r="QTF391" s="160">
        <v>0</v>
      </c>
      <c r="QTG391" s="160">
        <v>0</v>
      </c>
      <c r="QTH391" s="160">
        <v>0</v>
      </c>
      <c r="QTI391" s="160">
        <v>0</v>
      </c>
      <c r="QTJ391" s="160">
        <v>0</v>
      </c>
      <c r="QTK391" s="160">
        <v>0</v>
      </c>
      <c r="QTL391" s="160">
        <v>0</v>
      </c>
      <c r="QTM391" s="160">
        <v>0</v>
      </c>
      <c r="QTN391" s="160">
        <v>0</v>
      </c>
      <c r="QTO391" s="160">
        <v>0</v>
      </c>
      <c r="QTP391" s="160">
        <v>0</v>
      </c>
      <c r="QTQ391" s="160">
        <v>0</v>
      </c>
      <c r="QTR391" s="160">
        <v>0</v>
      </c>
      <c r="QTS391" s="160">
        <v>0</v>
      </c>
      <c r="QTT391" s="160">
        <v>0</v>
      </c>
      <c r="QTU391" s="160">
        <v>0</v>
      </c>
      <c r="QTV391" s="160">
        <v>0</v>
      </c>
      <c r="QTW391" s="160">
        <v>0</v>
      </c>
      <c r="QTX391" s="160">
        <v>0</v>
      </c>
      <c r="QTY391" s="160">
        <v>0</v>
      </c>
      <c r="QTZ391" s="160">
        <v>0</v>
      </c>
      <c r="QUA391" s="160">
        <v>0</v>
      </c>
      <c r="QUB391" s="160">
        <v>0</v>
      </c>
      <c r="QUC391" s="160">
        <v>0</v>
      </c>
      <c r="QUD391" s="160">
        <v>0</v>
      </c>
      <c r="QUE391" s="160">
        <v>0</v>
      </c>
      <c r="QUF391" s="160">
        <v>0</v>
      </c>
      <c r="QUG391" s="160">
        <v>0</v>
      </c>
      <c r="QUH391" s="160">
        <v>0</v>
      </c>
      <c r="QUI391" s="160">
        <v>0</v>
      </c>
      <c r="QUJ391" s="160">
        <v>0</v>
      </c>
      <c r="QUK391" s="160">
        <v>0</v>
      </c>
      <c r="QUL391" s="160">
        <v>0</v>
      </c>
      <c r="QUM391" s="160">
        <v>0</v>
      </c>
      <c r="QUN391" s="160">
        <v>0</v>
      </c>
      <c r="QUO391" s="160">
        <v>0</v>
      </c>
      <c r="QUP391" s="160">
        <v>0</v>
      </c>
      <c r="QUQ391" s="160">
        <v>0</v>
      </c>
      <c r="QUR391" s="160">
        <v>0</v>
      </c>
      <c r="QUS391" s="160">
        <v>0</v>
      </c>
      <c r="QUT391" s="160">
        <v>0</v>
      </c>
      <c r="QUU391" s="160">
        <v>0</v>
      </c>
      <c r="QUV391" s="160">
        <v>0</v>
      </c>
      <c r="QUW391" s="160">
        <v>0</v>
      </c>
      <c r="QUX391" s="160">
        <v>0</v>
      </c>
      <c r="QUY391" s="160">
        <v>0</v>
      </c>
      <c r="QUZ391" s="160">
        <v>0</v>
      </c>
      <c r="QVA391" s="160">
        <v>0</v>
      </c>
      <c r="QVB391" s="160">
        <v>0</v>
      </c>
      <c r="QVC391" s="160">
        <v>0</v>
      </c>
      <c r="QVD391" s="160">
        <v>0</v>
      </c>
      <c r="QVE391" s="160">
        <v>0</v>
      </c>
      <c r="QVF391" s="160">
        <v>0</v>
      </c>
      <c r="QVG391" s="160">
        <v>0</v>
      </c>
      <c r="QVH391" s="160">
        <v>0</v>
      </c>
      <c r="QVI391" s="160">
        <v>0</v>
      </c>
      <c r="QVJ391" s="160">
        <v>0</v>
      </c>
      <c r="QVK391" s="160">
        <v>0</v>
      </c>
      <c r="QVL391" s="160">
        <v>0</v>
      </c>
      <c r="QVM391" s="160">
        <v>0</v>
      </c>
      <c r="QVN391" s="160">
        <v>0</v>
      </c>
      <c r="QVO391" s="160">
        <v>0</v>
      </c>
      <c r="QVP391" s="160">
        <v>0</v>
      </c>
      <c r="QVQ391" s="160">
        <v>0</v>
      </c>
      <c r="QVR391" s="160">
        <v>0</v>
      </c>
      <c r="QVS391" s="160">
        <v>0</v>
      </c>
      <c r="QVT391" s="160">
        <v>0</v>
      </c>
      <c r="QVU391" s="160">
        <v>0</v>
      </c>
      <c r="QVV391" s="160">
        <v>0</v>
      </c>
      <c r="QVW391" s="160">
        <v>0</v>
      </c>
      <c r="QVX391" s="160">
        <v>0</v>
      </c>
      <c r="QVY391" s="160">
        <v>0</v>
      </c>
      <c r="QVZ391" s="160">
        <v>0</v>
      </c>
      <c r="QWA391" s="160">
        <v>0</v>
      </c>
      <c r="QWB391" s="160">
        <v>0</v>
      </c>
      <c r="QWC391" s="160">
        <v>0</v>
      </c>
      <c r="QWD391" s="160">
        <v>0</v>
      </c>
      <c r="QWE391" s="160">
        <v>0</v>
      </c>
      <c r="QWF391" s="160">
        <v>0</v>
      </c>
      <c r="QWG391" s="160">
        <v>0</v>
      </c>
      <c r="QWH391" s="160">
        <v>0</v>
      </c>
      <c r="QWI391" s="160">
        <v>0</v>
      </c>
      <c r="QWJ391" s="160">
        <v>0</v>
      </c>
      <c r="QWK391" s="160">
        <v>0</v>
      </c>
      <c r="QWL391" s="160">
        <v>0</v>
      </c>
      <c r="QWM391" s="160">
        <v>0</v>
      </c>
      <c r="QWN391" s="160">
        <v>0</v>
      </c>
      <c r="QWO391" s="160">
        <v>0</v>
      </c>
      <c r="QWP391" s="160">
        <v>0</v>
      </c>
      <c r="QWQ391" s="160">
        <v>0</v>
      </c>
      <c r="QWR391" s="160">
        <v>0</v>
      </c>
      <c r="QWS391" s="160">
        <v>0</v>
      </c>
      <c r="QWT391" s="160">
        <v>0</v>
      </c>
      <c r="QWU391" s="160">
        <v>0</v>
      </c>
      <c r="QWV391" s="160">
        <v>0</v>
      </c>
      <c r="QWW391" s="160">
        <v>0</v>
      </c>
      <c r="QWX391" s="160">
        <v>0</v>
      </c>
      <c r="QWY391" s="160">
        <v>0</v>
      </c>
      <c r="QWZ391" s="160">
        <v>0</v>
      </c>
      <c r="QXA391" s="160">
        <v>0</v>
      </c>
      <c r="QXB391" s="160">
        <v>0</v>
      </c>
      <c r="QXC391" s="160">
        <v>0</v>
      </c>
      <c r="QXD391" s="160">
        <v>0</v>
      </c>
      <c r="QXE391" s="160">
        <v>0</v>
      </c>
      <c r="QXF391" s="160">
        <v>0</v>
      </c>
      <c r="QXG391" s="160">
        <v>0</v>
      </c>
      <c r="QXH391" s="160">
        <v>0</v>
      </c>
      <c r="QXI391" s="160">
        <v>0</v>
      </c>
      <c r="QXJ391" s="160">
        <v>0</v>
      </c>
      <c r="QXK391" s="160">
        <v>0</v>
      </c>
      <c r="QXL391" s="160">
        <v>0</v>
      </c>
      <c r="QXM391" s="160">
        <v>0</v>
      </c>
      <c r="QXN391" s="160">
        <v>0</v>
      </c>
      <c r="QXO391" s="160">
        <v>0</v>
      </c>
      <c r="QXP391" s="160">
        <v>0</v>
      </c>
      <c r="QXQ391" s="160">
        <v>0</v>
      </c>
      <c r="QXR391" s="160">
        <v>0</v>
      </c>
      <c r="QXS391" s="160">
        <v>0</v>
      </c>
      <c r="QXT391" s="160">
        <v>0</v>
      </c>
      <c r="QXU391" s="160">
        <v>0</v>
      </c>
      <c r="QXV391" s="160">
        <v>0</v>
      </c>
      <c r="QXW391" s="160">
        <v>0</v>
      </c>
      <c r="QXX391" s="160">
        <v>0</v>
      </c>
      <c r="QXY391" s="160">
        <v>0</v>
      </c>
      <c r="QXZ391" s="160">
        <v>0</v>
      </c>
      <c r="QYA391" s="160">
        <v>0</v>
      </c>
      <c r="QYB391" s="160">
        <v>0</v>
      </c>
      <c r="QYC391" s="160">
        <v>0</v>
      </c>
      <c r="QYD391" s="160">
        <v>0</v>
      </c>
      <c r="QYE391" s="160">
        <v>0</v>
      </c>
      <c r="QYF391" s="160">
        <v>0</v>
      </c>
      <c r="QYG391" s="160">
        <v>0</v>
      </c>
      <c r="QYH391" s="160">
        <v>0</v>
      </c>
      <c r="QYI391" s="160">
        <v>0</v>
      </c>
      <c r="QYJ391" s="160">
        <v>0</v>
      </c>
      <c r="QYK391" s="160">
        <v>0</v>
      </c>
      <c r="QYL391" s="160">
        <v>0</v>
      </c>
      <c r="QYM391" s="160">
        <v>0</v>
      </c>
      <c r="QYN391" s="160">
        <v>0</v>
      </c>
      <c r="QYO391" s="160">
        <v>0</v>
      </c>
      <c r="QYP391" s="160">
        <v>0</v>
      </c>
      <c r="QYQ391" s="160">
        <v>0</v>
      </c>
      <c r="QYR391" s="160">
        <v>0</v>
      </c>
      <c r="QYS391" s="160">
        <v>0</v>
      </c>
      <c r="QYT391" s="160">
        <v>0</v>
      </c>
      <c r="QYU391" s="160">
        <v>0</v>
      </c>
      <c r="QYV391" s="160">
        <v>0</v>
      </c>
      <c r="QYW391" s="160">
        <v>0</v>
      </c>
      <c r="QYX391" s="160">
        <v>0</v>
      </c>
      <c r="QYY391" s="160">
        <v>0</v>
      </c>
      <c r="QYZ391" s="160">
        <v>0</v>
      </c>
      <c r="QZA391" s="160">
        <v>0</v>
      </c>
      <c r="QZB391" s="160">
        <v>0</v>
      </c>
      <c r="QZC391" s="160">
        <v>0</v>
      </c>
      <c r="QZD391" s="160">
        <v>0</v>
      </c>
      <c r="QZE391" s="160">
        <v>0</v>
      </c>
      <c r="QZF391" s="160">
        <v>0</v>
      </c>
      <c r="QZG391" s="160">
        <v>0</v>
      </c>
      <c r="QZH391" s="160">
        <v>0</v>
      </c>
      <c r="QZI391" s="160">
        <v>0</v>
      </c>
      <c r="QZJ391" s="160">
        <v>0</v>
      </c>
      <c r="QZK391" s="160">
        <v>0</v>
      </c>
      <c r="QZL391" s="160">
        <v>0</v>
      </c>
      <c r="QZM391" s="160">
        <v>0</v>
      </c>
      <c r="QZN391" s="160">
        <v>0</v>
      </c>
      <c r="QZO391" s="160">
        <v>0</v>
      </c>
      <c r="QZP391" s="160">
        <v>0</v>
      </c>
      <c r="QZQ391" s="160">
        <v>0</v>
      </c>
      <c r="QZR391" s="160">
        <v>0</v>
      </c>
      <c r="QZS391" s="160">
        <v>0</v>
      </c>
      <c r="QZT391" s="160">
        <v>0</v>
      </c>
      <c r="QZU391" s="160">
        <v>0</v>
      </c>
      <c r="QZV391" s="160">
        <v>0</v>
      </c>
      <c r="QZW391" s="160">
        <v>0</v>
      </c>
      <c r="QZX391" s="160">
        <v>0</v>
      </c>
      <c r="QZY391" s="160">
        <v>0</v>
      </c>
      <c r="QZZ391" s="160">
        <v>0</v>
      </c>
      <c r="RAA391" s="160">
        <v>0</v>
      </c>
      <c r="RAB391" s="160">
        <v>0</v>
      </c>
      <c r="RAC391" s="160">
        <v>0</v>
      </c>
      <c r="RAD391" s="160">
        <v>0</v>
      </c>
      <c r="RAE391" s="160">
        <v>0</v>
      </c>
      <c r="RAF391" s="160">
        <v>0</v>
      </c>
      <c r="RAG391" s="160">
        <v>0</v>
      </c>
      <c r="RAH391" s="160">
        <v>0</v>
      </c>
      <c r="RAI391" s="160">
        <v>0</v>
      </c>
      <c r="RAJ391" s="160">
        <v>0</v>
      </c>
      <c r="RAK391" s="160">
        <v>0</v>
      </c>
      <c r="RAL391" s="160">
        <v>0</v>
      </c>
      <c r="RAM391" s="160">
        <v>0</v>
      </c>
      <c r="RAN391" s="160">
        <v>0</v>
      </c>
      <c r="RAO391" s="160">
        <v>0</v>
      </c>
      <c r="RAP391" s="160">
        <v>0</v>
      </c>
      <c r="RAQ391" s="160">
        <v>0</v>
      </c>
      <c r="RAR391" s="160">
        <v>0</v>
      </c>
      <c r="RAS391" s="160">
        <v>0</v>
      </c>
      <c r="RAT391" s="160">
        <v>0</v>
      </c>
      <c r="RAU391" s="160">
        <v>0</v>
      </c>
      <c r="RAV391" s="160">
        <v>0</v>
      </c>
      <c r="RAW391" s="160">
        <v>0</v>
      </c>
      <c r="RAX391" s="160">
        <v>0</v>
      </c>
      <c r="RAY391" s="160">
        <v>0</v>
      </c>
      <c r="RAZ391" s="160">
        <v>0</v>
      </c>
      <c r="RBA391" s="160">
        <v>0</v>
      </c>
      <c r="RBB391" s="160">
        <v>0</v>
      </c>
      <c r="RBC391" s="160">
        <v>0</v>
      </c>
      <c r="RBD391" s="160">
        <v>0</v>
      </c>
      <c r="RBE391" s="160">
        <v>0</v>
      </c>
      <c r="RBF391" s="160">
        <v>0</v>
      </c>
      <c r="RBG391" s="160">
        <v>0</v>
      </c>
      <c r="RBH391" s="160">
        <v>0</v>
      </c>
      <c r="RBI391" s="160">
        <v>0</v>
      </c>
      <c r="RBJ391" s="160">
        <v>0</v>
      </c>
      <c r="RBK391" s="160">
        <v>0</v>
      </c>
      <c r="RBL391" s="160">
        <v>0</v>
      </c>
      <c r="RBM391" s="160">
        <v>0</v>
      </c>
      <c r="RBN391" s="160">
        <v>0</v>
      </c>
      <c r="RBO391" s="160">
        <v>0</v>
      </c>
      <c r="RBP391" s="160">
        <v>0</v>
      </c>
      <c r="RBQ391" s="160">
        <v>0</v>
      </c>
      <c r="RBR391" s="160">
        <v>0</v>
      </c>
      <c r="RBS391" s="160">
        <v>0</v>
      </c>
      <c r="RBT391" s="160">
        <v>0</v>
      </c>
      <c r="RBU391" s="160">
        <v>0</v>
      </c>
      <c r="RBV391" s="160">
        <v>0</v>
      </c>
      <c r="RBW391" s="160">
        <v>0</v>
      </c>
      <c r="RBX391" s="160">
        <v>0</v>
      </c>
      <c r="RBY391" s="160">
        <v>0</v>
      </c>
      <c r="RBZ391" s="160">
        <v>0</v>
      </c>
      <c r="RCA391" s="160">
        <v>0</v>
      </c>
      <c r="RCB391" s="160">
        <v>0</v>
      </c>
      <c r="RCC391" s="160">
        <v>0</v>
      </c>
      <c r="RCD391" s="160">
        <v>0</v>
      </c>
      <c r="RCE391" s="160">
        <v>0</v>
      </c>
      <c r="RCF391" s="160">
        <v>0</v>
      </c>
      <c r="RCG391" s="160">
        <v>0</v>
      </c>
      <c r="RCH391" s="160">
        <v>0</v>
      </c>
      <c r="RCI391" s="160">
        <v>0</v>
      </c>
      <c r="RCJ391" s="160">
        <v>0</v>
      </c>
      <c r="RCK391" s="160">
        <v>0</v>
      </c>
      <c r="RCL391" s="160">
        <v>0</v>
      </c>
      <c r="RCM391" s="160">
        <v>0</v>
      </c>
      <c r="RCN391" s="160">
        <v>0</v>
      </c>
      <c r="RCO391" s="160">
        <v>0</v>
      </c>
      <c r="RCP391" s="160">
        <v>0</v>
      </c>
      <c r="RCQ391" s="160">
        <v>0</v>
      </c>
      <c r="RCR391" s="160">
        <v>0</v>
      </c>
      <c r="RCS391" s="160">
        <v>0</v>
      </c>
      <c r="RCT391" s="160">
        <v>0</v>
      </c>
      <c r="RCU391" s="160">
        <v>0</v>
      </c>
      <c r="RCV391" s="160">
        <v>0</v>
      </c>
      <c r="RCW391" s="160">
        <v>0</v>
      </c>
      <c r="RCX391" s="160">
        <v>0</v>
      </c>
      <c r="RCY391" s="160">
        <v>0</v>
      </c>
      <c r="RCZ391" s="160">
        <v>0</v>
      </c>
      <c r="RDA391" s="160">
        <v>0</v>
      </c>
      <c r="RDB391" s="160">
        <v>0</v>
      </c>
      <c r="RDC391" s="160">
        <v>0</v>
      </c>
      <c r="RDD391" s="160">
        <v>0</v>
      </c>
      <c r="RDE391" s="160">
        <v>0</v>
      </c>
      <c r="RDF391" s="160">
        <v>0</v>
      </c>
      <c r="RDG391" s="160">
        <v>0</v>
      </c>
      <c r="RDH391" s="160">
        <v>0</v>
      </c>
      <c r="RDI391" s="160">
        <v>0</v>
      </c>
      <c r="RDJ391" s="160">
        <v>0</v>
      </c>
      <c r="RDK391" s="160">
        <v>0</v>
      </c>
      <c r="RDL391" s="160">
        <v>0</v>
      </c>
      <c r="RDM391" s="160">
        <v>0</v>
      </c>
      <c r="RDN391" s="160">
        <v>0</v>
      </c>
      <c r="RDO391" s="160">
        <v>0</v>
      </c>
      <c r="RDP391" s="160">
        <v>0</v>
      </c>
      <c r="RDQ391" s="160">
        <v>0</v>
      </c>
      <c r="RDR391" s="160">
        <v>0</v>
      </c>
      <c r="RDS391" s="160">
        <v>0</v>
      </c>
      <c r="RDT391" s="160">
        <v>0</v>
      </c>
      <c r="RDU391" s="160">
        <v>0</v>
      </c>
      <c r="RDV391" s="160">
        <v>0</v>
      </c>
      <c r="RDW391" s="160">
        <v>0</v>
      </c>
      <c r="RDX391" s="160">
        <v>0</v>
      </c>
      <c r="RDY391" s="160">
        <v>0</v>
      </c>
      <c r="RDZ391" s="160">
        <v>0</v>
      </c>
      <c r="REA391" s="160">
        <v>0</v>
      </c>
      <c r="REB391" s="160">
        <v>0</v>
      </c>
      <c r="REC391" s="160">
        <v>0</v>
      </c>
      <c r="RED391" s="160">
        <v>0</v>
      </c>
      <c r="REE391" s="160">
        <v>0</v>
      </c>
      <c r="REF391" s="160">
        <v>0</v>
      </c>
      <c r="REG391" s="160">
        <v>0</v>
      </c>
      <c r="REH391" s="160">
        <v>0</v>
      </c>
      <c r="REI391" s="160">
        <v>0</v>
      </c>
      <c r="REJ391" s="160">
        <v>0</v>
      </c>
      <c r="REK391" s="160">
        <v>0</v>
      </c>
      <c r="REL391" s="160">
        <v>0</v>
      </c>
      <c r="REM391" s="160">
        <v>0</v>
      </c>
      <c r="REN391" s="160">
        <v>0</v>
      </c>
      <c r="REO391" s="160">
        <v>0</v>
      </c>
      <c r="REP391" s="160">
        <v>0</v>
      </c>
      <c r="REQ391" s="160">
        <v>0</v>
      </c>
      <c r="RER391" s="160">
        <v>0</v>
      </c>
      <c r="RES391" s="160">
        <v>0</v>
      </c>
      <c r="RET391" s="160">
        <v>0</v>
      </c>
      <c r="REU391" s="160">
        <v>0</v>
      </c>
      <c r="REV391" s="160">
        <v>0</v>
      </c>
      <c r="REW391" s="160">
        <v>0</v>
      </c>
      <c r="REX391" s="160">
        <v>0</v>
      </c>
      <c r="REY391" s="160">
        <v>0</v>
      </c>
      <c r="REZ391" s="160">
        <v>0</v>
      </c>
      <c r="RFA391" s="160">
        <v>0</v>
      </c>
      <c r="RFB391" s="160">
        <v>0</v>
      </c>
      <c r="RFC391" s="160">
        <v>0</v>
      </c>
      <c r="RFD391" s="160">
        <v>0</v>
      </c>
      <c r="RFE391" s="160">
        <v>0</v>
      </c>
      <c r="RFF391" s="160">
        <v>0</v>
      </c>
      <c r="RFG391" s="160">
        <v>0</v>
      </c>
      <c r="RFH391" s="160">
        <v>0</v>
      </c>
      <c r="RFI391" s="160">
        <v>0</v>
      </c>
      <c r="RFJ391" s="160">
        <v>0</v>
      </c>
      <c r="RFK391" s="160">
        <v>0</v>
      </c>
      <c r="RFL391" s="160">
        <v>0</v>
      </c>
      <c r="RFM391" s="160">
        <v>0</v>
      </c>
      <c r="RFN391" s="160">
        <v>0</v>
      </c>
      <c r="RFO391" s="160">
        <v>0</v>
      </c>
      <c r="RFP391" s="160">
        <v>0</v>
      </c>
      <c r="RFQ391" s="160">
        <v>0</v>
      </c>
      <c r="RFR391" s="160">
        <v>0</v>
      </c>
      <c r="RFS391" s="160">
        <v>0</v>
      </c>
      <c r="RFT391" s="160">
        <v>0</v>
      </c>
      <c r="RFU391" s="160">
        <v>0</v>
      </c>
      <c r="RFV391" s="160">
        <v>0</v>
      </c>
      <c r="RFW391" s="160">
        <v>0</v>
      </c>
      <c r="RFX391" s="160">
        <v>0</v>
      </c>
      <c r="RFY391" s="160">
        <v>0</v>
      </c>
      <c r="RFZ391" s="160">
        <v>0</v>
      </c>
      <c r="RGA391" s="160">
        <v>0</v>
      </c>
      <c r="RGB391" s="160">
        <v>0</v>
      </c>
      <c r="RGC391" s="160">
        <v>0</v>
      </c>
      <c r="RGD391" s="160">
        <v>0</v>
      </c>
      <c r="RGE391" s="160">
        <v>0</v>
      </c>
      <c r="RGF391" s="160">
        <v>0</v>
      </c>
      <c r="RGG391" s="160">
        <v>0</v>
      </c>
      <c r="RGH391" s="160">
        <v>0</v>
      </c>
      <c r="RGI391" s="160">
        <v>0</v>
      </c>
      <c r="RGJ391" s="160">
        <v>0</v>
      </c>
      <c r="RGK391" s="160">
        <v>0</v>
      </c>
      <c r="RGL391" s="160">
        <v>0</v>
      </c>
      <c r="RGM391" s="160">
        <v>0</v>
      </c>
      <c r="RGN391" s="160">
        <v>0</v>
      </c>
      <c r="RGO391" s="160">
        <v>0</v>
      </c>
      <c r="RGP391" s="160">
        <v>0</v>
      </c>
      <c r="RGQ391" s="160">
        <v>0</v>
      </c>
      <c r="RGR391" s="160">
        <v>0</v>
      </c>
      <c r="RGS391" s="160">
        <v>0</v>
      </c>
      <c r="RGT391" s="160">
        <v>0</v>
      </c>
      <c r="RGU391" s="160">
        <v>0</v>
      </c>
      <c r="RGV391" s="160">
        <v>0</v>
      </c>
      <c r="RGW391" s="160">
        <v>0</v>
      </c>
      <c r="RGX391" s="160">
        <v>0</v>
      </c>
      <c r="RGY391" s="160">
        <v>0</v>
      </c>
      <c r="RGZ391" s="160">
        <v>0</v>
      </c>
      <c r="RHA391" s="160">
        <v>0</v>
      </c>
      <c r="RHB391" s="160">
        <v>0</v>
      </c>
      <c r="RHC391" s="160">
        <v>0</v>
      </c>
      <c r="RHD391" s="160">
        <v>0</v>
      </c>
      <c r="RHE391" s="160">
        <v>0</v>
      </c>
      <c r="RHF391" s="160">
        <v>0</v>
      </c>
      <c r="RHG391" s="160">
        <v>0</v>
      </c>
      <c r="RHH391" s="160">
        <v>0</v>
      </c>
      <c r="RHI391" s="160">
        <v>0</v>
      </c>
      <c r="RHJ391" s="160">
        <v>0</v>
      </c>
      <c r="RHK391" s="160">
        <v>0</v>
      </c>
      <c r="RHL391" s="160">
        <v>0</v>
      </c>
      <c r="RHM391" s="160">
        <v>0</v>
      </c>
      <c r="RHN391" s="160">
        <v>0</v>
      </c>
      <c r="RHO391" s="160">
        <v>0</v>
      </c>
      <c r="RHP391" s="160">
        <v>0</v>
      </c>
      <c r="RHQ391" s="160">
        <v>0</v>
      </c>
      <c r="RHR391" s="160">
        <v>0</v>
      </c>
      <c r="RHS391" s="160">
        <v>0</v>
      </c>
      <c r="RHT391" s="160">
        <v>0</v>
      </c>
      <c r="RHU391" s="160">
        <v>0</v>
      </c>
      <c r="RHV391" s="160">
        <v>0</v>
      </c>
      <c r="RHW391" s="160">
        <v>0</v>
      </c>
      <c r="RHX391" s="160">
        <v>0</v>
      </c>
      <c r="RHY391" s="160">
        <v>0</v>
      </c>
      <c r="RHZ391" s="160">
        <v>0</v>
      </c>
      <c r="RIA391" s="160">
        <v>0</v>
      </c>
      <c r="RIB391" s="160">
        <v>0</v>
      </c>
      <c r="RIC391" s="160">
        <v>0</v>
      </c>
      <c r="RID391" s="160">
        <v>0</v>
      </c>
      <c r="RIE391" s="160">
        <v>0</v>
      </c>
      <c r="RIF391" s="160">
        <v>0</v>
      </c>
      <c r="RIG391" s="160">
        <v>0</v>
      </c>
      <c r="RIH391" s="160">
        <v>0</v>
      </c>
      <c r="RII391" s="160">
        <v>0</v>
      </c>
      <c r="RIJ391" s="160">
        <v>0</v>
      </c>
      <c r="RIK391" s="160">
        <v>0</v>
      </c>
      <c r="RIL391" s="160">
        <v>0</v>
      </c>
      <c r="RIM391" s="160">
        <v>0</v>
      </c>
      <c r="RIN391" s="160">
        <v>0</v>
      </c>
      <c r="RIO391" s="160">
        <v>0</v>
      </c>
      <c r="RIP391" s="160">
        <v>0</v>
      </c>
      <c r="RIQ391" s="160">
        <v>0</v>
      </c>
      <c r="RIR391" s="160">
        <v>0</v>
      </c>
      <c r="RIS391" s="160">
        <v>0</v>
      </c>
      <c r="RIT391" s="160">
        <v>0</v>
      </c>
      <c r="RIU391" s="160">
        <v>0</v>
      </c>
      <c r="RIV391" s="160">
        <v>0</v>
      </c>
      <c r="RIW391" s="160">
        <v>0</v>
      </c>
      <c r="RIX391" s="160">
        <v>0</v>
      </c>
      <c r="RIY391" s="160">
        <v>0</v>
      </c>
      <c r="RIZ391" s="160">
        <v>0</v>
      </c>
      <c r="RJA391" s="160">
        <v>0</v>
      </c>
      <c r="RJB391" s="160">
        <v>0</v>
      </c>
      <c r="RJC391" s="160">
        <v>0</v>
      </c>
      <c r="RJD391" s="160">
        <v>0</v>
      </c>
      <c r="RJE391" s="160">
        <v>0</v>
      </c>
      <c r="RJF391" s="160">
        <v>0</v>
      </c>
      <c r="RJG391" s="160">
        <v>0</v>
      </c>
      <c r="RJH391" s="160">
        <v>0</v>
      </c>
      <c r="RJI391" s="160">
        <v>0</v>
      </c>
      <c r="RJJ391" s="160">
        <v>0</v>
      </c>
      <c r="RJK391" s="160">
        <v>0</v>
      </c>
      <c r="RJL391" s="160">
        <v>0</v>
      </c>
      <c r="RJM391" s="160">
        <v>0</v>
      </c>
      <c r="RJN391" s="160">
        <v>0</v>
      </c>
      <c r="RJO391" s="160">
        <v>0</v>
      </c>
      <c r="RJP391" s="160">
        <v>0</v>
      </c>
      <c r="RJQ391" s="160">
        <v>0</v>
      </c>
      <c r="RJR391" s="160">
        <v>0</v>
      </c>
      <c r="RJS391" s="160">
        <v>0</v>
      </c>
      <c r="RJT391" s="160">
        <v>0</v>
      </c>
      <c r="RJU391" s="160">
        <v>0</v>
      </c>
      <c r="RJV391" s="160">
        <v>0</v>
      </c>
      <c r="RJW391" s="160">
        <v>0</v>
      </c>
      <c r="RJX391" s="160">
        <v>0</v>
      </c>
      <c r="RJY391" s="160">
        <v>0</v>
      </c>
      <c r="RJZ391" s="160">
        <v>0</v>
      </c>
      <c r="RKA391" s="160">
        <v>0</v>
      </c>
      <c r="RKB391" s="160">
        <v>0</v>
      </c>
      <c r="RKC391" s="160">
        <v>0</v>
      </c>
      <c r="RKD391" s="160">
        <v>0</v>
      </c>
      <c r="RKE391" s="160">
        <v>0</v>
      </c>
      <c r="RKF391" s="160">
        <v>0</v>
      </c>
      <c r="RKG391" s="160">
        <v>0</v>
      </c>
      <c r="RKH391" s="160">
        <v>0</v>
      </c>
      <c r="RKI391" s="160">
        <v>0</v>
      </c>
      <c r="RKJ391" s="160">
        <v>0</v>
      </c>
      <c r="RKK391" s="160">
        <v>0</v>
      </c>
      <c r="RKL391" s="160">
        <v>0</v>
      </c>
      <c r="RKM391" s="160">
        <v>0</v>
      </c>
      <c r="RKN391" s="160">
        <v>0</v>
      </c>
      <c r="RKO391" s="160">
        <v>0</v>
      </c>
      <c r="RKP391" s="160">
        <v>0</v>
      </c>
      <c r="RKQ391" s="160">
        <v>0</v>
      </c>
      <c r="RKR391" s="160">
        <v>0</v>
      </c>
      <c r="RKS391" s="160">
        <v>0</v>
      </c>
      <c r="RKT391" s="160">
        <v>0</v>
      </c>
      <c r="RKU391" s="160">
        <v>0</v>
      </c>
      <c r="RKV391" s="160">
        <v>0</v>
      </c>
      <c r="RKW391" s="160">
        <v>0</v>
      </c>
      <c r="RKX391" s="160">
        <v>0</v>
      </c>
      <c r="RKY391" s="160">
        <v>0</v>
      </c>
      <c r="RKZ391" s="160">
        <v>0</v>
      </c>
      <c r="RLA391" s="160">
        <v>0</v>
      </c>
      <c r="RLB391" s="160">
        <v>0</v>
      </c>
      <c r="RLC391" s="160">
        <v>0</v>
      </c>
      <c r="RLD391" s="160">
        <v>0</v>
      </c>
      <c r="RLE391" s="160">
        <v>0</v>
      </c>
      <c r="RLF391" s="160">
        <v>0</v>
      </c>
      <c r="RLG391" s="160">
        <v>0</v>
      </c>
      <c r="RLH391" s="160">
        <v>0</v>
      </c>
      <c r="RLI391" s="160">
        <v>0</v>
      </c>
      <c r="RLJ391" s="160">
        <v>0</v>
      </c>
      <c r="RLK391" s="160">
        <v>0</v>
      </c>
      <c r="RLL391" s="160">
        <v>0</v>
      </c>
      <c r="RLM391" s="160">
        <v>0</v>
      </c>
      <c r="RLN391" s="160">
        <v>0</v>
      </c>
      <c r="RLO391" s="160">
        <v>0</v>
      </c>
      <c r="RLP391" s="160">
        <v>0</v>
      </c>
      <c r="RLQ391" s="160">
        <v>0</v>
      </c>
      <c r="RLR391" s="160">
        <v>0</v>
      </c>
      <c r="RLS391" s="160">
        <v>0</v>
      </c>
      <c r="RLT391" s="160">
        <v>0</v>
      </c>
      <c r="RLU391" s="160">
        <v>0</v>
      </c>
      <c r="RLV391" s="160">
        <v>0</v>
      </c>
      <c r="RLW391" s="160">
        <v>0</v>
      </c>
      <c r="RLX391" s="160">
        <v>0</v>
      </c>
      <c r="RLY391" s="160">
        <v>0</v>
      </c>
      <c r="RLZ391" s="160">
        <v>0</v>
      </c>
      <c r="RMA391" s="160">
        <v>0</v>
      </c>
      <c r="RMB391" s="160">
        <v>0</v>
      </c>
      <c r="RMC391" s="160">
        <v>0</v>
      </c>
      <c r="RMD391" s="160">
        <v>0</v>
      </c>
      <c r="RME391" s="160">
        <v>0</v>
      </c>
      <c r="RMF391" s="160">
        <v>0</v>
      </c>
      <c r="RMG391" s="160">
        <v>0</v>
      </c>
      <c r="RMH391" s="160">
        <v>0</v>
      </c>
      <c r="RMI391" s="160">
        <v>0</v>
      </c>
      <c r="RMJ391" s="160">
        <v>0</v>
      </c>
      <c r="RMK391" s="160">
        <v>0</v>
      </c>
      <c r="RML391" s="160">
        <v>0</v>
      </c>
      <c r="RMM391" s="160">
        <v>0</v>
      </c>
      <c r="RMN391" s="160">
        <v>0</v>
      </c>
      <c r="RMO391" s="160">
        <v>0</v>
      </c>
      <c r="RMP391" s="160">
        <v>0</v>
      </c>
      <c r="RMQ391" s="160">
        <v>0</v>
      </c>
      <c r="RMR391" s="160">
        <v>0</v>
      </c>
      <c r="RMS391" s="160">
        <v>0</v>
      </c>
      <c r="RMT391" s="160">
        <v>0</v>
      </c>
      <c r="RMU391" s="160">
        <v>0</v>
      </c>
      <c r="RMV391" s="160">
        <v>0</v>
      </c>
      <c r="RMW391" s="160">
        <v>0</v>
      </c>
      <c r="RMX391" s="160">
        <v>0</v>
      </c>
      <c r="RMY391" s="160">
        <v>0</v>
      </c>
      <c r="RMZ391" s="160">
        <v>0</v>
      </c>
      <c r="RNA391" s="160">
        <v>0</v>
      </c>
      <c r="RNB391" s="160">
        <v>0</v>
      </c>
      <c r="RNC391" s="160">
        <v>0</v>
      </c>
      <c r="RND391" s="160">
        <v>0</v>
      </c>
      <c r="RNE391" s="160">
        <v>0</v>
      </c>
      <c r="RNF391" s="160">
        <v>0</v>
      </c>
      <c r="RNG391" s="160">
        <v>0</v>
      </c>
      <c r="RNH391" s="160">
        <v>0</v>
      </c>
      <c r="RNI391" s="160">
        <v>0</v>
      </c>
      <c r="RNJ391" s="160">
        <v>0</v>
      </c>
      <c r="RNK391" s="160">
        <v>0</v>
      </c>
      <c r="RNL391" s="160">
        <v>0</v>
      </c>
      <c r="RNM391" s="160">
        <v>0</v>
      </c>
      <c r="RNN391" s="160">
        <v>0</v>
      </c>
      <c r="RNO391" s="160">
        <v>0</v>
      </c>
      <c r="RNP391" s="160">
        <v>0</v>
      </c>
      <c r="RNQ391" s="160">
        <v>0</v>
      </c>
      <c r="RNR391" s="160">
        <v>0</v>
      </c>
      <c r="RNS391" s="160">
        <v>0</v>
      </c>
      <c r="RNT391" s="160">
        <v>0</v>
      </c>
      <c r="RNU391" s="160">
        <v>0</v>
      </c>
      <c r="RNV391" s="160">
        <v>0</v>
      </c>
      <c r="RNW391" s="160">
        <v>0</v>
      </c>
      <c r="RNX391" s="160">
        <v>0</v>
      </c>
      <c r="RNY391" s="160">
        <v>0</v>
      </c>
      <c r="RNZ391" s="160">
        <v>0</v>
      </c>
      <c r="ROA391" s="160">
        <v>0</v>
      </c>
      <c r="ROB391" s="160">
        <v>0</v>
      </c>
      <c r="ROC391" s="160">
        <v>0</v>
      </c>
      <c r="ROD391" s="160">
        <v>0</v>
      </c>
      <c r="ROE391" s="160">
        <v>0</v>
      </c>
      <c r="ROF391" s="160">
        <v>0</v>
      </c>
      <c r="ROG391" s="160">
        <v>0</v>
      </c>
      <c r="ROH391" s="160">
        <v>0</v>
      </c>
      <c r="ROI391" s="160">
        <v>0</v>
      </c>
      <c r="ROJ391" s="160">
        <v>0</v>
      </c>
      <c r="ROK391" s="160">
        <v>0</v>
      </c>
      <c r="ROL391" s="160">
        <v>0</v>
      </c>
      <c r="ROM391" s="160">
        <v>0</v>
      </c>
      <c r="RON391" s="160">
        <v>0</v>
      </c>
      <c r="ROO391" s="160">
        <v>0</v>
      </c>
      <c r="ROP391" s="160">
        <v>0</v>
      </c>
      <c r="ROQ391" s="160">
        <v>0</v>
      </c>
      <c r="ROR391" s="160">
        <v>0</v>
      </c>
      <c r="ROS391" s="160">
        <v>0</v>
      </c>
      <c r="ROT391" s="160">
        <v>0</v>
      </c>
      <c r="ROU391" s="160">
        <v>0</v>
      </c>
      <c r="ROV391" s="160">
        <v>0</v>
      </c>
      <c r="ROW391" s="160">
        <v>0</v>
      </c>
      <c r="ROX391" s="160">
        <v>0</v>
      </c>
      <c r="ROY391" s="160">
        <v>0</v>
      </c>
      <c r="ROZ391" s="160">
        <v>0</v>
      </c>
      <c r="RPA391" s="160">
        <v>0</v>
      </c>
      <c r="RPB391" s="160">
        <v>0</v>
      </c>
      <c r="RPC391" s="160">
        <v>0</v>
      </c>
      <c r="RPD391" s="160">
        <v>0</v>
      </c>
      <c r="RPE391" s="160">
        <v>0</v>
      </c>
      <c r="RPF391" s="160">
        <v>0</v>
      </c>
      <c r="RPG391" s="160">
        <v>0</v>
      </c>
      <c r="RPH391" s="160">
        <v>0</v>
      </c>
      <c r="RPI391" s="160">
        <v>0</v>
      </c>
      <c r="RPJ391" s="160">
        <v>0</v>
      </c>
      <c r="RPK391" s="160">
        <v>0</v>
      </c>
      <c r="RPL391" s="160">
        <v>0</v>
      </c>
      <c r="RPM391" s="160">
        <v>0</v>
      </c>
      <c r="RPN391" s="160">
        <v>0</v>
      </c>
      <c r="RPO391" s="160">
        <v>0</v>
      </c>
      <c r="RPP391" s="160">
        <v>0</v>
      </c>
      <c r="RPQ391" s="160">
        <v>0</v>
      </c>
      <c r="RPR391" s="160">
        <v>0</v>
      </c>
      <c r="RPS391" s="160">
        <v>0</v>
      </c>
      <c r="RPT391" s="160">
        <v>0</v>
      </c>
      <c r="RPU391" s="160">
        <v>0</v>
      </c>
      <c r="RPV391" s="160">
        <v>0</v>
      </c>
      <c r="RPW391" s="160">
        <v>0</v>
      </c>
      <c r="RPX391" s="160">
        <v>0</v>
      </c>
      <c r="RPY391" s="160">
        <v>0</v>
      </c>
      <c r="RPZ391" s="160">
        <v>0</v>
      </c>
      <c r="RQA391" s="160">
        <v>0</v>
      </c>
      <c r="RQB391" s="160">
        <v>0</v>
      </c>
      <c r="RQC391" s="160">
        <v>0</v>
      </c>
      <c r="RQD391" s="160">
        <v>0</v>
      </c>
      <c r="RQE391" s="160">
        <v>0</v>
      </c>
      <c r="RQF391" s="160">
        <v>0</v>
      </c>
      <c r="RQG391" s="160">
        <v>0</v>
      </c>
      <c r="RQH391" s="160">
        <v>0</v>
      </c>
      <c r="RQI391" s="160">
        <v>0</v>
      </c>
      <c r="RQJ391" s="160">
        <v>0</v>
      </c>
      <c r="RQK391" s="160">
        <v>0</v>
      </c>
      <c r="RQL391" s="160">
        <v>0</v>
      </c>
      <c r="RQM391" s="160">
        <v>0</v>
      </c>
      <c r="RQN391" s="160">
        <v>0</v>
      </c>
      <c r="RQO391" s="160">
        <v>0</v>
      </c>
      <c r="RQP391" s="160">
        <v>0</v>
      </c>
      <c r="RQQ391" s="160">
        <v>0</v>
      </c>
      <c r="RQR391" s="160">
        <v>0</v>
      </c>
      <c r="RQS391" s="160">
        <v>0</v>
      </c>
      <c r="RQT391" s="160">
        <v>0</v>
      </c>
      <c r="RQU391" s="160">
        <v>0</v>
      </c>
      <c r="RQV391" s="160">
        <v>0</v>
      </c>
      <c r="RQW391" s="160">
        <v>0</v>
      </c>
      <c r="RQX391" s="160">
        <v>0</v>
      </c>
      <c r="RQY391" s="160">
        <v>0</v>
      </c>
      <c r="RQZ391" s="160">
        <v>0</v>
      </c>
      <c r="RRA391" s="160">
        <v>0</v>
      </c>
      <c r="RRB391" s="160">
        <v>0</v>
      </c>
      <c r="RRC391" s="160">
        <v>0</v>
      </c>
      <c r="RRD391" s="160">
        <v>0</v>
      </c>
      <c r="RRE391" s="160">
        <v>0</v>
      </c>
      <c r="RRF391" s="160">
        <v>0</v>
      </c>
      <c r="RRG391" s="160">
        <v>0</v>
      </c>
      <c r="RRH391" s="160">
        <v>0</v>
      </c>
      <c r="RRI391" s="160">
        <v>0</v>
      </c>
      <c r="RRJ391" s="160">
        <v>0</v>
      </c>
      <c r="RRK391" s="160">
        <v>0</v>
      </c>
      <c r="RRL391" s="160">
        <v>0</v>
      </c>
      <c r="RRM391" s="160">
        <v>0</v>
      </c>
      <c r="RRN391" s="160">
        <v>0</v>
      </c>
      <c r="RRO391" s="160">
        <v>0</v>
      </c>
      <c r="RRP391" s="160">
        <v>0</v>
      </c>
      <c r="RRQ391" s="160">
        <v>0</v>
      </c>
      <c r="RRR391" s="160">
        <v>0</v>
      </c>
      <c r="RRS391" s="160">
        <v>0</v>
      </c>
      <c r="RRT391" s="160">
        <v>0</v>
      </c>
      <c r="RRU391" s="160">
        <v>0</v>
      </c>
      <c r="RRV391" s="160">
        <v>0</v>
      </c>
      <c r="RRW391" s="160">
        <v>0</v>
      </c>
      <c r="RRX391" s="160">
        <v>0</v>
      </c>
      <c r="RRY391" s="160">
        <v>0</v>
      </c>
      <c r="RRZ391" s="160">
        <v>0</v>
      </c>
      <c r="RSA391" s="160">
        <v>0</v>
      </c>
      <c r="RSB391" s="160">
        <v>0</v>
      </c>
      <c r="RSC391" s="160">
        <v>0</v>
      </c>
      <c r="RSD391" s="160">
        <v>0</v>
      </c>
      <c r="RSE391" s="160">
        <v>0</v>
      </c>
      <c r="RSF391" s="160">
        <v>0</v>
      </c>
      <c r="RSG391" s="160">
        <v>0</v>
      </c>
      <c r="RSH391" s="160">
        <v>0</v>
      </c>
      <c r="RSI391" s="160">
        <v>0</v>
      </c>
      <c r="RSJ391" s="160">
        <v>0</v>
      </c>
      <c r="RSK391" s="160">
        <v>0</v>
      </c>
      <c r="RSL391" s="160">
        <v>0</v>
      </c>
      <c r="RSM391" s="160">
        <v>0</v>
      </c>
      <c r="RSN391" s="160">
        <v>0</v>
      </c>
      <c r="RSO391" s="160">
        <v>0</v>
      </c>
      <c r="RSP391" s="160">
        <v>0</v>
      </c>
      <c r="RSQ391" s="160">
        <v>0</v>
      </c>
      <c r="RSR391" s="160">
        <v>0</v>
      </c>
      <c r="RSS391" s="160">
        <v>0</v>
      </c>
      <c r="RST391" s="160">
        <v>0</v>
      </c>
      <c r="RSU391" s="160">
        <v>0</v>
      </c>
      <c r="RSV391" s="160">
        <v>0</v>
      </c>
      <c r="RSW391" s="160">
        <v>0</v>
      </c>
      <c r="RSX391" s="160">
        <v>0</v>
      </c>
      <c r="RSY391" s="160">
        <v>0</v>
      </c>
      <c r="RSZ391" s="160">
        <v>0</v>
      </c>
      <c r="RTA391" s="160">
        <v>0</v>
      </c>
      <c r="RTB391" s="160">
        <v>0</v>
      </c>
      <c r="RTC391" s="160">
        <v>0</v>
      </c>
      <c r="RTD391" s="160">
        <v>0</v>
      </c>
      <c r="RTE391" s="160">
        <v>0</v>
      </c>
      <c r="RTF391" s="160">
        <v>0</v>
      </c>
      <c r="RTG391" s="160">
        <v>0</v>
      </c>
      <c r="RTH391" s="160">
        <v>0</v>
      </c>
      <c r="RTI391" s="160">
        <v>0</v>
      </c>
      <c r="RTJ391" s="160">
        <v>0</v>
      </c>
      <c r="RTK391" s="160">
        <v>0</v>
      </c>
      <c r="RTL391" s="160">
        <v>0</v>
      </c>
      <c r="RTM391" s="160">
        <v>0</v>
      </c>
      <c r="RTN391" s="160">
        <v>0</v>
      </c>
      <c r="RTO391" s="160">
        <v>0</v>
      </c>
      <c r="RTP391" s="160">
        <v>0</v>
      </c>
      <c r="RTQ391" s="160">
        <v>0</v>
      </c>
      <c r="RTR391" s="160">
        <v>0</v>
      </c>
      <c r="RTS391" s="160">
        <v>0</v>
      </c>
      <c r="RTT391" s="160">
        <v>0</v>
      </c>
      <c r="RTU391" s="160">
        <v>0</v>
      </c>
      <c r="RTV391" s="160">
        <v>0</v>
      </c>
      <c r="RTW391" s="160">
        <v>0</v>
      </c>
      <c r="RTX391" s="160">
        <v>0</v>
      </c>
      <c r="RTY391" s="160">
        <v>0</v>
      </c>
      <c r="RTZ391" s="160">
        <v>0</v>
      </c>
      <c r="RUA391" s="160">
        <v>0</v>
      </c>
      <c r="RUB391" s="160">
        <v>0</v>
      </c>
      <c r="RUC391" s="160">
        <v>0</v>
      </c>
      <c r="RUD391" s="160">
        <v>0</v>
      </c>
      <c r="RUE391" s="160">
        <v>0</v>
      </c>
      <c r="RUF391" s="160">
        <v>0</v>
      </c>
      <c r="RUG391" s="160">
        <v>0</v>
      </c>
      <c r="RUH391" s="160">
        <v>0</v>
      </c>
      <c r="RUI391" s="160">
        <v>0</v>
      </c>
      <c r="RUJ391" s="160">
        <v>0</v>
      </c>
      <c r="RUK391" s="160">
        <v>0</v>
      </c>
      <c r="RUL391" s="160">
        <v>0</v>
      </c>
      <c r="RUM391" s="160">
        <v>0</v>
      </c>
      <c r="RUN391" s="160">
        <v>0</v>
      </c>
      <c r="RUO391" s="160">
        <v>0</v>
      </c>
      <c r="RUP391" s="160">
        <v>0</v>
      </c>
      <c r="RUQ391" s="160">
        <v>0</v>
      </c>
      <c r="RUR391" s="160">
        <v>0</v>
      </c>
      <c r="RUS391" s="160">
        <v>0</v>
      </c>
      <c r="RUT391" s="160">
        <v>0</v>
      </c>
      <c r="RUU391" s="160">
        <v>0</v>
      </c>
      <c r="RUV391" s="160">
        <v>0</v>
      </c>
      <c r="RUW391" s="160">
        <v>0</v>
      </c>
      <c r="RUX391" s="160">
        <v>0</v>
      </c>
      <c r="RUY391" s="160">
        <v>0</v>
      </c>
      <c r="RUZ391" s="160">
        <v>0</v>
      </c>
      <c r="RVA391" s="160">
        <v>0</v>
      </c>
      <c r="RVB391" s="160">
        <v>0</v>
      </c>
      <c r="RVC391" s="160">
        <v>0</v>
      </c>
      <c r="RVD391" s="160">
        <v>0</v>
      </c>
      <c r="RVE391" s="160">
        <v>0</v>
      </c>
      <c r="RVF391" s="160">
        <v>0</v>
      </c>
      <c r="RVG391" s="160">
        <v>0</v>
      </c>
      <c r="RVH391" s="160">
        <v>0</v>
      </c>
      <c r="RVI391" s="160">
        <v>0</v>
      </c>
      <c r="RVJ391" s="160">
        <v>0</v>
      </c>
      <c r="RVK391" s="160">
        <v>0</v>
      </c>
      <c r="RVL391" s="160">
        <v>0</v>
      </c>
      <c r="RVM391" s="160">
        <v>0</v>
      </c>
      <c r="RVN391" s="160">
        <v>0</v>
      </c>
      <c r="RVO391" s="160">
        <v>0</v>
      </c>
      <c r="RVP391" s="160">
        <v>0</v>
      </c>
      <c r="RVQ391" s="160">
        <v>0</v>
      </c>
      <c r="RVR391" s="160">
        <v>0</v>
      </c>
      <c r="RVS391" s="160">
        <v>0</v>
      </c>
      <c r="RVT391" s="160">
        <v>0</v>
      </c>
      <c r="RVU391" s="160">
        <v>0</v>
      </c>
      <c r="RVV391" s="160">
        <v>0</v>
      </c>
      <c r="RVW391" s="160">
        <v>0</v>
      </c>
      <c r="RVX391" s="160">
        <v>0</v>
      </c>
      <c r="RVY391" s="160">
        <v>0</v>
      </c>
      <c r="RVZ391" s="160">
        <v>0</v>
      </c>
      <c r="RWA391" s="160">
        <v>0</v>
      </c>
      <c r="RWB391" s="160">
        <v>0</v>
      </c>
      <c r="RWC391" s="160">
        <v>0</v>
      </c>
      <c r="RWD391" s="160">
        <v>0</v>
      </c>
      <c r="RWE391" s="160">
        <v>0</v>
      </c>
      <c r="RWF391" s="160">
        <v>0</v>
      </c>
      <c r="RWG391" s="160">
        <v>0</v>
      </c>
      <c r="RWH391" s="160">
        <v>0</v>
      </c>
      <c r="RWI391" s="160">
        <v>0</v>
      </c>
      <c r="RWJ391" s="160">
        <v>0</v>
      </c>
      <c r="RWK391" s="160">
        <v>0</v>
      </c>
      <c r="RWL391" s="160">
        <v>0</v>
      </c>
      <c r="RWM391" s="160">
        <v>0</v>
      </c>
      <c r="RWN391" s="160">
        <v>0</v>
      </c>
      <c r="RWO391" s="160">
        <v>0</v>
      </c>
      <c r="RWP391" s="160">
        <v>0</v>
      </c>
      <c r="RWQ391" s="160">
        <v>0</v>
      </c>
      <c r="RWR391" s="160">
        <v>0</v>
      </c>
      <c r="RWS391" s="160">
        <v>0</v>
      </c>
      <c r="RWT391" s="160">
        <v>0</v>
      </c>
      <c r="RWU391" s="160">
        <v>0</v>
      </c>
      <c r="RWV391" s="160">
        <v>0</v>
      </c>
      <c r="RWW391" s="160">
        <v>0</v>
      </c>
      <c r="RWX391" s="160">
        <v>0</v>
      </c>
      <c r="RWY391" s="160">
        <v>0</v>
      </c>
      <c r="RWZ391" s="160">
        <v>0</v>
      </c>
      <c r="RXA391" s="160">
        <v>0</v>
      </c>
      <c r="RXB391" s="160">
        <v>0</v>
      </c>
      <c r="RXC391" s="160">
        <v>0</v>
      </c>
      <c r="RXD391" s="160">
        <v>0</v>
      </c>
      <c r="RXE391" s="160">
        <v>0</v>
      </c>
      <c r="RXF391" s="160">
        <v>0</v>
      </c>
      <c r="RXG391" s="160">
        <v>0</v>
      </c>
      <c r="RXH391" s="160">
        <v>0</v>
      </c>
      <c r="RXI391" s="160">
        <v>0</v>
      </c>
      <c r="RXJ391" s="160">
        <v>0</v>
      </c>
      <c r="RXK391" s="160">
        <v>0</v>
      </c>
      <c r="RXL391" s="160">
        <v>0</v>
      </c>
      <c r="RXM391" s="160">
        <v>0</v>
      </c>
      <c r="RXN391" s="160">
        <v>0</v>
      </c>
      <c r="RXO391" s="160">
        <v>0</v>
      </c>
      <c r="RXP391" s="160">
        <v>0</v>
      </c>
      <c r="RXQ391" s="160">
        <v>0</v>
      </c>
      <c r="RXR391" s="160">
        <v>0</v>
      </c>
      <c r="RXS391" s="160">
        <v>0</v>
      </c>
      <c r="RXT391" s="160">
        <v>0</v>
      </c>
      <c r="RXU391" s="160">
        <v>0</v>
      </c>
      <c r="RXV391" s="160">
        <v>0</v>
      </c>
      <c r="RXW391" s="160">
        <v>0</v>
      </c>
      <c r="RXX391" s="160">
        <v>0</v>
      </c>
      <c r="RXY391" s="160">
        <v>0</v>
      </c>
      <c r="RXZ391" s="160">
        <v>0</v>
      </c>
      <c r="RYA391" s="160">
        <v>0</v>
      </c>
      <c r="RYB391" s="160">
        <v>0</v>
      </c>
      <c r="RYC391" s="160">
        <v>0</v>
      </c>
      <c r="RYD391" s="160">
        <v>0</v>
      </c>
      <c r="RYE391" s="160">
        <v>0</v>
      </c>
      <c r="RYF391" s="160">
        <v>0</v>
      </c>
      <c r="RYG391" s="160">
        <v>0</v>
      </c>
      <c r="RYH391" s="160">
        <v>0</v>
      </c>
      <c r="RYI391" s="160">
        <v>0</v>
      </c>
      <c r="RYJ391" s="160">
        <v>0</v>
      </c>
      <c r="RYK391" s="160">
        <v>0</v>
      </c>
      <c r="RYL391" s="160">
        <v>0</v>
      </c>
      <c r="RYM391" s="160">
        <v>0</v>
      </c>
      <c r="RYN391" s="160">
        <v>0</v>
      </c>
      <c r="RYO391" s="160">
        <v>0</v>
      </c>
      <c r="RYP391" s="160">
        <v>0</v>
      </c>
      <c r="RYQ391" s="160">
        <v>0</v>
      </c>
      <c r="RYR391" s="160">
        <v>0</v>
      </c>
      <c r="RYS391" s="160">
        <v>0</v>
      </c>
      <c r="RYT391" s="160">
        <v>0</v>
      </c>
      <c r="RYU391" s="160">
        <v>0</v>
      </c>
      <c r="RYV391" s="160">
        <v>0</v>
      </c>
      <c r="RYW391" s="160">
        <v>0</v>
      </c>
      <c r="RYX391" s="160">
        <v>0</v>
      </c>
      <c r="RYY391" s="160">
        <v>0</v>
      </c>
      <c r="RYZ391" s="160">
        <v>0</v>
      </c>
      <c r="RZA391" s="160">
        <v>0</v>
      </c>
      <c r="RZB391" s="160">
        <v>0</v>
      </c>
      <c r="RZC391" s="160">
        <v>0</v>
      </c>
      <c r="RZD391" s="160">
        <v>0</v>
      </c>
      <c r="RZE391" s="160">
        <v>0</v>
      </c>
      <c r="RZF391" s="160">
        <v>0</v>
      </c>
      <c r="RZG391" s="160">
        <v>0</v>
      </c>
      <c r="RZH391" s="160">
        <v>0</v>
      </c>
      <c r="RZI391" s="160">
        <v>0</v>
      </c>
      <c r="RZJ391" s="160">
        <v>0</v>
      </c>
      <c r="RZK391" s="160">
        <v>0</v>
      </c>
      <c r="RZL391" s="160">
        <v>0</v>
      </c>
      <c r="RZM391" s="160">
        <v>0</v>
      </c>
      <c r="RZN391" s="160">
        <v>0</v>
      </c>
      <c r="RZO391" s="160">
        <v>0</v>
      </c>
      <c r="RZP391" s="160">
        <v>0</v>
      </c>
      <c r="RZQ391" s="160">
        <v>0</v>
      </c>
      <c r="RZR391" s="160">
        <v>0</v>
      </c>
      <c r="RZS391" s="160">
        <v>0</v>
      </c>
      <c r="RZT391" s="160">
        <v>0</v>
      </c>
      <c r="RZU391" s="160">
        <v>0</v>
      </c>
      <c r="RZV391" s="160">
        <v>0</v>
      </c>
      <c r="RZW391" s="160">
        <v>0</v>
      </c>
      <c r="RZX391" s="160">
        <v>0</v>
      </c>
      <c r="RZY391" s="160">
        <v>0</v>
      </c>
      <c r="RZZ391" s="160">
        <v>0</v>
      </c>
      <c r="SAA391" s="160">
        <v>0</v>
      </c>
      <c r="SAB391" s="160">
        <v>0</v>
      </c>
      <c r="SAC391" s="160">
        <v>0</v>
      </c>
      <c r="SAD391" s="160">
        <v>0</v>
      </c>
      <c r="SAE391" s="160">
        <v>0</v>
      </c>
      <c r="SAF391" s="160">
        <v>0</v>
      </c>
      <c r="SAG391" s="160">
        <v>0</v>
      </c>
      <c r="SAH391" s="160">
        <v>0</v>
      </c>
      <c r="SAI391" s="160">
        <v>0</v>
      </c>
      <c r="SAJ391" s="160">
        <v>0</v>
      </c>
      <c r="SAK391" s="160">
        <v>0</v>
      </c>
      <c r="SAL391" s="160">
        <v>0</v>
      </c>
      <c r="SAM391" s="160">
        <v>0</v>
      </c>
      <c r="SAN391" s="160">
        <v>0</v>
      </c>
      <c r="SAO391" s="160">
        <v>0</v>
      </c>
      <c r="SAP391" s="160">
        <v>0</v>
      </c>
      <c r="SAQ391" s="160">
        <v>0</v>
      </c>
      <c r="SAR391" s="160">
        <v>0</v>
      </c>
      <c r="SAS391" s="160">
        <v>0</v>
      </c>
      <c r="SAT391" s="160">
        <v>0</v>
      </c>
      <c r="SAU391" s="160">
        <v>0</v>
      </c>
      <c r="SAV391" s="160">
        <v>0</v>
      </c>
      <c r="SAW391" s="160">
        <v>0</v>
      </c>
      <c r="SAX391" s="160">
        <v>0</v>
      </c>
      <c r="SAY391" s="160">
        <v>0</v>
      </c>
      <c r="SAZ391" s="160">
        <v>0</v>
      </c>
      <c r="SBA391" s="160">
        <v>0</v>
      </c>
      <c r="SBB391" s="160">
        <v>0</v>
      </c>
      <c r="SBC391" s="160">
        <v>0</v>
      </c>
      <c r="SBD391" s="160">
        <v>0</v>
      </c>
      <c r="SBE391" s="160">
        <v>0</v>
      </c>
      <c r="SBF391" s="160">
        <v>0</v>
      </c>
      <c r="SBG391" s="160">
        <v>0</v>
      </c>
      <c r="SBH391" s="160">
        <v>0</v>
      </c>
      <c r="SBI391" s="160">
        <v>0</v>
      </c>
      <c r="SBJ391" s="160">
        <v>0</v>
      </c>
      <c r="SBK391" s="160">
        <v>0</v>
      </c>
      <c r="SBL391" s="160">
        <v>0</v>
      </c>
      <c r="SBM391" s="160">
        <v>0</v>
      </c>
      <c r="SBN391" s="160">
        <v>0</v>
      </c>
      <c r="SBO391" s="160">
        <v>0</v>
      </c>
      <c r="SBP391" s="160">
        <v>0</v>
      </c>
      <c r="SBQ391" s="160">
        <v>0</v>
      </c>
      <c r="SBR391" s="160">
        <v>0</v>
      </c>
      <c r="SBS391" s="160">
        <v>0</v>
      </c>
      <c r="SBT391" s="160">
        <v>0</v>
      </c>
      <c r="SBU391" s="160">
        <v>0</v>
      </c>
      <c r="SBV391" s="160">
        <v>0</v>
      </c>
      <c r="SBW391" s="160">
        <v>0</v>
      </c>
      <c r="SBX391" s="160">
        <v>0</v>
      </c>
      <c r="SBY391" s="160">
        <v>0</v>
      </c>
      <c r="SBZ391" s="160">
        <v>0</v>
      </c>
      <c r="SCA391" s="160">
        <v>0</v>
      </c>
      <c r="SCB391" s="160">
        <v>0</v>
      </c>
      <c r="SCC391" s="160">
        <v>0</v>
      </c>
      <c r="SCD391" s="160">
        <v>0</v>
      </c>
      <c r="SCE391" s="160">
        <v>0</v>
      </c>
      <c r="SCF391" s="160">
        <v>0</v>
      </c>
      <c r="SCG391" s="160">
        <v>0</v>
      </c>
      <c r="SCH391" s="160">
        <v>0</v>
      </c>
      <c r="SCI391" s="160">
        <v>0</v>
      </c>
      <c r="SCJ391" s="160">
        <v>0</v>
      </c>
      <c r="SCK391" s="160">
        <v>0</v>
      </c>
      <c r="SCL391" s="160">
        <v>0</v>
      </c>
      <c r="SCM391" s="160">
        <v>0</v>
      </c>
      <c r="SCN391" s="160">
        <v>0</v>
      </c>
      <c r="SCO391" s="160">
        <v>0</v>
      </c>
      <c r="SCP391" s="160">
        <v>0</v>
      </c>
      <c r="SCQ391" s="160">
        <v>0</v>
      </c>
      <c r="SCR391" s="160">
        <v>0</v>
      </c>
      <c r="SCS391" s="160">
        <v>0</v>
      </c>
      <c r="SCT391" s="160">
        <v>0</v>
      </c>
      <c r="SCU391" s="160">
        <v>0</v>
      </c>
      <c r="SCV391" s="160">
        <v>0</v>
      </c>
      <c r="SCW391" s="160">
        <v>0</v>
      </c>
      <c r="SCX391" s="160">
        <v>0</v>
      </c>
      <c r="SCY391" s="160">
        <v>0</v>
      </c>
      <c r="SCZ391" s="160">
        <v>0</v>
      </c>
      <c r="SDA391" s="160">
        <v>0</v>
      </c>
      <c r="SDB391" s="160">
        <v>0</v>
      </c>
      <c r="SDC391" s="160">
        <v>0</v>
      </c>
      <c r="SDD391" s="160">
        <v>0</v>
      </c>
      <c r="SDE391" s="160">
        <v>0</v>
      </c>
      <c r="SDF391" s="160">
        <v>0</v>
      </c>
      <c r="SDG391" s="160">
        <v>0</v>
      </c>
      <c r="SDH391" s="160">
        <v>0</v>
      </c>
      <c r="SDI391" s="160">
        <v>0</v>
      </c>
      <c r="SDJ391" s="160">
        <v>0</v>
      </c>
      <c r="SDK391" s="160">
        <v>0</v>
      </c>
      <c r="SDL391" s="160">
        <v>0</v>
      </c>
      <c r="SDM391" s="160">
        <v>0</v>
      </c>
      <c r="SDN391" s="160">
        <v>0</v>
      </c>
      <c r="SDO391" s="160">
        <v>0</v>
      </c>
      <c r="SDP391" s="160">
        <v>0</v>
      </c>
      <c r="SDQ391" s="160">
        <v>0</v>
      </c>
      <c r="SDR391" s="160">
        <v>0</v>
      </c>
      <c r="SDS391" s="160">
        <v>0</v>
      </c>
      <c r="SDT391" s="160">
        <v>0</v>
      </c>
      <c r="SDU391" s="160">
        <v>0</v>
      </c>
      <c r="SDV391" s="160">
        <v>0</v>
      </c>
      <c r="SDW391" s="160">
        <v>0</v>
      </c>
      <c r="SDX391" s="160">
        <v>0</v>
      </c>
      <c r="SDY391" s="160">
        <v>0</v>
      </c>
      <c r="SDZ391" s="160">
        <v>0</v>
      </c>
      <c r="SEA391" s="160">
        <v>0</v>
      </c>
      <c r="SEB391" s="160">
        <v>0</v>
      </c>
      <c r="SEC391" s="160">
        <v>0</v>
      </c>
      <c r="SED391" s="160">
        <v>0</v>
      </c>
      <c r="SEE391" s="160">
        <v>0</v>
      </c>
      <c r="SEF391" s="160">
        <v>0</v>
      </c>
      <c r="SEG391" s="160">
        <v>0</v>
      </c>
      <c r="SEH391" s="160">
        <v>0</v>
      </c>
      <c r="SEI391" s="160">
        <v>0</v>
      </c>
      <c r="SEJ391" s="160">
        <v>0</v>
      </c>
      <c r="SEK391" s="160">
        <v>0</v>
      </c>
      <c r="SEL391" s="160">
        <v>0</v>
      </c>
      <c r="SEM391" s="160">
        <v>0</v>
      </c>
      <c r="SEN391" s="160">
        <v>0</v>
      </c>
      <c r="SEO391" s="160">
        <v>0</v>
      </c>
      <c r="SEP391" s="160">
        <v>0</v>
      </c>
      <c r="SEQ391" s="160">
        <v>0</v>
      </c>
      <c r="SER391" s="160">
        <v>0</v>
      </c>
      <c r="SES391" s="160">
        <v>0</v>
      </c>
      <c r="SET391" s="160">
        <v>0</v>
      </c>
      <c r="SEU391" s="160">
        <v>0</v>
      </c>
      <c r="SEV391" s="160">
        <v>0</v>
      </c>
      <c r="SEW391" s="160">
        <v>0</v>
      </c>
      <c r="SEX391" s="160">
        <v>0</v>
      </c>
      <c r="SEY391" s="160">
        <v>0</v>
      </c>
      <c r="SEZ391" s="160">
        <v>0</v>
      </c>
      <c r="SFA391" s="160">
        <v>0</v>
      </c>
      <c r="SFB391" s="160">
        <v>0</v>
      </c>
      <c r="SFC391" s="160">
        <v>0</v>
      </c>
      <c r="SFD391" s="160">
        <v>0</v>
      </c>
      <c r="SFE391" s="160">
        <v>0</v>
      </c>
      <c r="SFF391" s="160">
        <v>0</v>
      </c>
      <c r="SFG391" s="160">
        <v>0</v>
      </c>
      <c r="SFH391" s="160">
        <v>0</v>
      </c>
      <c r="SFI391" s="160">
        <v>0</v>
      </c>
      <c r="SFJ391" s="160">
        <v>0</v>
      </c>
      <c r="SFK391" s="160">
        <v>0</v>
      </c>
      <c r="SFL391" s="160">
        <v>0</v>
      </c>
      <c r="SFM391" s="160">
        <v>0</v>
      </c>
      <c r="SFN391" s="160">
        <v>0</v>
      </c>
      <c r="SFO391" s="160">
        <v>0</v>
      </c>
      <c r="SFP391" s="160">
        <v>0</v>
      </c>
      <c r="SFQ391" s="160">
        <v>0</v>
      </c>
      <c r="SFR391" s="160">
        <v>0</v>
      </c>
      <c r="SFS391" s="160">
        <v>0</v>
      </c>
      <c r="SFT391" s="160">
        <v>0</v>
      </c>
      <c r="SFU391" s="160">
        <v>0</v>
      </c>
      <c r="SFV391" s="160">
        <v>0</v>
      </c>
      <c r="SFW391" s="160">
        <v>0</v>
      </c>
      <c r="SFX391" s="160">
        <v>0</v>
      </c>
      <c r="SFY391" s="160">
        <v>0</v>
      </c>
      <c r="SFZ391" s="160">
        <v>0</v>
      </c>
      <c r="SGA391" s="160">
        <v>0</v>
      </c>
      <c r="SGB391" s="160">
        <v>0</v>
      </c>
      <c r="SGC391" s="160">
        <v>0</v>
      </c>
      <c r="SGD391" s="160">
        <v>0</v>
      </c>
      <c r="SGE391" s="160">
        <v>0</v>
      </c>
      <c r="SGF391" s="160">
        <v>0</v>
      </c>
      <c r="SGG391" s="160">
        <v>0</v>
      </c>
      <c r="SGH391" s="160">
        <v>0</v>
      </c>
      <c r="SGI391" s="160">
        <v>0</v>
      </c>
      <c r="SGJ391" s="160">
        <v>0</v>
      </c>
      <c r="SGK391" s="160">
        <v>0</v>
      </c>
      <c r="SGL391" s="160">
        <v>0</v>
      </c>
      <c r="SGM391" s="160">
        <v>0</v>
      </c>
      <c r="SGN391" s="160">
        <v>0</v>
      </c>
      <c r="SGO391" s="160">
        <v>0</v>
      </c>
      <c r="SGP391" s="160">
        <v>0</v>
      </c>
      <c r="SGQ391" s="160">
        <v>0</v>
      </c>
      <c r="SGR391" s="160">
        <v>0</v>
      </c>
      <c r="SGS391" s="160">
        <v>0</v>
      </c>
      <c r="SGT391" s="160">
        <v>0</v>
      </c>
      <c r="SGU391" s="160">
        <v>0</v>
      </c>
      <c r="SGV391" s="160">
        <v>0</v>
      </c>
      <c r="SGW391" s="160">
        <v>0</v>
      </c>
      <c r="SGX391" s="160">
        <v>0</v>
      </c>
      <c r="SGY391" s="160">
        <v>0</v>
      </c>
      <c r="SGZ391" s="160">
        <v>0</v>
      </c>
      <c r="SHA391" s="160">
        <v>0</v>
      </c>
      <c r="SHB391" s="160">
        <v>0</v>
      </c>
      <c r="SHC391" s="160">
        <v>0</v>
      </c>
      <c r="SHD391" s="160">
        <v>0</v>
      </c>
      <c r="SHE391" s="160">
        <v>0</v>
      </c>
      <c r="SHF391" s="160">
        <v>0</v>
      </c>
      <c r="SHG391" s="160">
        <v>0</v>
      </c>
      <c r="SHH391" s="160">
        <v>0</v>
      </c>
      <c r="SHI391" s="160">
        <v>0</v>
      </c>
      <c r="SHJ391" s="160">
        <v>0</v>
      </c>
      <c r="SHK391" s="160">
        <v>0</v>
      </c>
      <c r="SHL391" s="160">
        <v>0</v>
      </c>
      <c r="SHM391" s="160">
        <v>0</v>
      </c>
      <c r="SHN391" s="160">
        <v>0</v>
      </c>
      <c r="SHO391" s="160">
        <v>0</v>
      </c>
      <c r="SHP391" s="160">
        <v>0</v>
      </c>
      <c r="SHQ391" s="160">
        <v>0</v>
      </c>
      <c r="SHR391" s="160">
        <v>0</v>
      </c>
      <c r="SHS391" s="160">
        <v>0</v>
      </c>
      <c r="SHT391" s="160">
        <v>0</v>
      </c>
      <c r="SHU391" s="160">
        <v>0</v>
      </c>
      <c r="SHV391" s="160">
        <v>0</v>
      </c>
      <c r="SHW391" s="160">
        <v>0</v>
      </c>
      <c r="SHX391" s="160">
        <v>0</v>
      </c>
      <c r="SHY391" s="160">
        <v>0</v>
      </c>
      <c r="SHZ391" s="160">
        <v>0</v>
      </c>
      <c r="SIA391" s="160">
        <v>0</v>
      </c>
      <c r="SIB391" s="160">
        <v>0</v>
      </c>
      <c r="SIC391" s="160">
        <v>0</v>
      </c>
      <c r="SID391" s="160">
        <v>0</v>
      </c>
      <c r="SIE391" s="160">
        <v>0</v>
      </c>
      <c r="SIF391" s="160">
        <v>0</v>
      </c>
      <c r="SIG391" s="160">
        <v>0</v>
      </c>
      <c r="SIH391" s="160">
        <v>0</v>
      </c>
      <c r="SII391" s="160">
        <v>0</v>
      </c>
      <c r="SIJ391" s="160">
        <v>0</v>
      </c>
      <c r="SIK391" s="160">
        <v>0</v>
      </c>
      <c r="SIL391" s="160">
        <v>0</v>
      </c>
      <c r="SIM391" s="160">
        <v>0</v>
      </c>
      <c r="SIN391" s="160">
        <v>0</v>
      </c>
      <c r="SIO391" s="160">
        <v>0</v>
      </c>
      <c r="SIP391" s="160">
        <v>0</v>
      </c>
      <c r="SIQ391" s="160">
        <v>0</v>
      </c>
      <c r="SIR391" s="160">
        <v>0</v>
      </c>
      <c r="SIS391" s="160">
        <v>0</v>
      </c>
      <c r="SIT391" s="160">
        <v>0</v>
      </c>
      <c r="SIU391" s="160">
        <v>0</v>
      </c>
      <c r="SIV391" s="160">
        <v>0</v>
      </c>
      <c r="SIW391" s="160">
        <v>0</v>
      </c>
      <c r="SIX391" s="160">
        <v>0</v>
      </c>
      <c r="SIY391" s="160">
        <v>0</v>
      </c>
      <c r="SIZ391" s="160">
        <v>0</v>
      </c>
      <c r="SJA391" s="160">
        <v>0</v>
      </c>
      <c r="SJB391" s="160">
        <v>0</v>
      </c>
      <c r="SJC391" s="160">
        <v>0</v>
      </c>
      <c r="SJD391" s="160">
        <v>0</v>
      </c>
      <c r="SJE391" s="160">
        <v>0</v>
      </c>
      <c r="SJF391" s="160">
        <v>0</v>
      </c>
      <c r="SJG391" s="160">
        <v>0</v>
      </c>
      <c r="SJH391" s="160">
        <v>0</v>
      </c>
      <c r="SJI391" s="160">
        <v>0</v>
      </c>
      <c r="SJJ391" s="160">
        <v>0</v>
      </c>
      <c r="SJK391" s="160">
        <v>0</v>
      </c>
      <c r="SJL391" s="160">
        <v>0</v>
      </c>
      <c r="SJM391" s="160">
        <v>0</v>
      </c>
      <c r="SJN391" s="160">
        <v>0</v>
      </c>
      <c r="SJO391" s="160">
        <v>0</v>
      </c>
      <c r="SJP391" s="160">
        <v>0</v>
      </c>
      <c r="SJQ391" s="160">
        <v>0</v>
      </c>
      <c r="SJR391" s="160">
        <v>0</v>
      </c>
      <c r="SJS391" s="160">
        <v>0</v>
      </c>
      <c r="SJT391" s="160">
        <v>0</v>
      </c>
      <c r="SJU391" s="160">
        <v>0</v>
      </c>
      <c r="SJV391" s="160">
        <v>0</v>
      </c>
      <c r="SJW391" s="160">
        <v>0</v>
      </c>
      <c r="SJX391" s="160">
        <v>0</v>
      </c>
      <c r="SJY391" s="160">
        <v>0</v>
      </c>
      <c r="SJZ391" s="160">
        <v>0</v>
      </c>
      <c r="SKA391" s="160">
        <v>0</v>
      </c>
      <c r="SKB391" s="160">
        <v>0</v>
      </c>
      <c r="SKC391" s="160">
        <v>0</v>
      </c>
      <c r="SKD391" s="160">
        <v>0</v>
      </c>
      <c r="SKE391" s="160">
        <v>0</v>
      </c>
      <c r="SKF391" s="160">
        <v>0</v>
      </c>
      <c r="SKG391" s="160">
        <v>0</v>
      </c>
      <c r="SKH391" s="160">
        <v>0</v>
      </c>
      <c r="SKI391" s="160">
        <v>0</v>
      </c>
      <c r="SKJ391" s="160">
        <v>0</v>
      </c>
      <c r="SKK391" s="160">
        <v>0</v>
      </c>
      <c r="SKL391" s="160">
        <v>0</v>
      </c>
      <c r="SKM391" s="160">
        <v>0</v>
      </c>
      <c r="SKN391" s="160">
        <v>0</v>
      </c>
      <c r="SKO391" s="160">
        <v>0</v>
      </c>
      <c r="SKP391" s="160">
        <v>0</v>
      </c>
      <c r="SKQ391" s="160">
        <v>0</v>
      </c>
      <c r="SKR391" s="160">
        <v>0</v>
      </c>
      <c r="SKS391" s="160">
        <v>0</v>
      </c>
      <c r="SKT391" s="160">
        <v>0</v>
      </c>
      <c r="SKU391" s="160">
        <v>0</v>
      </c>
      <c r="SKV391" s="160">
        <v>0</v>
      </c>
      <c r="SKW391" s="160">
        <v>0</v>
      </c>
      <c r="SKX391" s="160">
        <v>0</v>
      </c>
      <c r="SKY391" s="160">
        <v>0</v>
      </c>
      <c r="SKZ391" s="160">
        <v>0</v>
      </c>
      <c r="SLA391" s="160">
        <v>0</v>
      </c>
      <c r="SLB391" s="160">
        <v>0</v>
      </c>
      <c r="SLC391" s="160">
        <v>0</v>
      </c>
      <c r="SLD391" s="160">
        <v>0</v>
      </c>
      <c r="SLE391" s="160">
        <v>0</v>
      </c>
      <c r="SLF391" s="160">
        <v>0</v>
      </c>
      <c r="SLG391" s="160">
        <v>0</v>
      </c>
      <c r="SLH391" s="160">
        <v>0</v>
      </c>
      <c r="SLI391" s="160">
        <v>0</v>
      </c>
      <c r="SLJ391" s="160">
        <v>0</v>
      </c>
      <c r="SLK391" s="160">
        <v>0</v>
      </c>
      <c r="SLL391" s="160">
        <v>0</v>
      </c>
      <c r="SLM391" s="160">
        <v>0</v>
      </c>
      <c r="SLN391" s="160">
        <v>0</v>
      </c>
      <c r="SLO391" s="160">
        <v>0</v>
      </c>
      <c r="SLP391" s="160">
        <v>0</v>
      </c>
      <c r="SLQ391" s="160">
        <v>0</v>
      </c>
      <c r="SLR391" s="160">
        <v>0</v>
      </c>
      <c r="SLS391" s="160">
        <v>0</v>
      </c>
      <c r="SLT391" s="160">
        <v>0</v>
      </c>
      <c r="SLU391" s="160">
        <v>0</v>
      </c>
      <c r="SLV391" s="160">
        <v>0</v>
      </c>
      <c r="SLW391" s="160">
        <v>0</v>
      </c>
      <c r="SLX391" s="160">
        <v>0</v>
      </c>
      <c r="SLY391" s="160">
        <v>0</v>
      </c>
      <c r="SLZ391" s="160">
        <v>0</v>
      </c>
      <c r="SMA391" s="160">
        <v>0</v>
      </c>
      <c r="SMB391" s="160">
        <v>0</v>
      </c>
      <c r="SMC391" s="160">
        <v>0</v>
      </c>
      <c r="SMD391" s="160">
        <v>0</v>
      </c>
      <c r="SME391" s="160">
        <v>0</v>
      </c>
      <c r="SMF391" s="160">
        <v>0</v>
      </c>
      <c r="SMG391" s="160">
        <v>0</v>
      </c>
      <c r="SMH391" s="160">
        <v>0</v>
      </c>
      <c r="SMI391" s="160">
        <v>0</v>
      </c>
      <c r="SMJ391" s="160">
        <v>0</v>
      </c>
      <c r="SMK391" s="160">
        <v>0</v>
      </c>
      <c r="SML391" s="160">
        <v>0</v>
      </c>
      <c r="SMM391" s="160">
        <v>0</v>
      </c>
      <c r="SMN391" s="160">
        <v>0</v>
      </c>
      <c r="SMO391" s="160">
        <v>0</v>
      </c>
      <c r="SMP391" s="160">
        <v>0</v>
      </c>
      <c r="SMQ391" s="160">
        <v>0</v>
      </c>
      <c r="SMR391" s="160">
        <v>0</v>
      </c>
      <c r="SMS391" s="160">
        <v>0</v>
      </c>
      <c r="SMT391" s="160">
        <v>0</v>
      </c>
      <c r="SMU391" s="160">
        <v>0</v>
      </c>
      <c r="SMV391" s="160">
        <v>0</v>
      </c>
      <c r="SMW391" s="160">
        <v>0</v>
      </c>
      <c r="SMX391" s="160">
        <v>0</v>
      </c>
      <c r="SMY391" s="160">
        <v>0</v>
      </c>
      <c r="SMZ391" s="160">
        <v>0</v>
      </c>
      <c r="SNA391" s="160">
        <v>0</v>
      </c>
      <c r="SNB391" s="160">
        <v>0</v>
      </c>
      <c r="SNC391" s="160">
        <v>0</v>
      </c>
      <c r="SND391" s="160">
        <v>0</v>
      </c>
      <c r="SNE391" s="160">
        <v>0</v>
      </c>
      <c r="SNF391" s="160">
        <v>0</v>
      </c>
      <c r="SNG391" s="160">
        <v>0</v>
      </c>
      <c r="SNH391" s="160">
        <v>0</v>
      </c>
      <c r="SNI391" s="160">
        <v>0</v>
      </c>
      <c r="SNJ391" s="160">
        <v>0</v>
      </c>
      <c r="SNK391" s="160">
        <v>0</v>
      </c>
      <c r="SNL391" s="160">
        <v>0</v>
      </c>
      <c r="SNM391" s="160">
        <v>0</v>
      </c>
      <c r="SNN391" s="160">
        <v>0</v>
      </c>
      <c r="SNO391" s="160">
        <v>0</v>
      </c>
      <c r="SNP391" s="160">
        <v>0</v>
      </c>
      <c r="SNQ391" s="160">
        <v>0</v>
      </c>
      <c r="SNR391" s="160">
        <v>0</v>
      </c>
      <c r="SNS391" s="160">
        <v>0</v>
      </c>
      <c r="SNT391" s="160">
        <v>0</v>
      </c>
      <c r="SNU391" s="160">
        <v>0</v>
      </c>
      <c r="SNV391" s="160">
        <v>0</v>
      </c>
      <c r="SNW391" s="160">
        <v>0</v>
      </c>
      <c r="SNX391" s="160">
        <v>0</v>
      </c>
      <c r="SNY391" s="160">
        <v>0</v>
      </c>
      <c r="SNZ391" s="160">
        <v>0</v>
      </c>
      <c r="SOA391" s="160">
        <v>0</v>
      </c>
      <c r="SOB391" s="160">
        <v>0</v>
      </c>
      <c r="SOC391" s="160">
        <v>0</v>
      </c>
      <c r="SOD391" s="160">
        <v>0</v>
      </c>
      <c r="SOE391" s="160">
        <v>0</v>
      </c>
      <c r="SOF391" s="160">
        <v>0</v>
      </c>
      <c r="SOG391" s="160">
        <v>0</v>
      </c>
      <c r="SOH391" s="160">
        <v>0</v>
      </c>
      <c r="SOI391" s="160">
        <v>0</v>
      </c>
      <c r="SOJ391" s="160">
        <v>0</v>
      </c>
      <c r="SOK391" s="160">
        <v>0</v>
      </c>
      <c r="SOL391" s="160">
        <v>0</v>
      </c>
      <c r="SOM391" s="160">
        <v>0</v>
      </c>
      <c r="SON391" s="160">
        <v>0</v>
      </c>
      <c r="SOO391" s="160">
        <v>0</v>
      </c>
      <c r="SOP391" s="160">
        <v>0</v>
      </c>
      <c r="SOQ391" s="160">
        <v>0</v>
      </c>
      <c r="SOR391" s="160">
        <v>0</v>
      </c>
      <c r="SOS391" s="160">
        <v>0</v>
      </c>
      <c r="SOT391" s="160">
        <v>0</v>
      </c>
      <c r="SOU391" s="160">
        <v>0</v>
      </c>
      <c r="SOV391" s="160">
        <v>0</v>
      </c>
      <c r="SOW391" s="160">
        <v>0</v>
      </c>
      <c r="SOX391" s="160">
        <v>0</v>
      </c>
      <c r="SOY391" s="160">
        <v>0</v>
      </c>
      <c r="SOZ391" s="160">
        <v>0</v>
      </c>
      <c r="SPA391" s="160">
        <v>0</v>
      </c>
      <c r="SPB391" s="160">
        <v>0</v>
      </c>
      <c r="SPC391" s="160">
        <v>0</v>
      </c>
      <c r="SPD391" s="160">
        <v>0</v>
      </c>
      <c r="SPE391" s="160">
        <v>0</v>
      </c>
      <c r="SPF391" s="160">
        <v>0</v>
      </c>
      <c r="SPG391" s="160">
        <v>0</v>
      </c>
      <c r="SPH391" s="160">
        <v>0</v>
      </c>
      <c r="SPI391" s="160">
        <v>0</v>
      </c>
      <c r="SPJ391" s="160">
        <v>0</v>
      </c>
      <c r="SPK391" s="160">
        <v>0</v>
      </c>
      <c r="SPL391" s="160">
        <v>0</v>
      </c>
      <c r="SPM391" s="160">
        <v>0</v>
      </c>
      <c r="SPN391" s="160">
        <v>0</v>
      </c>
      <c r="SPO391" s="160">
        <v>0</v>
      </c>
      <c r="SPP391" s="160">
        <v>0</v>
      </c>
      <c r="SPQ391" s="160">
        <v>0</v>
      </c>
      <c r="SPR391" s="160">
        <v>0</v>
      </c>
      <c r="SPS391" s="160">
        <v>0</v>
      </c>
      <c r="SPT391" s="160">
        <v>0</v>
      </c>
      <c r="SPU391" s="160">
        <v>0</v>
      </c>
      <c r="SPV391" s="160">
        <v>0</v>
      </c>
      <c r="SPW391" s="160">
        <v>0</v>
      </c>
      <c r="SPX391" s="160">
        <v>0</v>
      </c>
      <c r="SPY391" s="160">
        <v>0</v>
      </c>
      <c r="SPZ391" s="160">
        <v>0</v>
      </c>
      <c r="SQA391" s="160">
        <v>0</v>
      </c>
      <c r="SQB391" s="160">
        <v>0</v>
      </c>
      <c r="SQC391" s="160">
        <v>0</v>
      </c>
      <c r="SQD391" s="160">
        <v>0</v>
      </c>
      <c r="SQE391" s="160">
        <v>0</v>
      </c>
      <c r="SQF391" s="160">
        <v>0</v>
      </c>
      <c r="SQG391" s="160">
        <v>0</v>
      </c>
      <c r="SQH391" s="160">
        <v>0</v>
      </c>
      <c r="SQI391" s="160">
        <v>0</v>
      </c>
      <c r="SQJ391" s="160">
        <v>0</v>
      </c>
      <c r="SQK391" s="160">
        <v>0</v>
      </c>
      <c r="SQL391" s="160">
        <v>0</v>
      </c>
      <c r="SQM391" s="160">
        <v>0</v>
      </c>
      <c r="SQN391" s="160">
        <v>0</v>
      </c>
      <c r="SQO391" s="160">
        <v>0</v>
      </c>
      <c r="SQP391" s="160">
        <v>0</v>
      </c>
      <c r="SQQ391" s="160">
        <v>0</v>
      </c>
      <c r="SQR391" s="160">
        <v>0</v>
      </c>
      <c r="SQS391" s="160">
        <v>0</v>
      </c>
      <c r="SQT391" s="160">
        <v>0</v>
      </c>
      <c r="SQU391" s="160">
        <v>0</v>
      </c>
      <c r="SQV391" s="160">
        <v>0</v>
      </c>
      <c r="SQW391" s="160">
        <v>0</v>
      </c>
      <c r="SQX391" s="160">
        <v>0</v>
      </c>
      <c r="SQY391" s="160">
        <v>0</v>
      </c>
      <c r="SQZ391" s="160">
        <v>0</v>
      </c>
      <c r="SRA391" s="160">
        <v>0</v>
      </c>
      <c r="SRB391" s="160">
        <v>0</v>
      </c>
      <c r="SRC391" s="160">
        <v>0</v>
      </c>
      <c r="SRD391" s="160">
        <v>0</v>
      </c>
      <c r="SRE391" s="160">
        <v>0</v>
      </c>
      <c r="SRF391" s="160">
        <v>0</v>
      </c>
      <c r="SRG391" s="160">
        <v>0</v>
      </c>
      <c r="SRH391" s="160">
        <v>0</v>
      </c>
      <c r="SRI391" s="160">
        <v>0</v>
      </c>
      <c r="SRJ391" s="160">
        <v>0</v>
      </c>
      <c r="SRK391" s="160">
        <v>0</v>
      </c>
      <c r="SRL391" s="160">
        <v>0</v>
      </c>
      <c r="SRM391" s="160">
        <v>0</v>
      </c>
      <c r="SRN391" s="160">
        <v>0</v>
      </c>
      <c r="SRO391" s="160">
        <v>0</v>
      </c>
      <c r="SRP391" s="160">
        <v>0</v>
      </c>
      <c r="SRQ391" s="160">
        <v>0</v>
      </c>
      <c r="SRR391" s="160">
        <v>0</v>
      </c>
      <c r="SRS391" s="160">
        <v>0</v>
      </c>
      <c r="SRT391" s="160">
        <v>0</v>
      </c>
      <c r="SRU391" s="160">
        <v>0</v>
      </c>
      <c r="SRV391" s="160">
        <v>0</v>
      </c>
      <c r="SRW391" s="160">
        <v>0</v>
      </c>
      <c r="SRX391" s="160">
        <v>0</v>
      </c>
      <c r="SRY391" s="160">
        <v>0</v>
      </c>
      <c r="SRZ391" s="160">
        <v>0</v>
      </c>
      <c r="SSA391" s="160">
        <v>0</v>
      </c>
      <c r="SSB391" s="160">
        <v>0</v>
      </c>
      <c r="SSC391" s="160">
        <v>0</v>
      </c>
      <c r="SSD391" s="160">
        <v>0</v>
      </c>
      <c r="SSE391" s="160">
        <v>0</v>
      </c>
      <c r="SSF391" s="160">
        <v>0</v>
      </c>
      <c r="SSG391" s="160">
        <v>0</v>
      </c>
      <c r="SSH391" s="160">
        <v>0</v>
      </c>
      <c r="SSI391" s="160">
        <v>0</v>
      </c>
      <c r="SSJ391" s="160">
        <v>0</v>
      </c>
      <c r="SSK391" s="160">
        <v>0</v>
      </c>
      <c r="SSL391" s="160">
        <v>0</v>
      </c>
      <c r="SSM391" s="160">
        <v>0</v>
      </c>
      <c r="SSN391" s="160">
        <v>0</v>
      </c>
      <c r="SSO391" s="160">
        <v>0</v>
      </c>
      <c r="SSP391" s="160">
        <v>0</v>
      </c>
      <c r="SSQ391" s="160">
        <v>0</v>
      </c>
      <c r="SSR391" s="160">
        <v>0</v>
      </c>
      <c r="SSS391" s="160">
        <v>0</v>
      </c>
      <c r="SST391" s="160">
        <v>0</v>
      </c>
      <c r="SSU391" s="160">
        <v>0</v>
      </c>
      <c r="SSV391" s="160">
        <v>0</v>
      </c>
      <c r="SSW391" s="160">
        <v>0</v>
      </c>
      <c r="SSX391" s="160">
        <v>0</v>
      </c>
      <c r="SSY391" s="160">
        <v>0</v>
      </c>
      <c r="SSZ391" s="160">
        <v>0</v>
      </c>
      <c r="STA391" s="160">
        <v>0</v>
      </c>
      <c r="STB391" s="160">
        <v>0</v>
      </c>
      <c r="STC391" s="160">
        <v>0</v>
      </c>
      <c r="STD391" s="160">
        <v>0</v>
      </c>
      <c r="STE391" s="160">
        <v>0</v>
      </c>
      <c r="STF391" s="160">
        <v>0</v>
      </c>
      <c r="STG391" s="160">
        <v>0</v>
      </c>
      <c r="STH391" s="160">
        <v>0</v>
      </c>
      <c r="STI391" s="160">
        <v>0</v>
      </c>
      <c r="STJ391" s="160">
        <v>0</v>
      </c>
      <c r="STK391" s="160">
        <v>0</v>
      </c>
      <c r="STL391" s="160">
        <v>0</v>
      </c>
      <c r="STM391" s="160">
        <v>0</v>
      </c>
      <c r="STN391" s="160">
        <v>0</v>
      </c>
      <c r="STO391" s="160">
        <v>0</v>
      </c>
      <c r="STP391" s="160">
        <v>0</v>
      </c>
      <c r="STQ391" s="160">
        <v>0</v>
      </c>
      <c r="STR391" s="160">
        <v>0</v>
      </c>
      <c r="STS391" s="160">
        <v>0</v>
      </c>
      <c r="STT391" s="160">
        <v>0</v>
      </c>
      <c r="STU391" s="160">
        <v>0</v>
      </c>
      <c r="STV391" s="160">
        <v>0</v>
      </c>
      <c r="STW391" s="160">
        <v>0</v>
      </c>
      <c r="STX391" s="160">
        <v>0</v>
      </c>
      <c r="STY391" s="160">
        <v>0</v>
      </c>
      <c r="STZ391" s="160">
        <v>0</v>
      </c>
      <c r="SUA391" s="160">
        <v>0</v>
      </c>
      <c r="SUB391" s="160">
        <v>0</v>
      </c>
      <c r="SUC391" s="160">
        <v>0</v>
      </c>
      <c r="SUD391" s="160">
        <v>0</v>
      </c>
      <c r="SUE391" s="160">
        <v>0</v>
      </c>
      <c r="SUF391" s="160">
        <v>0</v>
      </c>
      <c r="SUG391" s="160">
        <v>0</v>
      </c>
      <c r="SUH391" s="160">
        <v>0</v>
      </c>
      <c r="SUI391" s="160">
        <v>0</v>
      </c>
      <c r="SUJ391" s="160">
        <v>0</v>
      </c>
      <c r="SUK391" s="160">
        <v>0</v>
      </c>
      <c r="SUL391" s="160">
        <v>0</v>
      </c>
      <c r="SUM391" s="160">
        <v>0</v>
      </c>
      <c r="SUN391" s="160">
        <v>0</v>
      </c>
      <c r="SUO391" s="160">
        <v>0</v>
      </c>
      <c r="SUP391" s="160">
        <v>0</v>
      </c>
      <c r="SUQ391" s="160">
        <v>0</v>
      </c>
      <c r="SUR391" s="160">
        <v>0</v>
      </c>
      <c r="SUS391" s="160">
        <v>0</v>
      </c>
      <c r="SUT391" s="160">
        <v>0</v>
      </c>
      <c r="SUU391" s="160">
        <v>0</v>
      </c>
      <c r="SUV391" s="160">
        <v>0</v>
      </c>
      <c r="SUW391" s="160">
        <v>0</v>
      </c>
      <c r="SUX391" s="160">
        <v>0</v>
      </c>
      <c r="SUY391" s="160">
        <v>0</v>
      </c>
      <c r="SUZ391" s="160">
        <v>0</v>
      </c>
      <c r="SVA391" s="160">
        <v>0</v>
      </c>
      <c r="SVB391" s="160">
        <v>0</v>
      </c>
      <c r="SVC391" s="160">
        <v>0</v>
      </c>
      <c r="SVD391" s="160">
        <v>0</v>
      </c>
      <c r="SVE391" s="160">
        <v>0</v>
      </c>
      <c r="SVF391" s="160">
        <v>0</v>
      </c>
      <c r="SVG391" s="160">
        <v>0</v>
      </c>
      <c r="SVH391" s="160">
        <v>0</v>
      </c>
      <c r="SVI391" s="160">
        <v>0</v>
      </c>
      <c r="SVJ391" s="160">
        <v>0</v>
      </c>
      <c r="SVK391" s="160">
        <v>0</v>
      </c>
      <c r="SVL391" s="160">
        <v>0</v>
      </c>
      <c r="SVM391" s="160">
        <v>0</v>
      </c>
      <c r="SVN391" s="160">
        <v>0</v>
      </c>
      <c r="SVO391" s="160">
        <v>0</v>
      </c>
      <c r="SVP391" s="160">
        <v>0</v>
      </c>
      <c r="SVQ391" s="160">
        <v>0</v>
      </c>
      <c r="SVR391" s="160">
        <v>0</v>
      </c>
      <c r="SVS391" s="160">
        <v>0</v>
      </c>
      <c r="SVT391" s="160">
        <v>0</v>
      </c>
      <c r="SVU391" s="160">
        <v>0</v>
      </c>
      <c r="SVV391" s="160">
        <v>0</v>
      </c>
      <c r="SVW391" s="160">
        <v>0</v>
      </c>
      <c r="SVX391" s="160">
        <v>0</v>
      </c>
      <c r="SVY391" s="160">
        <v>0</v>
      </c>
      <c r="SVZ391" s="160">
        <v>0</v>
      </c>
      <c r="SWA391" s="160">
        <v>0</v>
      </c>
      <c r="SWB391" s="160">
        <v>0</v>
      </c>
      <c r="SWC391" s="160">
        <v>0</v>
      </c>
      <c r="SWD391" s="160">
        <v>0</v>
      </c>
      <c r="SWE391" s="160">
        <v>0</v>
      </c>
      <c r="SWF391" s="160">
        <v>0</v>
      </c>
      <c r="SWG391" s="160">
        <v>0</v>
      </c>
      <c r="SWH391" s="160">
        <v>0</v>
      </c>
      <c r="SWI391" s="160">
        <v>0</v>
      </c>
      <c r="SWJ391" s="160">
        <v>0</v>
      </c>
      <c r="SWK391" s="160">
        <v>0</v>
      </c>
      <c r="SWL391" s="160">
        <v>0</v>
      </c>
      <c r="SWM391" s="160">
        <v>0</v>
      </c>
      <c r="SWN391" s="160">
        <v>0</v>
      </c>
      <c r="SWO391" s="160">
        <v>0</v>
      </c>
      <c r="SWP391" s="160">
        <v>0</v>
      </c>
      <c r="SWQ391" s="160">
        <v>0</v>
      </c>
      <c r="SWR391" s="160">
        <v>0</v>
      </c>
      <c r="SWS391" s="160">
        <v>0</v>
      </c>
      <c r="SWT391" s="160">
        <v>0</v>
      </c>
      <c r="SWU391" s="160">
        <v>0</v>
      </c>
      <c r="SWV391" s="160">
        <v>0</v>
      </c>
      <c r="SWW391" s="160">
        <v>0</v>
      </c>
      <c r="SWX391" s="160">
        <v>0</v>
      </c>
      <c r="SWY391" s="160">
        <v>0</v>
      </c>
      <c r="SWZ391" s="160">
        <v>0</v>
      </c>
      <c r="SXA391" s="160">
        <v>0</v>
      </c>
      <c r="SXB391" s="160">
        <v>0</v>
      </c>
      <c r="SXC391" s="160">
        <v>0</v>
      </c>
      <c r="SXD391" s="160">
        <v>0</v>
      </c>
      <c r="SXE391" s="160">
        <v>0</v>
      </c>
      <c r="SXF391" s="160">
        <v>0</v>
      </c>
      <c r="SXG391" s="160">
        <v>0</v>
      </c>
      <c r="SXH391" s="160">
        <v>0</v>
      </c>
      <c r="SXI391" s="160">
        <v>0</v>
      </c>
      <c r="SXJ391" s="160">
        <v>0</v>
      </c>
      <c r="SXK391" s="160">
        <v>0</v>
      </c>
      <c r="SXL391" s="160">
        <v>0</v>
      </c>
      <c r="SXM391" s="160">
        <v>0</v>
      </c>
      <c r="SXN391" s="160">
        <v>0</v>
      </c>
      <c r="SXO391" s="160">
        <v>0</v>
      </c>
      <c r="SXP391" s="160">
        <v>0</v>
      </c>
      <c r="SXQ391" s="160">
        <v>0</v>
      </c>
      <c r="SXR391" s="160">
        <v>0</v>
      </c>
      <c r="SXS391" s="160">
        <v>0</v>
      </c>
      <c r="SXT391" s="160">
        <v>0</v>
      </c>
      <c r="SXU391" s="160">
        <v>0</v>
      </c>
      <c r="SXV391" s="160">
        <v>0</v>
      </c>
      <c r="SXW391" s="160">
        <v>0</v>
      </c>
      <c r="SXX391" s="160">
        <v>0</v>
      </c>
      <c r="SXY391" s="160">
        <v>0</v>
      </c>
      <c r="SXZ391" s="160">
        <v>0</v>
      </c>
      <c r="SYA391" s="160">
        <v>0</v>
      </c>
      <c r="SYB391" s="160">
        <v>0</v>
      </c>
      <c r="SYC391" s="160">
        <v>0</v>
      </c>
      <c r="SYD391" s="160">
        <v>0</v>
      </c>
      <c r="SYE391" s="160">
        <v>0</v>
      </c>
      <c r="SYF391" s="160">
        <v>0</v>
      </c>
      <c r="SYG391" s="160">
        <v>0</v>
      </c>
      <c r="SYH391" s="160">
        <v>0</v>
      </c>
      <c r="SYI391" s="160">
        <v>0</v>
      </c>
      <c r="SYJ391" s="160">
        <v>0</v>
      </c>
      <c r="SYK391" s="160">
        <v>0</v>
      </c>
      <c r="SYL391" s="160">
        <v>0</v>
      </c>
      <c r="SYM391" s="160">
        <v>0</v>
      </c>
      <c r="SYN391" s="160">
        <v>0</v>
      </c>
      <c r="SYO391" s="160">
        <v>0</v>
      </c>
      <c r="SYP391" s="160">
        <v>0</v>
      </c>
      <c r="SYQ391" s="160">
        <v>0</v>
      </c>
      <c r="SYR391" s="160">
        <v>0</v>
      </c>
      <c r="SYS391" s="160">
        <v>0</v>
      </c>
      <c r="SYT391" s="160">
        <v>0</v>
      </c>
      <c r="SYU391" s="160">
        <v>0</v>
      </c>
      <c r="SYV391" s="160">
        <v>0</v>
      </c>
      <c r="SYW391" s="160">
        <v>0</v>
      </c>
      <c r="SYX391" s="160">
        <v>0</v>
      </c>
      <c r="SYY391" s="160">
        <v>0</v>
      </c>
      <c r="SYZ391" s="160">
        <v>0</v>
      </c>
      <c r="SZA391" s="160">
        <v>0</v>
      </c>
      <c r="SZB391" s="160">
        <v>0</v>
      </c>
      <c r="SZC391" s="160">
        <v>0</v>
      </c>
      <c r="SZD391" s="160">
        <v>0</v>
      </c>
      <c r="SZE391" s="160">
        <v>0</v>
      </c>
      <c r="SZF391" s="160">
        <v>0</v>
      </c>
      <c r="SZG391" s="160">
        <v>0</v>
      </c>
      <c r="SZH391" s="160">
        <v>0</v>
      </c>
      <c r="SZI391" s="160">
        <v>0</v>
      </c>
      <c r="SZJ391" s="160">
        <v>0</v>
      </c>
      <c r="SZK391" s="160">
        <v>0</v>
      </c>
      <c r="SZL391" s="160">
        <v>0</v>
      </c>
      <c r="SZM391" s="160">
        <v>0</v>
      </c>
      <c r="SZN391" s="160">
        <v>0</v>
      </c>
      <c r="SZO391" s="160">
        <v>0</v>
      </c>
      <c r="SZP391" s="160">
        <v>0</v>
      </c>
      <c r="SZQ391" s="160">
        <v>0</v>
      </c>
      <c r="SZR391" s="160">
        <v>0</v>
      </c>
      <c r="SZS391" s="160">
        <v>0</v>
      </c>
      <c r="SZT391" s="160">
        <v>0</v>
      </c>
      <c r="SZU391" s="160">
        <v>0</v>
      </c>
      <c r="SZV391" s="160">
        <v>0</v>
      </c>
      <c r="SZW391" s="160">
        <v>0</v>
      </c>
      <c r="SZX391" s="160">
        <v>0</v>
      </c>
      <c r="SZY391" s="160">
        <v>0</v>
      </c>
      <c r="SZZ391" s="160">
        <v>0</v>
      </c>
      <c r="TAA391" s="160">
        <v>0</v>
      </c>
      <c r="TAB391" s="160">
        <v>0</v>
      </c>
      <c r="TAC391" s="160">
        <v>0</v>
      </c>
      <c r="TAD391" s="160">
        <v>0</v>
      </c>
      <c r="TAE391" s="160">
        <v>0</v>
      </c>
      <c r="TAF391" s="160">
        <v>0</v>
      </c>
      <c r="TAG391" s="160">
        <v>0</v>
      </c>
      <c r="TAH391" s="160">
        <v>0</v>
      </c>
      <c r="TAI391" s="160">
        <v>0</v>
      </c>
      <c r="TAJ391" s="160">
        <v>0</v>
      </c>
      <c r="TAK391" s="160">
        <v>0</v>
      </c>
      <c r="TAL391" s="160">
        <v>0</v>
      </c>
      <c r="TAM391" s="160">
        <v>0</v>
      </c>
      <c r="TAN391" s="160">
        <v>0</v>
      </c>
      <c r="TAO391" s="160">
        <v>0</v>
      </c>
      <c r="TAP391" s="160">
        <v>0</v>
      </c>
      <c r="TAQ391" s="160">
        <v>0</v>
      </c>
      <c r="TAR391" s="160">
        <v>0</v>
      </c>
      <c r="TAS391" s="160">
        <v>0</v>
      </c>
      <c r="TAT391" s="160">
        <v>0</v>
      </c>
      <c r="TAU391" s="160">
        <v>0</v>
      </c>
      <c r="TAV391" s="160">
        <v>0</v>
      </c>
      <c r="TAW391" s="160">
        <v>0</v>
      </c>
      <c r="TAX391" s="160">
        <v>0</v>
      </c>
      <c r="TAY391" s="160">
        <v>0</v>
      </c>
      <c r="TAZ391" s="160">
        <v>0</v>
      </c>
      <c r="TBA391" s="160">
        <v>0</v>
      </c>
      <c r="TBB391" s="160">
        <v>0</v>
      </c>
      <c r="TBC391" s="160">
        <v>0</v>
      </c>
      <c r="TBD391" s="160">
        <v>0</v>
      </c>
      <c r="TBE391" s="160">
        <v>0</v>
      </c>
      <c r="TBF391" s="160">
        <v>0</v>
      </c>
      <c r="TBG391" s="160">
        <v>0</v>
      </c>
      <c r="TBH391" s="160">
        <v>0</v>
      </c>
      <c r="TBI391" s="160">
        <v>0</v>
      </c>
      <c r="TBJ391" s="160">
        <v>0</v>
      </c>
      <c r="TBK391" s="160">
        <v>0</v>
      </c>
      <c r="TBL391" s="160">
        <v>0</v>
      </c>
      <c r="TBM391" s="160">
        <v>0</v>
      </c>
      <c r="TBN391" s="160">
        <v>0</v>
      </c>
      <c r="TBO391" s="160">
        <v>0</v>
      </c>
      <c r="TBP391" s="160">
        <v>0</v>
      </c>
      <c r="TBQ391" s="160">
        <v>0</v>
      </c>
      <c r="TBR391" s="160">
        <v>0</v>
      </c>
      <c r="TBS391" s="160">
        <v>0</v>
      </c>
      <c r="TBT391" s="160">
        <v>0</v>
      </c>
      <c r="TBU391" s="160">
        <v>0</v>
      </c>
      <c r="TBV391" s="160">
        <v>0</v>
      </c>
      <c r="TBW391" s="160">
        <v>0</v>
      </c>
      <c r="TBX391" s="160">
        <v>0</v>
      </c>
      <c r="TBY391" s="160">
        <v>0</v>
      </c>
      <c r="TBZ391" s="160">
        <v>0</v>
      </c>
      <c r="TCA391" s="160">
        <v>0</v>
      </c>
      <c r="TCB391" s="160">
        <v>0</v>
      </c>
      <c r="TCC391" s="160">
        <v>0</v>
      </c>
      <c r="TCD391" s="160">
        <v>0</v>
      </c>
      <c r="TCE391" s="160">
        <v>0</v>
      </c>
      <c r="TCF391" s="160">
        <v>0</v>
      </c>
      <c r="TCG391" s="160">
        <v>0</v>
      </c>
      <c r="TCH391" s="160">
        <v>0</v>
      </c>
      <c r="TCI391" s="160">
        <v>0</v>
      </c>
      <c r="TCJ391" s="160">
        <v>0</v>
      </c>
      <c r="TCK391" s="160">
        <v>0</v>
      </c>
      <c r="TCL391" s="160">
        <v>0</v>
      </c>
      <c r="TCM391" s="160">
        <v>0</v>
      </c>
      <c r="TCN391" s="160">
        <v>0</v>
      </c>
      <c r="TCO391" s="160">
        <v>0</v>
      </c>
      <c r="TCP391" s="160">
        <v>0</v>
      </c>
      <c r="TCQ391" s="160">
        <v>0</v>
      </c>
      <c r="TCR391" s="160">
        <v>0</v>
      </c>
      <c r="TCS391" s="160">
        <v>0</v>
      </c>
      <c r="TCT391" s="160">
        <v>0</v>
      </c>
      <c r="TCU391" s="160">
        <v>0</v>
      </c>
      <c r="TCV391" s="160">
        <v>0</v>
      </c>
      <c r="TCW391" s="160">
        <v>0</v>
      </c>
      <c r="TCX391" s="160">
        <v>0</v>
      </c>
      <c r="TCY391" s="160">
        <v>0</v>
      </c>
      <c r="TCZ391" s="160">
        <v>0</v>
      </c>
      <c r="TDA391" s="160">
        <v>0</v>
      </c>
      <c r="TDB391" s="160">
        <v>0</v>
      </c>
      <c r="TDC391" s="160">
        <v>0</v>
      </c>
      <c r="TDD391" s="160">
        <v>0</v>
      </c>
      <c r="TDE391" s="160">
        <v>0</v>
      </c>
      <c r="TDF391" s="160">
        <v>0</v>
      </c>
      <c r="TDG391" s="160">
        <v>0</v>
      </c>
      <c r="TDH391" s="160">
        <v>0</v>
      </c>
      <c r="TDI391" s="160">
        <v>0</v>
      </c>
      <c r="TDJ391" s="160">
        <v>0</v>
      </c>
      <c r="TDK391" s="160">
        <v>0</v>
      </c>
      <c r="TDL391" s="160">
        <v>0</v>
      </c>
      <c r="TDM391" s="160">
        <v>0</v>
      </c>
      <c r="TDN391" s="160">
        <v>0</v>
      </c>
      <c r="TDO391" s="160">
        <v>0</v>
      </c>
      <c r="TDP391" s="160">
        <v>0</v>
      </c>
      <c r="TDQ391" s="160">
        <v>0</v>
      </c>
      <c r="TDR391" s="160">
        <v>0</v>
      </c>
      <c r="TDS391" s="160">
        <v>0</v>
      </c>
      <c r="TDT391" s="160">
        <v>0</v>
      </c>
      <c r="TDU391" s="160">
        <v>0</v>
      </c>
      <c r="TDV391" s="160">
        <v>0</v>
      </c>
      <c r="TDW391" s="160">
        <v>0</v>
      </c>
      <c r="TDX391" s="160">
        <v>0</v>
      </c>
      <c r="TDY391" s="160">
        <v>0</v>
      </c>
      <c r="TDZ391" s="160">
        <v>0</v>
      </c>
      <c r="TEA391" s="160">
        <v>0</v>
      </c>
      <c r="TEB391" s="160">
        <v>0</v>
      </c>
      <c r="TEC391" s="160">
        <v>0</v>
      </c>
      <c r="TED391" s="160">
        <v>0</v>
      </c>
      <c r="TEE391" s="160">
        <v>0</v>
      </c>
      <c r="TEF391" s="160">
        <v>0</v>
      </c>
      <c r="TEG391" s="160">
        <v>0</v>
      </c>
      <c r="TEH391" s="160">
        <v>0</v>
      </c>
      <c r="TEI391" s="160">
        <v>0</v>
      </c>
      <c r="TEJ391" s="160">
        <v>0</v>
      </c>
      <c r="TEK391" s="160">
        <v>0</v>
      </c>
      <c r="TEL391" s="160">
        <v>0</v>
      </c>
      <c r="TEM391" s="160">
        <v>0</v>
      </c>
      <c r="TEN391" s="160">
        <v>0</v>
      </c>
      <c r="TEO391" s="160">
        <v>0</v>
      </c>
      <c r="TEP391" s="160">
        <v>0</v>
      </c>
      <c r="TEQ391" s="160">
        <v>0</v>
      </c>
      <c r="TER391" s="160">
        <v>0</v>
      </c>
      <c r="TES391" s="160">
        <v>0</v>
      </c>
      <c r="TET391" s="160">
        <v>0</v>
      </c>
      <c r="TEU391" s="160">
        <v>0</v>
      </c>
      <c r="TEV391" s="160">
        <v>0</v>
      </c>
      <c r="TEW391" s="160">
        <v>0</v>
      </c>
      <c r="TEX391" s="160">
        <v>0</v>
      </c>
      <c r="TEY391" s="160">
        <v>0</v>
      </c>
      <c r="TEZ391" s="160">
        <v>0</v>
      </c>
      <c r="TFA391" s="160">
        <v>0</v>
      </c>
      <c r="TFB391" s="160">
        <v>0</v>
      </c>
      <c r="TFC391" s="160">
        <v>0</v>
      </c>
      <c r="TFD391" s="160">
        <v>0</v>
      </c>
      <c r="TFE391" s="160">
        <v>0</v>
      </c>
      <c r="TFF391" s="160">
        <v>0</v>
      </c>
      <c r="TFG391" s="160">
        <v>0</v>
      </c>
      <c r="TFH391" s="160">
        <v>0</v>
      </c>
      <c r="TFI391" s="160">
        <v>0</v>
      </c>
      <c r="TFJ391" s="160">
        <v>0</v>
      </c>
      <c r="TFK391" s="160">
        <v>0</v>
      </c>
      <c r="TFL391" s="160">
        <v>0</v>
      </c>
      <c r="TFM391" s="160">
        <v>0</v>
      </c>
      <c r="TFN391" s="160">
        <v>0</v>
      </c>
      <c r="TFO391" s="160">
        <v>0</v>
      </c>
      <c r="TFP391" s="160">
        <v>0</v>
      </c>
      <c r="TFQ391" s="160">
        <v>0</v>
      </c>
      <c r="TFR391" s="160">
        <v>0</v>
      </c>
      <c r="TFS391" s="160">
        <v>0</v>
      </c>
      <c r="TFT391" s="160">
        <v>0</v>
      </c>
      <c r="TFU391" s="160">
        <v>0</v>
      </c>
      <c r="TFV391" s="160">
        <v>0</v>
      </c>
      <c r="TFW391" s="160">
        <v>0</v>
      </c>
      <c r="TFX391" s="160">
        <v>0</v>
      </c>
      <c r="TFY391" s="160">
        <v>0</v>
      </c>
      <c r="TFZ391" s="160">
        <v>0</v>
      </c>
      <c r="TGA391" s="160">
        <v>0</v>
      </c>
      <c r="TGB391" s="160">
        <v>0</v>
      </c>
      <c r="TGC391" s="160">
        <v>0</v>
      </c>
      <c r="TGD391" s="160">
        <v>0</v>
      </c>
      <c r="TGE391" s="160">
        <v>0</v>
      </c>
      <c r="TGF391" s="160">
        <v>0</v>
      </c>
      <c r="TGG391" s="160">
        <v>0</v>
      </c>
      <c r="TGH391" s="160">
        <v>0</v>
      </c>
      <c r="TGI391" s="160">
        <v>0</v>
      </c>
      <c r="TGJ391" s="160">
        <v>0</v>
      </c>
      <c r="TGK391" s="160">
        <v>0</v>
      </c>
      <c r="TGL391" s="160">
        <v>0</v>
      </c>
      <c r="TGM391" s="160">
        <v>0</v>
      </c>
      <c r="TGN391" s="160">
        <v>0</v>
      </c>
      <c r="TGO391" s="160">
        <v>0</v>
      </c>
      <c r="TGP391" s="160">
        <v>0</v>
      </c>
      <c r="TGQ391" s="160">
        <v>0</v>
      </c>
      <c r="TGR391" s="160">
        <v>0</v>
      </c>
      <c r="TGS391" s="160">
        <v>0</v>
      </c>
      <c r="TGT391" s="160">
        <v>0</v>
      </c>
      <c r="TGU391" s="160">
        <v>0</v>
      </c>
      <c r="TGV391" s="160">
        <v>0</v>
      </c>
      <c r="TGW391" s="160">
        <v>0</v>
      </c>
      <c r="TGX391" s="160">
        <v>0</v>
      </c>
      <c r="TGY391" s="160">
        <v>0</v>
      </c>
      <c r="TGZ391" s="160">
        <v>0</v>
      </c>
      <c r="THA391" s="160">
        <v>0</v>
      </c>
      <c r="THB391" s="160">
        <v>0</v>
      </c>
      <c r="THC391" s="160">
        <v>0</v>
      </c>
      <c r="THD391" s="160">
        <v>0</v>
      </c>
      <c r="THE391" s="160">
        <v>0</v>
      </c>
      <c r="THF391" s="160">
        <v>0</v>
      </c>
      <c r="THG391" s="160">
        <v>0</v>
      </c>
      <c r="THH391" s="160">
        <v>0</v>
      </c>
      <c r="THI391" s="160">
        <v>0</v>
      </c>
      <c r="THJ391" s="160">
        <v>0</v>
      </c>
      <c r="THK391" s="160">
        <v>0</v>
      </c>
      <c r="THL391" s="160">
        <v>0</v>
      </c>
      <c r="THM391" s="160">
        <v>0</v>
      </c>
      <c r="THN391" s="160">
        <v>0</v>
      </c>
      <c r="THO391" s="160">
        <v>0</v>
      </c>
      <c r="THP391" s="160">
        <v>0</v>
      </c>
      <c r="THQ391" s="160">
        <v>0</v>
      </c>
      <c r="THR391" s="160">
        <v>0</v>
      </c>
      <c r="THS391" s="160">
        <v>0</v>
      </c>
      <c r="THT391" s="160">
        <v>0</v>
      </c>
      <c r="THU391" s="160">
        <v>0</v>
      </c>
      <c r="THV391" s="160">
        <v>0</v>
      </c>
      <c r="THW391" s="160">
        <v>0</v>
      </c>
      <c r="THX391" s="160">
        <v>0</v>
      </c>
      <c r="THY391" s="160">
        <v>0</v>
      </c>
      <c r="THZ391" s="160">
        <v>0</v>
      </c>
      <c r="TIA391" s="160">
        <v>0</v>
      </c>
      <c r="TIB391" s="160">
        <v>0</v>
      </c>
      <c r="TIC391" s="160">
        <v>0</v>
      </c>
      <c r="TID391" s="160">
        <v>0</v>
      </c>
      <c r="TIE391" s="160">
        <v>0</v>
      </c>
      <c r="TIF391" s="160">
        <v>0</v>
      </c>
      <c r="TIG391" s="160">
        <v>0</v>
      </c>
      <c r="TIH391" s="160">
        <v>0</v>
      </c>
      <c r="TII391" s="160">
        <v>0</v>
      </c>
      <c r="TIJ391" s="160">
        <v>0</v>
      </c>
      <c r="TIK391" s="160">
        <v>0</v>
      </c>
      <c r="TIL391" s="160">
        <v>0</v>
      </c>
      <c r="TIM391" s="160">
        <v>0</v>
      </c>
      <c r="TIN391" s="160">
        <v>0</v>
      </c>
      <c r="TIO391" s="160">
        <v>0</v>
      </c>
      <c r="TIP391" s="160">
        <v>0</v>
      </c>
      <c r="TIQ391" s="160">
        <v>0</v>
      </c>
      <c r="TIR391" s="160">
        <v>0</v>
      </c>
      <c r="TIS391" s="160">
        <v>0</v>
      </c>
      <c r="TIT391" s="160">
        <v>0</v>
      </c>
      <c r="TIU391" s="160">
        <v>0</v>
      </c>
      <c r="TIV391" s="160">
        <v>0</v>
      </c>
      <c r="TIW391" s="160">
        <v>0</v>
      </c>
      <c r="TIX391" s="160">
        <v>0</v>
      </c>
      <c r="TIY391" s="160">
        <v>0</v>
      </c>
      <c r="TIZ391" s="160">
        <v>0</v>
      </c>
      <c r="TJA391" s="160">
        <v>0</v>
      </c>
      <c r="TJB391" s="160">
        <v>0</v>
      </c>
      <c r="TJC391" s="160">
        <v>0</v>
      </c>
      <c r="TJD391" s="160">
        <v>0</v>
      </c>
      <c r="TJE391" s="160">
        <v>0</v>
      </c>
      <c r="TJF391" s="160">
        <v>0</v>
      </c>
      <c r="TJG391" s="160">
        <v>0</v>
      </c>
      <c r="TJH391" s="160">
        <v>0</v>
      </c>
      <c r="TJI391" s="160">
        <v>0</v>
      </c>
      <c r="TJJ391" s="160">
        <v>0</v>
      </c>
      <c r="TJK391" s="160">
        <v>0</v>
      </c>
      <c r="TJL391" s="160">
        <v>0</v>
      </c>
      <c r="TJM391" s="160">
        <v>0</v>
      </c>
      <c r="TJN391" s="160">
        <v>0</v>
      </c>
      <c r="TJO391" s="160">
        <v>0</v>
      </c>
      <c r="TJP391" s="160">
        <v>0</v>
      </c>
      <c r="TJQ391" s="160">
        <v>0</v>
      </c>
      <c r="TJR391" s="160">
        <v>0</v>
      </c>
      <c r="TJS391" s="160">
        <v>0</v>
      </c>
      <c r="TJT391" s="160">
        <v>0</v>
      </c>
      <c r="TJU391" s="160">
        <v>0</v>
      </c>
      <c r="TJV391" s="160">
        <v>0</v>
      </c>
      <c r="TJW391" s="160">
        <v>0</v>
      </c>
      <c r="TJX391" s="160">
        <v>0</v>
      </c>
      <c r="TJY391" s="160">
        <v>0</v>
      </c>
      <c r="TJZ391" s="160">
        <v>0</v>
      </c>
      <c r="TKA391" s="160">
        <v>0</v>
      </c>
      <c r="TKB391" s="160">
        <v>0</v>
      </c>
      <c r="TKC391" s="160">
        <v>0</v>
      </c>
      <c r="TKD391" s="160">
        <v>0</v>
      </c>
      <c r="TKE391" s="160">
        <v>0</v>
      </c>
      <c r="TKF391" s="160">
        <v>0</v>
      </c>
      <c r="TKG391" s="160">
        <v>0</v>
      </c>
      <c r="TKH391" s="160">
        <v>0</v>
      </c>
      <c r="TKI391" s="160">
        <v>0</v>
      </c>
      <c r="TKJ391" s="160">
        <v>0</v>
      </c>
      <c r="TKK391" s="160">
        <v>0</v>
      </c>
      <c r="TKL391" s="160">
        <v>0</v>
      </c>
      <c r="TKM391" s="160">
        <v>0</v>
      </c>
      <c r="TKN391" s="160">
        <v>0</v>
      </c>
      <c r="TKO391" s="160">
        <v>0</v>
      </c>
      <c r="TKP391" s="160">
        <v>0</v>
      </c>
      <c r="TKQ391" s="160">
        <v>0</v>
      </c>
      <c r="TKR391" s="160">
        <v>0</v>
      </c>
      <c r="TKS391" s="160">
        <v>0</v>
      </c>
      <c r="TKT391" s="160">
        <v>0</v>
      </c>
      <c r="TKU391" s="160">
        <v>0</v>
      </c>
      <c r="TKV391" s="160">
        <v>0</v>
      </c>
      <c r="TKW391" s="160">
        <v>0</v>
      </c>
      <c r="TKX391" s="160">
        <v>0</v>
      </c>
      <c r="TKY391" s="160">
        <v>0</v>
      </c>
      <c r="TKZ391" s="160">
        <v>0</v>
      </c>
      <c r="TLA391" s="160">
        <v>0</v>
      </c>
      <c r="TLB391" s="160">
        <v>0</v>
      </c>
      <c r="TLC391" s="160">
        <v>0</v>
      </c>
      <c r="TLD391" s="160">
        <v>0</v>
      </c>
      <c r="TLE391" s="160">
        <v>0</v>
      </c>
      <c r="TLF391" s="160">
        <v>0</v>
      </c>
      <c r="TLG391" s="160">
        <v>0</v>
      </c>
      <c r="TLH391" s="160">
        <v>0</v>
      </c>
      <c r="TLI391" s="160">
        <v>0</v>
      </c>
      <c r="TLJ391" s="160">
        <v>0</v>
      </c>
      <c r="TLK391" s="160">
        <v>0</v>
      </c>
      <c r="TLL391" s="160">
        <v>0</v>
      </c>
      <c r="TLM391" s="160">
        <v>0</v>
      </c>
      <c r="TLN391" s="160">
        <v>0</v>
      </c>
      <c r="TLO391" s="160">
        <v>0</v>
      </c>
      <c r="TLP391" s="160">
        <v>0</v>
      </c>
      <c r="TLQ391" s="160">
        <v>0</v>
      </c>
      <c r="TLR391" s="160">
        <v>0</v>
      </c>
      <c r="TLS391" s="160">
        <v>0</v>
      </c>
      <c r="TLT391" s="160">
        <v>0</v>
      </c>
      <c r="TLU391" s="160">
        <v>0</v>
      </c>
      <c r="TLV391" s="160">
        <v>0</v>
      </c>
      <c r="TLW391" s="160">
        <v>0</v>
      </c>
      <c r="TLX391" s="160">
        <v>0</v>
      </c>
      <c r="TLY391" s="160">
        <v>0</v>
      </c>
      <c r="TLZ391" s="160">
        <v>0</v>
      </c>
      <c r="TMA391" s="160">
        <v>0</v>
      </c>
      <c r="TMB391" s="160">
        <v>0</v>
      </c>
      <c r="TMC391" s="160">
        <v>0</v>
      </c>
      <c r="TMD391" s="160">
        <v>0</v>
      </c>
      <c r="TME391" s="160">
        <v>0</v>
      </c>
      <c r="TMF391" s="160">
        <v>0</v>
      </c>
      <c r="TMG391" s="160">
        <v>0</v>
      </c>
      <c r="TMH391" s="160">
        <v>0</v>
      </c>
      <c r="TMI391" s="160">
        <v>0</v>
      </c>
      <c r="TMJ391" s="160">
        <v>0</v>
      </c>
      <c r="TMK391" s="160">
        <v>0</v>
      </c>
      <c r="TML391" s="160">
        <v>0</v>
      </c>
      <c r="TMM391" s="160">
        <v>0</v>
      </c>
      <c r="TMN391" s="160">
        <v>0</v>
      </c>
      <c r="TMO391" s="160">
        <v>0</v>
      </c>
      <c r="TMP391" s="160">
        <v>0</v>
      </c>
      <c r="TMQ391" s="160">
        <v>0</v>
      </c>
      <c r="TMR391" s="160">
        <v>0</v>
      </c>
      <c r="TMS391" s="160">
        <v>0</v>
      </c>
      <c r="TMT391" s="160">
        <v>0</v>
      </c>
      <c r="TMU391" s="160">
        <v>0</v>
      </c>
      <c r="TMV391" s="160">
        <v>0</v>
      </c>
      <c r="TMW391" s="160">
        <v>0</v>
      </c>
      <c r="TMX391" s="160">
        <v>0</v>
      </c>
      <c r="TMY391" s="160">
        <v>0</v>
      </c>
      <c r="TMZ391" s="160">
        <v>0</v>
      </c>
      <c r="TNA391" s="160">
        <v>0</v>
      </c>
      <c r="TNB391" s="160">
        <v>0</v>
      </c>
      <c r="TNC391" s="160">
        <v>0</v>
      </c>
      <c r="TND391" s="160">
        <v>0</v>
      </c>
      <c r="TNE391" s="160">
        <v>0</v>
      </c>
      <c r="TNF391" s="160">
        <v>0</v>
      </c>
      <c r="TNG391" s="160">
        <v>0</v>
      </c>
      <c r="TNH391" s="160">
        <v>0</v>
      </c>
      <c r="TNI391" s="160">
        <v>0</v>
      </c>
      <c r="TNJ391" s="160">
        <v>0</v>
      </c>
      <c r="TNK391" s="160">
        <v>0</v>
      </c>
      <c r="TNL391" s="160">
        <v>0</v>
      </c>
      <c r="TNM391" s="160">
        <v>0</v>
      </c>
      <c r="TNN391" s="160">
        <v>0</v>
      </c>
      <c r="TNO391" s="160">
        <v>0</v>
      </c>
      <c r="TNP391" s="160">
        <v>0</v>
      </c>
      <c r="TNQ391" s="160">
        <v>0</v>
      </c>
      <c r="TNR391" s="160">
        <v>0</v>
      </c>
      <c r="TNS391" s="160">
        <v>0</v>
      </c>
      <c r="TNT391" s="160">
        <v>0</v>
      </c>
      <c r="TNU391" s="160">
        <v>0</v>
      </c>
      <c r="TNV391" s="160">
        <v>0</v>
      </c>
      <c r="TNW391" s="160">
        <v>0</v>
      </c>
      <c r="TNX391" s="160">
        <v>0</v>
      </c>
      <c r="TNY391" s="160">
        <v>0</v>
      </c>
      <c r="TNZ391" s="160">
        <v>0</v>
      </c>
      <c r="TOA391" s="160">
        <v>0</v>
      </c>
      <c r="TOB391" s="160">
        <v>0</v>
      </c>
      <c r="TOC391" s="160">
        <v>0</v>
      </c>
      <c r="TOD391" s="160">
        <v>0</v>
      </c>
      <c r="TOE391" s="160">
        <v>0</v>
      </c>
      <c r="TOF391" s="160">
        <v>0</v>
      </c>
      <c r="TOG391" s="160">
        <v>0</v>
      </c>
      <c r="TOH391" s="160">
        <v>0</v>
      </c>
      <c r="TOI391" s="160">
        <v>0</v>
      </c>
      <c r="TOJ391" s="160">
        <v>0</v>
      </c>
      <c r="TOK391" s="160">
        <v>0</v>
      </c>
      <c r="TOL391" s="160">
        <v>0</v>
      </c>
      <c r="TOM391" s="160">
        <v>0</v>
      </c>
      <c r="TON391" s="160">
        <v>0</v>
      </c>
      <c r="TOO391" s="160">
        <v>0</v>
      </c>
      <c r="TOP391" s="160">
        <v>0</v>
      </c>
      <c r="TOQ391" s="160">
        <v>0</v>
      </c>
      <c r="TOR391" s="160">
        <v>0</v>
      </c>
      <c r="TOS391" s="160">
        <v>0</v>
      </c>
      <c r="TOT391" s="160">
        <v>0</v>
      </c>
      <c r="TOU391" s="160">
        <v>0</v>
      </c>
      <c r="TOV391" s="160">
        <v>0</v>
      </c>
      <c r="TOW391" s="160">
        <v>0</v>
      </c>
      <c r="TOX391" s="160">
        <v>0</v>
      </c>
      <c r="TOY391" s="160">
        <v>0</v>
      </c>
      <c r="TOZ391" s="160">
        <v>0</v>
      </c>
      <c r="TPA391" s="160">
        <v>0</v>
      </c>
      <c r="TPB391" s="160">
        <v>0</v>
      </c>
      <c r="TPC391" s="160">
        <v>0</v>
      </c>
      <c r="TPD391" s="160">
        <v>0</v>
      </c>
      <c r="TPE391" s="160">
        <v>0</v>
      </c>
      <c r="TPF391" s="160">
        <v>0</v>
      </c>
      <c r="TPG391" s="160">
        <v>0</v>
      </c>
      <c r="TPH391" s="160">
        <v>0</v>
      </c>
      <c r="TPI391" s="160">
        <v>0</v>
      </c>
      <c r="TPJ391" s="160">
        <v>0</v>
      </c>
      <c r="TPK391" s="160">
        <v>0</v>
      </c>
      <c r="TPL391" s="160">
        <v>0</v>
      </c>
      <c r="TPM391" s="160">
        <v>0</v>
      </c>
      <c r="TPN391" s="160">
        <v>0</v>
      </c>
      <c r="TPO391" s="160">
        <v>0</v>
      </c>
      <c r="TPP391" s="160">
        <v>0</v>
      </c>
      <c r="TPQ391" s="160">
        <v>0</v>
      </c>
      <c r="TPR391" s="160">
        <v>0</v>
      </c>
      <c r="TPS391" s="160">
        <v>0</v>
      </c>
      <c r="TPT391" s="160">
        <v>0</v>
      </c>
      <c r="TPU391" s="160">
        <v>0</v>
      </c>
      <c r="TPV391" s="160">
        <v>0</v>
      </c>
      <c r="TPW391" s="160">
        <v>0</v>
      </c>
      <c r="TPX391" s="160">
        <v>0</v>
      </c>
      <c r="TPY391" s="160">
        <v>0</v>
      </c>
      <c r="TPZ391" s="160">
        <v>0</v>
      </c>
      <c r="TQA391" s="160">
        <v>0</v>
      </c>
      <c r="TQB391" s="160">
        <v>0</v>
      </c>
      <c r="TQC391" s="160">
        <v>0</v>
      </c>
      <c r="TQD391" s="160">
        <v>0</v>
      </c>
      <c r="TQE391" s="160">
        <v>0</v>
      </c>
      <c r="TQF391" s="160">
        <v>0</v>
      </c>
      <c r="TQG391" s="160">
        <v>0</v>
      </c>
      <c r="TQH391" s="160">
        <v>0</v>
      </c>
      <c r="TQI391" s="160">
        <v>0</v>
      </c>
      <c r="TQJ391" s="160">
        <v>0</v>
      </c>
      <c r="TQK391" s="160">
        <v>0</v>
      </c>
      <c r="TQL391" s="160">
        <v>0</v>
      </c>
      <c r="TQM391" s="160">
        <v>0</v>
      </c>
      <c r="TQN391" s="160">
        <v>0</v>
      </c>
      <c r="TQO391" s="160">
        <v>0</v>
      </c>
      <c r="TQP391" s="160">
        <v>0</v>
      </c>
      <c r="TQQ391" s="160">
        <v>0</v>
      </c>
      <c r="TQR391" s="160">
        <v>0</v>
      </c>
      <c r="TQS391" s="160">
        <v>0</v>
      </c>
      <c r="TQT391" s="160">
        <v>0</v>
      </c>
      <c r="TQU391" s="160">
        <v>0</v>
      </c>
      <c r="TQV391" s="160">
        <v>0</v>
      </c>
      <c r="TQW391" s="160">
        <v>0</v>
      </c>
      <c r="TQX391" s="160">
        <v>0</v>
      </c>
      <c r="TQY391" s="160">
        <v>0</v>
      </c>
      <c r="TQZ391" s="160">
        <v>0</v>
      </c>
      <c r="TRA391" s="160">
        <v>0</v>
      </c>
      <c r="TRB391" s="160">
        <v>0</v>
      </c>
      <c r="TRC391" s="160">
        <v>0</v>
      </c>
      <c r="TRD391" s="160">
        <v>0</v>
      </c>
      <c r="TRE391" s="160">
        <v>0</v>
      </c>
      <c r="TRF391" s="160">
        <v>0</v>
      </c>
      <c r="TRG391" s="160">
        <v>0</v>
      </c>
      <c r="TRH391" s="160">
        <v>0</v>
      </c>
      <c r="TRI391" s="160">
        <v>0</v>
      </c>
      <c r="TRJ391" s="160">
        <v>0</v>
      </c>
      <c r="TRK391" s="160">
        <v>0</v>
      </c>
      <c r="TRL391" s="160">
        <v>0</v>
      </c>
      <c r="TRM391" s="160">
        <v>0</v>
      </c>
      <c r="TRN391" s="160">
        <v>0</v>
      </c>
      <c r="TRO391" s="160">
        <v>0</v>
      </c>
      <c r="TRP391" s="160">
        <v>0</v>
      </c>
      <c r="TRQ391" s="160">
        <v>0</v>
      </c>
      <c r="TRR391" s="160">
        <v>0</v>
      </c>
      <c r="TRS391" s="160">
        <v>0</v>
      </c>
      <c r="TRT391" s="160">
        <v>0</v>
      </c>
      <c r="TRU391" s="160">
        <v>0</v>
      </c>
      <c r="TRV391" s="160">
        <v>0</v>
      </c>
      <c r="TRW391" s="160">
        <v>0</v>
      </c>
      <c r="TRX391" s="160">
        <v>0</v>
      </c>
      <c r="TRY391" s="160">
        <v>0</v>
      </c>
      <c r="TRZ391" s="160">
        <v>0</v>
      </c>
      <c r="TSA391" s="160">
        <v>0</v>
      </c>
      <c r="TSB391" s="160">
        <v>0</v>
      </c>
      <c r="TSC391" s="160">
        <v>0</v>
      </c>
      <c r="TSD391" s="160">
        <v>0</v>
      </c>
      <c r="TSE391" s="160">
        <v>0</v>
      </c>
      <c r="TSF391" s="160">
        <v>0</v>
      </c>
      <c r="TSG391" s="160">
        <v>0</v>
      </c>
      <c r="TSH391" s="160">
        <v>0</v>
      </c>
      <c r="TSI391" s="160">
        <v>0</v>
      </c>
      <c r="TSJ391" s="160">
        <v>0</v>
      </c>
      <c r="TSK391" s="160">
        <v>0</v>
      </c>
      <c r="TSL391" s="160">
        <v>0</v>
      </c>
      <c r="TSM391" s="160">
        <v>0</v>
      </c>
      <c r="TSN391" s="160">
        <v>0</v>
      </c>
      <c r="TSO391" s="160">
        <v>0</v>
      </c>
      <c r="TSP391" s="160">
        <v>0</v>
      </c>
      <c r="TSQ391" s="160">
        <v>0</v>
      </c>
      <c r="TSR391" s="160">
        <v>0</v>
      </c>
      <c r="TSS391" s="160">
        <v>0</v>
      </c>
      <c r="TST391" s="160">
        <v>0</v>
      </c>
      <c r="TSU391" s="160">
        <v>0</v>
      </c>
      <c r="TSV391" s="160">
        <v>0</v>
      </c>
      <c r="TSW391" s="160">
        <v>0</v>
      </c>
      <c r="TSX391" s="160">
        <v>0</v>
      </c>
      <c r="TSY391" s="160">
        <v>0</v>
      </c>
      <c r="TSZ391" s="160">
        <v>0</v>
      </c>
      <c r="TTA391" s="160">
        <v>0</v>
      </c>
      <c r="TTB391" s="160">
        <v>0</v>
      </c>
      <c r="TTC391" s="160">
        <v>0</v>
      </c>
      <c r="TTD391" s="160">
        <v>0</v>
      </c>
      <c r="TTE391" s="160">
        <v>0</v>
      </c>
      <c r="TTF391" s="160">
        <v>0</v>
      </c>
      <c r="TTG391" s="160">
        <v>0</v>
      </c>
      <c r="TTH391" s="160">
        <v>0</v>
      </c>
      <c r="TTI391" s="160">
        <v>0</v>
      </c>
      <c r="TTJ391" s="160">
        <v>0</v>
      </c>
      <c r="TTK391" s="160">
        <v>0</v>
      </c>
      <c r="TTL391" s="160">
        <v>0</v>
      </c>
      <c r="TTM391" s="160">
        <v>0</v>
      </c>
      <c r="TTN391" s="160">
        <v>0</v>
      </c>
      <c r="TTO391" s="160">
        <v>0</v>
      </c>
      <c r="TTP391" s="160">
        <v>0</v>
      </c>
      <c r="TTQ391" s="160">
        <v>0</v>
      </c>
      <c r="TTR391" s="160">
        <v>0</v>
      </c>
      <c r="TTS391" s="160">
        <v>0</v>
      </c>
      <c r="TTT391" s="160">
        <v>0</v>
      </c>
      <c r="TTU391" s="160">
        <v>0</v>
      </c>
      <c r="TTV391" s="160">
        <v>0</v>
      </c>
      <c r="TTW391" s="160">
        <v>0</v>
      </c>
      <c r="TTX391" s="160">
        <v>0</v>
      </c>
      <c r="TTY391" s="160">
        <v>0</v>
      </c>
      <c r="TTZ391" s="160">
        <v>0</v>
      </c>
      <c r="TUA391" s="160">
        <v>0</v>
      </c>
      <c r="TUB391" s="160">
        <v>0</v>
      </c>
      <c r="TUC391" s="160">
        <v>0</v>
      </c>
      <c r="TUD391" s="160">
        <v>0</v>
      </c>
      <c r="TUE391" s="160">
        <v>0</v>
      </c>
      <c r="TUF391" s="160">
        <v>0</v>
      </c>
      <c r="TUG391" s="160">
        <v>0</v>
      </c>
      <c r="TUH391" s="160">
        <v>0</v>
      </c>
      <c r="TUI391" s="160">
        <v>0</v>
      </c>
      <c r="TUJ391" s="160">
        <v>0</v>
      </c>
      <c r="TUK391" s="160">
        <v>0</v>
      </c>
      <c r="TUL391" s="160">
        <v>0</v>
      </c>
      <c r="TUM391" s="160">
        <v>0</v>
      </c>
      <c r="TUN391" s="160">
        <v>0</v>
      </c>
      <c r="TUO391" s="160">
        <v>0</v>
      </c>
      <c r="TUP391" s="160">
        <v>0</v>
      </c>
      <c r="TUQ391" s="160">
        <v>0</v>
      </c>
      <c r="TUR391" s="160">
        <v>0</v>
      </c>
      <c r="TUS391" s="160">
        <v>0</v>
      </c>
      <c r="TUT391" s="160">
        <v>0</v>
      </c>
      <c r="TUU391" s="160">
        <v>0</v>
      </c>
      <c r="TUV391" s="160">
        <v>0</v>
      </c>
      <c r="TUW391" s="160">
        <v>0</v>
      </c>
      <c r="TUX391" s="160">
        <v>0</v>
      </c>
      <c r="TUY391" s="160">
        <v>0</v>
      </c>
      <c r="TUZ391" s="160">
        <v>0</v>
      </c>
      <c r="TVA391" s="160">
        <v>0</v>
      </c>
      <c r="TVB391" s="160">
        <v>0</v>
      </c>
      <c r="TVC391" s="160">
        <v>0</v>
      </c>
      <c r="TVD391" s="160">
        <v>0</v>
      </c>
      <c r="TVE391" s="160">
        <v>0</v>
      </c>
      <c r="TVF391" s="160">
        <v>0</v>
      </c>
      <c r="TVG391" s="160">
        <v>0</v>
      </c>
      <c r="TVH391" s="160">
        <v>0</v>
      </c>
      <c r="TVI391" s="160">
        <v>0</v>
      </c>
      <c r="TVJ391" s="160">
        <v>0</v>
      </c>
      <c r="TVK391" s="160">
        <v>0</v>
      </c>
      <c r="TVL391" s="160">
        <v>0</v>
      </c>
      <c r="TVM391" s="160">
        <v>0</v>
      </c>
      <c r="TVN391" s="160">
        <v>0</v>
      </c>
      <c r="TVO391" s="160">
        <v>0</v>
      </c>
      <c r="TVP391" s="160">
        <v>0</v>
      </c>
      <c r="TVQ391" s="160">
        <v>0</v>
      </c>
      <c r="TVR391" s="160">
        <v>0</v>
      </c>
      <c r="TVS391" s="160">
        <v>0</v>
      </c>
      <c r="TVT391" s="160">
        <v>0</v>
      </c>
      <c r="TVU391" s="160">
        <v>0</v>
      </c>
      <c r="TVV391" s="160">
        <v>0</v>
      </c>
      <c r="TVW391" s="160">
        <v>0</v>
      </c>
      <c r="TVX391" s="160">
        <v>0</v>
      </c>
      <c r="TVY391" s="160">
        <v>0</v>
      </c>
      <c r="TVZ391" s="160">
        <v>0</v>
      </c>
      <c r="TWA391" s="160">
        <v>0</v>
      </c>
      <c r="TWB391" s="160">
        <v>0</v>
      </c>
      <c r="TWC391" s="160">
        <v>0</v>
      </c>
      <c r="TWD391" s="160">
        <v>0</v>
      </c>
      <c r="TWE391" s="160">
        <v>0</v>
      </c>
      <c r="TWF391" s="160">
        <v>0</v>
      </c>
      <c r="TWG391" s="160">
        <v>0</v>
      </c>
      <c r="TWH391" s="160">
        <v>0</v>
      </c>
      <c r="TWI391" s="160">
        <v>0</v>
      </c>
      <c r="TWJ391" s="160">
        <v>0</v>
      </c>
      <c r="TWK391" s="160">
        <v>0</v>
      </c>
      <c r="TWL391" s="160">
        <v>0</v>
      </c>
      <c r="TWM391" s="160">
        <v>0</v>
      </c>
      <c r="TWN391" s="160">
        <v>0</v>
      </c>
      <c r="TWO391" s="160">
        <v>0</v>
      </c>
      <c r="TWP391" s="160">
        <v>0</v>
      </c>
      <c r="TWQ391" s="160">
        <v>0</v>
      </c>
      <c r="TWR391" s="160">
        <v>0</v>
      </c>
      <c r="TWS391" s="160">
        <v>0</v>
      </c>
      <c r="TWT391" s="160">
        <v>0</v>
      </c>
      <c r="TWU391" s="160">
        <v>0</v>
      </c>
      <c r="TWV391" s="160">
        <v>0</v>
      </c>
      <c r="TWW391" s="160">
        <v>0</v>
      </c>
      <c r="TWX391" s="160">
        <v>0</v>
      </c>
      <c r="TWY391" s="160">
        <v>0</v>
      </c>
      <c r="TWZ391" s="160">
        <v>0</v>
      </c>
      <c r="TXA391" s="160">
        <v>0</v>
      </c>
      <c r="TXB391" s="160">
        <v>0</v>
      </c>
      <c r="TXC391" s="160">
        <v>0</v>
      </c>
      <c r="TXD391" s="160">
        <v>0</v>
      </c>
      <c r="TXE391" s="160">
        <v>0</v>
      </c>
      <c r="TXF391" s="160">
        <v>0</v>
      </c>
      <c r="TXG391" s="160">
        <v>0</v>
      </c>
      <c r="TXH391" s="160">
        <v>0</v>
      </c>
      <c r="TXI391" s="160">
        <v>0</v>
      </c>
      <c r="TXJ391" s="160">
        <v>0</v>
      </c>
      <c r="TXK391" s="160">
        <v>0</v>
      </c>
      <c r="TXL391" s="160">
        <v>0</v>
      </c>
      <c r="TXM391" s="160">
        <v>0</v>
      </c>
      <c r="TXN391" s="160">
        <v>0</v>
      </c>
      <c r="TXO391" s="160">
        <v>0</v>
      </c>
      <c r="TXP391" s="160">
        <v>0</v>
      </c>
      <c r="TXQ391" s="160">
        <v>0</v>
      </c>
      <c r="TXR391" s="160">
        <v>0</v>
      </c>
      <c r="TXS391" s="160">
        <v>0</v>
      </c>
      <c r="TXT391" s="160">
        <v>0</v>
      </c>
      <c r="TXU391" s="160">
        <v>0</v>
      </c>
      <c r="TXV391" s="160">
        <v>0</v>
      </c>
      <c r="TXW391" s="160">
        <v>0</v>
      </c>
      <c r="TXX391" s="160">
        <v>0</v>
      </c>
      <c r="TXY391" s="160">
        <v>0</v>
      </c>
      <c r="TXZ391" s="160">
        <v>0</v>
      </c>
      <c r="TYA391" s="160">
        <v>0</v>
      </c>
      <c r="TYB391" s="160">
        <v>0</v>
      </c>
      <c r="TYC391" s="160">
        <v>0</v>
      </c>
      <c r="TYD391" s="160">
        <v>0</v>
      </c>
      <c r="TYE391" s="160">
        <v>0</v>
      </c>
      <c r="TYF391" s="160">
        <v>0</v>
      </c>
      <c r="TYG391" s="160">
        <v>0</v>
      </c>
      <c r="TYH391" s="160">
        <v>0</v>
      </c>
      <c r="TYI391" s="160">
        <v>0</v>
      </c>
      <c r="TYJ391" s="160">
        <v>0</v>
      </c>
      <c r="TYK391" s="160">
        <v>0</v>
      </c>
      <c r="TYL391" s="160">
        <v>0</v>
      </c>
      <c r="TYM391" s="160">
        <v>0</v>
      </c>
      <c r="TYN391" s="160">
        <v>0</v>
      </c>
      <c r="TYO391" s="160">
        <v>0</v>
      </c>
      <c r="TYP391" s="160">
        <v>0</v>
      </c>
      <c r="TYQ391" s="160">
        <v>0</v>
      </c>
      <c r="TYR391" s="160">
        <v>0</v>
      </c>
      <c r="TYS391" s="160">
        <v>0</v>
      </c>
      <c r="TYT391" s="160">
        <v>0</v>
      </c>
      <c r="TYU391" s="160">
        <v>0</v>
      </c>
      <c r="TYV391" s="160">
        <v>0</v>
      </c>
      <c r="TYW391" s="160">
        <v>0</v>
      </c>
      <c r="TYX391" s="160">
        <v>0</v>
      </c>
      <c r="TYY391" s="160">
        <v>0</v>
      </c>
      <c r="TYZ391" s="160">
        <v>0</v>
      </c>
      <c r="TZA391" s="160">
        <v>0</v>
      </c>
      <c r="TZB391" s="160">
        <v>0</v>
      </c>
      <c r="TZC391" s="160">
        <v>0</v>
      </c>
      <c r="TZD391" s="160">
        <v>0</v>
      </c>
      <c r="TZE391" s="160">
        <v>0</v>
      </c>
      <c r="TZF391" s="160">
        <v>0</v>
      </c>
      <c r="TZG391" s="160">
        <v>0</v>
      </c>
      <c r="TZH391" s="160">
        <v>0</v>
      </c>
      <c r="TZI391" s="160">
        <v>0</v>
      </c>
      <c r="TZJ391" s="160">
        <v>0</v>
      </c>
      <c r="TZK391" s="160">
        <v>0</v>
      </c>
      <c r="TZL391" s="160">
        <v>0</v>
      </c>
      <c r="TZM391" s="160">
        <v>0</v>
      </c>
      <c r="TZN391" s="160">
        <v>0</v>
      </c>
      <c r="TZO391" s="160">
        <v>0</v>
      </c>
      <c r="TZP391" s="160">
        <v>0</v>
      </c>
      <c r="TZQ391" s="160">
        <v>0</v>
      </c>
      <c r="TZR391" s="160">
        <v>0</v>
      </c>
      <c r="TZS391" s="160">
        <v>0</v>
      </c>
      <c r="TZT391" s="160">
        <v>0</v>
      </c>
      <c r="TZU391" s="160">
        <v>0</v>
      </c>
      <c r="TZV391" s="160">
        <v>0</v>
      </c>
      <c r="TZW391" s="160">
        <v>0</v>
      </c>
      <c r="TZX391" s="160">
        <v>0</v>
      </c>
      <c r="TZY391" s="160">
        <v>0</v>
      </c>
      <c r="TZZ391" s="160">
        <v>0</v>
      </c>
      <c r="UAA391" s="160">
        <v>0</v>
      </c>
      <c r="UAB391" s="160">
        <v>0</v>
      </c>
      <c r="UAC391" s="160">
        <v>0</v>
      </c>
      <c r="UAD391" s="160">
        <v>0</v>
      </c>
      <c r="UAE391" s="160">
        <v>0</v>
      </c>
      <c r="UAF391" s="160">
        <v>0</v>
      </c>
      <c r="UAG391" s="160">
        <v>0</v>
      </c>
      <c r="UAH391" s="160">
        <v>0</v>
      </c>
      <c r="UAI391" s="160">
        <v>0</v>
      </c>
      <c r="UAJ391" s="160">
        <v>0</v>
      </c>
      <c r="UAK391" s="160">
        <v>0</v>
      </c>
      <c r="UAL391" s="160">
        <v>0</v>
      </c>
      <c r="UAM391" s="160">
        <v>0</v>
      </c>
      <c r="UAN391" s="160">
        <v>0</v>
      </c>
      <c r="UAO391" s="160">
        <v>0</v>
      </c>
      <c r="UAP391" s="160">
        <v>0</v>
      </c>
      <c r="UAQ391" s="160">
        <v>0</v>
      </c>
      <c r="UAR391" s="160">
        <v>0</v>
      </c>
      <c r="UAS391" s="160">
        <v>0</v>
      </c>
      <c r="UAT391" s="160">
        <v>0</v>
      </c>
      <c r="UAU391" s="160">
        <v>0</v>
      </c>
      <c r="UAV391" s="160">
        <v>0</v>
      </c>
      <c r="UAW391" s="160">
        <v>0</v>
      </c>
      <c r="UAX391" s="160">
        <v>0</v>
      </c>
      <c r="UAY391" s="160">
        <v>0</v>
      </c>
      <c r="UAZ391" s="160">
        <v>0</v>
      </c>
      <c r="UBA391" s="160">
        <v>0</v>
      </c>
      <c r="UBB391" s="160">
        <v>0</v>
      </c>
      <c r="UBC391" s="160">
        <v>0</v>
      </c>
      <c r="UBD391" s="160">
        <v>0</v>
      </c>
      <c r="UBE391" s="160">
        <v>0</v>
      </c>
      <c r="UBF391" s="160">
        <v>0</v>
      </c>
      <c r="UBG391" s="160">
        <v>0</v>
      </c>
      <c r="UBH391" s="160">
        <v>0</v>
      </c>
      <c r="UBI391" s="160">
        <v>0</v>
      </c>
      <c r="UBJ391" s="160">
        <v>0</v>
      </c>
      <c r="UBK391" s="160">
        <v>0</v>
      </c>
      <c r="UBL391" s="160">
        <v>0</v>
      </c>
      <c r="UBM391" s="160">
        <v>0</v>
      </c>
      <c r="UBN391" s="160">
        <v>0</v>
      </c>
      <c r="UBO391" s="160">
        <v>0</v>
      </c>
      <c r="UBP391" s="160">
        <v>0</v>
      </c>
      <c r="UBQ391" s="160">
        <v>0</v>
      </c>
      <c r="UBR391" s="160">
        <v>0</v>
      </c>
      <c r="UBS391" s="160">
        <v>0</v>
      </c>
      <c r="UBT391" s="160">
        <v>0</v>
      </c>
      <c r="UBU391" s="160">
        <v>0</v>
      </c>
      <c r="UBV391" s="160">
        <v>0</v>
      </c>
      <c r="UBW391" s="160">
        <v>0</v>
      </c>
      <c r="UBX391" s="160">
        <v>0</v>
      </c>
      <c r="UBY391" s="160">
        <v>0</v>
      </c>
      <c r="UBZ391" s="160">
        <v>0</v>
      </c>
      <c r="UCA391" s="160">
        <v>0</v>
      </c>
      <c r="UCB391" s="160">
        <v>0</v>
      </c>
      <c r="UCC391" s="160">
        <v>0</v>
      </c>
      <c r="UCD391" s="160">
        <v>0</v>
      </c>
      <c r="UCE391" s="160">
        <v>0</v>
      </c>
      <c r="UCF391" s="160">
        <v>0</v>
      </c>
      <c r="UCG391" s="160">
        <v>0</v>
      </c>
      <c r="UCH391" s="160">
        <v>0</v>
      </c>
      <c r="UCI391" s="160">
        <v>0</v>
      </c>
      <c r="UCJ391" s="160">
        <v>0</v>
      </c>
      <c r="UCK391" s="160">
        <v>0</v>
      </c>
      <c r="UCL391" s="160">
        <v>0</v>
      </c>
      <c r="UCM391" s="160">
        <v>0</v>
      </c>
      <c r="UCN391" s="160">
        <v>0</v>
      </c>
      <c r="UCO391" s="160">
        <v>0</v>
      </c>
      <c r="UCP391" s="160">
        <v>0</v>
      </c>
      <c r="UCQ391" s="160">
        <v>0</v>
      </c>
      <c r="UCR391" s="160">
        <v>0</v>
      </c>
      <c r="UCS391" s="160">
        <v>0</v>
      </c>
      <c r="UCT391" s="160">
        <v>0</v>
      </c>
      <c r="UCU391" s="160">
        <v>0</v>
      </c>
      <c r="UCV391" s="160">
        <v>0</v>
      </c>
      <c r="UCW391" s="160">
        <v>0</v>
      </c>
      <c r="UCX391" s="160">
        <v>0</v>
      </c>
      <c r="UCY391" s="160">
        <v>0</v>
      </c>
      <c r="UCZ391" s="160">
        <v>0</v>
      </c>
      <c r="UDA391" s="160">
        <v>0</v>
      </c>
      <c r="UDB391" s="160">
        <v>0</v>
      </c>
      <c r="UDC391" s="160">
        <v>0</v>
      </c>
      <c r="UDD391" s="160">
        <v>0</v>
      </c>
      <c r="UDE391" s="160">
        <v>0</v>
      </c>
      <c r="UDF391" s="160">
        <v>0</v>
      </c>
      <c r="UDG391" s="160">
        <v>0</v>
      </c>
      <c r="UDH391" s="160">
        <v>0</v>
      </c>
      <c r="UDI391" s="160">
        <v>0</v>
      </c>
      <c r="UDJ391" s="160">
        <v>0</v>
      </c>
      <c r="UDK391" s="160">
        <v>0</v>
      </c>
      <c r="UDL391" s="160">
        <v>0</v>
      </c>
      <c r="UDM391" s="160">
        <v>0</v>
      </c>
      <c r="UDN391" s="160">
        <v>0</v>
      </c>
      <c r="UDO391" s="160">
        <v>0</v>
      </c>
      <c r="UDP391" s="160">
        <v>0</v>
      </c>
      <c r="UDQ391" s="160">
        <v>0</v>
      </c>
      <c r="UDR391" s="160">
        <v>0</v>
      </c>
      <c r="UDS391" s="160">
        <v>0</v>
      </c>
      <c r="UDT391" s="160">
        <v>0</v>
      </c>
      <c r="UDU391" s="160">
        <v>0</v>
      </c>
      <c r="UDV391" s="160">
        <v>0</v>
      </c>
      <c r="UDW391" s="160">
        <v>0</v>
      </c>
      <c r="UDX391" s="160">
        <v>0</v>
      </c>
      <c r="UDY391" s="160">
        <v>0</v>
      </c>
      <c r="UDZ391" s="160">
        <v>0</v>
      </c>
      <c r="UEA391" s="160">
        <v>0</v>
      </c>
      <c r="UEB391" s="160">
        <v>0</v>
      </c>
      <c r="UEC391" s="160">
        <v>0</v>
      </c>
      <c r="UED391" s="160">
        <v>0</v>
      </c>
      <c r="UEE391" s="160">
        <v>0</v>
      </c>
      <c r="UEF391" s="160">
        <v>0</v>
      </c>
      <c r="UEG391" s="160">
        <v>0</v>
      </c>
      <c r="UEH391" s="160">
        <v>0</v>
      </c>
      <c r="UEI391" s="160">
        <v>0</v>
      </c>
      <c r="UEJ391" s="160">
        <v>0</v>
      </c>
      <c r="UEK391" s="160">
        <v>0</v>
      </c>
      <c r="UEL391" s="160">
        <v>0</v>
      </c>
      <c r="UEM391" s="160">
        <v>0</v>
      </c>
      <c r="UEN391" s="160">
        <v>0</v>
      </c>
      <c r="UEO391" s="160">
        <v>0</v>
      </c>
      <c r="UEP391" s="160">
        <v>0</v>
      </c>
      <c r="UEQ391" s="160">
        <v>0</v>
      </c>
      <c r="UER391" s="160">
        <v>0</v>
      </c>
      <c r="UES391" s="160">
        <v>0</v>
      </c>
      <c r="UET391" s="160">
        <v>0</v>
      </c>
      <c r="UEU391" s="160">
        <v>0</v>
      </c>
      <c r="UEV391" s="160">
        <v>0</v>
      </c>
      <c r="UEW391" s="160">
        <v>0</v>
      </c>
      <c r="UEX391" s="160">
        <v>0</v>
      </c>
      <c r="UEY391" s="160">
        <v>0</v>
      </c>
      <c r="UEZ391" s="160">
        <v>0</v>
      </c>
      <c r="UFA391" s="160">
        <v>0</v>
      </c>
      <c r="UFB391" s="160">
        <v>0</v>
      </c>
      <c r="UFC391" s="160">
        <v>0</v>
      </c>
      <c r="UFD391" s="160">
        <v>0</v>
      </c>
      <c r="UFE391" s="160">
        <v>0</v>
      </c>
      <c r="UFF391" s="160">
        <v>0</v>
      </c>
      <c r="UFG391" s="160">
        <v>0</v>
      </c>
      <c r="UFH391" s="160">
        <v>0</v>
      </c>
      <c r="UFI391" s="160">
        <v>0</v>
      </c>
      <c r="UFJ391" s="160">
        <v>0</v>
      </c>
      <c r="UFK391" s="160">
        <v>0</v>
      </c>
      <c r="UFL391" s="160">
        <v>0</v>
      </c>
      <c r="UFM391" s="160">
        <v>0</v>
      </c>
      <c r="UFN391" s="160">
        <v>0</v>
      </c>
      <c r="UFO391" s="160">
        <v>0</v>
      </c>
      <c r="UFP391" s="160">
        <v>0</v>
      </c>
      <c r="UFQ391" s="160">
        <v>0</v>
      </c>
      <c r="UFR391" s="160">
        <v>0</v>
      </c>
      <c r="UFS391" s="160">
        <v>0</v>
      </c>
      <c r="UFT391" s="160">
        <v>0</v>
      </c>
      <c r="UFU391" s="160">
        <v>0</v>
      </c>
      <c r="UFV391" s="160">
        <v>0</v>
      </c>
      <c r="UFW391" s="160">
        <v>0</v>
      </c>
      <c r="UFX391" s="160">
        <v>0</v>
      </c>
      <c r="UFY391" s="160">
        <v>0</v>
      </c>
      <c r="UFZ391" s="160">
        <v>0</v>
      </c>
      <c r="UGA391" s="160">
        <v>0</v>
      </c>
      <c r="UGB391" s="160">
        <v>0</v>
      </c>
      <c r="UGC391" s="160">
        <v>0</v>
      </c>
      <c r="UGD391" s="160">
        <v>0</v>
      </c>
      <c r="UGE391" s="160">
        <v>0</v>
      </c>
      <c r="UGF391" s="160">
        <v>0</v>
      </c>
      <c r="UGG391" s="160">
        <v>0</v>
      </c>
      <c r="UGH391" s="160">
        <v>0</v>
      </c>
      <c r="UGI391" s="160">
        <v>0</v>
      </c>
      <c r="UGJ391" s="160">
        <v>0</v>
      </c>
      <c r="UGK391" s="160">
        <v>0</v>
      </c>
      <c r="UGL391" s="160">
        <v>0</v>
      </c>
      <c r="UGM391" s="160">
        <v>0</v>
      </c>
      <c r="UGN391" s="160">
        <v>0</v>
      </c>
      <c r="UGO391" s="160">
        <v>0</v>
      </c>
      <c r="UGP391" s="160">
        <v>0</v>
      </c>
      <c r="UGQ391" s="160">
        <v>0</v>
      </c>
      <c r="UGR391" s="160">
        <v>0</v>
      </c>
      <c r="UGS391" s="160">
        <v>0</v>
      </c>
      <c r="UGT391" s="160">
        <v>0</v>
      </c>
      <c r="UGU391" s="160">
        <v>0</v>
      </c>
      <c r="UGV391" s="160">
        <v>0</v>
      </c>
      <c r="UGW391" s="160">
        <v>0</v>
      </c>
      <c r="UGX391" s="160">
        <v>0</v>
      </c>
      <c r="UGY391" s="160">
        <v>0</v>
      </c>
      <c r="UGZ391" s="160">
        <v>0</v>
      </c>
      <c r="UHA391" s="160">
        <v>0</v>
      </c>
      <c r="UHB391" s="160">
        <v>0</v>
      </c>
      <c r="UHC391" s="160">
        <v>0</v>
      </c>
      <c r="UHD391" s="160">
        <v>0</v>
      </c>
      <c r="UHE391" s="160">
        <v>0</v>
      </c>
      <c r="UHF391" s="160">
        <v>0</v>
      </c>
      <c r="UHG391" s="160">
        <v>0</v>
      </c>
      <c r="UHH391" s="160">
        <v>0</v>
      </c>
      <c r="UHI391" s="160">
        <v>0</v>
      </c>
      <c r="UHJ391" s="160">
        <v>0</v>
      </c>
      <c r="UHK391" s="160">
        <v>0</v>
      </c>
      <c r="UHL391" s="160">
        <v>0</v>
      </c>
      <c r="UHM391" s="160">
        <v>0</v>
      </c>
      <c r="UHN391" s="160">
        <v>0</v>
      </c>
      <c r="UHO391" s="160">
        <v>0</v>
      </c>
      <c r="UHP391" s="160">
        <v>0</v>
      </c>
      <c r="UHQ391" s="160">
        <v>0</v>
      </c>
      <c r="UHR391" s="160">
        <v>0</v>
      </c>
      <c r="UHS391" s="160">
        <v>0</v>
      </c>
      <c r="UHT391" s="160">
        <v>0</v>
      </c>
      <c r="UHU391" s="160">
        <v>0</v>
      </c>
      <c r="UHV391" s="160">
        <v>0</v>
      </c>
      <c r="UHW391" s="160">
        <v>0</v>
      </c>
      <c r="UHX391" s="160">
        <v>0</v>
      </c>
      <c r="UHY391" s="160">
        <v>0</v>
      </c>
      <c r="UHZ391" s="160">
        <v>0</v>
      </c>
      <c r="UIA391" s="160">
        <v>0</v>
      </c>
      <c r="UIB391" s="160">
        <v>0</v>
      </c>
      <c r="UIC391" s="160">
        <v>0</v>
      </c>
      <c r="UID391" s="160">
        <v>0</v>
      </c>
      <c r="UIE391" s="160">
        <v>0</v>
      </c>
      <c r="UIF391" s="160">
        <v>0</v>
      </c>
      <c r="UIG391" s="160">
        <v>0</v>
      </c>
      <c r="UIH391" s="160">
        <v>0</v>
      </c>
      <c r="UII391" s="160">
        <v>0</v>
      </c>
      <c r="UIJ391" s="160">
        <v>0</v>
      </c>
      <c r="UIK391" s="160">
        <v>0</v>
      </c>
      <c r="UIL391" s="160">
        <v>0</v>
      </c>
      <c r="UIM391" s="160">
        <v>0</v>
      </c>
      <c r="UIN391" s="160">
        <v>0</v>
      </c>
      <c r="UIO391" s="160">
        <v>0</v>
      </c>
      <c r="UIP391" s="160">
        <v>0</v>
      </c>
      <c r="UIQ391" s="160">
        <v>0</v>
      </c>
      <c r="UIR391" s="160">
        <v>0</v>
      </c>
      <c r="UIS391" s="160">
        <v>0</v>
      </c>
      <c r="UIT391" s="160">
        <v>0</v>
      </c>
      <c r="UIU391" s="160">
        <v>0</v>
      </c>
      <c r="UIV391" s="160">
        <v>0</v>
      </c>
      <c r="UIW391" s="160">
        <v>0</v>
      </c>
      <c r="UIX391" s="160">
        <v>0</v>
      </c>
      <c r="UIY391" s="160">
        <v>0</v>
      </c>
      <c r="UIZ391" s="160">
        <v>0</v>
      </c>
      <c r="UJA391" s="160">
        <v>0</v>
      </c>
      <c r="UJB391" s="160">
        <v>0</v>
      </c>
      <c r="UJC391" s="160">
        <v>0</v>
      </c>
      <c r="UJD391" s="160">
        <v>0</v>
      </c>
      <c r="UJE391" s="160">
        <v>0</v>
      </c>
      <c r="UJF391" s="160">
        <v>0</v>
      </c>
      <c r="UJG391" s="160">
        <v>0</v>
      </c>
      <c r="UJH391" s="160">
        <v>0</v>
      </c>
      <c r="UJI391" s="160">
        <v>0</v>
      </c>
      <c r="UJJ391" s="160">
        <v>0</v>
      </c>
      <c r="UJK391" s="160">
        <v>0</v>
      </c>
      <c r="UJL391" s="160">
        <v>0</v>
      </c>
      <c r="UJM391" s="160">
        <v>0</v>
      </c>
      <c r="UJN391" s="160">
        <v>0</v>
      </c>
      <c r="UJO391" s="160">
        <v>0</v>
      </c>
      <c r="UJP391" s="160">
        <v>0</v>
      </c>
      <c r="UJQ391" s="160">
        <v>0</v>
      </c>
      <c r="UJR391" s="160">
        <v>0</v>
      </c>
      <c r="UJS391" s="160">
        <v>0</v>
      </c>
      <c r="UJT391" s="160">
        <v>0</v>
      </c>
      <c r="UJU391" s="160">
        <v>0</v>
      </c>
      <c r="UJV391" s="160">
        <v>0</v>
      </c>
      <c r="UJW391" s="160">
        <v>0</v>
      </c>
      <c r="UJX391" s="160">
        <v>0</v>
      </c>
      <c r="UJY391" s="160">
        <v>0</v>
      </c>
      <c r="UJZ391" s="160">
        <v>0</v>
      </c>
      <c r="UKA391" s="160">
        <v>0</v>
      </c>
      <c r="UKB391" s="160">
        <v>0</v>
      </c>
      <c r="UKC391" s="160">
        <v>0</v>
      </c>
      <c r="UKD391" s="160">
        <v>0</v>
      </c>
      <c r="UKE391" s="160">
        <v>0</v>
      </c>
      <c r="UKF391" s="160">
        <v>0</v>
      </c>
      <c r="UKG391" s="160">
        <v>0</v>
      </c>
      <c r="UKH391" s="160">
        <v>0</v>
      </c>
      <c r="UKI391" s="160">
        <v>0</v>
      </c>
      <c r="UKJ391" s="160">
        <v>0</v>
      </c>
      <c r="UKK391" s="160">
        <v>0</v>
      </c>
      <c r="UKL391" s="160">
        <v>0</v>
      </c>
      <c r="UKM391" s="160">
        <v>0</v>
      </c>
      <c r="UKN391" s="160">
        <v>0</v>
      </c>
      <c r="UKO391" s="160">
        <v>0</v>
      </c>
      <c r="UKP391" s="160">
        <v>0</v>
      </c>
      <c r="UKQ391" s="160">
        <v>0</v>
      </c>
      <c r="UKR391" s="160">
        <v>0</v>
      </c>
      <c r="UKS391" s="160">
        <v>0</v>
      </c>
      <c r="UKT391" s="160">
        <v>0</v>
      </c>
      <c r="UKU391" s="160">
        <v>0</v>
      </c>
      <c r="UKV391" s="160">
        <v>0</v>
      </c>
      <c r="UKW391" s="160">
        <v>0</v>
      </c>
      <c r="UKX391" s="160">
        <v>0</v>
      </c>
      <c r="UKY391" s="160">
        <v>0</v>
      </c>
      <c r="UKZ391" s="160">
        <v>0</v>
      </c>
      <c r="ULA391" s="160">
        <v>0</v>
      </c>
      <c r="ULB391" s="160">
        <v>0</v>
      </c>
      <c r="ULC391" s="160">
        <v>0</v>
      </c>
      <c r="ULD391" s="160">
        <v>0</v>
      </c>
      <c r="ULE391" s="160">
        <v>0</v>
      </c>
      <c r="ULF391" s="160">
        <v>0</v>
      </c>
      <c r="ULG391" s="160">
        <v>0</v>
      </c>
      <c r="ULH391" s="160">
        <v>0</v>
      </c>
      <c r="ULI391" s="160">
        <v>0</v>
      </c>
      <c r="ULJ391" s="160">
        <v>0</v>
      </c>
      <c r="ULK391" s="160">
        <v>0</v>
      </c>
      <c r="ULL391" s="160">
        <v>0</v>
      </c>
      <c r="ULM391" s="160">
        <v>0</v>
      </c>
      <c r="ULN391" s="160">
        <v>0</v>
      </c>
      <c r="ULO391" s="160">
        <v>0</v>
      </c>
      <c r="ULP391" s="160">
        <v>0</v>
      </c>
      <c r="ULQ391" s="160">
        <v>0</v>
      </c>
      <c r="ULR391" s="160">
        <v>0</v>
      </c>
      <c r="ULS391" s="160">
        <v>0</v>
      </c>
      <c r="ULT391" s="160">
        <v>0</v>
      </c>
      <c r="ULU391" s="160">
        <v>0</v>
      </c>
      <c r="ULV391" s="160">
        <v>0</v>
      </c>
      <c r="ULW391" s="160">
        <v>0</v>
      </c>
      <c r="ULX391" s="160">
        <v>0</v>
      </c>
      <c r="ULY391" s="160">
        <v>0</v>
      </c>
      <c r="ULZ391" s="160">
        <v>0</v>
      </c>
      <c r="UMA391" s="160">
        <v>0</v>
      </c>
      <c r="UMB391" s="160">
        <v>0</v>
      </c>
      <c r="UMC391" s="160">
        <v>0</v>
      </c>
      <c r="UMD391" s="160">
        <v>0</v>
      </c>
      <c r="UME391" s="160">
        <v>0</v>
      </c>
      <c r="UMF391" s="160">
        <v>0</v>
      </c>
      <c r="UMG391" s="160">
        <v>0</v>
      </c>
      <c r="UMH391" s="160">
        <v>0</v>
      </c>
      <c r="UMI391" s="160">
        <v>0</v>
      </c>
      <c r="UMJ391" s="160">
        <v>0</v>
      </c>
      <c r="UMK391" s="160">
        <v>0</v>
      </c>
      <c r="UML391" s="160">
        <v>0</v>
      </c>
      <c r="UMM391" s="160">
        <v>0</v>
      </c>
      <c r="UMN391" s="160">
        <v>0</v>
      </c>
      <c r="UMO391" s="160">
        <v>0</v>
      </c>
      <c r="UMP391" s="160">
        <v>0</v>
      </c>
      <c r="UMQ391" s="160">
        <v>0</v>
      </c>
      <c r="UMR391" s="160">
        <v>0</v>
      </c>
      <c r="UMS391" s="160">
        <v>0</v>
      </c>
      <c r="UMT391" s="160">
        <v>0</v>
      </c>
      <c r="UMU391" s="160">
        <v>0</v>
      </c>
      <c r="UMV391" s="160">
        <v>0</v>
      </c>
      <c r="UMW391" s="160">
        <v>0</v>
      </c>
      <c r="UMX391" s="160">
        <v>0</v>
      </c>
      <c r="UMY391" s="160">
        <v>0</v>
      </c>
      <c r="UMZ391" s="160">
        <v>0</v>
      </c>
      <c r="UNA391" s="160">
        <v>0</v>
      </c>
      <c r="UNB391" s="160">
        <v>0</v>
      </c>
      <c r="UNC391" s="160">
        <v>0</v>
      </c>
      <c r="UND391" s="160">
        <v>0</v>
      </c>
      <c r="UNE391" s="160">
        <v>0</v>
      </c>
      <c r="UNF391" s="160">
        <v>0</v>
      </c>
      <c r="UNG391" s="160">
        <v>0</v>
      </c>
      <c r="UNH391" s="160">
        <v>0</v>
      </c>
      <c r="UNI391" s="160">
        <v>0</v>
      </c>
      <c r="UNJ391" s="160">
        <v>0</v>
      </c>
      <c r="UNK391" s="160">
        <v>0</v>
      </c>
      <c r="UNL391" s="160">
        <v>0</v>
      </c>
      <c r="UNM391" s="160">
        <v>0</v>
      </c>
      <c r="UNN391" s="160">
        <v>0</v>
      </c>
      <c r="UNO391" s="160">
        <v>0</v>
      </c>
      <c r="UNP391" s="160">
        <v>0</v>
      </c>
      <c r="UNQ391" s="160">
        <v>0</v>
      </c>
      <c r="UNR391" s="160">
        <v>0</v>
      </c>
      <c r="UNS391" s="160">
        <v>0</v>
      </c>
      <c r="UNT391" s="160">
        <v>0</v>
      </c>
      <c r="UNU391" s="160">
        <v>0</v>
      </c>
      <c r="UNV391" s="160">
        <v>0</v>
      </c>
      <c r="UNW391" s="160">
        <v>0</v>
      </c>
      <c r="UNX391" s="160">
        <v>0</v>
      </c>
      <c r="UNY391" s="160">
        <v>0</v>
      </c>
      <c r="UNZ391" s="160">
        <v>0</v>
      </c>
      <c r="UOA391" s="160">
        <v>0</v>
      </c>
      <c r="UOB391" s="160">
        <v>0</v>
      </c>
      <c r="UOC391" s="160">
        <v>0</v>
      </c>
      <c r="UOD391" s="160">
        <v>0</v>
      </c>
      <c r="UOE391" s="160">
        <v>0</v>
      </c>
      <c r="UOF391" s="160">
        <v>0</v>
      </c>
      <c r="UOG391" s="160">
        <v>0</v>
      </c>
      <c r="UOH391" s="160">
        <v>0</v>
      </c>
      <c r="UOI391" s="160">
        <v>0</v>
      </c>
      <c r="UOJ391" s="160">
        <v>0</v>
      </c>
      <c r="UOK391" s="160">
        <v>0</v>
      </c>
      <c r="UOL391" s="160">
        <v>0</v>
      </c>
      <c r="UOM391" s="160">
        <v>0</v>
      </c>
      <c r="UON391" s="160">
        <v>0</v>
      </c>
      <c r="UOO391" s="160">
        <v>0</v>
      </c>
      <c r="UOP391" s="160">
        <v>0</v>
      </c>
      <c r="UOQ391" s="160">
        <v>0</v>
      </c>
      <c r="UOR391" s="160">
        <v>0</v>
      </c>
      <c r="UOS391" s="160">
        <v>0</v>
      </c>
      <c r="UOT391" s="160">
        <v>0</v>
      </c>
      <c r="UOU391" s="160">
        <v>0</v>
      </c>
      <c r="UOV391" s="160">
        <v>0</v>
      </c>
      <c r="UOW391" s="160">
        <v>0</v>
      </c>
      <c r="UOX391" s="160">
        <v>0</v>
      </c>
      <c r="UOY391" s="160">
        <v>0</v>
      </c>
      <c r="UOZ391" s="160">
        <v>0</v>
      </c>
      <c r="UPA391" s="160">
        <v>0</v>
      </c>
      <c r="UPB391" s="160">
        <v>0</v>
      </c>
      <c r="UPC391" s="160">
        <v>0</v>
      </c>
      <c r="UPD391" s="160">
        <v>0</v>
      </c>
      <c r="UPE391" s="160">
        <v>0</v>
      </c>
      <c r="UPF391" s="160">
        <v>0</v>
      </c>
      <c r="UPG391" s="160">
        <v>0</v>
      </c>
      <c r="UPH391" s="160">
        <v>0</v>
      </c>
      <c r="UPI391" s="160">
        <v>0</v>
      </c>
      <c r="UPJ391" s="160">
        <v>0</v>
      </c>
      <c r="UPK391" s="160">
        <v>0</v>
      </c>
      <c r="UPL391" s="160">
        <v>0</v>
      </c>
      <c r="UPM391" s="160">
        <v>0</v>
      </c>
      <c r="UPN391" s="160">
        <v>0</v>
      </c>
      <c r="UPO391" s="160">
        <v>0</v>
      </c>
      <c r="UPP391" s="160">
        <v>0</v>
      </c>
      <c r="UPQ391" s="160">
        <v>0</v>
      </c>
      <c r="UPR391" s="160">
        <v>0</v>
      </c>
      <c r="UPS391" s="160">
        <v>0</v>
      </c>
      <c r="UPT391" s="160">
        <v>0</v>
      </c>
      <c r="UPU391" s="160">
        <v>0</v>
      </c>
      <c r="UPV391" s="160">
        <v>0</v>
      </c>
      <c r="UPW391" s="160">
        <v>0</v>
      </c>
      <c r="UPX391" s="160">
        <v>0</v>
      </c>
      <c r="UPY391" s="160">
        <v>0</v>
      </c>
      <c r="UPZ391" s="160">
        <v>0</v>
      </c>
      <c r="UQA391" s="160">
        <v>0</v>
      </c>
      <c r="UQB391" s="160">
        <v>0</v>
      </c>
      <c r="UQC391" s="160">
        <v>0</v>
      </c>
      <c r="UQD391" s="160">
        <v>0</v>
      </c>
      <c r="UQE391" s="160">
        <v>0</v>
      </c>
      <c r="UQF391" s="160">
        <v>0</v>
      </c>
      <c r="UQG391" s="160">
        <v>0</v>
      </c>
      <c r="UQH391" s="160">
        <v>0</v>
      </c>
      <c r="UQI391" s="160">
        <v>0</v>
      </c>
      <c r="UQJ391" s="160">
        <v>0</v>
      </c>
      <c r="UQK391" s="160">
        <v>0</v>
      </c>
      <c r="UQL391" s="160">
        <v>0</v>
      </c>
      <c r="UQM391" s="160">
        <v>0</v>
      </c>
      <c r="UQN391" s="160">
        <v>0</v>
      </c>
      <c r="UQO391" s="160">
        <v>0</v>
      </c>
      <c r="UQP391" s="160">
        <v>0</v>
      </c>
      <c r="UQQ391" s="160">
        <v>0</v>
      </c>
      <c r="UQR391" s="160">
        <v>0</v>
      </c>
      <c r="UQS391" s="160">
        <v>0</v>
      </c>
      <c r="UQT391" s="160">
        <v>0</v>
      </c>
      <c r="UQU391" s="160">
        <v>0</v>
      </c>
      <c r="UQV391" s="160">
        <v>0</v>
      </c>
      <c r="UQW391" s="160">
        <v>0</v>
      </c>
      <c r="UQX391" s="160">
        <v>0</v>
      </c>
      <c r="UQY391" s="160">
        <v>0</v>
      </c>
      <c r="UQZ391" s="160">
        <v>0</v>
      </c>
      <c r="URA391" s="160">
        <v>0</v>
      </c>
      <c r="URB391" s="160">
        <v>0</v>
      </c>
      <c r="URC391" s="160">
        <v>0</v>
      </c>
      <c r="URD391" s="160">
        <v>0</v>
      </c>
      <c r="URE391" s="160">
        <v>0</v>
      </c>
      <c r="URF391" s="160">
        <v>0</v>
      </c>
      <c r="URG391" s="160">
        <v>0</v>
      </c>
      <c r="URH391" s="160">
        <v>0</v>
      </c>
      <c r="URI391" s="160">
        <v>0</v>
      </c>
      <c r="URJ391" s="160">
        <v>0</v>
      </c>
      <c r="URK391" s="160">
        <v>0</v>
      </c>
      <c r="URL391" s="160">
        <v>0</v>
      </c>
      <c r="URM391" s="160">
        <v>0</v>
      </c>
      <c r="URN391" s="160">
        <v>0</v>
      </c>
      <c r="URO391" s="160">
        <v>0</v>
      </c>
      <c r="URP391" s="160">
        <v>0</v>
      </c>
      <c r="URQ391" s="160">
        <v>0</v>
      </c>
      <c r="URR391" s="160">
        <v>0</v>
      </c>
      <c r="URS391" s="160">
        <v>0</v>
      </c>
      <c r="URT391" s="160">
        <v>0</v>
      </c>
      <c r="URU391" s="160">
        <v>0</v>
      </c>
      <c r="URV391" s="160">
        <v>0</v>
      </c>
      <c r="URW391" s="160">
        <v>0</v>
      </c>
      <c r="URX391" s="160">
        <v>0</v>
      </c>
      <c r="URY391" s="160">
        <v>0</v>
      </c>
      <c r="URZ391" s="160">
        <v>0</v>
      </c>
      <c r="USA391" s="160">
        <v>0</v>
      </c>
      <c r="USB391" s="160">
        <v>0</v>
      </c>
      <c r="USC391" s="160">
        <v>0</v>
      </c>
      <c r="USD391" s="160">
        <v>0</v>
      </c>
      <c r="USE391" s="160">
        <v>0</v>
      </c>
      <c r="USF391" s="160">
        <v>0</v>
      </c>
      <c r="USG391" s="160">
        <v>0</v>
      </c>
      <c r="USH391" s="160">
        <v>0</v>
      </c>
      <c r="USI391" s="160">
        <v>0</v>
      </c>
      <c r="USJ391" s="160">
        <v>0</v>
      </c>
      <c r="USK391" s="160">
        <v>0</v>
      </c>
      <c r="USL391" s="160">
        <v>0</v>
      </c>
      <c r="USM391" s="160">
        <v>0</v>
      </c>
      <c r="USN391" s="160">
        <v>0</v>
      </c>
      <c r="USO391" s="160">
        <v>0</v>
      </c>
      <c r="USP391" s="160">
        <v>0</v>
      </c>
      <c r="USQ391" s="160">
        <v>0</v>
      </c>
      <c r="USR391" s="160">
        <v>0</v>
      </c>
      <c r="USS391" s="160">
        <v>0</v>
      </c>
      <c r="UST391" s="160">
        <v>0</v>
      </c>
      <c r="USU391" s="160">
        <v>0</v>
      </c>
      <c r="USV391" s="160">
        <v>0</v>
      </c>
      <c r="USW391" s="160">
        <v>0</v>
      </c>
      <c r="USX391" s="160">
        <v>0</v>
      </c>
      <c r="USY391" s="160">
        <v>0</v>
      </c>
      <c r="USZ391" s="160">
        <v>0</v>
      </c>
      <c r="UTA391" s="160">
        <v>0</v>
      </c>
      <c r="UTB391" s="160">
        <v>0</v>
      </c>
      <c r="UTC391" s="160">
        <v>0</v>
      </c>
      <c r="UTD391" s="160">
        <v>0</v>
      </c>
      <c r="UTE391" s="160">
        <v>0</v>
      </c>
      <c r="UTF391" s="160">
        <v>0</v>
      </c>
      <c r="UTG391" s="160">
        <v>0</v>
      </c>
      <c r="UTH391" s="160">
        <v>0</v>
      </c>
      <c r="UTI391" s="160">
        <v>0</v>
      </c>
      <c r="UTJ391" s="160">
        <v>0</v>
      </c>
      <c r="UTK391" s="160">
        <v>0</v>
      </c>
      <c r="UTL391" s="160">
        <v>0</v>
      </c>
      <c r="UTM391" s="160">
        <v>0</v>
      </c>
      <c r="UTN391" s="160">
        <v>0</v>
      </c>
      <c r="UTO391" s="160">
        <v>0</v>
      </c>
      <c r="UTP391" s="160">
        <v>0</v>
      </c>
      <c r="UTQ391" s="160">
        <v>0</v>
      </c>
      <c r="UTR391" s="160">
        <v>0</v>
      </c>
      <c r="UTS391" s="160">
        <v>0</v>
      </c>
      <c r="UTT391" s="160">
        <v>0</v>
      </c>
      <c r="UTU391" s="160">
        <v>0</v>
      </c>
      <c r="UTV391" s="160">
        <v>0</v>
      </c>
      <c r="UTW391" s="160">
        <v>0</v>
      </c>
      <c r="UTX391" s="160">
        <v>0</v>
      </c>
      <c r="UTY391" s="160">
        <v>0</v>
      </c>
      <c r="UTZ391" s="160">
        <v>0</v>
      </c>
      <c r="UUA391" s="160">
        <v>0</v>
      </c>
      <c r="UUB391" s="160">
        <v>0</v>
      </c>
      <c r="UUC391" s="160">
        <v>0</v>
      </c>
      <c r="UUD391" s="160">
        <v>0</v>
      </c>
      <c r="UUE391" s="160">
        <v>0</v>
      </c>
      <c r="UUF391" s="160">
        <v>0</v>
      </c>
      <c r="UUG391" s="160">
        <v>0</v>
      </c>
      <c r="UUH391" s="160">
        <v>0</v>
      </c>
      <c r="UUI391" s="160">
        <v>0</v>
      </c>
      <c r="UUJ391" s="160">
        <v>0</v>
      </c>
      <c r="UUK391" s="160">
        <v>0</v>
      </c>
      <c r="UUL391" s="160">
        <v>0</v>
      </c>
      <c r="UUM391" s="160">
        <v>0</v>
      </c>
      <c r="UUN391" s="160">
        <v>0</v>
      </c>
      <c r="UUO391" s="160">
        <v>0</v>
      </c>
      <c r="UUP391" s="160">
        <v>0</v>
      </c>
      <c r="UUQ391" s="160">
        <v>0</v>
      </c>
      <c r="UUR391" s="160">
        <v>0</v>
      </c>
      <c r="UUS391" s="160">
        <v>0</v>
      </c>
      <c r="UUT391" s="160">
        <v>0</v>
      </c>
      <c r="UUU391" s="160">
        <v>0</v>
      </c>
      <c r="UUV391" s="160">
        <v>0</v>
      </c>
      <c r="UUW391" s="160">
        <v>0</v>
      </c>
      <c r="UUX391" s="160">
        <v>0</v>
      </c>
      <c r="UUY391" s="160">
        <v>0</v>
      </c>
      <c r="UUZ391" s="160">
        <v>0</v>
      </c>
      <c r="UVA391" s="160">
        <v>0</v>
      </c>
      <c r="UVB391" s="160">
        <v>0</v>
      </c>
      <c r="UVC391" s="160">
        <v>0</v>
      </c>
      <c r="UVD391" s="160">
        <v>0</v>
      </c>
      <c r="UVE391" s="160">
        <v>0</v>
      </c>
      <c r="UVF391" s="160">
        <v>0</v>
      </c>
      <c r="UVG391" s="160">
        <v>0</v>
      </c>
      <c r="UVH391" s="160">
        <v>0</v>
      </c>
      <c r="UVI391" s="160">
        <v>0</v>
      </c>
      <c r="UVJ391" s="160">
        <v>0</v>
      </c>
      <c r="UVK391" s="160">
        <v>0</v>
      </c>
      <c r="UVL391" s="160">
        <v>0</v>
      </c>
      <c r="UVM391" s="160">
        <v>0</v>
      </c>
      <c r="UVN391" s="160">
        <v>0</v>
      </c>
      <c r="UVO391" s="160">
        <v>0</v>
      </c>
      <c r="UVP391" s="160">
        <v>0</v>
      </c>
      <c r="UVQ391" s="160">
        <v>0</v>
      </c>
      <c r="UVR391" s="160">
        <v>0</v>
      </c>
      <c r="UVS391" s="160">
        <v>0</v>
      </c>
      <c r="UVT391" s="160">
        <v>0</v>
      </c>
      <c r="UVU391" s="160">
        <v>0</v>
      </c>
      <c r="UVV391" s="160">
        <v>0</v>
      </c>
      <c r="UVW391" s="160">
        <v>0</v>
      </c>
      <c r="UVX391" s="160">
        <v>0</v>
      </c>
      <c r="UVY391" s="160">
        <v>0</v>
      </c>
      <c r="UVZ391" s="160">
        <v>0</v>
      </c>
      <c r="UWA391" s="160">
        <v>0</v>
      </c>
      <c r="UWB391" s="160">
        <v>0</v>
      </c>
      <c r="UWC391" s="160">
        <v>0</v>
      </c>
      <c r="UWD391" s="160">
        <v>0</v>
      </c>
      <c r="UWE391" s="160">
        <v>0</v>
      </c>
      <c r="UWF391" s="160">
        <v>0</v>
      </c>
      <c r="UWG391" s="160">
        <v>0</v>
      </c>
      <c r="UWH391" s="160">
        <v>0</v>
      </c>
      <c r="UWI391" s="160">
        <v>0</v>
      </c>
      <c r="UWJ391" s="160">
        <v>0</v>
      </c>
      <c r="UWK391" s="160">
        <v>0</v>
      </c>
      <c r="UWL391" s="160">
        <v>0</v>
      </c>
      <c r="UWM391" s="160">
        <v>0</v>
      </c>
      <c r="UWN391" s="160">
        <v>0</v>
      </c>
      <c r="UWO391" s="160">
        <v>0</v>
      </c>
      <c r="UWP391" s="160">
        <v>0</v>
      </c>
      <c r="UWQ391" s="160">
        <v>0</v>
      </c>
      <c r="UWR391" s="160">
        <v>0</v>
      </c>
      <c r="UWS391" s="160">
        <v>0</v>
      </c>
      <c r="UWT391" s="160">
        <v>0</v>
      </c>
      <c r="UWU391" s="160">
        <v>0</v>
      </c>
      <c r="UWV391" s="160">
        <v>0</v>
      </c>
      <c r="UWW391" s="160">
        <v>0</v>
      </c>
      <c r="UWX391" s="160">
        <v>0</v>
      </c>
      <c r="UWY391" s="160">
        <v>0</v>
      </c>
      <c r="UWZ391" s="160">
        <v>0</v>
      </c>
      <c r="UXA391" s="160">
        <v>0</v>
      </c>
      <c r="UXB391" s="160">
        <v>0</v>
      </c>
      <c r="UXC391" s="160">
        <v>0</v>
      </c>
      <c r="UXD391" s="160">
        <v>0</v>
      </c>
      <c r="UXE391" s="160">
        <v>0</v>
      </c>
      <c r="UXF391" s="160">
        <v>0</v>
      </c>
      <c r="UXG391" s="160">
        <v>0</v>
      </c>
      <c r="UXH391" s="160">
        <v>0</v>
      </c>
      <c r="UXI391" s="160">
        <v>0</v>
      </c>
      <c r="UXJ391" s="160">
        <v>0</v>
      </c>
      <c r="UXK391" s="160">
        <v>0</v>
      </c>
      <c r="UXL391" s="160">
        <v>0</v>
      </c>
      <c r="UXM391" s="160">
        <v>0</v>
      </c>
      <c r="UXN391" s="160">
        <v>0</v>
      </c>
      <c r="UXO391" s="160">
        <v>0</v>
      </c>
      <c r="UXP391" s="160">
        <v>0</v>
      </c>
      <c r="UXQ391" s="160">
        <v>0</v>
      </c>
      <c r="UXR391" s="160">
        <v>0</v>
      </c>
      <c r="UXS391" s="160">
        <v>0</v>
      </c>
      <c r="UXT391" s="160">
        <v>0</v>
      </c>
      <c r="UXU391" s="160">
        <v>0</v>
      </c>
      <c r="UXV391" s="160">
        <v>0</v>
      </c>
      <c r="UXW391" s="160">
        <v>0</v>
      </c>
      <c r="UXX391" s="160">
        <v>0</v>
      </c>
      <c r="UXY391" s="160">
        <v>0</v>
      </c>
      <c r="UXZ391" s="160">
        <v>0</v>
      </c>
      <c r="UYA391" s="160">
        <v>0</v>
      </c>
      <c r="UYB391" s="160">
        <v>0</v>
      </c>
      <c r="UYC391" s="160">
        <v>0</v>
      </c>
      <c r="UYD391" s="160">
        <v>0</v>
      </c>
      <c r="UYE391" s="160">
        <v>0</v>
      </c>
      <c r="UYF391" s="160">
        <v>0</v>
      </c>
      <c r="UYG391" s="160">
        <v>0</v>
      </c>
      <c r="UYH391" s="160">
        <v>0</v>
      </c>
      <c r="UYI391" s="160">
        <v>0</v>
      </c>
      <c r="UYJ391" s="160">
        <v>0</v>
      </c>
      <c r="UYK391" s="160">
        <v>0</v>
      </c>
      <c r="UYL391" s="160">
        <v>0</v>
      </c>
      <c r="UYM391" s="160">
        <v>0</v>
      </c>
      <c r="UYN391" s="160">
        <v>0</v>
      </c>
      <c r="UYO391" s="160">
        <v>0</v>
      </c>
      <c r="UYP391" s="160">
        <v>0</v>
      </c>
      <c r="UYQ391" s="160">
        <v>0</v>
      </c>
      <c r="UYR391" s="160">
        <v>0</v>
      </c>
      <c r="UYS391" s="160">
        <v>0</v>
      </c>
      <c r="UYT391" s="160">
        <v>0</v>
      </c>
      <c r="UYU391" s="160">
        <v>0</v>
      </c>
      <c r="UYV391" s="160">
        <v>0</v>
      </c>
      <c r="UYW391" s="160">
        <v>0</v>
      </c>
      <c r="UYX391" s="160">
        <v>0</v>
      </c>
      <c r="UYY391" s="160">
        <v>0</v>
      </c>
      <c r="UYZ391" s="160">
        <v>0</v>
      </c>
      <c r="UZA391" s="160">
        <v>0</v>
      </c>
      <c r="UZB391" s="160">
        <v>0</v>
      </c>
      <c r="UZC391" s="160">
        <v>0</v>
      </c>
      <c r="UZD391" s="160">
        <v>0</v>
      </c>
      <c r="UZE391" s="160">
        <v>0</v>
      </c>
      <c r="UZF391" s="160">
        <v>0</v>
      </c>
      <c r="UZG391" s="160">
        <v>0</v>
      </c>
      <c r="UZH391" s="160">
        <v>0</v>
      </c>
      <c r="UZI391" s="160">
        <v>0</v>
      </c>
      <c r="UZJ391" s="160">
        <v>0</v>
      </c>
      <c r="UZK391" s="160">
        <v>0</v>
      </c>
      <c r="UZL391" s="160">
        <v>0</v>
      </c>
      <c r="UZM391" s="160">
        <v>0</v>
      </c>
      <c r="UZN391" s="160">
        <v>0</v>
      </c>
      <c r="UZO391" s="160">
        <v>0</v>
      </c>
      <c r="UZP391" s="160">
        <v>0</v>
      </c>
      <c r="UZQ391" s="160">
        <v>0</v>
      </c>
      <c r="UZR391" s="160">
        <v>0</v>
      </c>
      <c r="UZS391" s="160">
        <v>0</v>
      </c>
      <c r="UZT391" s="160">
        <v>0</v>
      </c>
      <c r="UZU391" s="160">
        <v>0</v>
      </c>
      <c r="UZV391" s="160">
        <v>0</v>
      </c>
      <c r="UZW391" s="160">
        <v>0</v>
      </c>
      <c r="UZX391" s="160">
        <v>0</v>
      </c>
      <c r="UZY391" s="160">
        <v>0</v>
      </c>
      <c r="UZZ391" s="160">
        <v>0</v>
      </c>
      <c r="VAA391" s="160">
        <v>0</v>
      </c>
      <c r="VAB391" s="160">
        <v>0</v>
      </c>
      <c r="VAC391" s="160">
        <v>0</v>
      </c>
      <c r="VAD391" s="160">
        <v>0</v>
      </c>
      <c r="VAE391" s="160">
        <v>0</v>
      </c>
      <c r="VAF391" s="160">
        <v>0</v>
      </c>
      <c r="VAG391" s="160">
        <v>0</v>
      </c>
      <c r="VAH391" s="160">
        <v>0</v>
      </c>
      <c r="VAI391" s="160">
        <v>0</v>
      </c>
      <c r="VAJ391" s="160">
        <v>0</v>
      </c>
      <c r="VAK391" s="160">
        <v>0</v>
      </c>
      <c r="VAL391" s="160">
        <v>0</v>
      </c>
      <c r="VAM391" s="160">
        <v>0</v>
      </c>
      <c r="VAN391" s="160">
        <v>0</v>
      </c>
      <c r="VAO391" s="160">
        <v>0</v>
      </c>
      <c r="VAP391" s="160">
        <v>0</v>
      </c>
      <c r="VAQ391" s="160">
        <v>0</v>
      </c>
      <c r="VAR391" s="160">
        <v>0</v>
      </c>
      <c r="VAS391" s="160">
        <v>0</v>
      </c>
      <c r="VAT391" s="160">
        <v>0</v>
      </c>
      <c r="VAU391" s="160">
        <v>0</v>
      </c>
      <c r="VAV391" s="160">
        <v>0</v>
      </c>
      <c r="VAW391" s="160">
        <v>0</v>
      </c>
      <c r="VAX391" s="160">
        <v>0</v>
      </c>
      <c r="VAY391" s="160">
        <v>0</v>
      </c>
      <c r="VAZ391" s="160">
        <v>0</v>
      </c>
      <c r="VBA391" s="160">
        <v>0</v>
      </c>
      <c r="VBB391" s="160">
        <v>0</v>
      </c>
      <c r="VBC391" s="160">
        <v>0</v>
      </c>
      <c r="VBD391" s="160">
        <v>0</v>
      </c>
      <c r="VBE391" s="160">
        <v>0</v>
      </c>
      <c r="VBF391" s="160">
        <v>0</v>
      </c>
      <c r="VBG391" s="160">
        <v>0</v>
      </c>
      <c r="VBH391" s="160">
        <v>0</v>
      </c>
      <c r="VBI391" s="160">
        <v>0</v>
      </c>
      <c r="VBJ391" s="160">
        <v>0</v>
      </c>
      <c r="VBK391" s="160">
        <v>0</v>
      </c>
      <c r="VBL391" s="160">
        <v>0</v>
      </c>
      <c r="VBM391" s="160">
        <v>0</v>
      </c>
      <c r="VBN391" s="160">
        <v>0</v>
      </c>
      <c r="VBO391" s="160">
        <v>0</v>
      </c>
      <c r="VBP391" s="160">
        <v>0</v>
      </c>
      <c r="VBQ391" s="160">
        <v>0</v>
      </c>
      <c r="VBR391" s="160">
        <v>0</v>
      </c>
      <c r="VBS391" s="160">
        <v>0</v>
      </c>
      <c r="VBT391" s="160">
        <v>0</v>
      </c>
      <c r="VBU391" s="160">
        <v>0</v>
      </c>
      <c r="VBV391" s="160">
        <v>0</v>
      </c>
      <c r="VBW391" s="160">
        <v>0</v>
      </c>
      <c r="VBX391" s="160">
        <v>0</v>
      </c>
      <c r="VBY391" s="160">
        <v>0</v>
      </c>
      <c r="VBZ391" s="160">
        <v>0</v>
      </c>
      <c r="VCA391" s="160">
        <v>0</v>
      </c>
      <c r="VCB391" s="160">
        <v>0</v>
      </c>
      <c r="VCC391" s="160">
        <v>0</v>
      </c>
      <c r="VCD391" s="160">
        <v>0</v>
      </c>
      <c r="VCE391" s="160">
        <v>0</v>
      </c>
      <c r="VCF391" s="160">
        <v>0</v>
      </c>
      <c r="VCG391" s="160">
        <v>0</v>
      </c>
      <c r="VCH391" s="160">
        <v>0</v>
      </c>
      <c r="VCI391" s="160">
        <v>0</v>
      </c>
      <c r="VCJ391" s="160">
        <v>0</v>
      </c>
      <c r="VCK391" s="160">
        <v>0</v>
      </c>
      <c r="VCL391" s="160">
        <v>0</v>
      </c>
      <c r="VCM391" s="160">
        <v>0</v>
      </c>
      <c r="VCN391" s="160">
        <v>0</v>
      </c>
      <c r="VCO391" s="160">
        <v>0</v>
      </c>
      <c r="VCP391" s="160">
        <v>0</v>
      </c>
      <c r="VCQ391" s="160">
        <v>0</v>
      </c>
      <c r="VCR391" s="160">
        <v>0</v>
      </c>
      <c r="VCS391" s="160">
        <v>0</v>
      </c>
      <c r="VCT391" s="160">
        <v>0</v>
      </c>
      <c r="VCU391" s="160">
        <v>0</v>
      </c>
      <c r="VCV391" s="160">
        <v>0</v>
      </c>
      <c r="VCW391" s="160">
        <v>0</v>
      </c>
      <c r="VCX391" s="160">
        <v>0</v>
      </c>
      <c r="VCY391" s="160">
        <v>0</v>
      </c>
      <c r="VCZ391" s="160">
        <v>0</v>
      </c>
      <c r="VDA391" s="160">
        <v>0</v>
      </c>
      <c r="VDB391" s="160">
        <v>0</v>
      </c>
      <c r="VDC391" s="160">
        <v>0</v>
      </c>
      <c r="VDD391" s="160">
        <v>0</v>
      </c>
      <c r="VDE391" s="160">
        <v>0</v>
      </c>
      <c r="VDF391" s="160">
        <v>0</v>
      </c>
      <c r="VDG391" s="160">
        <v>0</v>
      </c>
      <c r="VDH391" s="160">
        <v>0</v>
      </c>
      <c r="VDI391" s="160">
        <v>0</v>
      </c>
      <c r="VDJ391" s="160">
        <v>0</v>
      </c>
      <c r="VDK391" s="160">
        <v>0</v>
      </c>
      <c r="VDL391" s="160">
        <v>0</v>
      </c>
      <c r="VDM391" s="160">
        <v>0</v>
      </c>
      <c r="VDN391" s="160">
        <v>0</v>
      </c>
      <c r="VDO391" s="160">
        <v>0</v>
      </c>
      <c r="VDP391" s="160">
        <v>0</v>
      </c>
      <c r="VDQ391" s="160">
        <v>0</v>
      </c>
      <c r="VDR391" s="160">
        <v>0</v>
      </c>
      <c r="VDS391" s="160">
        <v>0</v>
      </c>
      <c r="VDT391" s="160">
        <v>0</v>
      </c>
      <c r="VDU391" s="160">
        <v>0</v>
      </c>
      <c r="VDV391" s="160">
        <v>0</v>
      </c>
      <c r="VDW391" s="160">
        <v>0</v>
      </c>
      <c r="VDX391" s="160">
        <v>0</v>
      </c>
      <c r="VDY391" s="160">
        <v>0</v>
      </c>
      <c r="VDZ391" s="160">
        <v>0</v>
      </c>
      <c r="VEA391" s="160">
        <v>0</v>
      </c>
      <c r="VEB391" s="160">
        <v>0</v>
      </c>
      <c r="VEC391" s="160">
        <v>0</v>
      </c>
      <c r="VED391" s="160">
        <v>0</v>
      </c>
      <c r="VEE391" s="160">
        <v>0</v>
      </c>
      <c r="VEF391" s="160">
        <v>0</v>
      </c>
      <c r="VEG391" s="160">
        <v>0</v>
      </c>
      <c r="VEH391" s="160">
        <v>0</v>
      </c>
      <c r="VEI391" s="160">
        <v>0</v>
      </c>
      <c r="VEJ391" s="160">
        <v>0</v>
      </c>
      <c r="VEK391" s="160">
        <v>0</v>
      </c>
      <c r="VEL391" s="160">
        <v>0</v>
      </c>
      <c r="VEM391" s="160">
        <v>0</v>
      </c>
      <c r="VEN391" s="160">
        <v>0</v>
      </c>
      <c r="VEO391" s="160">
        <v>0</v>
      </c>
      <c r="VEP391" s="160">
        <v>0</v>
      </c>
      <c r="VEQ391" s="160">
        <v>0</v>
      </c>
      <c r="VER391" s="160">
        <v>0</v>
      </c>
      <c r="VES391" s="160">
        <v>0</v>
      </c>
      <c r="VET391" s="160">
        <v>0</v>
      </c>
      <c r="VEU391" s="160">
        <v>0</v>
      </c>
      <c r="VEV391" s="160">
        <v>0</v>
      </c>
      <c r="VEW391" s="160">
        <v>0</v>
      </c>
      <c r="VEX391" s="160">
        <v>0</v>
      </c>
      <c r="VEY391" s="160">
        <v>0</v>
      </c>
      <c r="VEZ391" s="160">
        <v>0</v>
      </c>
      <c r="VFA391" s="160">
        <v>0</v>
      </c>
      <c r="VFB391" s="160">
        <v>0</v>
      </c>
      <c r="VFC391" s="160">
        <v>0</v>
      </c>
      <c r="VFD391" s="160">
        <v>0</v>
      </c>
      <c r="VFE391" s="160">
        <v>0</v>
      </c>
      <c r="VFF391" s="160">
        <v>0</v>
      </c>
      <c r="VFG391" s="160">
        <v>0</v>
      </c>
      <c r="VFH391" s="160">
        <v>0</v>
      </c>
      <c r="VFI391" s="160">
        <v>0</v>
      </c>
      <c r="VFJ391" s="160">
        <v>0</v>
      </c>
      <c r="VFK391" s="160">
        <v>0</v>
      </c>
      <c r="VFL391" s="160">
        <v>0</v>
      </c>
      <c r="VFM391" s="160">
        <v>0</v>
      </c>
      <c r="VFN391" s="160">
        <v>0</v>
      </c>
      <c r="VFO391" s="160">
        <v>0</v>
      </c>
      <c r="VFP391" s="160">
        <v>0</v>
      </c>
      <c r="VFQ391" s="160">
        <v>0</v>
      </c>
      <c r="VFR391" s="160">
        <v>0</v>
      </c>
      <c r="VFS391" s="160">
        <v>0</v>
      </c>
      <c r="VFT391" s="160">
        <v>0</v>
      </c>
      <c r="VFU391" s="160">
        <v>0</v>
      </c>
      <c r="VFV391" s="160">
        <v>0</v>
      </c>
      <c r="VFW391" s="160">
        <v>0</v>
      </c>
      <c r="VFX391" s="160">
        <v>0</v>
      </c>
      <c r="VFY391" s="160">
        <v>0</v>
      </c>
      <c r="VFZ391" s="160">
        <v>0</v>
      </c>
      <c r="VGA391" s="160">
        <v>0</v>
      </c>
      <c r="VGB391" s="160">
        <v>0</v>
      </c>
      <c r="VGC391" s="160">
        <v>0</v>
      </c>
      <c r="VGD391" s="160">
        <v>0</v>
      </c>
      <c r="VGE391" s="160">
        <v>0</v>
      </c>
      <c r="VGF391" s="160">
        <v>0</v>
      </c>
      <c r="VGG391" s="160">
        <v>0</v>
      </c>
      <c r="VGH391" s="160">
        <v>0</v>
      </c>
      <c r="VGI391" s="160">
        <v>0</v>
      </c>
      <c r="VGJ391" s="160">
        <v>0</v>
      </c>
      <c r="VGK391" s="160">
        <v>0</v>
      </c>
      <c r="VGL391" s="160">
        <v>0</v>
      </c>
      <c r="VGM391" s="160">
        <v>0</v>
      </c>
      <c r="VGN391" s="160">
        <v>0</v>
      </c>
      <c r="VGO391" s="160">
        <v>0</v>
      </c>
      <c r="VGP391" s="160">
        <v>0</v>
      </c>
      <c r="VGQ391" s="160">
        <v>0</v>
      </c>
      <c r="VGR391" s="160">
        <v>0</v>
      </c>
      <c r="VGS391" s="160">
        <v>0</v>
      </c>
      <c r="VGT391" s="160">
        <v>0</v>
      </c>
      <c r="VGU391" s="160">
        <v>0</v>
      </c>
      <c r="VGV391" s="160">
        <v>0</v>
      </c>
      <c r="VGW391" s="160">
        <v>0</v>
      </c>
      <c r="VGX391" s="160">
        <v>0</v>
      </c>
      <c r="VGY391" s="160">
        <v>0</v>
      </c>
      <c r="VGZ391" s="160">
        <v>0</v>
      </c>
      <c r="VHA391" s="160">
        <v>0</v>
      </c>
      <c r="VHB391" s="160">
        <v>0</v>
      </c>
      <c r="VHC391" s="160">
        <v>0</v>
      </c>
      <c r="VHD391" s="160">
        <v>0</v>
      </c>
      <c r="VHE391" s="160">
        <v>0</v>
      </c>
      <c r="VHF391" s="160">
        <v>0</v>
      </c>
      <c r="VHG391" s="160">
        <v>0</v>
      </c>
      <c r="VHH391" s="160">
        <v>0</v>
      </c>
      <c r="VHI391" s="160">
        <v>0</v>
      </c>
      <c r="VHJ391" s="160">
        <v>0</v>
      </c>
      <c r="VHK391" s="160">
        <v>0</v>
      </c>
      <c r="VHL391" s="160">
        <v>0</v>
      </c>
      <c r="VHM391" s="160">
        <v>0</v>
      </c>
      <c r="VHN391" s="160">
        <v>0</v>
      </c>
      <c r="VHO391" s="160">
        <v>0</v>
      </c>
      <c r="VHP391" s="160">
        <v>0</v>
      </c>
      <c r="VHQ391" s="160">
        <v>0</v>
      </c>
      <c r="VHR391" s="160">
        <v>0</v>
      </c>
      <c r="VHS391" s="160">
        <v>0</v>
      </c>
      <c r="VHT391" s="160">
        <v>0</v>
      </c>
      <c r="VHU391" s="160">
        <v>0</v>
      </c>
      <c r="VHV391" s="160">
        <v>0</v>
      </c>
      <c r="VHW391" s="160">
        <v>0</v>
      </c>
      <c r="VHX391" s="160">
        <v>0</v>
      </c>
      <c r="VHY391" s="160">
        <v>0</v>
      </c>
      <c r="VHZ391" s="160">
        <v>0</v>
      </c>
      <c r="VIA391" s="160">
        <v>0</v>
      </c>
      <c r="VIB391" s="160">
        <v>0</v>
      </c>
      <c r="VIC391" s="160">
        <v>0</v>
      </c>
      <c r="VID391" s="160">
        <v>0</v>
      </c>
      <c r="VIE391" s="160">
        <v>0</v>
      </c>
      <c r="VIF391" s="160">
        <v>0</v>
      </c>
      <c r="VIG391" s="160">
        <v>0</v>
      </c>
      <c r="VIH391" s="160">
        <v>0</v>
      </c>
      <c r="VII391" s="160">
        <v>0</v>
      </c>
      <c r="VIJ391" s="160">
        <v>0</v>
      </c>
      <c r="VIK391" s="160">
        <v>0</v>
      </c>
      <c r="VIL391" s="160">
        <v>0</v>
      </c>
      <c r="VIM391" s="160">
        <v>0</v>
      </c>
      <c r="VIN391" s="160">
        <v>0</v>
      </c>
      <c r="VIO391" s="160">
        <v>0</v>
      </c>
      <c r="VIP391" s="160">
        <v>0</v>
      </c>
      <c r="VIQ391" s="160">
        <v>0</v>
      </c>
      <c r="VIR391" s="160">
        <v>0</v>
      </c>
      <c r="VIS391" s="160">
        <v>0</v>
      </c>
      <c r="VIT391" s="160">
        <v>0</v>
      </c>
      <c r="VIU391" s="160">
        <v>0</v>
      </c>
      <c r="VIV391" s="160">
        <v>0</v>
      </c>
      <c r="VIW391" s="160">
        <v>0</v>
      </c>
      <c r="VIX391" s="160">
        <v>0</v>
      </c>
      <c r="VIY391" s="160">
        <v>0</v>
      </c>
      <c r="VIZ391" s="160">
        <v>0</v>
      </c>
      <c r="VJA391" s="160">
        <v>0</v>
      </c>
      <c r="VJB391" s="160">
        <v>0</v>
      </c>
      <c r="VJC391" s="160">
        <v>0</v>
      </c>
      <c r="VJD391" s="160">
        <v>0</v>
      </c>
      <c r="VJE391" s="160">
        <v>0</v>
      </c>
      <c r="VJF391" s="160">
        <v>0</v>
      </c>
      <c r="VJG391" s="160">
        <v>0</v>
      </c>
      <c r="VJH391" s="160">
        <v>0</v>
      </c>
      <c r="VJI391" s="160">
        <v>0</v>
      </c>
      <c r="VJJ391" s="160">
        <v>0</v>
      </c>
      <c r="VJK391" s="160">
        <v>0</v>
      </c>
      <c r="VJL391" s="160">
        <v>0</v>
      </c>
      <c r="VJM391" s="160">
        <v>0</v>
      </c>
      <c r="VJN391" s="160">
        <v>0</v>
      </c>
      <c r="VJO391" s="160">
        <v>0</v>
      </c>
      <c r="VJP391" s="160">
        <v>0</v>
      </c>
      <c r="VJQ391" s="160">
        <v>0</v>
      </c>
      <c r="VJR391" s="160">
        <v>0</v>
      </c>
      <c r="VJS391" s="160">
        <v>0</v>
      </c>
      <c r="VJT391" s="160">
        <v>0</v>
      </c>
      <c r="VJU391" s="160">
        <v>0</v>
      </c>
      <c r="VJV391" s="160">
        <v>0</v>
      </c>
      <c r="VJW391" s="160">
        <v>0</v>
      </c>
      <c r="VJX391" s="160">
        <v>0</v>
      </c>
      <c r="VJY391" s="160">
        <v>0</v>
      </c>
      <c r="VJZ391" s="160">
        <v>0</v>
      </c>
      <c r="VKA391" s="160">
        <v>0</v>
      </c>
      <c r="VKB391" s="160">
        <v>0</v>
      </c>
      <c r="VKC391" s="160">
        <v>0</v>
      </c>
      <c r="VKD391" s="160">
        <v>0</v>
      </c>
      <c r="VKE391" s="160">
        <v>0</v>
      </c>
      <c r="VKF391" s="160">
        <v>0</v>
      </c>
      <c r="VKG391" s="160">
        <v>0</v>
      </c>
      <c r="VKH391" s="160">
        <v>0</v>
      </c>
      <c r="VKI391" s="160">
        <v>0</v>
      </c>
      <c r="VKJ391" s="160">
        <v>0</v>
      </c>
      <c r="VKK391" s="160">
        <v>0</v>
      </c>
      <c r="VKL391" s="160">
        <v>0</v>
      </c>
      <c r="VKM391" s="160">
        <v>0</v>
      </c>
      <c r="VKN391" s="160">
        <v>0</v>
      </c>
      <c r="VKO391" s="160">
        <v>0</v>
      </c>
      <c r="VKP391" s="160">
        <v>0</v>
      </c>
      <c r="VKQ391" s="160">
        <v>0</v>
      </c>
      <c r="VKR391" s="160">
        <v>0</v>
      </c>
      <c r="VKS391" s="160">
        <v>0</v>
      </c>
      <c r="VKT391" s="160">
        <v>0</v>
      </c>
      <c r="VKU391" s="160">
        <v>0</v>
      </c>
      <c r="VKV391" s="160">
        <v>0</v>
      </c>
      <c r="VKW391" s="160">
        <v>0</v>
      </c>
      <c r="VKX391" s="160">
        <v>0</v>
      </c>
      <c r="VKY391" s="160">
        <v>0</v>
      </c>
      <c r="VKZ391" s="160">
        <v>0</v>
      </c>
      <c r="VLA391" s="160">
        <v>0</v>
      </c>
      <c r="VLB391" s="160">
        <v>0</v>
      </c>
      <c r="VLC391" s="160">
        <v>0</v>
      </c>
      <c r="VLD391" s="160">
        <v>0</v>
      </c>
      <c r="VLE391" s="160">
        <v>0</v>
      </c>
      <c r="VLF391" s="160">
        <v>0</v>
      </c>
      <c r="VLG391" s="160">
        <v>0</v>
      </c>
      <c r="VLH391" s="160">
        <v>0</v>
      </c>
      <c r="VLI391" s="160">
        <v>0</v>
      </c>
      <c r="VLJ391" s="160">
        <v>0</v>
      </c>
      <c r="VLK391" s="160">
        <v>0</v>
      </c>
      <c r="VLL391" s="160">
        <v>0</v>
      </c>
      <c r="VLM391" s="160">
        <v>0</v>
      </c>
      <c r="VLN391" s="160">
        <v>0</v>
      </c>
      <c r="VLO391" s="160">
        <v>0</v>
      </c>
      <c r="VLP391" s="160">
        <v>0</v>
      </c>
      <c r="VLQ391" s="160">
        <v>0</v>
      </c>
      <c r="VLR391" s="160">
        <v>0</v>
      </c>
      <c r="VLS391" s="160">
        <v>0</v>
      </c>
      <c r="VLT391" s="160">
        <v>0</v>
      </c>
      <c r="VLU391" s="160">
        <v>0</v>
      </c>
      <c r="VLV391" s="160">
        <v>0</v>
      </c>
      <c r="VLW391" s="160">
        <v>0</v>
      </c>
      <c r="VLX391" s="160">
        <v>0</v>
      </c>
      <c r="VLY391" s="160">
        <v>0</v>
      </c>
      <c r="VLZ391" s="160">
        <v>0</v>
      </c>
      <c r="VMA391" s="160">
        <v>0</v>
      </c>
      <c r="VMB391" s="160">
        <v>0</v>
      </c>
      <c r="VMC391" s="160">
        <v>0</v>
      </c>
      <c r="VMD391" s="160">
        <v>0</v>
      </c>
      <c r="VME391" s="160">
        <v>0</v>
      </c>
      <c r="VMF391" s="160">
        <v>0</v>
      </c>
      <c r="VMG391" s="160">
        <v>0</v>
      </c>
      <c r="VMH391" s="160">
        <v>0</v>
      </c>
      <c r="VMI391" s="160">
        <v>0</v>
      </c>
      <c r="VMJ391" s="160">
        <v>0</v>
      </c>
      <c r="VMK391" s="160">
        <v>0</v>
      </c>
      <c r="VML391" s="160">
        <v>0</v>
      </c>
      <c r="VMM391" s="160">
        <v>0</v>
      </c>
      <c r="VMN391" s="160">
        <v>0</v>
      </c>
      <c r="VMO391" s="160">
        <v>0</v>
      </c>
      <c r="VMP391" s="160">
        <v>0</v>
      </c>
      <c r="VMQ391" s="160">
        <v>0</v>
      </c>
      <c r="VMR391" s="160">
        <v>0</v>
      </c>
      <c r="VMS391" s="160">
        <v>0</v>
      </c>
      <c r="VMT391" s="160">
        <v>0</v>
      </c>
      <c r="VMU391" s="160">
        <v>0</v>
      </c>
      <c r="VMV391" s="160">
        <v>0</v>
      </c>
      <c r="VMW391" s="160">
        <v>0</v>
      </c>
      <c r="VMX391" s="160">
        <v>0</v>
      </c>
      <c r="VMY391" s="160">
        <v>0</v>
      </c>
      <c r="VMZ391" s="160">
        <v>0</v>
      </c>
      <c r="VNA391" s="160">
        <v>0</v>
      </c>
      <c r="VNB391" s="160">
        <v>0</v>
      </c>
      <c r="VNC391" s="160">
        <v>0</v>
      </c>
      <c r="VND391" s="160">
        <v>0</v>
      </c>
      <c r="VNE391" s="160">
        <v>0</v>
      </c>
      <c r="VNF391" s="160">
        <v>0</v>
      </c>
      <c r="VNG391" s="160">
        <v>0</v>
      </c>
      <c r="VNH391" s="160">
        <v>0</v>
      </c>
      <c r="VNI391" s="160">
        <v>0</v>
      </c>
      <c r="VNJ391" s="160">
        <v>0</v>
      </c>
      <c r="VNK391" s="160">
        <v>0</v>
      </c>
      <c r="VNL391" s="160">
        <v>0</v>
      </c>
      <c r="VNM391" s="160">
        <v>0</v>
      </c>
      <c r="VNN391" s="160">
        <v>0</v>
      </c>
      <c r="VNO391" s="160">
        <v>0</v>
      </c>
      <c r="VNP391" s="160">
        <v>0</v>
      </c>
      <c r="VNQ391" s="160">
        <v>0</v>
      </c>
      <c r="VNR391" s="160">
        <v>0</v>
      </c>
      <c r="VNS391" s="160">
        <v>0</v>
      </c>
      <c r="VNT391" s="160">
        <v>0</v>
      </c>
      <c r="VNU391" s="160">
        <v>0</v>
      </c>
      <c r="VNV391" s="160">
        <v>0</v>
      </c>
      <c r="VNW391" s="160">
        <v>0</v>
      </c>
      <c r="VNX391" s="160">
        <v>0</v>
      </c>
      <c r="VNY391" s="160">
        <v>0</v>
      </c>
      <c r="VNZ391" s="160">
        <v>0</v>
      </c>
      <c r="VOA391" s="160">
        <v>0</v>
      </c>
      <c r="VOB391" s="160">
        <v>0</v>
      </c>
      <c r="VOC391" s="160">
        <v>0</v>
      </c>
      <c r="VOD391" s="160">
        <v>0</v>
      </c>
      <c r="VOE391" s="160">
        <v>0</v>
      </c>
      <c r="VOF391" s="160">
        <v>0</v>
      </c>
      <c r="VOG391" s="160">
        <v>0</v>
      </c>
      <c r="VOH391" s="160">
        <v>0</v>
      </c>
      <c r="VOI391" s="160">
        <v>0</v>
      </c>
      <c r="VOJ391" s="160">
        <v>0</v>
      </c>
      <c r="VOK391" s="160">
        <v>0</v>
      </c>
      <c r="VOL391" s="160">
        <v>0</v>
      </c>
      <c r="VOM391" s="160">
        <v>0</v>
      </c>
      <c r="VON391" s="160">
        <v>0</v>
      </c>
      <c r="VOO391" s="160">
        <v>0</v>
      </c>
      <c r="VOP391" s="160">
        <v>0</v>
      </c>
      <c r="VOQ391" s="160">
        <v>0</v>
      </c>
      <c r="VOR391" s="160">
        <v>0</v>
      </c>
      <c r="VOS391" s="160">
        <v>0</v>
      </c>
      <c r="VOT391" s="160">
        <v>0</v>
      </c>
      <c r="VOU391" s="160">
        <v>0</v>
      </c>
      <c r="VOV391" s="160">
        <v>0</v>
      </c>
      <c r="VOW391" s="160">
        <v>0</v>
      </c>
      <c r="VOX391" s="160">
        <v>0</v>
      </c>
      <c r="VOY391" s="160">
        <v>0</v>
      </c>
      <c r="VOZ391" s="160">
        <v>0</v>
      </c>
      <c r="VPA391" s="160">
        <v>0</v>
      </c>
      <c r="VPB391" s="160">
        <v>0</v>
      </c>
      <c r="VPC391" s="160">
        <v>0</v>
      </c>
      <c r="VPD391" s="160">
        <v>0</v>
      </c>
      <c r="VPE391" s="160">
        <v>0</v>
      </c>
      <c r="VPF391" s="160">
        <v>0</v>
      </c>
      <c r="VPG391" s="160">
        <v>0</v>
      </c>
      <c r="VPH391" s="160">
        <v>0</v>
      </c>
      <c r="VPI391" s="160">
        <v>0</v>
      </c>
      <c r="VPJ391" s="160">
        <v>0</v>
      </c>
      <c r="VPK391" s="160">
        <v>0</v>
      </c>
      <c r="VPL391" s="160">
        <v>0</v>
      </c>
      <c r="VPM391" s="160">
        <v>0</v>
      </c>
      <c r="VPN391" s="160">
        <v>0</v>
      </c>
      <c r="VPO391" s="160">
        <v>0</v>
      </c>
      <c r="VPP391" s="160">
        <v>0</v>
      </c>
      <c r="VPQ391" s="160">
        <v>0</v>
      </c>
      <c r="VPR391" s="160">
        <v>0</v>
      </c>
      <c r="VPS391" s="160">
        <v>0</v>
      </c>
      <c r="VPT391" s="160">
        <v>0</v>
      </c>
      <c r="VPU391" s="160">
        <v>0</v>
      </c>
      <c r="VPV391" s="160">
        <v>0</v>
      </c>
      <c r="VPW391" s="160">
        <v>0</v>
      </c>
      <c r="VPX391" s="160">
        <v>0</v>
      </c>
      <c r="VPY391" s="160">
        <v>0</v>
      </c>
      <c r="VPZ391" s="160">
        <v>0</v>
      </c>
      <c r="VQA391" s="160">
        <v>0</v>
      </c>
      <c r="VQB391" s="160">
        <v>0</v>
      </c>
      <c r="VQC391" s="160">
        <v>0</v>
      </c>
      <c r="VQD391" s="160">
        <v>0</v>
      </c>
      <c r="VQE391" s="160">
        <v>0</v>
      </c>
      <c r="VQF391" s="160">
        <v>0</v>
      </c>
      <c r="VQG391" s="160">
        <v>0</v>
      </c>
      <c r="VQH391" s="160">
        <v>0</v>
      </c>
      <c r="VQI391" s="160">
        <v>0</v>
      </c>
      <c r="VQJ391" s="160">
        <v>0</v>
      </c>
      <c r="VQK391" s="160">
        <v>0</v>
      </c>
      <c r="VQL391" s="160">
        <v>0</v>
      </c>
      <c r="VQM391" s="160">
        <v>0</v>
      </c>
      <c r="VQN391" s="160">
        <v>0</v>
      </c>
      <c r="VQO391" s="160">
        <v>0</v>
      </c>
      <c r="VQP391" s="160">
        <v>0</v>
      </c>
      <c r="VQQ391" s="160">
        <v>0</v>
      </c>
      <c r="VQR391" s="160">
        <v>0</v>
      </c>
      <c r="VQS391" s="160">
        <v>0</v>
      </c>
      <c r="VQT391" s="160">
        <v>0</v>
      </c>
      <c r="VQU391" s="160">
        <v>0</v>
      </c>
      <c r="VQV391" s="160">
        <v>0</v>
      </c>
      <c r="VQW391" s="160">
        <v>0</v>
      </c>
      <c r="VQX391" s="160">
        <v>0</v>
      </c>
      <c r="VQY391" s="160">
        <v>0</v>
      </c>
      <c r="VQZ391" s="160">
        <v>0</v>
      </c>
      <c r="VRA391" s="160">
        <v>0</v>
      </c>
      <c r="VRB391" s="160">
        <v>0</v>
      </c>
      <c r="VRC391" s="160">
        <v>0</v>
      </c>
      <c r="VRD391" s="160">
        <v>0</v>
      </c>
      <c r="VRE391" s="160">
        <v>0</v>
      </c>
      <c r="VRF391" s="160">
        <v>0</v>
      </c>
      <c r="VRG391" s="160">
        <v>0</v>
      </c>
      <c r="VRH391" s="160">
        <v>0</v>
      </c>
      <c r="VRI391" s="160">
        <v>0</v>
      </c>
      <c r="VRJ391" s="160">
        <v>0</v>
      </c>
      <c r="VRK391" s="160">
        <v>0</v>
      </c>
      <c r="VRL391" s="160">
        <v>0</v>
      </c>
      <c r="VRM391" s="160">
        <v>0</v>
      </c>
      <c r="VRN391" s="160">
        <v>0</v>
      </c>
      <c r="VRO391" s="160">
        <v>0</v>
      </c>
      <c r="VRP391" s="160">
        <v>0</v>
      </c>
      <c r="VRQ391" s="160">
        <v>0</v>
      </c>
      <c r="VRR391" s="160">
        <v>0</v>
      </c>
      <c r="VRS391" s="160">
        <v>0</v>
      </c>
      <c r="VRT391" s="160">
        <v>0</v>
      </c>
      <c r="VRU391" s="160">
        <v>0</v>
      </c>
      <c r="VRV391" s="160">
        <v>0</v>
      </c>
      <c r="VRW391" s="160">
        <v>0</v>
      </c>
      <c r="VRX391" s="160">
        <v>0</v>
      </c>
      <c r="VRY391" s="160">
        <v>0</v>
      </c>
      <c r="VRZ391" s="160">
        <v>0</v>
      </c>
      <c r="VSA391" s="160">
        <v>0</v>
      </c>
      <c r="VSB391" s="160">
        <v>0</v>
      </c>
      <c r="VSC391" s="160">
        <v>0</v>
      </c>
      <c r="VSD391" s="160">
        <v>0</v>
      </c>
      <c r="VSE391" s="160">
        <v>0</v>
      </c>
      <c r="VSF391" s="160">
        <v>0</v>
      </c>
      <c r="VSG391" s="160">
        <v>0</v>
      </c>
      <c r="VSH391" s="160">
        <v>0</v>
      </c>
      <c r="VSI391" s="160">
        <v>0</v>
      </c>
      <c r="VSJ391" s="160">
        <v>0</v>
      </c>
      <c r="VSK391" s="160">
        <v>0</v>
      </c>
      <c r="VSL391" s="160">
        <v>0</v>
      </c>
      <c r="VSM391" s="160">
        <v>0</v>
      </c>
      <c r="VSN391" s="160">
        <v>0</v>
      </c>
      <c r="VSO391" s="160">
        <v>0</v>
      </c>
      <c r="VSP391" s="160">
        <v>0</v>
      </c>
      <c r="VSQ391" s="160">
        <v>0</v>
      </c>
      <c r="VSR391" s="160">
        <v>0</v>
      </c>
      <c r="VSS391" s="160">
        <v>0</v>
      </c>
      <c r="VST391" s="160">
        <v>0</v>
      </c>
      <c r="VSU391" s="160">
        <v>0</v>
      </c>
      <c r="VSV391" s="160">
        <v>0</v>
      </c>
      <c r="VSW391" s="160">
        <v>0</v>
      </c>
      <c r="VSX391" s="160">
        <v>0</v>
      </c>
      <c r="VSY391" s="160">
        <v>0</v>
      </c>
      <c r="VSZ391" s="160">
        <v>0</v>
      </c>
      <c r="VTA391" s="160">
        <v>0</v>
      </c>
      <c r="VTB391" s="160">
        <v>0</v>
      </c>
      <c r="VTC391" s="160">
        <v>0</v>
      </c>
      <c r="VTD391" s="160">
        <v>0</v>
      </c>
      <c r="VTE391" s="160">
        <v>0</v>
      </c>
      <c r="VTF391" s="160">
        <v>0</v>
      </c>
      <c r="VTG391" s="160">
        <v>0</v>
      </c>
      <c r="VTH391" s="160">
        <v>0</v>
      </c>
      <c r="VTI391" s="160">
        <v>0</v>
      </c>
      <c r="VTJ391" s="160">
        <v>0</v>
      </c>
      <c r="VTK391" s="160">
        <v>0</v>
      </c>
      <c r="VTL391" s="160">
        <v>0</v>
      </c>
      <c r="VTM391" s="160">
        <v>0</v>
      </c>
      <c r="VTN391" s="160">
        <v>0</v>
      </c>
      <c r="VTO391" s="160">
        <v>0</v>
      </c>
      <c r="VTP391" s="160">
        <v>0</v>
      </c>
      <c r="VTQ391" s="160">
        <v>0</v>
      </c>
      <c r="VTR391" s="160">
        <v>0</v>
      </c>
      <c r="VTS391" s="160">
        <v>0</v>
      </c>
      <c r="VTT391" s="160">
        <v>0</v>
      </c>
      <c r="VTU391" s="160">
        <v>0</v>
      </c>
      <c r="VTV391" s="160">
        <v>0</v>
      </c>
      <c r="VTW391" s="160">
        <v>0</v>
      </c>
      <c r="VTX391" s="160">
        <v>0</v>
      </c>
      <c r="VTY391" s="160">
        <v>0</v>
      </c>
      <c r="VTZ391" s="160">
        <v>0</v>
      </c>
      <c r="VUA391" s="160">
        <v>0</v>
      </c>
      <c r="VUB391" s="160">
        <v>0</v>
      </c>
      <c r="VUC391" s="160">
        <v>0</v>
      </c>
      <c r="VUD391" s="160">
        <v>0</v>
      </c>
      <c r="VUE391" s="160">
        <v>0</v>
      </c>
      <c r="VUF391" s="160">
        <v>0</v>
      </c>
      <c r="VUG391" s="160">
        <v>0</v>
      </c>
      <c r="VUH391" s="160">
        <v>0</v>
      </c>
      <c r="VUI391" s="160">
        <v>0</v>
      </c>
      <c r="VUJ391" s="160">
        <v>0</v>
      </c>
      <c r="VUK391" s="160">
        <v>0</v>
      </c>
      <c r="VUL391" s="160">
        <v>0</v>
      </c>
      <c r="VUM391" s="160">
        <v>0</v>
      </c>
      <c r="VUN391" s="160">
        <v>0</v>
      </c>
      <c r="VUO391" s="160">
        <v>0</v>
      </c>
      <c r="VUP391" s="160">
        <v>0</v>
      </c>
      <c r="VUQ391" s="160">
        <v>0</v>
      </c>
      <c r="VUR391" s="160">
        <v>0</v>
      </c>
      <c r="VUS391" s="160">
        <v>0</v>
      </c>
      <c r="VUT391" s="160">
        <v>0</v>
      </c>
      <c r="VUU391" s="160">
        <v>0</v>
      </c>
      <c r="VUV391" s="160">
        <v>0</v>
      </c>
      <c r="VUW391" s="160">
        <v>0</v>
      </c>
      <c r="VUX391" s="160">
        <v>0</v>
      </c>
      <c r="VUY391" s="160">
        <v>0</v>
      </c>
      <c r="VUZ391" s="160">
        <v>0</v>
      </c>
      <c r="VVA391" s="160">
        <v>0</v>
      </c>
      <c r="VVB391" s="160">
        <v>0</v>
      </c>
      <c r="VVC391" s="160">
        <v>0</v>
      </c>
      <c r="VVD391" s="160">
        <v>0</v>
      </c>
      <c r="VVE391" s="160">
        <v>0</v>
      </c>
      <c r="VVF391" s="160">
        <v>0</v>
      </c>
      <c r="VVG391" s="160">
        <v>0</v>
      </c>
      <c r="VVH391" s="160">
        <v>0</v>
      </c>
      <c r="VVI391" s="160">
        <v>0</v>
      </c>
      <c r="VVJ391" s="160">
        <v>0</v>
      </c>
      <c r="VVK391" s="160">
        <v>0</v>
      </c>
      <c r="VVL391" s="160">
        <v>0</v>
      </c>
      <c r="VVM391" s="160">
        <v>0</v>
      </c>
      <c r="VVN391" s="160">
        <v>0</v>
      </c>
      <c r="VVO391" s="160">
        <v>0</v>
      </c>
      <c r="VVP391" s="160">
        <v>0</v>
      </c>
      <c r="VVQ391" s="160">
        <v>0</v>
      </c>
      <c r="VVR391" s="160">
        <v>0</v>
      </c>
      <c r="VVS391" s="160">
        <v>0</v>
      </c>
      <c r="VVT391" s="160">
        <v>0</v>
      </c>
      <c r="VVU391" s="160">
        <v>0</v>
      </c>
      <c r="VVV391" s="160">
        <v>0</v>
      </c>
      <c r="VVW391" s="160">
        <v>0</v>
      </c>
      <c r="VVX391" s="160">
        <v>0</v>
      </c>
      <c r="VVY391" s="160">
        <v>0</v>
      </c>
      <c r="VVZ391" s="160">
        <v>0</v>
      </c>
      <c r="VWA391" s="160">
        <v>0</v>
      </c>
      <c r="VWB391" s="160">
        <v>0</v>
      </c>
      <c r="VWC391" s="160">
        <v>0</v>
      </c>
      <c r="VWD391" s="160">
        <v>0</v>
      </c>
      <c r="VWE391" s="160">
        <v>0</v>
      </c>
      <c r="VWF391" s="160">
        <v>0</v>
      </c>
      <c r="VWG391" s="160">
        <v>0</v>
      </c>
      <c r="VWH391" s="160">
        <v>0</v>
      </c>
      <c r="VWI391" s="160">
        <v>0</v>
      </c>
      <c r="VWJ391" s="160">
        <v>0</v>
      </c>
      <c r="VWK391" s="160">
        <v>0</v>
      </c>
      <c r="VWL391" s="160">
        <v>0</v>
      </c>
      <c r="VWM391" s="160">
        <v>0</v>
      </c>
      <c r="VWN391" s="160">
        <v>0</v>
      </c>
      <c r="VWO391" s="160">
        <v>0</v>
      </c>
      <c r="VWP391" s="160">
        <v>0</v>
      </c>
      <c r="VWQ391" s="160">
        <v>0</v>
      </c>
      <c r="VWR391" s="160">
        <v>0</v>
      </c>
      <c r="VWS391" s="160">
        <v>0</v>
      </c>
      <c r="VWT391" s="160">
        <v>0</v>
      </c>
      <c r="VWU391" s="160">
        <v>0</v>
      </c>
      <c r="VWV391" s="160">
        <v>0</v>
      </c>
      <c r="VWW391" s="160">
        <v>0</v>
      </c>
      <c r="VWX391" s="160">
        <v>0</v>
      </c>
      <c r="VWY391" s="160">
        <v>0</v>
      </c>
      <c r="VWZ391" s="160">
        <v>0</v>
      </c>
      <c r="VXA391" s="160">
        <v>0</v>
      </c>
      <c r="VXB391" s="160">
        <v>0</v>
      </c>
      <c r="VXC391" s="160">
        <v>0</v>
      </c>
      <c r="VXD391" s="160">
        <v>0</v>
      </c>
      <c r="VXE391" s="160">
        <v>0</v>
      </c>
      <c r="VXF391" s="160">
        <v>0</v>
      </c>
      <c r="VXG391" s="160">
        <v>0</v>
      </c>
      <c r="VXH391" s="160">
        <v>0</v>
      </c>
      <c r="VXI391" s="160">
        <v>0</v>
      </c>
      <c r="VXJ391" s="160">
        <v>0</v>
      </c>
      <c r="VXK391" s="160">
        <v>0</v>
      </c>
      <c r="VXL391" s="160">
        <v>0</v>
      </c>
      <c r="VXM391" s="160">
        <v>0</v>
      </c>
      <c r="VXN391" s="160">
        <v>0</v>
      </c>
      <c r="VXO391" s="160">
        <v>0</v>
      </c>
      <c r="VXP391" s="160">
        <v>0</v>
      </c>
      <c r="VXQ391" s="160">
        <v>0</v>
      </c>
      <c r="VXR391" s="160">
        <v>0</v>
      </c>
      <c r="VXS391" s="160">
        <v>0</v>
      </c>
      <c r="VXT391" s="160">
        <v>0</v>
      </c>
      <c r="VXU391" s="160">
        <v>0</v>
      </c>
      <c r="VXV391" s="160">
        <v>0</v>
      </c>
      <c r="VXW391" s="160">
        <v>0</v>
      </c>
      <c r="VXX391" s="160">
        <v>0</v>
      </c>
      <c r="VXY391" s="160">
        <v>0</v>
      </c>
      <c r="VXZ391" s="160">
        <v>0</v>
      </c>
      <c r="VYA391" s="160">
        <v>0</v>
      </c>
      <c r="VYB391" s="160">
        <v>0</v>
      </c>
      <c r="VYC391" s="160">
        <v>0</v>
      </c>
      <c r="VYD391" s="160">
        <v>0</v>
      </c>
      <c r="VYE391" s="160">
        <v>0</v>
      </c>
      <c r="VYF391" s="160">
        <v>0</v>
      </c>
      <c r="VYG391" s="160">
        <v>0</v>
      </c>
      <c r="VYH391" s="160">
        <v>0</v>
      </c>
      <c r="VYI391" s="160">
        <v>0</v>
      </c>
      <c r="VYJ391" s="160">
        <v>0</v>
      </c>
      <c r="VYK391" s="160">
        <v>0</v>
      </c>
      <c r="VYL391" s="160">
        <v>0</v>
      </c>
      <c r="VYM391" s="160">
        <v>0</v>
      </c>
      <c r="VYN391" s="160">
        <v>0</v>
      </c>
      <c r="VYO391" s="160">
        <v>0</v>
      </c>
      <c r="VYP391" s="160">
        <v>0</v>
      </c>
      <c r="VYQ391" s="160">
        <v>0</v>
      </c>
      <c r="VYR391" s="160">
        <v>0</v>
      </c>
      <c r="VYS391" s="160">
        <v>0</v>
      </c>
      <c r="VYT391" s="160">
        <v>0</v>
      </c>
      <c r="VYU391" s="160">
        <v>0</v>
      </c>
      <c r="VYV391" s="160">
        <v>0</v>
      </c>
      <c r="VYW391" s="160">
        <v>0</v>
      </c>
      <c r="VYX391" s="160">
        <v>0</v>
      </c>
      <c r="VYY391" s="160">
        <v>0</v>
      </c>
      <c r="VYZ391" s="160">
        <v>0</v>
      </c>
      <c r="VZA391" s="160">
        <v>0</v>
      </c>
      <c r="VZB391" s="160">
        <v>0</v>
      </c>
      <c r="VZC391" s="160">
        <v>0</v>
      </c>
      <c r="VZD391" s="160">
        <v>0</v>
      </c>
      <c r="VZE391" s="160">
        <v>0</v>
      </c>
      <c r="VZF391" s="160">
        <v>0</v>
      </c>
      <c r="VZG391" s="160">
        <v>0</v>
      </c>
      <c r="VZH391" s="160">
        <v>0</v>
      </c>
      <c r="VZI391" s="160">
        <v>0</v>
      </c>
      <c r="VZJ391" s="160">
        <v>0</v>
      </c>
      <c r="VZK391" s="160">
        <v>0</v>
      </c>
      <c r="VZL391" s="160">
        <v>0</v>
      </c>
      <c r="VZM391" s="160">
        <v>0</v>
      </c>
      <c r="VZN391" s="160">
        <v>0</v>
      </c>
      <c r="VZO391" s="160">
        <v>0</v>
      </c>
      <c r="VZP391" s="160">
        <v>0</v>
      </c>
      <c r="VZQ391" s="160">
        <v>0</v>
      </c>
      <c r="VZR391" s="160">
        <v>0</v>
      </c>
      <c r="VZS391" s="160">
        <v>0</v>
      </c>
      <c r="VZT391" s="160">
        <v>0</v>
      </c>
      <c r="VZU391" s="160">
        <v>0</v>
      </c>
      <c r="VZV391" s="160">
        <v>0</v>
      </c>
      <c r="VZW391" s="160">
        <v>0</v>
      </c>
      <c r="VZX391" s="160">
        <v>0</v>
      </c>
      <c r="VZY391" s="160">
        <v>0</v>
      </c>
      <c r="VZZ391" s="160">
        <v>0</v>
      </c>
      <c r="WAA391" s="160">
        <v>0</v>
      </c>
      <c r="WAB391" s="160">
        <v>0</v>
      </c>
      <c r="WAC391" s="160">
        <v>0</v>
      </c>
      <c r="WAD391" s="160">
        <v>0</v>
      </c>
      <c r="WAE391" s="160">
        <v>0</v>
      </c>
      <c r="WAF391" s="160">
        <v>0</v>
      </c>
      <c r="WAG391" s="160">
        <v>0</v>
      </c>
      <c r="WAH391" s="160">
        <v>0</v>
      </c>
      <c r="WAI391" s="160">
        <v>0</v>
      </c>
      <c r="WAJ391" s="160">
        <v>0</v>
      </c>
      <c r="WAK391" s="160">
        <v>0</v>
      </c>
      <c r="WAL391" s="160">
        <v>0</v>
      </c>
      <c r="WAM391" s="160">
        <v>0</v>
      </c>
      <c r="WAN391" s="160">
        <v>0</v>
      </c>
      <c r="WAO391" s="160">
        <v>0</v>
      </c>
      <c r="WAP391" s="160">
        <v>0</v>
      </c>
      <c r="WAQ391" s="160">
        <v>0</v>
      </c>
      <c r="WAR391" s="160">
        <v>0</v>
      </c>
      <c r="WAS391" s="160">
        <v>0</v>
      </c>
      <c r="WAT391" s="160">
        <v>0</v>
      </c>
      <c r="WAU391" s="160">
        <v>0</v>
      </c>
      <c r="WAV391" s="160">
        <v>0</v>
      </c>
      <c r="WAW391" s="160">
        <v>0</v>
      </c>
      <c r="WAX391" s="160">
        <v>0</v>
      </c>
      <c r="WAY391" s="160">
        <v>0</v>
      </c>
      <c r="WAZ391" s="160">
        <v>0</v>
      </c>
      <c r="WBA391" s="160">
        <v>0</v>
      </c>
      <c r="WBB391" s="160">
        <v>0</v>
      </c>
      <c r="WBC391" s="160">
        <v>0</v>
      </c>
      <c r="WBD391" s="160">
        <v>0</v>
      </c>
      <c r="WBE391" s="160">
        <v>0</v>
      </c>
      <c r="WBF391" s="160">
        <v>0</v>
      </c>
      <c r="WBG391" s="160">
        <v>0</v>
      </c>
      <c r="WBH391" s="160">
        <v>0</v>
      </c>
      <c r="WBI391" s="160">
        <v>0</v>
      </c>
      <c r="WBJ391" s="160">
        <v>0</v>
      </c>
      <c r="WBK391" s="160">
        <v>0</v>
      </c>
      <c r="WBL391" s="160">
        <v>0</v>
      </c>
      <c r="WBM391" s="160">
        <v>0</v>
      </c>
      <c r="WBN391" s="160">
        <v>0</v>
      </c>
      <c r="WBO391" s="160">
        <v>0</v>
      </c>
      <c r="WBP391" s="160">
        <v>0</v>
      </c>
      <c r="WBQ391" s="160">
        <v>0</v>
      </c>
      <c r="WBR391" s="160">
        <v>0</v>
      </c>
      <c r="WBS391" s="160">
        <v>0</v>
      </c>
      <c r="WBT391" s="160">
        <v>0</v>
      </c>
      <c r="WBU391" s="160">
        <v>0</v>
      </c>
      <c r="WBV391" s="160">
        <v>0</v>
      </c>
      <c r="WBW391" s="160">
        <v>0</v>
      </c>
      <c r="WBX391" s="160">
        <v>0</v>
      </c>
      <c r="WBY391" s="160">
        <v>0</v>
      </c>
      <c r="WBZ391" s="160">
        <v>0</v>
      </c>
      <c r="WCA391" s="160">
        <v>0</v>
      </c>
      <c r="WCB391" s="160">
        <v>0</v>
      </c>
      <c r="WCC391" s="160">
        <v>0</v>
      </c>
      <c r="WCD391" s="160">
        <v>0</v>
      </c>
      <c r="WCE391" s="160">
        <v>0</v>
      </c>
      <c r="WCF391" s="160">
        <v>0</v>
      </c>
      <c r="WCG391" s="160">
        <v>0</v>
      </c>
      <c r="WCH391" s="160">
        <v>0</v>
      </c>
      <c r="WCI391" s="160">
        <v>0</v>
      </c>
      <c r="WCJ391" s="160">
        <v>0</v>
      </c>
      <c r="WCK391" s="160">
        <v>0</v>
      </c>
      <c r="WCL391" s="160">
        <v>0</v>
      </c>
      <c r="WCM391" s="160">
        <v>0</v>
      </c>
      <c r="WCN391" s="160">
        <v>0</v>
      </c>
      <c r="WCO391" s="160">
        <v>0</v>
      </c>
      <c r="WCP391" s="160">
        <v>0</v>
      </c>
      <c r="WCQ391" s="160">
        <v>0</v>
      </c>
      <c r="WCR391" s="160">
        <v>0</v>
      </c>
      <c r="WCS391" s="160">
        <v>0</v>
      </c>
      <c r="WCT391" s="160">
        <v>0</v>
      </c>
      <c r="WCU391" s="160">
        <v>0</v>
      </c>
      <c r="WCV391" s="160">
        <v>0</v>
      </c>
      <c r="WCW391" s="160">
        <v>0</v>
      </c>
      <c r="WCX391" s="160">
        <v>0</v>
      </c>
      <c r="WCY391" s="160">
        <v>0</v>
      </c>
      <c r="WCZ391" s="160">
        <v>0</v>
      </c>
      <c r="WDA391" s="160">
        <v>0</v>
      </c>
      <c r="WDB391" s="160">
        <v>0</v>
      </c>
      <c r="WDC391" s="160">
        <v>0</v>
      </c>
      <c r="WDD391" s="160">
        <v>0</v>
      </c>
      <c r="WDE391" s="160">
        <v>0</v>
      </c>
      <c r="WDF391" s="160">
        <v>0</v>
      </c>
      <c r="WDG391" s="160">
        <v>0</v>
      </c>
      <c r="WDH391" s="160">
        <v>0</v>
      </c>
      <c r="WDI391" s="160">
        <v>0</v>
      </c>
      <c r="WDJ391" s="160">
        <v>0</v>
      </c>
      <c r="WDK391" s="160">
        <v>0</v>
      </c>
      <c r="WDL391" s="160">
        <v>0</v>
      </c>
      <c r="WDM391" s="160">
        <v>0</v>
      </c>
      <c r="WDN391" s="160">
        <v>0</v>
      </c>
      <c r="WDO391" s="160">
        <v>0</v>
      </c>
      <c r="WDP391" s="160">
        <v>0</v>
      </c>
      <c r="WDQ391" s="160">
        <v>0</v>
      </c>
      <c r="WDR391" s="160">
        <v>0</v>
      </c>
      <c r="WDS391" s="160">
        <v>0</v>
      </c>
      <c r="WDT391" s="160">
        <v>0</v>
      </c>
      <c r="WDU391" s="160">
        <v>0</v>
      </c>
      <c r="WDV391" s="160">
        <v>0</v>
      </c>
      <c r="WDW391" s="160">
        <v>0</v>
      </c>
      <c r="WDX391" s="160">
        <v>0</v>
      </c>
      <c r="WDY391" s="160">
        <v>0</v>
      </c>
      <c r="WDZ391" s="160">
        <v>0</v>
      </c>
      <c r="WEA391" s="160">
        <v>0</v>
      </c>
      <c r="WEB391" s="160">
        <v>0</v>
      </c>
      <c r="WEC391" s="160">
        <v>0</v>
      </c>
      <c r="WED391" s="160">
        <v>0</v>
      </c>
      <c r="WEE391" s="160">
        <v>0</v>
      </c>
      <c r="WEF391" s="160">
        <v>0</v>
      </c>
      <c r="WEG391" s="160">
        <v>0</v>
      </c>
      <c r="WEH391" s="160">
        <v>0</v>
      </c>
      <c r="WEI391" s="160">
        <v>0</v>
      </c>
      <c r="WEJ391" s="160">
        <v>0</v>
      </c>
      <c r="WEK391" s="160">
        <v>0</v>
      </c>
      <c r="WEL391" s="160">
        <v>0</v>
      </c>
      <c r="WEM391" s="160">
        <v>0</v>
      </c>
      <c r="WEN391" s="160">
        <v>0</v>
      </c>
      <c r="WEO391" s="160">
        <v>0</v>
      </c>
      <c r="WEP391" s="160">
        <v>0</v>
      </c>
      <c r="WEQ391" s="160">
        <v>0</v>
      </c>
      <c r="WER391" s="160">
        <v>0</v>
      </c>
      <c r="WES391" s="160">
        <v>0</v>
      </c>
      <c r="WET391" s="160">
        <v>0</v>
      </c>
      <c r="WEU391" s="160">
        <v>0</v>
      </c>
      <c r="WEV391" s="160">
        <v>0</v>
      </c>
      <c r="WEW391" s="160">
        <v>0</v>
      </c>
      <c r="WEX391" s="160">
        <v>0</v>
      </c>
      <c r="WEY391" s="160">
        <v>0</v>
      </c>
      <c r="WEZ391" s="160">
        <v>0</v>
      </c>
      <c r="WFA391" s="160">
        <v>0</v>
      </c>
      <c r="WFB391" s="160">
        <v>0</v>
      </c>
      <c r="WFC391" s="160">
        <v>0</v>
      </c>
      <c r="WFD391" s="160">
        <v>0</v>
      </c>
      <c r="WFE391" s="160">
        <v>0</v>
      </c>
      <c r="WFF391" s="160">
        <v>0</v>
      </c>
      <c r="WFG391" s="160">
        <v>0</v>
      </c>
      <c r="WFH391" s="160">
        <v>0</v>
      </c>
      <c r="WFI391" s="160">
        <v>0</v>
      </c>
      <c r="WFJ391" s="160">
        <v>0</v>
      </c>
      <c r="WFK391" s="160">
        <v>0</v>
      </c>
      <c r="WFL391" s="160">
        <v>0</v>
      </c>
      <c r="WFM391" s="160">
        <v>0</v>
      </c>
      <c r="WFN391" s="160">
        <v>0</v>
      </c>
      <c r="WFO391" s="160">
        <v>0</v>
      </c>
      <c r="WFP391" s="160">
        <v>0</v>
      </c>
      <c r="WFQ391" s="160">
        <v>0</v>
      </c>
      <c r="WFR391" s="160">
        <v>0</v>
      </c>
      <c r="WFS391" s="160">
        <v>0</v>
      </c>
      <c r="WFT391" s="160">
        <v>0</v>
      </c>
      <c r="WFU391" s="160">
        <v>0</v>
      </c>
      <c r="WFV391" s="160">
        <v>0</v>
      </c>
      <c r="WFW391" s="160">
        <v>0</v>
      </c>
      <c r="WFX391" s="160">
        <v>0</v>
      </c>
      <c r="WFY391" s="160">
        <v>0</v>
      </c>
      <c r="WFZ391" s="160">
        <v>0</v>
      </c>
      <c r="WGA391" s="160">
        <v>0</v>
      </c>
      <c r="WGB391" s="160">
        <v>0</v>
      </c>
      <c r="WGC391" s="160">
        <v>0</v>
      </c>
      <c r="WGD391" s="160">
        <v>0</v>
      </c>
      <c r="WGE391" s="160">
        <v>0</v>
      </c>
      <c r="WGF391" s="160">
        <v>0</v>
      </c>
      <c r="WGG391" s="160">
        <v>0</v>
      </c>
      <c r="WGH391" s="160">
        <v>0</v>
      </c>
      <c r="WGI391" s="160">
        <v>0</v>
      </c>
      <c r="WGJ391" s="160">
        <v>0</v>
      </c>
      <c r="WGK391" s="160">
        <v>0</v>
      </c>
      <c r="WGL391" s="160">
        <v>0</v>
      </c>
      <c r="WGM391" s="160">
        <v>0</v>
      </c>
      <c r="WGN391" s="160">
        <v>0</v>
      </c>
      <c r="WGO391" s="160">
        <v>0</v>
      </c>
      <c r="WGP391" s="160">
        <v>0</v>
      </c>
      <c r="WGQ391" s="160">
        <v>0</v>
      </c>
      <c r="WGR391" s="160">
        <v>0</v>
      </c>
      <c r="WGS391" s="160">
        <v>0</v>
      </c>
      <c r="WGT391" s="160">
        <v>0</v>
      </c>
      <c r="WGU391" s="160">
        <v>0</v>
      </c>
      <c r="WGV391" s="160">
        <v>0</v>
      </c>
      <c r="WGW391" s="160">
        <v>0</v>
      </c>
      <c r="WGX391" s="160">
        <v>0</v>
      </c>
      <c r="WGY391" s="160">
        <v>0</v>
      </c>
      <c r="WGZ391" s="160">
        <v>0</v>
      </c>
      <c r="WHA391" s="160">
        <v>0</v>
      </c>
      <c r="WHB391" s="160">
        <v>0</v>
      </c>
      <c r="WHC391" s="160">
        <v>0</v>
      </c>
      <c r="WHD391" s="160">
        <v>0</v>
      </c>
      <c r="WHE391" s="160">
        <v>0</v>
      </c>
      <c r="WHF391" s="160">
        <v>0</v>
      </c>
      <c r="WHG391" s="160">
        <v>0</v>
      </c>
      <c r="WHH391" s="160">
        <v>0</v>
      </c>
      <c r="WHI391" s="160">
        <v>0</v>
      </c>
      <c r="WHJ391" s="160">
        <v>0</v>
      </c>
      <c r="WHK391" s="160">
        <v>0</v>
      </c>
      <c r="WHL391" s="160">
        <v>0</v>
      </c>
      <c r="WHM391" s="160">
        <v>0</v>
      </c>
      <c r="WHN391" s="160">
        <v>0</v>
      </c>
      <c r="WHO391" s="160">
        <v>0</v>
      </c>
      <c r="WHP391" s="160">
        <v>0</v>
      </c>
      <c r="WHQ391" s="160">
        <v>0</v>
      </c>
      <c r="WHR391" s="160">
        <v>0</v>
      </c>
      <c r="WHS391" s="160">
        <v>0</v>
      </c>
      <c r="WHT391" s="160">
        <v>0</v>
      </c>
      <c r="WHU391" s="160">
        <v>0</v>
      </c>
      <c r="WHV391" s="160">
        <v>0</v>
      </c>
      <c r="WHW391" s="160">
        <v>0</v>
      </c>
      <c r="WHX391" s="160">
        <v>0</v>
      </c>
      <c r="WHY391" s="160">
        <v>0</v>
      </c>
      <c r="WHZ391" s="160">
        <v>0</v>
      </c>
      <c r="WIA391" s="160">
        <v>0</v>
      </c>
      <c r="WIB391" s="160">
        <v>0</v>
      </c>
      <c r="WIC391" s="160">
        <v>0</v>
      </c>
      <c r="WID391" s="160">
        <v>0</v>
      </c>
      <c r="WIE391" s="160">
        <v>0</v>
      </c>
      <c r="WIF391" s="160">
        <v>0</v>
      </c>
      <c r="WIG391" s="160">
        <v>0</v>
      </c>
      <c r="WIH391" s="160">
        <v>0</v>
      </c>
      <c r="WII391" s="160">
        <v>0</v>
      </c>
      <c r="WIJ391" s="160">
        <v>0</v>
      </c>
      <c r="WIK391" s="160">
        <v>0</v>
      </c>
      <c r="WIL391" s="160">
        <v>0</v>
      </c>
      <c r="WIM391" s="160">
        <v>0</v>
      </c>
      <c r="WIN391" s="160">
        <v>0</v>
      </c>
      <c r="WIO391" s="160">
        <v>0</v>
      </c>
      <c r="WIP391" s="160">
        <v>0</v>
      </c>
      <c r="WIQ391" s="160">
        <v>0</v>
      </c>
      <c r="WIR391" s="160">
        <v>0</v>
      </c>
      <c r="WIS391" s="160">
        <v>0</v>
      </c>
      <c r="WIT391" s="160">
        <v>0</v>
      </c>
      <c r="WIU391" s="160">
        <v>0</v>
      </c>
      <c r="WIV391" s="160">
        <v>0</v>
      </c>
      <c r="WIW391" s="160">
        <v>0</v>
      </c>
      <c r="WIX391" s="160">
        <v>0</v>
      </c>
      <c r="WIY391" s="160">
        <v>0</v>
      </c>
      <c r="WIZ391" s="160">
        <v>0</v>
      </c>
      <c r="WJA391" s="160">
        <v>0</v>
      </c>
      <c r="WJB391" s="160">
        <v>0</v>
      </c>
      <c r="WJC391" s="160">
        <v>0</v>
      </c>
      <c r="WJD391" s="160">
        <v>0</v>
      </c>
      <c r="WJE391" s="160">
        <v>0</v>
      </c>
      <c r="WJF391" s="160">
        <v>0</v>
      </c>
      <c r="WJG391" s="160">
        <v>0</v>
      </c>
      <c r="WJH391" s="160">
        <v>0</v>
      </c>
      <c r="WJI391" s="160">
        <v>0</v>
      </c>
      <c r="WJJ391" s="160">
        <v>0</v>
      </c>
      <c r="WJK391" s="160">
        <v>0</v>
      </c>
      <c r="WJL391" s="160">
        <v>0</v>
      </c>
      <c r="WJM391" s="160">
        <v>0</v>
      </c>
      <c r="WJN391" s="160">
        <v>0</v>
      </c>
      <c r="WJO391" s="160">
        <v>0</v>
      </c>
      <c r="WJP391" s="160">
        <v>0</v>
      </c>
      <c r="WJQ391" s="160">
        <v>0</v>
      </c>
      <c r="WJR391" s="160">
        <v>0</v>
      </c>
      <c r="WJS391" s="160">
        <v>0</v>
      </c>
      <c r="WJT391" s="160">
        <v>0</v>
      </c>
      <c r="WJU391" s="160">
        <v>0</v>
      </c>
      <c r="WJV391" s="160">
        <v>0</v>
      </c>
      <c r="WJW391" s="160">
        <v>0</v>
      </c>
      <c r="WJX391" s="160">
        <v>0</v>
      </c>
      <c r="WJY391" s="160">
        <v>0</v>
      </c>
      <c r="WJZ391" s="160">
        <v>0</v>
      </c>
      <c r="WKA391" s="160">
        <v>0</v>
      </c>
      <c r="WKB391" s="160">
        <v>0</v>
      </c>
      <c r="WKC391" s="160">
        <v>0</v>
      </c>
      <c r="WKD391" s="160">
        <v>0</v>
      </c>
      <c r="WKE391" s="160">
        <v>0</v>
      </c>
      <c r="WKF391" s="160">
        <v>0</v>
      </c>
      <c r="WKG391" s="160">
        <v>0</v>
      </c>
      <c r="WKH391" s="160">
        <v>0</v>
      </c>
      <c r="WKI391" s="160">
        <v>0</v>
      </c>
      <c r="WKJ391" s="160">
        <v>0</v>
      </c>
      <c r="WKK391" s="160">
        <v>0</v>
      </c>
      <c r="WKL391" s="160">
        <v>0</v>
      </c>
      <c r="WKM391" s="160">
        <v>0</v>
      </c>
      <c r="WKN391" s="160">
        <v>0</v>
      </c>
      <c r="WKO391" s="160">
        <v>0</v>
      </c>
      <c r="WKP391" s="160">
        <v>0</v>
      </c>
      <c r="WKQ391" s="160">
        <v>0</v>
      </c>
      <c r="WKR391" s="160">
        <v>0</v>
      </c>
      <c r="WKS391" s="160">
        <v>0</v>
      </c>
      <c r="WKT391" s="160">
        <v>0</v>
      </c>
      <c r="WKU391" s="160">
        <v>0</v>
      </c>
      <c r="WKV391" s="160">
        <v>0</v>
      </c>
      <c r="WKW391" s="160">
        <v>0</v>
      </c>
      <c r="WKX391" s="160">
        <v>0</v>
      </c>
      <c r="WKY391" s="160">
        <v>0</v>
      </c>
      <c r="WKZ391" s="160">
        <v>0</v>
      </c>
      <c r="WLA391" s="160">
        <v>0</v>
      </c>
      <c r="WLB391" s="160">
        <v>0</v>
      </c>
      <c r="WLC391" s="160">
        <v>0</v>
      </c>
      <c r="WLD391" s="160">
        <v>0</v>
      </c>
      <c r="WLE391" s="160">
        <v>0</v>
      </c>
      <c r="WLF391" s="160">
        <v>0</v>
      </c>
      <c r="WLG391" s="160">
        <v>0</v>
      </c>
      <c r="WLH391" s="160">
        <v>0</v>
      </c>
      <c r="WLI391" s="160">
        <v>0</v>
      </c>
      <c r="WLJ391" s="160">
        <v>0</v>
      </c>
      <c r="WLK391" s="160">
        <v>0</v>
      </c>
      <c r="WLL391" s="160">
        <v>0</v>
      </c>
      <c r="WLM391" s="160">
        <v>0</v>
      </c>
      <c r="WLN391" s="160">
        <v>0</v>
      </c>
      <c r="WLO391" s="160">
        <v>0</v>
      </c>
      <c r="WLP391" s="160">
        <v>0</v>
      </c>
      <c r="WLQ391" s="160">
        <v>0</v>
      </c>
      <c r="WLR391" s="160">
        <v>0</v>
      </c>
      <c r="WLS391" s="160">
        <v>0</v>
      </c>
      <c r="WLT391" s="160">
        <v>0</v>
      </c>
      <c r="WLU391" s="160">
        <v>0</v>
      </c>
      <c r="WLV391" s="160">
        <v>0</v>
      </c>
      <c r="WLW391" s="160">
        <v>0</v>
      </c>
      <c r="WLX391" s="160">
        <v>0</v>
      </c>
      <c r="WLY391" s="160">
        <v>0</v>
      </c>
      <c r="WLZ391" s="160">
        <v>0</v>
      </c>
      <c r="WMA391" s="160">
        <v>0</v>
      </c>
      <c r="WMB391" s="160">
        <v>0</v>
      </c>
      <c r="WMC391" s="160">
        <v>0</v>
      </c>
      <c r="WMD391" s="160">
        <v>0</v>
      </c>
      <c r="WME391" s="160">
        <v>0</v>
      </c>
      <c r="WMF391" s="160">
        <v>0</v>
      </c>
      <c r="WMG391" s="160">
        <v>0</v>
      </c>
      <c r="WMH391" s="160">
        <v>0</v>
      </c>
      <c r="WMI391" s="160">
        <v>0</v>
      </c>
      <c r="WMJ391" s="160">
        <v>0</v>
      </c>
      <c r="WMK391" s="160">
        <v>0</v>
      </c>
      <c r="WML391" s="160">
        <v>0</v>
      </c>
      <c r="WMM391" s="160">
        <v>0</v>
      </c>
      <c r="WMN391" s="160">
        <v>0</v>
      </c>
      <c r="WMO391" s="160">
        <v>0</v>
      </c>
      <c r="WMP391" s="160">
        <v>0</v>
      </c>
      <c r="WMQ391" s="160">
        <v>0</v>
      </c>
      <c r="WMR391" s="160">
        <v>0</v>
      </c>
      <c r="WMS391" s="160">
        <v>0</v>
      </c>
      <c r="WMT391" s="160">
        <v>0</v>
      </c>
      <c r="WMU391" s="160">
        <v>0</v>
      </c>
      <c r="WMV391" s="160">
        <v>0</v>
      </c>
      <c r="WMW391" s="160">
        <v>0</v>
      </c>
      <c r="WMX391" s="160">
        <v>0</v>
      </c>
      <c r="WMY391" s="160">
        <v>0</v>
      </c>
      <c r="WMZ391" s="160">
        <v>0</v>
      </c>
      <c r="WNA391" s="160">
        <v>0</v>
      </c>
      <c r="WNB391" s="160">
        <v>0</v>
      </c>
      <c r="WNC391" s="160">
        <v>0</v>
      </c>
      <c r="WND391" s="160">
        <v>0</v>
      </c>
      <c r="WNE391" s="160">
        <v>0</v>
      </c>
      <c r="WNF391" s="160">
        <v>0</v>
      </c>
      <c r="WNG391" s="160">
        <v>0</v>
      </c>
      <c r="WNH391" s="160">
        <v>0</v>
      </c>
      <c r="WNI391" s="160">
        <v>0</v>
      </c>
      <c r="WNJ391" s="160">
        <v>0</v>
      </c>
      <c r="WNK391" s="160">
        <v>0</v>
      </c>
      <c r="WNL391" s="160">
        <v>0</v>
      </c>
      <c r="WNM391" s="160">
        <v>0</v>
      </c>
      <c r="WNN391" s="160">
        <v>0</v>
      </c>
      <c r="WNO391" s="160">
        <v>0</v>
      </c>
      <c r="WNP391" s="160">
        <v>0</v>
      </c>
      <c r="WNQ391" s="160">
        <v>0</v>
      </c>
      <c r="WNR391" s="160">
        <v>0</v>
      </c>
      <c r="WNS391" s="160">
        <v>0</v>
      </c>
      <c r="WNT391" s="160">
        <v>0</v>
      </c>
      <c r="WNU391" s="160">
        <v>0</v>
      </c>
      <c r="WNV391" s="160">
        <v>0</v>
      </c>
      <c r="WNW391" s="160">
        <v>0</v>
      </c>
      <c r="WNX391" s="160">
        <v>0</v>
      </c>
      <c r="WNY391" s="160">
        <v>0</v>
      </c>
      <c r="WNZ391" s="160">
        <v>0</v>
      </c>
      <c r="WOA391" s="160">
        <v>0</v>
      </c>
      <c r="WOB391" s="160">
        <v>0</v>
      </c>
      <c r="WOC391" s="160">
        <v>0</v>
      </c>
      <c r="WOD391" s="160">
        <v>0</v>
      </c>
      <c r="WOE391" s="160">
        <v>0</v>
      </c>
      <c r="WOF391" s="160">
        <v>0</v>
      </c>
      <c r="WOG391" s="160">
        <v>0</v>
      </c>
      <c r="WOH391" s="160">
        <v>0</v>
      </c>
      <c r="WOI391" s="160">
        <v>0</v>
      </c>
      <c r="WOJ391" s="160">
        <v>0</v>
      </c>
      <c r="WOK391" s="160">
        <v>0</v>
      </c>
      <c r="WOL391" s="160">
        <v>0</v>
      </c>
      <c r="WOM391" s="160">
        <v>0</v>
      </c>
      <c r="WON391" s="160">
        <v>0</v>
      </c>
      <c r="WOO391" s="160">
        <v>0</v>
      </c>
      <c r="WOP391" s="160">
        <v>0</v>
      </c>
      <c r="WOQ391" s="160">
        <v>0</v>
      </c>
      <c r="WOR391" s="160">
        <v>0</v>
      </c>
      <c r="WOS391" s="160">
        <v>0</v>
      </c>
      <c r="WOT391" s="160">
        <v>0</v>
      </c>
      <c r="WOU391" s="160">
        <v>0</v>
      </c>
      <c r="WOV391" s="160">
        <v>0</v>
      </c>
      <c r="WOW391" s="160">
        <v>0</v>
      </c>
      <c r="WOX391" s="160">
        <v>0</v>
      </c>
      <c r="WOY391" s="160">
        <v>0</v>
      </c>
      <c r="WOZ391" s="160">
        <v>0</v>
      </c>
      <c r="WPA391" s="160">
        <v>0</v>
      </c>
      <c r="WPB391" s="160">
        <v>0</v>
      </c>
      <c r="WPC391" s="160">
        <v>0</v>
      </c>
      <c r="WPD391" s="160">
        <v>0</v>
      </c>
      <c r="WPE391" s="160">
        <v>0</v>
      </c>
      <c r="WPF391" s="160">
        <v>0</v>
      </c>
      <c r="WPG391" s="160">
        <v>0</v>
      </c>
      <c r="WPH391" s="160">
        <v>0</v>
      </c>
      <c r="WPI391" s="160">
        <v>0</v>
      </c>
      <c r="WPJ391" s="160">
        <v>0</v>
      </c>
      <c r="WPK391" s="160">
        <v>0</v>
      </c>
      <c r="WPL391" s="160">
        <v>0</v>
      </c>
      <c r="WPM391" s="160">
        <v>0</v>
      </c>
      <c r="WPN391" s="160">
        <v>0</v>
      </c>
      <c r="WPO391" s="160">
        <v>0</v>
      </c>
      <c r="WPP391" s="160">
        <v>0</v>
      </c>
      <c r="WPQ391" s="160">
        <v>0</v>
      </c>
      <c r="WPR391" s="160">
        <v>0</v>
      </c>
      <c r="WPS391" s="160">
        <v>0</v>
      </c>
      <c r="WPT391" s="160">
        <v>0</v>
      </c>
      <c r="WPU391" s="160">
        <v>0</v>
      </c>
      <c r="WPV391" s="160">
        <v>0</v>
      </c>
      <c r="WPW391" s="160">
        <v>0</v>
      </c>
      <c r="WPX391" s="160">
        <v>0</v>
      </c>
      <c r="WPY391" s="160">
        <v>0</v>
      </c>
      <c r="WPZ391" s="160">
        <v>0</v>
      </c>
      <c r="WQA391" s="160">
        <v>0</v>
      </c>
      <c r="WQB391" s="160">
        <v>0</v>
      </c>
      <c r="WQC391" s="160">
        <v>0</v>
      </c>
      <c r="WQD391" s="160">
        <v>0</v>
      </c>
      <c r="WQE391" s="160">
        <v>0</v>
      </c>
      <c r="WQF391" s="160">
        <v>0</v>
      </c>
      <c r="WQG391" s="160">
        <v>0</v>
      </c>
      <c r="WQH391" s="160">
        <v>0</v>
      </c>
      <c r="WQI391" s="160">
        <v>0</v>
      </c>
      <c r="WQJ391" s="160">
        <v>0</v>
      </c>
      <c r="WQK391" s="160">
        <v>0</v>
      </c>
      <c r="WQL391" s="160">
        <v>0</v>
      </c>
      <c r="WQM391" s="160">
        <v>0</v>
      </c>
      <c r="WQN391" s="160">
        <v>0</v>
      </c>
      <c r="WQO391" s="160">
        <v>0</v>
      </c>
      <c r="WQP391" s="160">
        <v>0</v>
      </c>
      <c r="WQQ391" s="160">
        <v>0</v>
      </c>
      <c r="WQR391" s="160">
        <v>0</v>
      </c>
      <c r="WQS391" s="160">
        <v>0</v>
      </c>
      <c r="WQT391" s="160">
        <v>0</v>
      </c>
      <c r="WQU391" s="160">
        <v>0</v>
      </c>
      <c r="WQV391" s="160">
        <v>0</v>
      </c>
      <c r="WQW391" s="160">
        <v>0</v>
      </c>
      <c r="WQX391" s="160">
        <v>0</v>
      </c>
      <c r="WQY391" s="160">
        <v>0</v>
      </c>
      <c r="WQZ391" s="160">
        <v>0</v>
      </c>
      <c r="WRA391" s="160">
        <v>0</v>
      </c>
      <c r="WRB391" s="160">
        <v>0</v>
      </c>
      <c r="WRC391" s="160">
        <v>0</v>
      </c>
      <c r="WRD391" s="160">
        <v>0</v>
      </c>
      <c r="WRE391" s="160">
        <v>0</v>
      </c>
      <c r="WRF391" s="160">
        <v>0</v>
      </c>
      <c r="WRG391" s="160">
        <v>0</v>
      </c>
      <c r="WRH391" s="160">
        <v>0</v>
      </c>
      <c r="WRI391" s="160">
        <v>0</v>
      </c>
      <c r="WRJ391" s="160">
        <v>0</v>
      </c>
      <c r="WRK391" s="160">
        <v>0</v>
      </c>
      <c r="WRL391" s="160">
        <v>0</v>
      </c>
      <c r="WRM391" s="160">
        <v>0</v>
      </c>
      <c r="WRN391" s="160">
        <v>0</v>
      </c>
      <c r="WRO391" s="160">
        <v>0</v>
      </c>
      <c r="WRP391" s="160">
        <v>0</v>
      </c>
      <c r="WRQ391" s="160">
        <v>0</v>
      </c>
      <c r="WRR391" s="160">
        <v>0</v>
      </c>
      <c r="WRS391" s="160">
        <v>0</v>
      </c>
      <c r="WRT391" s="160">
        <v>0</v>
      </c>
      <c r="WRU391" s="160">
        <v>0</v>
      </c>
      <c r="WRV391" s="160">
        <v>0</v>
      </c>
      <c r="WRW391" s="160">
        <v>0</v>
      </c>
      <c r="WRX391" s="160">
        <v>0</v>
      </c>
      <c r="WRY391" s="160">
        <v>0</v>
      </c>
      <c r="WRZ391" s="160">
        <v>0</v>
      </c>
      <c r="WSA391" s="160">
        <v>0</v>
      </c>
      <c r="WSB391" s="160">
        <v>0</v>
      </c>
      <c r="WSC391" s="160">
        <v>0</v>
      </c>
      <c r="WSD391" s="160">
        <v>0</v>
      </c>
      <c r="WSE391" s="160">
        <v>0</v>
      </c>
      <c r="WSF391" s="160">
        <v>0</v>
      </c>
      <c r="WSG391" s="160">
        <v>0</v>
      </c>
      <c r="WSH391" s="160">
        <v>0</v>
      </c>
      <c r="WSI391" s="160">
        <v>0</v>
      </c>
      <c r="WSJ391" s="160">
        <v>0</v>
      </c>
      <c r="WSK391" s="160">
        <v>0</v>
      </c>
      <c r="WSL391" s="160">
        <v>0</v>
      </c>
      <c r="WSM391" s="160">
        <v>0</v>
      </c>
      <c r="WSN391" s="160">
        <v>0</v>
      </c>
      <c r="WSO391" s="160">
        <v>0</v>
      </c>
      <c r="WSP391" s="160">
        <v>0</v>
      </c>
      <c r="WSQ391" s="160">
        <v>0</v>
      </c>
      <c r="WSR391" s="160">
        <v>0</v>
      </c>
      <c r="WSS391" s="160">
        <v>0</v>
      </c>
      <c r="WST391" s="160">
        <v>0</v>
      </c>
      <c r="WSU391" s="160">
        <v>0</v>
      </c>
      <c r="WSV391" s="160">
        <v>0</v>
      </c>
      <c r="WSW391" s="160">
        <v>0</v>
      </c>
      <c r="WSX391" s="160">
        <v>0</v>
      </c>
      <c r="WSY391" s="160">
        <v>0</v>
      </c>
      <c r="WSZ391" s="160">
        <v>0</v>
      </c>
      <c r="WTA391" s="160">
        <v>0</v>
      </c>
      <c r="WTB391" s="160">
        <v>0</v>
      </c>
      <c r="WTC391" s="160">
        <v>0</v>
      </c>
      <c r="WTD391" s="160">
        <v>0</v>
      </c>
      <c r="WTE391" s="160">
        <v>0</v>
      </c>
      <c r="WTF391" s="160">
        <v>0</v>
      </c>
      <c r="WTG391" s="160">
        <v>0</v>
      </c>
      <c r="WTH391" s="160">
        <v>0</v>
      </c>
      <c r="WTI391" s="160">
        <v>0</v>
      </c>
      <c r="WTJ391" s="160">
        <v>0</v>
      </c>
      <c r="WTK391" s="160">
        <v>0</v>
      </c>
      <c r="WTL391" s="160">
        <v>0</v>
      </c>
      <c r="WTM391" s="160">
        <v>0</v>
      </c>
      <c r="WTN391" s="160">
        <v>0</v>
      </c>
      <c r="WTO391" s="160">
        <v>0</v>
      </c>
      <c r="WTP391" s="160">
        <v>0</v>
      </c>
      <c r="WTQ391" s="160">
        <v>0</v>
      </c>
      <c r="WTR391" s="160">
        <v>0</v>
      </c>
      <c r="WTS391" s="160">
        <v>0</v>
      </c>
      <c r="WTT391" s="160">
        <v>0</v>
      </c>
      <c r="WTU391" s="160">
        <v>0</v>
      </c>
      <c r="WTV391" s="160">
        <v>0</v>
      </c>
      <c r="WTW391" s="160">
        <v>0</v>
      </c>
      <c r="WTX391" s="160">
        <v>0</v>
      </c>
      <c r="WTY391" s="160">
        <v>0</v>
      </c>
      <c r="WTZ391" s="160">
        <v>0</v>
      </c>
      <c r="WUA391" s="160">
        <v>0</v>
      </c>
      <c r="WUB391" s="160">
        <v>0</v>
      </c>
      <c r="WUC391" s="160">
        <v>0</v>
      </c>
      <c r="WUD391" s="160">
        <v>0</v>
      </c>
      <c r="WUE391" s="160">
        <v>0</v>
      </c>
      <c r="WUF391" s="160">
        <v>0</v>
      </c>
      <c r="WUG391" s="160">
        <v>0</v>
      </c>
      <c r="WUH391" s="160">
        <v>0</v>
      </c>
      <c r="WUI391" s="160">
        <v>0</v>
      </c>
      <c r="WUJ391" s="160">
        <v>0</v>
      </c>
      <c r="WUK391" s="160">
        <v>0</v>
      </c>
      <c r="WUL391" s="160">
        <v>0</v>
      </c>
      <c r="WUM391" s="160">
        <v>0</v>
      </c>
      <c r="WUN391" s="160">
        <v>0</v>
      </c>
      <c r="WUO391" s="160">
        <v>0</v>
      </c>
      <c r="WUP391" s="160">
        <v>0</v>
      </c>
      <c r="WUQ391" s="160">
        <v>0</v>
      </c>
      <c r="WUR391" s="160">
        <v>0</v>
      </c>
      <c r="WUS391" s="160">
        <v>0</v>
      </c>
      <c r="WUT391" s="160">
        <v>0</v>
      </c>
      <c r="WUU391" s="160">
        <v>0</v>
      </c>
      <c r="WUV391" s="160">
        <v>0</v>
      </c>
      <c r="WUW391" s="160">
        <v>0</v>
      </c>
      <c r="WUX391" s="160">
        <v>0</v>
      </c>
      <c r="WUY391" s="160">
        <v>0</v>
      </c>
      <c r="WUZ391" s="160">
        <v>0</v>
      </c>
      <c r="WVA391" s="160">
        <v>0</v>
      </c>
      <c r="WVB391" s="160">
        <v>0</v>
      </c>
      <c r="WVC391" s="160">
        <v>0</v>
      </c>
      <c r="WVD391" s="160">
        <v>0</v>
      </c>
      <c r="WVE391" s="160">
        <v>0</v>
      </c>
      <c r="WVF391" s="160">
        <v>0</v>
      </c>
      <c r="WVG391" s="160">
        <v>0</v>
      </c>
      <c r="WVH391" s="160">
        <v>0</v>
      </c>
      <c r="WVI391" s="160">
        <v>0</v>
      </c>
      <c r="WVJ391" s="160">
        <v>0</v>
      </c>
      <c r="WVK391" s="160">
        <v>0</v>
      </c>
      <c r="WVL391" s="160">
        <v>0</v>
      </c>
      <c r="WVM391" s="160">
        <v>0</v>
      </c>
      <c r="WVN391" s="160">
        <v>0</v>
      </c>
      <c r="WVO391" s="160">
        <v>0</v>
      </c>
      <c r="WVP391" s="160">
        <v>0</v>
      </c>
      <c r="WVQ391" s="160">
        <v>0</v>
      </c>
      <c r="WVR391" s="160">
        <v>0</v>
      </c>
      <c r="WVS391" s="160">
        <v>0</v>
      </c>
      <c r="WVT391" s="160">
        <v>0</v>
      </c>
      <c r="WVU391" s="160">
        <v>0</v>
      </c>
      <c r="WVV391" s="160">
        <v>0</v>
      </c>
      <c r="WVW391" s="160">
        <v>0</v>
      </c>
      <c r="WVX391" s="160">
        <v>0</v>
      </c>
      <c r="WVY391" s="160">
        <v>0</v>
      </c>
      <c r="WVZ391" s="160">
        <v>0</v>
      </c>
      <c r="WWA391" s="160">
        <v>0</v>
      </c>
      <c r="WWB391" s="160">
        <v>0</v>
      </c>
      <c r="WWC391" s="160">
        <v>0</v>
      </c>
      <c r="WWD391" s="160">
        <v>0</v>
      </c>
      <c r="WWE391" s="160">
        <v>0</v>
      </c>
      <c r="WWF391" s="160">
        <v>0</v>
      </c>
      <c r="WWG391" s="160">
        <v>0</v>
      </c>
      <c r="WWH391" s="160">
        <v>0</v>
      </c>
      <c r="WWI391" s="160">
        <v>0</v>
      </c>
      <c r="WWJ391" s="160">
        <v>0</v>
      </c>
      <c r="WWK391" s="160">
        <v>0</v>
      </c>
      <c r="WWL391" s="160">
        <v>0</v>
      </c>
      <c r="WWM391" s="160">
        <v>0</v>
      </c>
      <c r="WWN391" s="160">
        <v>0</v>
      </c>
      <c r="WWO391" s="160">
        <v>0</v>
      </c>
      <c r="WWP391" s="160">
        <v>0</v>
      </c>
      <c r="WWQ391" s="160">
        <v>0</v>
      </c>
      <c r="WWR391" s="160">
        <v>0</v>
      </c>
      <c r="WWS391" s="160">
        <v>0</v>
      </c>
      <c r="WWT391" s="160">
        <v>0</v>
      </c>
      <c r="WWU391" s="160">
        <v>0</v>
      </c>
      <c r="WWV391" s="160">
        <v>0</v>
      </c>
      <c r="WWW391" s="160">
        <v>0</v>
      </c>
      <c r="WWX391" s="160">
        <v>0</v>
      </c>
      <c r="WWY391" s="160">
        <v>0</v>
      </c>
      <c r="WWZ391" s="160">
        <v>0</v>
      </c>
      <c r="WXA391" s="160">
        <v>0</v>
      </c>
      <c r="WXB391" s="160">
        <v>0</v>
      </c>
      <c r="WXC391" s="160">
        <v>0</v>
      </c>
      <c r="WXD391" s="160">
        <v>0</v>
      </c>
      <c r="WXE391" s="160">
        <v>0</v>
      </c>
      <c r="WXF391" s="160">
        <v>0</v>
      </c>
      <c r="WXG391" s="160">
        <v>0</v>
      </c>
      <c r="WXH391" s="160">
        <v>0</v>
      </c>
      <c r="WXI391" s="160">
        <v>0</v>
      </c>
      <c r="WXJ391" s="160">
        <v>0</v>
      </c>
      <c r="WXK391" s="160">
        <v>0</v>
      </c>
      <c r="WXL391" s="160">
        <v>0</v>
      </c>
      <c r="WXM391" s="160">
        <v>0</v>
      </c>
      <c r="WXN391" s="160">
        <v>0</v>
      </c>
      <c r="WXO391" s="160">
        <v>0</v>
      </c>
      <c r="WXP391" s="160">
        <v>0</v>
      </c>
      <c r="WXQ391" s="160">
        <v>0</v>
      </c>
      <c r="WXR391" s="160">
        <v>0</v>
      </c>
      <c r="WXS391" s="160">
        <v>0</v>
      </c>
      <c r="WXT391" s="160">
        <v>0</v>
      </c>
      <c r="WXU391" s="160">
        <v>0</v>
      </c>
      <c r="WXV391" s="160">
        <v>0</v>
      </c>
      <c r="WXW391" s="160">
        <v>0</v>
      </c>
      <c r="WXX391" s="160">
        <v>0</v>
      </c>
      <c r="WXY391" s="160">
        <v>0</v>
      </c>
      <c r="WXZ391" s="160">
        <v>0</v>
      </c>
      <c r="WYA391" s="160">
        <v>0</v>
      </c>
      <c r="WYB391" s="160">
        <v>0</v>
      </c>
      <c r="WYC391" s="160">
        <v>0</v>
      </c>
      <c r="WYD391" s="160">
        <v>0</v>
      </c>
      <c r="WYE391" s="160">
        <v>0</v>
      </c>
      <c r="WYF391" s="160">
        <v>0</v>
      </c>
      <c r="WYG391" s="160">
        <v>0</v>
      </c>
      <c r="WYH391" s="160">
        <v>0</v>
      </c>
      <c r="WYI391" s="160">
        <v>0</v>
      </c>
      <c r="WYJ391" s="160">
        <v>0</v>
      </c>
      <c r="WYK391" s="160">
        <v>0</v>
      </c>
      <c r="WYL391" s="160">
        <v>0</v>
      </c>
      <c r="WYM391" s="160">
        <v>0</v>
      </c>
      <c r="WYN391" s="160">
        <v>0</v>
      </c>
      <c r="WYO391" s="160">
        <v>0</v>
      </c>
      <c r="WYP391" s="160">
        <v>0</v>
      </c>
      <c r="WYQ391" s="160">
        <v>0</v>
      </c>
      <c r="WYR391" s="160">
        <v>0</v>
      </c>
      <c r="WYS391" s="160">
        <v>0</v>
      </c>
      <c r="WYT391" s="160">
        <v>0</v>
      </c>
      <c r="WYU391" s="160">
        <v>0</v>
      </c>
      <c r="WYV391" s="160">
        <v>0</v>
      </c>
      <c r="WYW391" s="160">
        <v>0</v>
      </c>
      <c r="WYX391" s="160">
        <v>0</v>
      </c>
      <c r="WYY391" s="160">
        <v>0</v>
      </c>
      <c r="WYZ391" s="160">
        <v>0</v>
      </c>
      <c r="WZA391" s="160">
        <v>0</v>
      </c>
      <c r="WZB391" s="160">
        <v>0</v>
      </c>
      <c r="WZC391" s="160">
        <v>0</v>
      </c>
      <c r="WZD391" s="160">
        <v>0</v>
      </c>
      <c r="WZE391" s="160">
        <v>0</v>
      </c>
      <c r="WZF391" s="160">
        <v>0</v>
      </c>
      <c r="WZG391" s="160">
        <v>0</v>
      </c>
      <c r="WZH391" s="160">
        <v>0</v>
      </c>
      <c r="WZI391" s="160">
        <v>0</v>
      </c>
      <c r="WZJ391" s="160">
        <v>0</v>
      </c>
      <c r="WZK391" s="160">
        <v>0</v>
      </c>
      <c r="WZL391" s="160">
        <v>0</v>
      </c>
      <c r="WZM391" s="160">
        <v>0</v>
      </c>
      <c r="WZN391" s="160">
        <v>0</v>
      </c>
      <c r="WZO391" s="160">
        <v>0</v>
      </c>
      <c r="WZP391" s="160">
        <v>0</v>
      </c>
      <c r="WZQ391" s="160">
        <v>0</v>
      </c>
      <c r="WZR391" s="160">
        <v>0</v>
      </c>
      <c r="WZS391" s="160">
        <v>0</v>
      </c>
      <c r="WZT391" s="160">
        <v>0</v>
      </c>
      <c r="WZU391" s="160">
        <v>0</v>
      </c>
      <c r="WZV391" s="160">
        <v>0</v>
      </c>
      <c r="WZW391" s="160">
        <v>0</v>
      </c>
      <c r="WZX391" s="160">
        <v>0</v>
      </c>
      <c r="WZY391" s="160">
        <v>0</v>
      </c>
      <c r="WZZ391" s="160">
        <v>0</v>
      </c>
      <c r="XAA391" s="160">
        <v>0</v>
      </c>
      <c r="XAB391" s="160">
        <v>0</v>
      </c>
      <c r="XAC391" s="160">
        <v>0</v>
      </c>
      <c r="XAD391" s="160">
        <v>0</v>
      </c>
      <c r="XAE391" s="160">
        <v>0</v>
      </c>
      <c r="XAF391" s="160">
        <v>0</v>
      </c>
      <c r="XAG391" s="160">
        <v>0</v>
      </c>
      <c r="XAH391" s="160">
        <v>0</v>
      </c>
      <c r="XAI391" s="160">
        <v>0</v>
      </c>
      <c r="XAJ391" s="160">
        <v>0</v>
      </c>
      <c r="XAK391" s="160">
        <v>0</v>
      </c>
      <c r="XAL391" s="160">
        <v>0</v>
      </c>
      <c r="XAM391" s="160">
        <v>0</v>
      </c>
      <c r="XAN391" s="160">
        <v>0</v>
      </c>
      <c r="XAO391" s="160">
        <v>0</v>
      </c>
      <c r="XAP391" s="160">
        <v>0</v>
      </c>
      <c r="XAQ391" s="160">
        <v>0</v>
      </c>
      <c r="XAR391" s="160">
        <v>0</v>
      </c>
      <c r="XAS391" s="160">
        <v>0</v>
      </c>
      <c r="XAT391" s="160">
        <v>0</v>
      </c>
      <c r="XAU391" s="160">
        <v>0</v>
      </c>
      <c r="XAV391" s="160">
        <v>0</v>
      </c>
      <c r="XAW391" s="160">
        <v>0</v>
      </c>
      <c r="XAX391" s="160">
        <v>0</v>
      </c>
      <c r="XAY391" s="160">
        <v>0</v>
      </c>
      <c r="XAZ391" s="160">
        <v>0</v>
      </c>
      <c r="XBA391" s="160">
        <v>0</v>
      </c>
      <c r="XBB391" s="160">
        <v>0</v>
      </c>
      <c r="XBC391" s="160">
        <v>0</v>
      </c>
      <c r="XBD391" s="160">
        <v>0</v>
      </c>
      <c r="XBE391" s="160">
        <v>0</v>
      </c>
      <c r="XBF391" s="160">
        <v>0</v>
      </c>
      <c r="XBG391" s="160">
        <v>0</v>
      </c>
      <c r="XBH391" s="160">
        <v>0</v>
      </c>
      <c r="XBI391" s="160">
        <v>0</v>
      </c>
      <c r="XBJ391" s="160">
        <v>0</v>
      </c>
      <c r="XBK391" s="160">
        <v>0</v>
      </c>
      <c r="XBL391" s="160">
        <v>0</v>
      </c>
      <c r="XBM391" s="160">
        <v>0</v>
      </c>
      <c r="XBN391" s="160">
        <v>0</v>
      </c>
      <c r="XBO391" s="160">
        <v>0</v>
      </c>
      <c r="XBP391" s="160">
        <v>0</v>
      </c>
      <c r="XBQ391" s="160">
        <v>0</v>
      </c>
      <c r="XBR391" s="160">
        <v>0</v>
      </c>
      <c r="XBS391" s="160">
        <v>0</v>
      </c>
      <c r="XBT391" s="160">
        <v>0</v>
      </c>
      <c r="XBU391" s="160">
        <v>0</v>
      </c>
      <c r="XBV391" s="160">
        <v>0</v>
      </c>
      <c r="XBW391" s="160">
        <v>0</v>
      </c>
      <c r="XBX391" s="160">
        <v>0</v>
      </c>
      <c r="XBY391" s="160">
        <v>0</v>
      </c>
      <c r="XBZ391" s="160">
        <v>0</v>
      </c>
      <c r="XCA391" s="160">
        <v>0</v>
      </c>
      <c r="XCB391" s="160">
        <v>0</v>
      </c>
      <c r="XCC391" s="160">
        <v>0</v>
      </c>
      <c r="XCD391" s="160">
        <v>0</v>
      </c>
      <c r="XCE391" s="160">
        <v>0</v>
      </c>
      <c r="XCF391" s="160">
        <v>0</v>
      </c>
      <c r="XCG391" s="160">
        <v>0</v>
      </c>
      <c r="XCH391" s="160">
        <v>0</v>
      </c>
      <c r="XCI391" s="160">
        <v>0</v>
      </c>
      <c r="XCJ391" s="160">
        <v>0</v>
      </c>
      <c r="XCK391" s="160">
        <v>0</v>
      </c>
      <c r="XCL391" s="160">
        <v>0</v>
      </c>
      <c r="XCM391" s="160">
        <v>0</v>
      </c>
      <c r="XCN391" s="160">
        <v>0</v>
      </c>
      <c r="XCO391" s="160">
        <v>0</v>
      </c>
      <c r="XCP391" s="160">
        <v>0</v>
      </c>
      <c r="XCQ391" s="160">
        <v>0</v>
      </c>
      <c r="XCR391" s="160">
        <v>0</v>
      </c>
      <c r="XCS391" s="160">
        <v>0</v>
      </c>
      <c r="XCT391" s="160">
        <v>0</v>
      </c>
      <c r="XCU391" s="160">
        <v>0</v>
      </c>
      <c r="XCV391" s="160">
        <v>0</v>
      </c>
      <c r="XCW391" s="160">
        <v>0</v>
      </c>
      <c r="XCX391" s="160">
        <v>0</v>
      </c>
      <c r="XCY391" s="160">
        <v>0</v>
      </c>
      <c r="XCZ391" s="160">
        <v>0</v>
      </c>
      <c r="XDA391" s="160">
        <v>0</v>
      </c>
      <c r="XDB391" s="160">
        <v>0</v>
      </c>
      <c r="XDC391" s="160">
        <v>0</v>
      </c>
      <c r="XDD391" s="160">
        <v>0</v>
      </c>
      <c r="XDE391" s="160">
        <v>0</v>
      </c>
      <c r="XDF391" s="160">
        <v>0</v>
      </c>
      <c r="XDG391" s="160">
        <v>0</v>
      </c>
      <c r="XDH391" s="160">
        <v>0</v>
      </c>
      <c r="XDI391" s="160">
        <v>0</v>
      </c>
      <c r="XDJ391" s="160">
        <v>0</v>
      </c>
      <c r="XDK391" s="160">
        <v>0</v>
      </c>
      <c r="XDL391" s="160">
        <v>0</v>
      </c>
      <c r="XDM391" s="160">
        <v>0</v>
      </c>
      <c r="XDN391" s="160">
        <v>0</v>
      </c>
      <c r="XDO391" s="160">
        <v>0</v>
      </c>
      <c r="XDP391" s="160">
        <v>0</v>
      </c>
      <c r="XDQ391" s="160">
        <v>0</v>
      </c>
      <c r="XDR391" s="160">
        <v>0</v>
      </c>
      <c r="XDS391" s="160">
        <v>0</v>
      </c>
      <c r="XDT391" s="160">
        <v>0</v>
      </c>
      <c r="XDU391" s="160">
        <v>0</v>
      </c>
      <c r="XDV391" s="160">
        <v>0</v>
      </c>
      <c r="XDW391" s="160">
        <v>0</v>
      </c>
      <c r="XDX391" s="160">
        <v>0</v>
      </c>
      <c r="XDY391" s="160">
        <v>0</v>
      </c>
      <c r="XDZ391" s="160">
        <v>0</v>
      </c>
      <c r="XEA391" s="160">
        <v>0</v>
      </c>
      <c r="XEB391" s="160">
        <v>0</v>
      </c>
      <c r="XEC391" s="160">
        <v>0</v>
      </c>
      <c r="XED391" s="160">
        <v>0</v>
      </c>
      <c r="XEE391" s="160">
        <v>0</v>
      </c>
      <c r="XEF391" s="160">
        <v>0</v>
      </c>
      <c r="XEG391" s="160">
        <v>0</v>
      </c>
      <c r="XEH391" s="160">
        <v>0</v>
      </c>
      <c r="XEI391" s="160">
        <v>0</v>
      </c>
      <c r="XEJ391" s="160">
        <v>0</v>
      </c>
      <c r="XEK391" s="160">
        <v>0</v>
      </c>
      <c r="XEL391" s="160">
        <v>0</v>
      </c>
      <c r="XEM391" s="160">
        <v>0</v>
      </c>
      <c r="XEN391" s="160">
        <v>0</v>
      </c>
      <c r="XEO391" s="160">
        <v>0</v>
      </c>
      <c r="XEP391" s="160">
        <v>0</v>
      </c>
      <c r="XEQ391" s="160">
        <v>0</v>
      </c>
      <c r="XER391" s="160">
        <v>0</v>
      </c>
      <c r="XES391" s="160">
        <v>0</v>
      </c>
      <c r="XET391" s="160">
        <v>0</v>
      </c>
      <c r="XEU391" s="160">
        <v>0</v>
      </c>
      <c r="XEV391" s="160">
        <v>0</v>
      </c>
      <c r="XEW391" s="160">
        <v>0</v>
      </c>
      <c r="XEX391" s="160">
        <v>0</v>
      </c>
      <c r="XEY391" s="160">
        <v>0</v>
      </c>
      <c r="XEZ391" s="160">
        <v>0</v>
      </c>
      <c r="XFA391" s="160">
        <v>0</v>
      </c>
      <c r="XFB391" s="160">
        <v>0</v>
      </c>
      <c r="XFC391" s="160">
        <v>0</v>
      </c>
      <c r="XFD391" s="160">
        <v>0</v>
      </c>
    </row>
    <row r="392" spans="1:16384" s="199" customFormat="1">
      <c r="A392" s="1"/>
      <c r="B392" s="192" t="s">
        <v>3</v>
      </c>
      <c r="C392" s="82" t="s">
        <v>900</v>
      </c>
      <c r="D392" s="507"/>
      <c r="E392" s="507"/>
      <c r="F392" s="507"/>
      <c r="G392" s="507"/>
      <c r="H392" s="507"/>
      <c r="I392" s="507"/>
      <c r="J392" s="507"/>
      <c r="K392" s="507"/>
      <c r="L392" s="507"/>
      <c r="M392" s="507"/>
      <c r="N392" s="214"/>
      <c r="O392" s="214"/>
      <c r="P392" s="214"/>
      <c r="Q392" s="214"/>
      <c r="R392" s="214"/>
      <c r="S392" s="214">
        <f>S394-SUM(R394,S388:S391)</f>
        <v>0</v>
      </c>
      <c r="T392" s="214">
        <f>T394-SUM(S394,T388:T391)</f>
        <v>0</v>
      </c>
      <c r="U392" s="160">
        <v>0</v>
      </c>
      <c r="V392" s="214">
        <f>V394-SUM(U394,V388:V391)</f>
        <v>0</v>
      </c>
      <c r="W392" s="160">
        <v>0</v>
      </c>
      <c r="X392" s="160">
        <v>0</v>
      </c>
      <c r="Y392" s="160">
        <v>0</v>
      </c>
      <c r="Z392" s="160">
        <v>0</v>
      </c>
      <c r="AA392" s="160">
        <v>0</v>
      </c>
      <c r="AB392" s="160">
        <v>0</v>
      </c>
      <c r="AC392" s="160">
        <v>0</v>
      </c>
      <c r="AD392" s="160">
        <v>0</v>
      </c>
      <c r="AE392" s="160">
        <v>0</v>
      </c>
      <c r="AF392" s="160">
        <v>0</v>
      </c>
      <c r="AG392" s="160">
        <v>0</v>
      </c>
      <c r="AH392" s="160">
        <v>0</v>
      </c>
      <c r="AI392" s="160">
        <v>0</v>
      </c>
      <c r="AJ392" s="160">
        <v>0</v>
      </c>
      <c r="AK392" s="160">
        <v>0</v>
      </c>
      <c r="AL392" s="160">
        <v>0</v>
      </c>
      <c r="AM392" s="160">
        <v>0</v>
      </c>
      <c r="AN392" s="160">
        <v>0</v>
      </c>
      <c r="AO392" s="160">
        <v>0</v>
      </c>
      <c r="AP392" s="160">
        <v>0</v>
      </c>
      <c r="AQ392" s="160">
        <v>0</v>
      </c>
      <c r="AR392" s="160">
        <v>0</v>
      </c>
      <c r="AS392" s="160">
        <v>0</v>
      </c>
      <c r="AT392" s="160">
        <v>0</v>
      </c>
      <c r="AU392" s="160">
        <v>0</v>
      </c>
      <c r="AV392" s="160">
        <v>0</v>
      </c>
      <c r="AW392" s="160">
        <v>0</v>
      </c>
      <c r="AX392" s="160">
        <v>0</v>
      </c>
      <c r="AY392" s="160">
        <v>0</v>
      </c>
      <c r="AZ392" s="160">
        <v>0</v>
      </c>
      <c r="BA392" s="160">
        <v>0</v>
      </c>
      <c r="BB392" s="160">
        <v>0</v>
      </c>
      <c r="BC392" s="160">
        <v>0</v>
      </c>
      <c r="BD392" s="160">
        <v>0</v>
      </c>
      <c r="BE392" s="160">
        <v>0</v>
      </c>
    </row>
    <row r="393" spans="1:16384" s="199" customFormat="1">
      <c r="A393" s="1"/>
      <c r="B393" s="192" t="s">
        <v>991</v>
      </c>
      <c r="C393" s="166" t="s">
        <v>991</v>
      </c>
      <c r="D393" s="507"/>
      <c r="E393" s="507"/>
      <c r="F393" s="507"/>
      <c r="G393" s="507"/>
      <c r="H393" s="507"/>
      <c r="I393" s="507"/>
      <c r="J393" s="507"/>
      <c r="K393" s="507"/>
      <c r="L393" s="507"/>
      <c r="M393" s="507"/>
      <c r="N393" s="221"/>
      <c r="O393" s="221"/>
      <c r="P393" s="221" t="s">
        <v>991</v>
      </c>
      <c r="Q393" s="221" t="s">
        <v>991</v>
      </c>
      <c r="R393" s="221" t="s">
        <v>991</v>
      </c>
      <c r="S393" s="221" t="s">
        <v>991</v>
      </c>
      <c r="T393" s="221" t="s">
        <v>991</v>
      </c>
      <c r="U393" s="221" t="s">
        <v>991</v>
      </c>
      <c r="V393" s="221" t="s">
        <v>991</v>
      </c>
      <c r="W393" s="221" t="s">
        <v>991</v>
      </c>
      <c r="X393" s="221" t="s">
        <v>991</v>
      </c>
      <c r="Y393" s="221" t="s">
        <v>991</v>
      </c>
      <c r="Z393" s="221" t="s">
        <v>991</v>
      </c>
      <c r="AA393" s="221" t="s">
        <v>991</v>
      </c>
      <c r="AB393" s="221" t="s">
        <v>991</v>
      </c>
      <c r="AC393" s="221" t="s">
        <v>991</v>
      </c>
      <c r="AD393" s="221" t="s">
        <v>991</v>
      </c>
      <c r="AE393" s="221" t="s">
        <v>991</v>
      </c>
      <c r="AF393" s="221" t="s">
        <v>991</v>
      </c>
      <c r="AG393" s="221" t="s">
        <v>991</v>
      </c>
      <c r="AH393" s="221" t="s">
        <v>991</v>
      </c>
      <c r="AI393" s="221" t="s">
        <v>991</v>
      </c>
      <c r="AJ393" s="221" t="s">
        <v>991</v>
      </c>
      <c r="AK393" s="221" t="s">
        <v>991</v>
      </c>
      <c r="AL393" s="221" t="s">
        <v>991</v>
      </c>
      <c r="AM393" s="221" t="s">
        <v>991</v>
      </c>
      <c r="AN393" s="221" t="s">
        <v>991</v>
      </c>
      <c r="AO393" s="221" t="s">
        <v>991</v>
      </c>
      <c r="AP393" s="221" t="s">
        <v>991</v>
      </c>
      <c r="AQ393" s="221" t="s">
        <v>991</v>
      </c>
      <c r="AR393" s="221" t="s">
        <v>991</v>
      </c>
      <c r="AS393" s="221" t="s">
        <v>991</v>
      </c>
      <c r="AT393" s="221" t="s">
        <v>991</v>
      </c>
      <c r="AU393" s="221" t="s">
        <v>991</v>
      </c>
      <c r="AV393" s="221" t="s">
        <v>991</v>
      </c>
      <c r="AW393" s="221" t="s">
        <v>991</v>
      </c>
      <c r="AX393" s="221" t="s">
        <v>991</v>
      </c>
      <c r="AY393" s="221" t="s">
        <v>991</v>
      </c>
      <c r="AZ393" s="221" t="s">
        <v>991</v>
      </c>
      <c r="BA393" s="221" t="s">
        <v>991</v>
      </c>
      <c r="BB393" s="221" t="s">
        <v>991</v>
      </c>
      <c r="BC393" s="221" t="s">
        <v>991</v>
      </c>
      <c r="BD393" s="221" t="s">
        <v>991</v>
      </c>
      <c r="BE393" s="221" t="s">
        <v>991</v>
      </c>
    </row>
    <row r="394" spans="1:16384" s="199" customFormat="1">
      <c r="A394" s="3"/>
      <c r="B394" s="189" t="s">
        <v>1564</v>
      </c>
      <c r="C394" s="163" t="s">
        <v>900</v>
      </c>
      <c r="D394" s="520"/>
      <c r="E394" s="520"/>
      <c r="F394" s="520"/>
      <c r="G394" s="520"/>
      <c r="H394" s="520"/>
      <c r="I394" s="520"/>
      <c r="J394" s="507"/>
      <c r="K394" s="507"/>
      <c r="L394" s="507"/>
      <c r="M394" s="507"/>
      <c r="N394" s="520"/>
      <c r="O394" s="520"/>
      <c r="P394" s="520">
        <v>640.6</v>
      </c>
      <c r="Q394" s="520">
        <v>346.9</v>
      </c>
      <c r="R394" s="520">
        <v>1151.9000000000001</v>
      </c>
      <c r="S394" s="520">
        <v>1122.9000000000001</v>
      </c>
      <c r="T394" s="520">
        <v>1093.3</v>
      </c>
      <c r="U394" s="520">
        <v>1063.0999999999999</v>
      </c>
      <c r="V394" s="520">
        <v>1033.4000000000001</v>
      </c>
      <c r="W394" s="213">
        <f t="shared" ref="W394:BE394" si="244">SUM(V394,W388:W393)</f>
        <v>1003.7000000000003</v>
      </c>
      <c r="X394" s="213">
        <f t="shared" si="244"/>
        <v>974.00000000000045</v>
      </c>
      <c r="Y394" s="213">
        <f t="shared" si="244"/>
        <v>944.30000000000064</v>
      </c>
      <c r="Z394" s="213">
        <f t="shared" si="244"/>
        <v>914.60000000000082</v>
      </c>
      <c r="AA394" s="213">
        <f t="shared" si="244"/>
        <v>884.900000000001</v>
      </c>
      <c r="AB394" s="213">
        <f t="shared" si="244"/>
        <v>855.20000000000118</v>
      </c>
      <c r="AC394" s="213">
        <f t="shared" si="244"/>
        <v>825.50000000000136</v>
      </c>
      <c r="AD394" s="213">
        <f t="shared" si="244"/>
        <v>795.80000000000155</v>
      </c>
      <c r="AE394" s="213">
        <f t="shared" si="244"/>
        <v>766.10000000000173</v>
      </c>
      <c r="AF394" s="213">
        <f t="shared" si="244"/>
        <v>736.40000000000191</v>
      </c>
      <c r="AG394" s="213">
        <f t="shared" si="244"/>
        <v>706.70000000000209</v>
      </c>
      <c r="AH394" s="213">
        <f t="shared" si="244"/>
        <v>677.00000000000227</v>
      </c>
      <c r="AI394" s="213">
        <f t="shared" si="244"/>
        <v>647.30000000000246</v>
      </c>
      <c r="AJ394" s="213">
        <f t="shared" si="244"/>
        <v>617.60000000000264</v>
      </c>
      <c r="AK394" s="213">
        <f t="shared" si="244"/>
        <v>587.90000000000282</v>
      </c>
      <c r="AL394" s="213">
        <f t="shared" si="244"/>
        <v>558.200000000003</v>
      </c>
      <c r="AM394" s="213">
        <f t="shared" si="244"/>
        <v>528.50000000000318</v>
      </c>
      <c r="AN394" s="213">
        <f t="shared" si="244"/>
        <v>498.80000000000337</v>
      </c>
      <c r="AO394" s="213">
        <f t="shared" si="244"/>
        <v>469.10000000000355</v>
      </c>
      <c r="AP394" s="213">
        <f t="shared" si="244"/>
        <v>441.1684242181272</v>
      </c>
      <c r="AQ394" s="213">
        <f t="shared" si="244"/>
        <v>414.89997554274987</v>
      </c>
      <c r="AR394" s="213">
        <f t="shared" si="244"/>
        <v>390.19562655794732</v>
      </c>
      <c r="AS394" s="213">
        <f t="shared" si="244"/>
        <v>366.96224622761275</v>
      </c>
      <c r="AT394" s="213">
        <f t="shared" si="244"/>
        <v>345.11224880788546</v>
      </c>
      <c r="AU394" s="213">
        <f t="shared" si="244"/>
        <v>324.56326366435286</v>
      </c>
      <c r="AV394" s="213">
        <f t="shared" si="244"/>
        <v>305.23782474929442</v>
      </c>
      <c r="AW394" s="213">
        <f t="shared" si="244"/>
        <v>287.0630785683523</v>
      </c>
      <c r="AX394" s="213">
        <f t="shared" si="244"/>
        <v>269.97050953571403</v>
      </c>
      <c r="AY394" s="213">
        <f t="shared" si="244"/>
        <v>253.89568168244497</v>
      </c>
      <c r="AZ394" s="213">
        <f t="shared" si="244"/>
        <v>238.77799574425629</v>
      </c>
      <c r="BA394" s="213">
        <f t="shared" si="244"/>
        <v>224.56046071297257</v>
      </c>
      <c r="BB394" s="213">
        <f t="shared" si="244"/>
        <v>211.1894789904882</v>
      </c>
      <c r="BC394" s="213">
        <f t="shared" si="244"/>
        <v>198.61464433528087</v>
      </c>
      <c r="BD394" s="213">
        <f t="shared" si="244"/>
        <v>186.78855183977612</v>
      </c>
      <c r="BE394" s="213">
        <f t="shared" si="244"/>
        <v>175.66661922221141</v>
      </c>
    </row>
    <row r="395" spans="1:16384">
      <c r="B395" s="209" t="s">
        <v>1567</v>
      </c>
      <c r="C395" s="20"/>
      <c r="D395" s="2"/>
      <c r="E395" s="2"/>
      <c r="F395" s="2"/>
      <c r="G395" s="241"/>
      <c r="H395" s="241"/>
      <c r="I395" s="241"/>
      <c r="J395" s="507"/>
      <c r="K395" s="507"/>
      <c r="L395" s="507"/>
      <c r="M395" s="507"/>
      <c r="N395" s="241"/>
      <c r="O395" s="241"/>
      <c r="P395" s="241">
        <f>P529</f>
        <v>0.57608108108108091</v>
      </c>
      <c r="Q395" s="241">
        <f>Q529</f>
        <v>1.1377335164772726</v>
      </c>
      <c r="R395" s="241">
        <f>R529</f>
        <v>0.62026923076923091</v>
      </c>
      <c r="S395" s="241">
        <f>S529</f>
        <v>1.0112533144796381</v>
      </c>
      <c r="T395" s="241">
        <f>T529</f>
        <v>0.99131386861313875</v>
      </c>
      <c r="U395" s="241">
        <f t="shared" ref="U395:BE395" si="245">U529</f>
        <v>0.83299719887955159</v>
      </c>
      <c r="V395" s="241">
        <f>V529</f>
        <v>1.0166384180790962</v>
      </c>
      <c r="W395" s="241">
        <f t="shared" si="245"/>
        <v>0.68173021314595472</v>
      </c>
      <c r="X395" s="241">
        <f t="shared" si="245"/>
        <v>1.0495202730107043</v>
      </c>
      <c r="Y395" s="241">
        <f t="shared" si="245"/>
        <v>0.67466922011688535</v>
      </c>
      <c r="Z395" s="241">
        <f t="shared" si="245"/>
        <v>0.89741824849402152</v>
      </c>
      <c r="AA395" s="241">
        <f t="shared" si="245"/>
        <v>0.85399703562525076</v>
      </c>
      <c r="AB395" s="241">
        <f t="shared" si="245"/>
        <v>0.9373669033351909</v>
      </c>
      <c r="AC395" s="241">
        <f t="shared" si="245"/>
        <v>0.7351204840307205</v>
      </c>
      <c r="AD395" s="241">
        <f t="shared" si="245"/>
        <v>0.80990678188812981</v>
      </c>
      <c r="AE395" s="241">
        <f t="shared" si="245"/>
        <v>0.72021407435977047</v>
      </c>
      <c r="AF395" s="241">
        <f t="shared" si="245"/>
        <v>0.78823999147961632</v>
      </c>
      <c r="AG395" s="241">
        <f t="shared" si="245"/>
        <v>0.17025827725401924</v>
      </c>
      <c r="AH395" s="241">
        <f t="shared" si="245"/>
        <v>0.23865463238316648</v>
      </c>
      <c r="AI395" s="241">
        <f t="shared" si="245"/>
        <v>0.16594322679200105</v>
      </c>
      <c r="AJ395" s="241">
        <f t="shared" si="245"/>
        <v>0.23075456191943203</v>
      </c>
      <c r="AK395" s="241">
        <f t="shared" si="245"/>
        <v>0.14396723592963157</v>
      </c>
      <c r="AL395" s="241">
        <f t="shared" si="245"/>
        <v>0.19235723710741542</v>
      </c>
      <c r="AM395" s="241">
        <f t="shared" si="245"/>
        <v>0.14116450359858371</v>
      </c>
      <c r="AN395" s="241">
        <f t="shared" si="245"/>
        <v>0.1850148370792189</v>
      </c>
      <c r="AO395" s="241">
        <f t="shared" si="245"/>
        <v>0</v>
      </c>
      <c r="AP395" s="241">
        <f t="shared" si="245"/>
        <v>0</v>
      </c>
      <c r="AQ395" s="241">
        <f t="shared" si="245"/>
        <v>0</v>
      </c>
      <c r="AR395" s="241">
        <f t="shared" si="245"/>
        <v>0</v>
      </c>
      <c r="AS395" s="241">
        <f t="shared" si="245"/>
        <v>0</v>
      </c>
      <c r="AT395" s="241">
        <f t="shared" si="245"/>
        <v>0</v>
      </c>
      <c r="AU395" s="241">
        <f t="shared" si="245"/>
        <v>0</v>
      </c>
      <c r="AV395" s="241">
        <f t="shared" si="245"/>
        <v>0</v>
      </c>
      <c r="AW395" s="241">
        <f t="shared" si="245"/>
        <v>0</v>
      </c>
      <c r="AX395" s="241">
        <f t="shared" si="245"/>
        <v>0</v>
      </c>
      <c r="AY395" s="241">
        <f t="shared" si="245"/>
        <v>0</v>
      </c>
      <c r="AZ395" s="241">
        <f t="shared" si="245"/>
        <v>0</v>
      </c>
      <c r="BA395" s="241">
        <f t="shared" si="245"/>
        <v>0</v>
      </c>
      <c r="BB395" s="241">
        <f t="shared" si="245"/>
        <v>0</v>
      </c>
      <c r="BC395" s="241">
        <f t="shared" si="245"/>
        <v>0</v>
      </c>
      <c r="BD395" s="241">
        <f t="shared" si="245"/>
        <v>0</v>
      </c>
      <c r="BE395" s="241">
        <f t="shared" si="245"/>
        <v>0</v>
      </c>
    </row>
    <row r="396" spans="1:16384">
      <c r="B396" s="82"/>
      <c r="C396" s="20"/>
      <c r="D396" s="2"/>
      <c r="E396" s="2"/>
      <c r="F396" s="2"/>
      <c r="G396" s="241"/>
      <c r="H396" s="241"/>
      <c r="I396" s="241"/>
      <c r="J396" s="507"/>
      <c r="K396" s="507"/>
      <c r="L396" s="507"/>
      <c r="M396" s="507"/>
      <c r="N396" s="241"/>
      <c r="O396" s="241"/>
      <c r="P396" s="241"/>
      <c r="Q396" s="241"/>
      <c r="R396" s="241"/>
      <c r="S396" s="241"/>
      <c r="T396" s="241"/>
      <c r="U396" s="241"/>
      <c r="V396" s="241"/>
      <c r="W396" s="241"/>
      <c r="X396" s="241"/>
      <c r="Y396" s="241"/>
      <c r="Z396" s="241"/>
      <c r="AA396" s="241"/>
      <c r="AB396" s="241"/>
      <c r="AC396" s="241"/>
      <c r="AD396" s="241"/>
      <c r="AE396" s="241"/>
      <c r="AF396" s="241"/>
      <c r="AG396" s="241"/>
      <c r="AH396" s="241"/>
      <c r="AI396" s="241"/>
      <c r="AJ396" s="241"/>
      <c r="AK396" s="241"/>
      <c r="AL396" s="241"/>
      <c r="AM396" s="241"/>
      <c r="AN396" s="241"/>
      <c r="AO396" s="241"/>
      <c r="AP396" s="241"/>
      <c r="AQ396" s="241"/>
      <c r="AR396" s="241"/>
      <c r="AS396" s="241"/>
      <c r="AT396" s="241"/>
      <c r="AU396" s="241"/>
      <c r="AV396" s="241"/>
      <c r="AW396" s="241"/>
      <c r="AX396" s="241"/>
      <c r="AY396" s="241"/>
      <c r="AZ396" s="241"/>
      <c r="BA396" s="241"/>
      <c r="BB396" s="241"/>
      <c r="BC396" s="241"/>
      <c r="BD396" s="241"/>
      <c r="BE396" s="241"/>
    </row>
    <row r="397" spans="1:16384">
      <c r="B397" s="192" t="s">
        <v>1263</v>
      </c>
      <c r="C397" s="20"/>
      <c r="D397" s="2"/>
      <c r="E397" s="2"/>
      <c r="F397" s="2"/>
      <c r="G397" s="241"/>
      <c r="H397" s="241"/>
      <c r="I397" s="241"/>
      <c r="J397" s="241"/>
      <c r="K397" s="241"/>
      <c r="L397" s="241"/>
      <c r="M397" s="241"/>
      <c r="N397" s="241"/>
      <c r="O397" s="241"/>
      <c r="P397" s="241"/>
      <c r="Q397" s="241"/>
      <c r="R397" s="241"/>
      <c r="S397" s="208">
        <v>-21.1</v>
      </c>
      <c r="T397" s="208">
        <f>-43.1-S397</f>
        <v>-22</v>
      </c>
      <c r="U397" s="208">
        <v>-22.4</v>
      </c>
      <c r="V397" s="208">
        <f>-44.3-U397</f>
        <v>-21.9</v>
      </c>
      <c r="W397" s="256">
        <f t="shared" ref="W397:AN397" si="246">V397</f>
        <v>-21.9</v>
      </c>
      <c r="X397" s="256">
        <f t="shared" si="246"/>
        <v>-21.9</v>
      </c>
      <c r="Y397" s="256">
        <f t="shared" si="246"/>
        <v>-21.9</v>
      </c>
      <c r="Z397" s="256">
        <f t="shared" si="246"/>
        <v>-21.9</v>
      </c>
      <c r="AA397" s="256">
        <f t="shared" si="246"/>
        <v>-21.9</v>
      </c>
      <c r="AB397" s="256">
        <f t="shared" si="246"/>
        <v>-21.9</v>
      </c>
      <c r="AC397" s="256">
        <f t="shared" si="246"/>
        <v>-21.9</v>
      </c>
      <c r="AD397" s="256">
        <f t="shared" si="246"/>
        <v>-21.9</v>
      </c>
      <c r="AE397" s="256">
        <f t="shared" si="246"/>
        <v>-21.9</v>
      </c>
      <c r="AF397" s="256">
        <f t="shared" si="246"/>
        <v>-21.9</v>
      </c>
      <c r="AG397" s="256">
        <f t="shared" si="246"/>
        <v>-21.9</v>
      </c>
      <c r="AH397" s="256">
        <f t="shared" si="246"/>
        <v>-21.9</v>
      </c>
      <c r="AI397" s="256">
        <f t="shared" si="246"/>
        <v>-21.9</v>
      </c>
      <c r="AJ397" s="256">
        <f t="shared" si="246"/>
        <v>-21.9</v>
      </c>
      <c r="AK397" s="256">
        <f t="shared" si="246"/>
        <v>-21.9</v>
      </c>
      <c r="AL397" s="256">
        <f t="shared" si="246"/>
        <v>-21.9</v>
      </c>
      <c r="AM397" s="256">
        <f t="shared" si="246"/>
        <v>-21.9</v>
      </c>
      <c r="AN397" s="256">
        <f t="shared" si="246"/>
        <v>-21.9</v>
      </c>
      <c r="AO397" s="241"/>
      <c r="AP397" s="241"/>
      <c r="AQ397" s="241"/>
      <c r="AR397" s="241"/>
      <c r="AS397" s="241"/>
      <c r="AT397" s="241"/>
      <c r="AU397" s="241"/>
      <c r="AV397" s="241"/>
      <c r="AW397" s="241"/>
      <c r="AX397" s="241"/>
      <c r="AY397" s="241"/>
      <c r="AZ397" s="241"/>
      <c r="BA397" s="241"/>
      <c r="BB397" s="241"/>
      <c r="BC397" s="241"/>
      <c r="BD397" s="241"/>
      <c r="BE397" s="241"/>
    </row>
    <row r="398" spans="1:16384">
      <c r="B398" s="192" t="s">
        <v>1566</v>
      </c>
      <c r="C398" s="20"/>
      <c r="D398" s="2"/>
      <c r="E398" s="2"/>
      <c r="F398" s="2"/>
      <c r="G398" s="241"/>
      <c r="H398" s="241"/>
      <c r="I398" s="241"/>
      <c r="J398" s="241"/>
      <c r="K398" s="241"/>
      <c r="L398" s="241"/>
      <c r="M398" s="241"/>
      <c r="N398" s="241"/>
      <c r="O398" s="241"/>
      <c r="P398" s="241"/>
      <c r="Q398" s="241"/>
      <c r="R398" s="241"/>
      <c r="S398" s="135"/>
      <c r="T398" s="241"/>
      <c r="U398" s="241"/>
      <c r="V398" s="241"/>
      <c r="W398" s="241"/>
      <c r="X398" s="241"/>
      <c r="Y398" s="241"/>
      <c r="Z398" s="241"/>
      <c r="AA398" s="241"/>
      <c r="AB398" s="241"/>
      <c r="AC398" s="241"/>
      <c r="AD398" s="241"/>
      <c r="AE398" s="241"/>
      <c r="AF398" s="241"/>
      <c r="AG398" s="241"/>
      <c r="AH398" s="241"/>
      <c r="AI398" s="241"/>
      <c r="AJ398" s="241"/>
      <c r="AK398" s="241"/>
      <c r="AL398" s="241"/>
      <c r="AM398" s="241"/>
      <c r="AN398" s="241"/>
      <c r="AO398" s="241"/>
      <c r="AP398" s="241"/>
      <c r="AQ398" s="241"/>
      <c r="AR398" s="241"/>
      <c r="AS398" s="241"/>
      <c r="AT398" s="241"/>
      <c r="AU398" s="241"/>
      <c r="AV398" s="241"/>
      <c r="AW398" s="241"/>
      <c r="AX398" s="241"/>
      <c r="AY398" s="241"/>
      <c r="AZ398" s="241"/>
      <c r="BA398" s="241"/>
      <c r="BB398" s="241"/>
      <c r="BC398" s="241"/>
      <c r="BD398" s="241"/>
      <c r="BE398" s="241"/>
    </row>
    <row r="399" spans="1:16384" s="3" customFormat="1">
      <c r="B399" s="189" t="s">
        <v>1571</v>
      </c>
      <c r="C399" s="21"/>
      <c r="D399" s="4"/>
      <c r="E399" s="4"/>
      <c r="F399" s="4"/>
      <c r="G399" s="841"/>
      <c r="H399" s="841"/>
      <c r="I399" s="841"/>
      <c r="J399" s="841"/>
      <c r="K399" s="841"/>
      <c r="L399" s="841"/>
      <c r="M399" s="841"/>
      <c r="N399" s="841"/>
      <c r="O399" s="841"/>
      <c r="P399" s="841"/>
      <c r="Q399" s="841"/>
      <c r="R399" s="485">
        <v>886.9</v>
      </c>
      <c r="S399" s="222">
        <f>R399+SUM(S397:S398)</f>
        <v>865.8</v>
      </c>
      <c r="T399" s="222">
        <f t="shared" ref="T399:AN399" si="247">S399+SUM(T397:T398)</f>
        <v>843.8</v>
      </c>
      <c r="U399" s="222">
        <f t="shared" si="247"/>
        <v>821.4</v>
      </c>
      <c r="V399" s="222">
        <f t="shared" si="247"/>
        <v>799.5</v>
      </c>
      <c r="W399" s="222">
        <f t="shared" si="247"/>
        <v>777.6</v>
      </c>
      <c r="X399" s="222">
        <f t="shared" si="247"/>
        <v>755.7</v>
      </c>
      <c r="Y399" s="222">
        <f t="shared" si="247"/>
        <v>733.80000000000007</v>
      </c>
      <c r="Z399" s="222">
        <f t="shared" si="247"/>
        <v>711.90000000000009</v>
      </c>
      <c r="AA399" s="222">
        <f t="shared" si="247"/>
        <v>690.00000000000011</v>
      </c>
      <c r="AB399" s="222">
        <f t="shared" si="247"/>
        <v>668.10000000000014</v>
      </c>
      <c r="AC399" s="222">
        <f t="shared" si="247"/>
        <v>646.20000000000016</v>
      </c>
      <c r="AD399" s="222">
        <f t="shared" si="247"/>
        <v>624.30000000000018</v>
      </c>
      <c r="AE399" s="222">
        <f t="shared" si="247"/>
        <v>602.4000000000002</v>
      </c>
      <c r="AF399" s="222">
        <f t="shared" si="247"/>
        <v>580.50000000000023</v>
      </c>
      <c r="AG399" s="222">
        <f t="shared" si="247"/>
        <v>558.60000000000025</v>
      </c>
      <c r="AH399" s="222">
        <f t="shared" si="247"/>
        <v>536.70000000000027</v>
      </c>
      <c r="AI399" s="222">
        <f t="shared" si="247"/>
        <v>514.8000000000003</v>
      </c>
      <c r="AJ399" s="222">
        <f t="shared" si="247"/>
        <v>492.90000000000032</v>
      </c>
      <c r="AK399" s="222">
        <f t="shared" si="247"/>
        <v>471.00000000000034</v>
      </c>
      <c r="AL399" s="222">
        <f t="shared" si="247"/>
        <v>449.10000000000036</v>
      </c>
      <c r="AM399" s="222">
        <f t="shared" si="247"/>
        <v>427.20000000000039</v>
      </c>
      <c r="AN399" s="222">
        <f t="shared" si="247"/>
        <v>405.30000000000041</v>
      </c>
      <c r="AO399" s="841"/>
      <c r="AP399" s="841"/>
      <c r="AQ399" s="841"/>
      <c r="AR399" s="841"/>
      <c r="AS399" s="841"/>
      <c r="AT399" s="841"/>
      <c r="AU399" s="841"/>
      <c r="AV399" s="841"/>
      <c r="AW399" s="841"/>
      <c r="AX399" s="841"/>
      <c r="AY399" s="841"/>
      <c r="AZ399" s="841"/>
      <c r="BA399" s="841"/>
      <c r="BB399" s="841"/>
      <c r="BC399" s="841"/>
      <c r="BD399" s="841"/>
      <c r="BE399" s="841"/>
    </row>
    <row r="400" spans="1:16384">
      <c r="B400" s="82"/>
      <c r="C400" s="20"/>
      <c r="D400" s="2"/>
      <c r="E400" s="2"/>
      <c r="F400" s="2"/>
      <c r="G400" s="241"/>
      <c r="H400" s="241"/>
      <c r="I400" s="241"/>
      <c r="J400" s="241"/>
      <c r="K400" s="241"/>
      <c r="L400" s="241"/>
      <c r="M400" s="241"/>
      <c r="N400" s="241"/>
      <c r="O400" s="241"/>
      <c r="P400" s="241"/>
      <c r="Q400" s="241"/>
      <c r="R400" s="241"/>
      <c r="S400" s="241"/>
      <c r="T400" s="241"/>
      <c r="U400" s="241"/>
      <c r="V400" s="241"/>
      <c r="W400" s="241"/>
      <c r="X400" s="241"/>
      <c r="Y400" s="241"/>
      <c r="Z400" s="241"/>
      <c r="AA400" s="241"/>
      <c r="AB400" s="241"/>
      <c r="AC400" s="241"/>
      <c r="AD400" s="241"/>
      <c r="AE400" s="241"/>
      <c r="AF400" s="241"/>
      <c r="AG400" s="241"/>
      <c r="AH400" s="241"/>
      <c r="AI400" s="241"/>
      <c r="AJ400" s="241"/>
      <c r="AK400" s="241"/>
      <c r="AL400" s="241"/>
      <c r="AM400" s="241"/>
      <c r="AN400" s="241"/>
      <c r="AO400" s="241"/>
      <c r="AP400" s="241"/>
      <c r="AQ400" s="241"/>
      <c r="AR400" s="241"/>
      <c r="AS400" s="241"/>
      <c r="AT400" s="241"/>
      <c r="AU400" s="241"/>
      <c r="AV400" s="241"/>
      <c r="AW400" s="241"/>
      <c r="AX400" s="241"/>
      <c r="AY400" s="241"/>
      <c r="AZ400" s="241"/>
      <c r="BA400" s="241"/>
      <c r="BB400" s="241"/>
      <c r="BC400" s="241"/>
      <c r="BD400" s="241"/>
      <c r="BE400" s="241"/>
    </row>
    <row r="401" spans="1:57" s="3" customFormat="1">
      <c r="A401" s="1"/>
      <c r="B401" s="257" t="s">
        <v>1582</v>
      </c>
      <c r="C401" s="163"/>
      <c r="E401" s="207"/>
      <c r="F401" s="207"/>
      <c r="G401" s="207"/>
      <c r="H401" s="207"/>
      <c r="I401" s="207"/>
      <c r="J401" s="207"/>
      <c r="K401" s="207"/>
      <c r="L401" s="207"/>
      <c r="M401" s="207"/>
      <c r="N401" s="207"/>
      <c r="O401" s="207"/>
      <c r="P401" s="207"/>
      <c r="Q401" s="499"/>
      <c r="S401" s="499"/>
      <c r="T401" s="499"/>
      <c r="U401" s="499"/>
      <c r="V401" s="499"/>
      <c r="W401" s="499"/>
      <c r="X401" s="499"/>
      <c r="Y401" s="499"/>
      <c r="Z401" s="499"/>
      <c r="AA401" s="499"/>
      <c r="AB401" s="499"/>
      <c r="AC401" s="499"/>
      <c r="AD401" s="499"/>
      <c r="AE401" s="499"/>
      <c r="AF401" s="499"/>
      <c r="AG401" s="499"/>
      <c r="AH401" s="499"/>
      <c r="AI401" s="499"/>
      <c r="AJ401" s="499"/>
      <c r="AK401" s="499"/>
      <c r="AL401" s="499"/>
      <c r="AM401" s="499"/>
      <c r="AN401" s="499"/>
    </row>
    <row r="402" spans="1:57" s="3" customFormat="1">
      <c r="B402" s="257"/>
      <c r="C402" s="163"/>
      <c r="E402" s="207"/>
      <c r="F402" s="207"/>
      <c r="G402" s="207"/>
      <c r="H402" s="207"/>
      <c r="I402" s="207"/>
      <c r="J402" s="207"/>
      <c r="K402" s="207"/>
      <c r="L402" s="207"/>
      <c r="M402" s="207"/>
      <c r="N402" s="207"/>
      <c r="O402" s="207"/>
      <c r="P402" s="207"/>
      <c r="Q402" s="499"/>
      <c r="S402" s="499"/>
      <c r="T402" s="499"/>
      <c r="U402" s="499"/>
      <c r="V402" s="499"/>
      <c r="W402" s="499"/>
      <c r="X402" s="499"/>
      <c r="Y402" s="499"/>
      <c r="Z402" s="499"/>
      <c r="AA402" s="499"/>
      <c r="AB402" s="499"/>
      <c r="AC402" s="499"/>
      <c r="AD402" s="499"/>
      <c r="AE402" s="499"/>
      <c r="AF402" s="499"/>
      <c r="AG402" s="499"/>
      <c r="AH402" s="499"/>
      <c r="AI402" s="499"/>
      <c r="AJ402" s="499"/>
      <c r="AK402" s="499"/>
      <c r="AL402" s="499"/>
      <c r="AM402" s="499"/>
      <c r="AN402" s="499"/>
    </row>
    <row r="403" spans="1:57" s="3" customFormat="1">
      <c r="B403" s="192" t="s">
        <v>1526</v>
      </c>
      <c r="C403" s="82" t="s">
        <v>900</v>
      </c>
      <c r="E403" s="207"/>
      <c r="F403" s="207"/>
      <c r="G403" s="207"/>
      <c r="H403" s="207"/>
      <c r="I403" s="207"/>
      <c r="J403" s="207"/>
      <c r="K403" s="207"/>
      <c r="L403" s="207"/>
      <c r="M403" s="207"/>
      <c r="N403" s="207"/>
      <c r="O403" s="207"/>
      <c r="P403" s="207"/>
      <c r="Q403" s="499"/>
      <c r="S403" s="160">
        <f>IF(-15&lt;-R406,-R406,-15)</f>
        <v>-15</v>
      </c>
      <c r="T403" s="160">
        <f t="shared" ref="T403:AK403" si="248">IF(-15&lt;-S406,-S406,-15)</f>
        <v>-15</v>
      </c>
      <c r="U403" s="160">
        <f t="shared" si="248"/>
        <v>-15</v>
      </c>
      <c r="V403" s="160">
        <f t="shared" si="248"/>
        <v>-15</v>
      </c>
      <c r="W403" s="160">
        <f t="shared" si="248"/>
        <v>-15</v>
      </c>
      <c r="X403" s="160">
        <f t="shared" si="248"/>
        <v>-15</v>
      </c>
      <c r="Y403" s="160">
        <f t="shared" si="248"/>
        <v>-15</v>
      </c>
      <c r="Z403" s="160">
        <f t="shared" si="248"/>
        <v>-15</v>
      </c>
      <c r="AA403" s="160">
        <f t="shared" si="248"/>
        <v>-15</v>
      </c>
      <c r="AB403" s="160">
        <f t="shared" si="248"/>
        <v>-15</v>
      </c>
      <c r="AC403" s="160">
        <f t="shared" si="248"/>
        <v>-15</v>
      </c>
      <c r="AD403" s="160">
        <f t="shared" si="248"/>
        <v>-15</v>
      </c>
      <c r="AE403" s="160">
        <f t="shared" si="248"/>
        <v>-15</v>
      </c>
      <c r="AF403" s="160">
        <f t="shared" si="248"/>
        <v>-15</v>
      </c>
      <c r="AG403" s="160">
        <f t="shared" si="248"/>
        <v>-15</v>
      </c>
      <c r="AH403" s="160">
        <f t="shared" si="248"/>
        <v>-15</v>
      </c>
      <c r="AI403" s="160">
        <f t="shared" si="248"/>
        <v>-15</v>
      </c>
      <c r="AJ403" s="160">
        <f t="shared" si="248"/>
        <v>-15</v>
      </c>
      <c r="AK403" s="160">
        <f t="shared" si="248"/>
        <v>-15</v>
      </c>
      <c r="AL403" s="160">
        <f>IF(-15&lt;-AK406,-AK406,-15)</f>
        <v>-15</v>
      </c>
      <c r="AM403" s="160">
        <f>IF(-15&lt;-AL406,-AL406,-15)</f>
        <v>-15</v>
      </c>
      <c r="AN403" s="160">
        <f>IF(-15&lt;-AM406,-AM406,-15)</f>
        <v>-15</v>
      </c>
    </row>
    <row r="404" spans="1:57" s="3" customFormat="1">
      <c r="B404" s="192" t="s">
        <v>1527</v>
      </c>
      <c r="C404" s="82" t="s">
        <v>900</v>
      </c>
      <c r="E404" s="207"/>
      <c r="F404" s="207"/>
      <c r="G404" s="207"/>
      <c r="H404" s="207"/>
      <c r="I404" s="207"/>
      <c r="J404" s="207"/>
      <c r="K404" s="207"/>
      <c r="L404" s="207"/>
      <c r="M404" s="207"/>
      <c r="N404" s="207"/>
      <c r="O404" s="207"/>
      <c r="P404" s="207"/>
      <c r="Q404" s="499"/>
      <c r="S404" s="499"/>
      <c r="T404" s="499"/>
      <c r="U404" s="499"/>
      <c r="V404" s="499"/>
      <c r="W404" s="160">
        <v>0</v>
      </c>
      <c r="X404" s="160">
        <v>0</v>
      </c>
      <c r="Y404" s="499"/>
      <c r="Z404" s="499"/>
      <c r="AA404" s="499"/>
      <c r="AB404" s="499"/>
      <c r="AC404" s="499"/>
      <c r="AD404" s="499"/>
      <c r="AE404" s="499"/>
      <c r="AF404" s="499"/>
      <c r="AG404" s="499"/>
      <c r="AH404" s="499"/>
      <c r="AI404" s="499"/>
      <c r="AJ404" s="499"/>
      <c r="AK404" s="499"/>
      <c r="AL404" s="499"/>
      <c r="AM404" s="499"/>
      <c r="AN404" s="499"/>
    </row>
    <row r="405" spans="1:57" s="3" customFormat="1">
      <c r="B405" s="192" t="s">
        <v>3</v>
      </c>
      <c r="C405" s="82" t="s">
        <v>900</v>
      </c>
      <c r="E405" s="207"/>
      <c r="F405" s="207"/>
      <c r="G405" s="207"/>
      <c r="H405" s="207"/>
      <c r="I405" s="207"/>
      <c r="J405" s="207"/>
      <c r="K405" s="207"/>
      <c r="L405" s="207"/>
      <c r="M405" s="207"/>
      <c r="N405" s="207"/>
      <c r="O405" s="207"/>
      <c r="P405" s="207"/>
      <c r="Q405" s="499"/>
      <c r="S405" s="214">
        <f>S406-SUM(R406,S403:S404)</f>
        <v>0.19999999999998863</v>
      </c>
      <c r="T405" s="214">
        <f>T406-SUM(S406,T403:T404)</f>
        <v>-12.199999999999989</v>
      </c>
      <c r="U405" s="214">
        <f>U406-SUM(T406,U403:U404)</f>
        <v>-6.5</v>
      </c>
      <c r="V405" s="214">
        <f>V406-SUM(U406,V403:V404)</f>
        <v>28.100000000000023</v>
      </c>
      <c r="W405" s="160">
        <f t="shared" ref="W405:AN405" si="249">IF(-15&lt;-V408,-V408,-15)</f>
        <v>0</v>
      </c>
      <c r="X405" s="160">
        <f t="shared" si="249"/>
        <v>0</v>
      </c>
      <c r="Y405" s="160">
        <f t="shared" si="249"/>
        <v>0</v>
      </c>
      <c r="Z405" s="160">
        <f t="shared" si="249"/>
        <v>0</v>
      </c>
      <c r="AA405" s="160">
        <f t="shared" si="249"/>
        <v>0</v>
      </c>
      <c r="AB405" s="160">
        <f t="shared" si="249"/>
        <v>0</v>
      </c>
      <c r="AC405" s="160">
        <f t="shared" si="249"/>
        <v>0</v>
      </c>
      <c r="AD405" s="160">
        <f t="shared" si="249"/>
        <v>0</v>
      </c>
      <c r="AE405" s="160">
        <f t="shared" si="249"/>
        <v>0</v>
      </c>
      <c r="AF405" s="160">
        <f t="shared" si="249"/>
        <v>0</v>
      </c>
      <c r="AG405" s="160">
        <f t="shared" si="249"/>
        <v>0</v>
      </c>
      <c r="AH405" s="160">
        <f t="shared" si="249"/>
        <v>0</v>
      </c>
      <c r="AI405" s="160">
        <f t="shared" si="249"/>
        <v>0</v>
      </c>
      <c r="AJ405" s="160">
        <f t="shared" si="249"/>
        <v>0</v>
      </c>
      <c r="AK405" s="160">
        <f t="shared" si="249"/>
        <v>0</v>
      </c>
      <c r="AL405" s="160">
        <f t="shared" si="249"/>
        <v>0</v>
      </c>
      <c r="AM405" s="160">
        <f t="shared" si="249"/>
        <v>0</v>
      </c>
      <c r="AN405" s="160">
        <f t="shared" si="249"/>
        <v>0</v>
      </c>
    </row>
    <row r="406" spans="1:57" s="3" customFormat="1">
      <c r="B406" s="189" t="s">
        <v>1572</v>
      </c>
      <c r="C406" s="163" t="s">
        <v>900</v>
      </c>
      <c r="E406" s="207"/>
      <c r="F406" s="207"/>
      <c r="G406" s="207"/>
      <c r="H406" s="207"/>
      <c r="I406" s="207"/>
      <c r="J406" s="207"/>
      <c r="K406" s="207"/>
      <c r="L406" s="207"/>
      <c r="M406" s="485">
        <v>0</v>
      </c>
      <c r="N406" s="485">
        <v>0</v>
      </c>
      <c r="O406" s="485">
        <v>0</v>
      </c>
      <c r="P406" s="485">
        <v>0</v>
      </c>
      <c r="Q406" s="485">
        <v>0</v>
      </c>
      <c r="R406" s="485">
        <v>341.2</v>
      </c>
      <c r="S406" s="207">
        <f>288.7+37.7</f>
        <v>326.39999999999998</v>
      </c>
      <c r="T406" s="207">
        <v>299.2</v>
      </c>
      <c r="U406" s="207">
        <v>277.7</v>
      </c>
      <c r="V406" s="207">
        <v>290.8</v>
      </c>
      <c r="W406" s="203">
        <f t="shared" ref="W406:AK406" si="250">V406+SUM(W403:W404)</f>
        <v>275.8</v>
      </c>
      <c r="X406" s="203">
        <f t="shared" si="250"/>
        <v>260.8</v>
      </c>
      <c r="Y406" s="203">
        <f t="shared" si="250"/>
        <v>245.8</v>
      </c>
      <c r="Z406" s="203">
        <f t="shared" si="250"/>
        <v>230.8</v>
      </c>
      <c r="AA406" s="203">
        <f t="shared" si="250"/>
        <v>215.8</v>
      </c>
      <c r="AB406" s="203">
        <f t="shared" si="250"/>
        <v>200.8</v>
      </c>
      <c r="AC406" s="203">
        <f t="shared" si="250"/>
        <v>185.8</v>
      </c>
      <c r="AD406" s="203">
        <f t="shared" si="250"/>
        <v>170.8</v>
      </c>
      <c r="AE406" s="203">
        <f t="shared" si="250"/>
        <v>155.80000000000001</v>
      </c>
      <c r="AF406" s="203">
        <f t="shared" si="250"/>
        <v>140.80000000000001</v>
      </c>
      <c r="AG406" s="203">
        <f t="shared" si="250"/>
        <v>125.80000000000001</v>
      </c>
      <c r="AH406" s="203">
        <f t="shared" si="250"/>
        <v>110.80000000000001</v>
      </c>
      <c r="AI406" s="203">
        <f t="shared" si="250"/>
        <v>95.800000000000011</v>
      </c>
      <c r="AJ406" s="203">
        <f t="shared" si="250"/>
        <v>80.800000000000011</v>
      </c>
      <c r="AK406" s="203">
        <f t="shared" si="250"/>
        <v>65.800000000000011</v>
      </c>
      <c r="AL406" s="203">
        <f>AK406+SUM(AL403:AL404)</f>
        <v>50.800000000000011</v>
      </c>
      <c r="AM406" s="203">
        <f>AL406+SUM(AM403:AM404)</f>
        <v>35.800000000000011</v>
      </c>
      <c r="AN406" s="203">
        <f>AM406+SUM(AN403:AN404)</f>
        <v>20.800000000000011</v>
      </c>
    </row>
    <row r="407" spans="1:57" s="3" customFormat="1">
      <c r="B407" s="189"/>
      <c r="C407" s="82"/>
      <c r="E407" s="207"/>
      <c r="F407" s="207"/>
      <c r="G407" s="207"/>
      <c r="H407" s="207"/>
      <c r="I407" s="207"/>
      <c r="J407" s="207"/>
      <c r="K407" s="207"/>
      <c r="L407" s="207"/>
      <c r="M407" s="135"/>
      <c r="N407" s="135"/>
      <c r="O407" s="135"/>
      <c r="P407" s="135"/>
      <c r="Q407" s="135"/>
      <c r="R407" s="135"/>
      <c r="S407" s="203"/>
      <c r="T407" s="203"/>
      <c r="U407" s="203"/>
      <c r="V407" s="203"/>
      <c r="W407" s="203"/>
      <c r="X407" s="203"/>
      <c r="Y407" s="203"/>
      <c r="Z407" s="203"/>
      <c r="AA407" s="203"/>
      <c r="AB407" s="203"/>
      <c r="AC407" s="203"/>
      <c r="AD407" s="203"/>
      <c r="AE407" s="203"/>
      <c r="AF407" s="203"/>
      <c r="AG407" s="203"/>
      <c r="AH407" s="203"/>
      <c r="AI407" s="203"/>
      <c r="AJ407" s="203"/>
      <c r="AK407" s="203"/>
      <c r="AL407" s="203"/>
      <c r="AM407" s="203"/>
      <c r="AN407" s="203"/>
    </row>
    <row r="408" spans="1:57" s="3" customFormat="1">
      <c r="B408" s="192" t="s">
        <v>1526</v>
      </c>
      <c r="C408" s="82" t="s">
        <v>900</v>
      </c>
      <c r="E408" s="207"/>
      <c r="F408" s="207"/>
      <c r="G408" s="207"/>
      <c r="H408" s="207"/>
      <c r="I408" s="207"/>
      <c r="J408" s="207"/>
      <c r="K408" s="207"/>
      <c r="L408" s="207"/>
      <c r="M408" s="207"/>
      <c r="N408" s="207"/>
      <c r="O408" s="207"/>
      <c r="P408" s="207"/>
      <c r="Q408" s="207"/>
      <c r="R408" s="207"/>
      <c r="S408" s="207"/>
      <c r="T408" s="207"/>
      <c r="U408" s="207"/>
      <c r="V408" s="207"/>
      <c r="W408" s="207"/>
      <c r="X408" s="207"/>
      <c r="Y408" s="207"/>
      <c r="Z408" s="207"/>
      <c r="AA408" s="207"/>
      <c r="AB408" s="207"/>
      <c r="AC408" s="207"/>
      <c r="AD408" s="207"/>
      <c r="AE408" s="207"/>
      <c r="AF408" s="207"/>
      <c r="AG408" s="207"/>
      <c r="AH408" s="207"/>
      <c r="AI408" s="207"/>
      <c r="AJ408" s="207"/>
      <c r="AK408" s="207"/>
      <c r="AL408" s="207"/>
      <c r="AM408" s="207"/>
      <c r="AN408" s="207"/>
    </row>
    <row r="409" spans="1:57" s="3" customFormat="1">
      <c r="B409" s="192" t="s">
        <v>1575</v>
      </c>
      <c r="C409" s="82" t="s">
        <v>900</v>
      </c>
      <c r="E409" s="207"/>
      <c r="F409" s="207"/>
      <c r="G409" s="207"/>
      <c r="H409" s="207"/>
      <c r="I409" s="207"/>
      <c r="J409" s="207"/>
      <c r="K409" s="207"/>
      <c r="L409" s="207"/>
      <c r="M409" s="207"/>
      <c r="N409" s="207"/>
      <c r="O409" s="207"/>
      <c r="P409" s="207"/>
      <c r="Q409" s="207"/>
      <c r="R409" s="207"/>
      <c r="S409" s="207"/>
      <c r="T409" s="207"/>
      <c r="U409" s="207"/>
      <c r="V409" s="207"/>
      <c r="W409" s="207"/>
      <c r="X409" s="207"/>
      <c r="Y409" s="207"/>
      <c r="Z409" s="207"/>
      <c r="AA409" s="207"/>
      <c r="AB409" s="207"/>
      <c r="AC409" s="207"/>
      <c r="AD409" s="207"/>
      <c r="AE409" s="207"/>
      <c r="AF409" s="207"/>
      <c r="AG409" s="207"/>
      <c r="AH409" s="207"/>
      <c r="AI409" s="207"/>
      <c r="AJ409" s="207"/>
      <c r="AK409" s="207"/>
      <c r="AL409" s="207"/>
      <c r="AM409" s="207"/>
      <c r="AN409" s="207"/>
    </row>
    <row r="410" spans="1:57" s="3" customFormat="1">
      <c r="B410" s="189" t="s">
        <v>1574</v>
      </c>
      <c r="C410" s="82" t="s">
        <v>900</v>
      </c>
      <c r="E410" s="207"/>
      <c r="F410" s="207"/>
      <c r="G410" s="207"/>
      <c r="H410" s="207"/>
      <c r="I410" s="207"/>
      <c r="J410" s="207"/>
      <c r="K410" s="207"/>
      <c r="L410" s="207"/>
      <c r="M410" s="135"/>
      <c r="N410" s="135"/>
      <c r="O410" s="135"/>
      <c r="P410" s="135"/>
      <c r="Q410" s="135"/>
      <c r="R410" s="135"/>
      <c r="S410" s="135"/>
      <c r="T410" s="135"/>
      <c r="U410" s="135"/>
      <c r="V410" s="135"/>
      <c r="W410" s="135"/>
      <c r="X410" s="135"/>
      <c r="Y410" s="135"/>
      <c r="Z410" s="135"/>
      <c r="AA410" s="135"/>
      <c r="AB410" s="135"/>
      <c r="AC410" s="135"/>
      <c r="AD410" s="135"/>
      <c r="AE410" s="135"/>
      <c r="AF410" s="135"/>
      <c r="AG410" s="135"/>
      <c r="AH410" s="135"/>
      <c r="AI410" s="135"/>
      <c r="AJ410" s="135"/>
      <c r="AK410" s="135"/>
      <c r="AL410" s="135"/>
      <c r="AM410" s="135"/>
      <c r="AN410" s="135"/>
    </row>
    <row r="411" spans="1:57">
      <c r="B411" s="82"/>
      <c r="C411" s="20"/>
      <c r="D411" s="2"/>
      <c r="E411" s="2"/>
      <c r="F411" s="2"/>
      <c r="G411" s="241"/>
      <c r="H411" s="241"/>
      <c r="I411" s="241"/>
      <c r="J411" s="241"/>
      <c r="K411" s="241"/>
      <c r="L411" s="241"/>
      <c r="M411" s="241"/>
      <c r="N411" s="241"/>
      <c r="O411" s="241"/>
      <c r="P411" s="241"/>
      <c r="Q411" s="241"/>
      <c r="R411" s="241"/>
      <c r="S411" s="241"/>
      <c r="T411" s="241"/>
      <c r="U411" s="241"/>
      <c r="V411" s="241"/>
      <c r="W411" s="241"/>
      <c r="X411" s="241"/>
      <c r="Y411" s="241"/>
      <c r="Z411" s="241"/>
      <c r="AA411" s="241"/>
      <c r="AB411" s="241"/>
      <c r="AC411" s="241"/>
      <c r="AD411" s="241"/>
      <c r="AE411" s="241"/>
      <c r="AF411" s="241"/>
      <c r="AG411" s="241"/>
      <c r="AH411" s="241"/>
      <c r="AI411" s="241"/>
      <c r="AJ411" s="241"/>
      <c r="AK411" s="241"/>
      <c r="AL411" s="241"/>
      <c r="AM411" s="241"/>
      <c r="AN411" s="241"/>
      <c r="AO411" s="241"/>
      <c r="AP411" s="241"/>
      <c r="AQ411" s="241"/>
      <c r="AR411" s="241"/>
      <c r="AS411" s="241"/>
      <c r="AT411" s="241"/>
      <c r="AU411" s="241"/>
      <c r="AV411" s="241"/>
      <c r="AW411" s="241"/>
      <c r="AX411" s="241"/>
      <c r="AY411" s="241"/>
      <c r="AZ411" s="241"/>
      <c r="BA411" s="241"/>
      <c r="BB411" s="241"/>
      <c r="BC411" s="241"/>
      <c r="BD411" s="241"/>
      <c r="BE411" s="241"/>
    </row>
    <row r="412" spans="1:57" s="199" customFormat="1">
      <c r="B412" s="211"/>
      <c r="C412" s="82"/>
      <c r="D412" s="212"/>
      <c r="E412" s="507"/>
      <c r="F412" s="507"/>
      <c r="G412" s="507"/>
      <c r="H412" s="507"/>
      <c r="I412" s="507"/>
      <c r="J412" s="507"/>
      <c r="K412" s="507"/>
      <c r="L412" s="507"/>
      <c r="M412" s="507"/>
      <c r="N412" s="507"/>
      <c r="O412" s="507"/>
      <c r="P412" s="507"/>
      <c r="Q412" s="256"/>
      <c r="R412" s="256"/>
      <c r="S412" s="256"/>
      <c r="T412" s="256"/>
      <c r="U412" s="256"/>
      <c r="V412" s="256"/>
      <c r="W412" s="256"/>
      <c r="X412" s="256"/>
      <c r="Y412" s="256"/>
      <c r="Z412" s="256"/>
      <c r="AA412" s="256"/>
      <c r="AB412" s="256"/>
      <c r="AC412" s="256"/>
      <c r="AD412" s="256"/>
      <c r="AE412" s="256"/>
      <c r="AF412" s="256"/>
      <c r="AG412" s="256"/>
      <c r="AH412" s="256"/>
      <c r="AI412" s="256"/>
      <c r="AJ412" s="256"/>
      <c r="AK412" s="256"/>
      <c r="AL412" s="256"/>
      <c r="AM412" s="256"/>
      <c r="AN412" s="256"/>
    </row>
    <row r="413" spans="1:57" s="199" customFormat="1">
      <c r="A413" s="1"/>
      <c r="B413" s="257" t="s">
        <v>1011</v>
      </c>
      <c r="D413" s="212"/>
      <c r="E413" s="507"/>
      <c r="F413" s="507"/>
      <c r="G413" s="507"/>
      <c r="H413" s="507"/>
      <c r="I413" s="507"/>
      <c r="J413" s="507"/>
      <c r="K413" s="507"/>
      <c r="L413" s="507"/>
      <c r="M413" s="507"/>
      <c r="N413" s="507"/>
      <c r="O413" s="507"/>
      <c r="P413" s="507"/>
      <c r="Q413" s="256"/>
      <c r="R413" s="256"/>
      <c r="S413" s="256"/>
      <c r="T413" s="256"/>
      <c r="U413" s="256"/>
      <c r="V413" s="256"/>
      <c r="W413" s="256"/>
      <c r="X413" s="256"/>
      <c r="Y413" s="256"/>
      <c r="Z413" s="256"/>
      <c r="AA413" s="256"/>
      <c r="AB413" s="256"/>
      <c r="AC413" s="256"/>
      <c r="AD413" s="256"/>
      <c r="AE413" s="256"/>
      <c r="AF413" s="256"/>
      <c r="AG413" s="256"/>
      <c r="AH413" s="256"/>
      <c r="AI413" s="256"/>
      <c r="AJ413" s="256"/>
      <c r="AK413" s="256"/>
      <c r="AL413" s="256"/>
      <c r="AM413" s="256"/>
      <c r="AN413" s="256"/>
    </row>
    <row r="414" spans="1:57" s="199" customFormat="1">
      <c r="A414" s="1"/>
      <c r="B414" s="209" t="s">
        <v>1259</v>
      </c>
      <c r="C414" s="82" t="s">
        <v>842</v>
      </c>
      <c r="D414" s="212"/>
      <c r="E414" s="507"/>
      <c r="F414" s="507"/>
      <c r="G414" s="507"/>
      <c r="H414" s="507"/>
      <c r="I414" s="507"/>
      <c r="J414" s="507"/>
      <c r="K414" s="507"/>
      <c r="L414" s="507"/>
      <c r="M414" s="215">
        <f t="shared" ref="M414:X414" si="251">M417/M271</f>
        <v>3.2543608435303309E-2</v>
      </c>
      <c r="N414" s="215">
        <f t="shared" si="251"/>
        <v>4.4489795918367339E-2</v>
      </c>
      <c r="O414" s="215">
        <f t="shared" si="251"/>
        <v>3.7857983522950174E-2</v>
      </c>
      <c r="P414" s="215">
        <f t="shared" si="251"/>
        <v>5.3108026554013275E-2</v>
      </c>
      <c r="Q414" s="215">
        <f t="shared" si="251"/>
        <v>4.4312169312169317E-2</v>
      </c>
      <c r="R414" s="215">
        <f t="shared" si="251"/>
        <v>4.7463030195696441E-2</v>
      </c>
      <c r="S414" s="215">
        <f t="shared" si="251"/>
        <v>2.6290092390896119E-2</v>
      </c>
      <c r="T414" s="215">
        <f t="shared" si="251"/>
        <v>2.7896828489051669E-2</v>
      </c>
      <c r="U414" s="215">
        <f t="shared" si="251"/>
        <v>2.0075842070042382E-2</v>
      </c>
      <c r="V414" s="215">
        <f t="shared" si="251"/>
        <v>3.0199783181043827E-2</v>
      </c>
      <c r="W414" s="215">
        <f t="shared" si="251"/>
        <v>3.2120286616660887E-2</v>
      </c>
      <c r="X414" s="215">
        <f t="shared" si="251"/>
        <v>3.3432775934377414E-2</v>
      </c>
      <c r="Y414" s="505">
        <v>2.5000000000000001E-2</v>
      </c>
      <c r="Z414" s="215">
        <f>Z417/Z271</f>
        <v>2.8808087638489674E-2</v>
      </c>
      <c r="AA414" s="505">
        <v>2.5000000000000001E-2</v>
      </c>
      <c r="AB414" s="505">
        <v>2.5000000000000001E-2</v>
      </c>
      <c r="AC414" s="867">
        <v>2.4E-2</v>
      </c>
      <c r="AD414" s="867">
        <v>2.4E-2</v>
      </c>
      <c r="AE414" s="867">
        <v>2.4E-2</v>
      </c>
      <c r="AF414" s="867">
        <v>2.4E-2</v>
      </c>
      <c r="AG414" s="867">
        <v>2.4E-2</v>
      </c>
      <c r="AH414" s="867">
        <v>2.4E-2</v>
      </c>
      <c r="AI414" s="867">
        <v>2.4E-2</v>
      </c>
      <c r="AJ414" s="867">
        <v>2.4E-2</v>
      </c>
      <c r="AK414" s="867">
        <v>2.4E-2</v>
      </c>
      <c r="AL414" s="867">
        <v>2.4E-2</v>
      </c>
      <c r="AM414" s="215">
        <f t="shared" ref="AM414:AN414" si="252">AM417/AM271</f>
        <v>2.2499126336573236E-2</v>
      </c>
      <c r="AN414" s="215">
        <f t="shared" si="252"/>
        <v>2.357535485608174E-2</v>
      </c>
    </row>
    <row r="415" spans="1:57" s="199" customFormat="1">
      <c r="A415" s="517"/>
      <c r="B415" s="209" t="s">
        <v>1010</v>
      </c>
      <c r="C415" s="82" t="s">
        <v>1009</v>
      </c>
      <c r="D415" s="212"/>
      <c r="E415" s="507"/>
      <c r="F415" s="507"/>
      <c r="G415" s="507"/>
      <c r="H415" s="507"/>
      <c r="I415" s="507"/>
      <c r="J415" s="507"/>
      <c r="K415" s="507"/>
      <c r="L415" s="507"/>
      <c r="M415" s="519">
        <f t="shared" ref="M415:S415" si="253">-M421/M416</f>
        <v>15.007429420505202</v>
      </c>
      <c r="N415" s="519">
        <f t="shared" si="253"/>
        <v>14.605250123823678</v>
      </c>
      <c r="O415" s="519">
        <f t="shared" si="253"/>
        <v>18.158428390367551</v>
      </c>
      <c r="P415" s="519">
        <f t="shared" si="253"/>
        <v>9.7541191381495551</v>
      </c>
      <c r="Q415" s="519">
        <f t="shared" si="253"/>
        <v>6.269436997319036</v>
      </c>
      <c r="R415" s="519">
        <f t="shared" si="253"/>
        <v>5.3954423592493299</v>
      </c>
      <c r="S415" s="519">
        <f t="shared" si="253"/>
        <v>12.479514415781487</v>
      </c>
      <c r="T415" s="519">
        <f>-T421/T416</f>
        <v>7.4809302325581379</v>
      </c>
      <c r="U415" s="519">
        <f>-U421/U416</f>
        <v>7.1207992733878349</v>
      </c>
      <c r="V415" s="519">
        <f>-V421/V416</f>
        <v>10.103404791929368</v>
      </c>
      <c r="W415" s="256">
        <v>6.8</v>
      </c>
      <c r="X415" s="256">
        <f t="shared" ref="X415:AK415" si="254">W415</f>
        <v>6.8</v>
      </c>
      <c r="Y415" s="256">
        <f t="shared" si="254"/>
        <v>6.8</v>
      </c>
      <c r="Z415" s="256">
        <f t="shared" si="254"/>
        <v>6.8</v>
      </c>
      <c r="AA415" s="256">
        <f t="shared" si="254"/>
        <v>6.8</v>
      </c>
      <c r="AB415" s="256">
        <f t="shared" si="254"/>
        <v>6.8</v>
      </c>
      <c r="AC415" s="256">
        <f t="shared" si="254"/>
        <v>6.8</v>
      </c>
      <c r="AD415" s="256">
        <f t="shared" si="254"/>
        <v>6.8</v>
      </c>
      <c r="AE415" s="256">
        <f t="shared" si="254"/>
        <v>6.8</v>
      </c>
      <c r="AF415" s="256">
        <f t="shared" si="254"/>
        <v>6.8</v>
      </c>
      <c r="AG415" s="256">
        <f t="shared" si="254"/>
        <v>6.8</v>
      </c>
      <c r="AH415" s="256">
        <f t="shared" si="254"/>
        <v>6.8</v>
      </c>
      <c r="AI415" s="256">
        <f t="shared" si="254"/>
        <v>6.8</v>
      </c>
      <c r="AJ415" s="256">
        <f t="shared" si="254"/>
        <v>6.8</v>
      </c>
      <c r="AK415" s="256">
        <f t="shared" si="254"/>
        <v>6.8</v>
      </c>
      <c r="AL415" s="256">
        <f>AK415</f>
        <v>6.8</v>
      </c>
      <c r="AM415" s="256">
        <f>AL415</f>
        <v>6.8</v>
      </c>
      <c r="AN415" s="256">
        <f>AM415</f>
        <v>6.8</v>
      </c>
    </row>
    <row r="416" spans="1:57" s="199" customFormat="1">
      <c r="A416" s="515"/>
      <c r="B416" s="209" t="s">
        <v>1263</v>
      </c>
      <c r="C416" s="82" t="s">
        <v>900</v>
      </c>
      <c r="D416" s="212"/>
      <c r="E416" s="507"/>
      <c r="F416" s="507"/>
      <c r="G416" s="507"/>
      <c r="H416" s="507"/>
      <c r="I416" s="507"/>
      <c r="J416" s="507"/>
      <c r="K416" s="507"/>
      <c r="L416" s="507"/>
      <c r="M416" s="518">
        <v>-100.94999999999999</v>
      </c>
      <c r="N416" s="518">
        <v>-100.94999999999999</v>
      </c>
      <c r="O416" s="518">
        <v>-78.900000000000006</v>
      </c>
      <c r="P416" s="518">
        <v>-78.900000000000006</v>
      </c>
      <c r="Q416" s="518">
        <f>-(53.1+96.1)/2</f>
        <v>-74.599999999999994</v>
      </c>
      <c r="R416" s="518">
        <f>-(53.1+96.1)/2</f>
        <v>-74.599999999999994</v>
      </c>
      <c r="S416" s="256">
        <f>-97.5-S388-S428</f>
        <v>-32.950000000000003</v>
      </c>
      <c r="T416" s="518">
        <f>-86.7-S416</f>
        <v>-53.75</v>
      </c>
      <c r="U416" s="256">
        <f>-107.2-U388-U428</f>
        <v>-55.049999999999955</v>
      </c>
      <c r="V416" s="518">
        <f>-94.7-U416</f>
        <v>-39.650000000000048</v>
      </c>
      <c r="W416" s="501">
        <v>-49</v>
      </c>
      <c r="X416" s="501">
        <v>-49</v>
      </c>
      <c r="Y416" s="501">
        <v>-52</v>
      </c>
      <c r="Z416" s="501">
        <v>-52</v>
      </c>
      <c r="AA416" s="136">
        <f t="shared" ref="AA416:AL416" si="255">Z421/-AA415</f>
        <v>-54.205882352941167</v>
      </c>
      <c r="AB416" s="136">
        <f t="shared" si="255"/>
        <v>-51.657109011711945</v>
      </c>
      <c r="AC416" s="136">
        <f t="shared" si="255"/>
        <v>-49.218702270925192</v>
      </c>
      <c r="AD416" s="136">
        <f t="shared" si="255"/>
        <v>-47.305487516559367</v>
      </c>
      <c r="AE416" s="136">
        <f t="shared" si="255"/>
        <v>-45.4154792760174</v>
      </c>
      <c r="AF416" s="136">
        <f t="shared" si="255"/>
        <v>-44.146893720488606</v>
      </c>
      <c r="AG416" s="136">
        <f t="shared" si="255"/>
        <v>-42.805723735538969</v>
      </c>
      <c r="AH416" s="136">
        <f t="shared" si="255"/>
        <v>-42.009556036096718</v>
      </c>
      <c r="AI416" s="136">
        <f t="shared" si="255"/>
        <v>-41.070240866240084</v>
      </c>
      <c r="AJ416" s="136">
        <f t="shared" si="255"/>
        <v>-40.621311660485581</v>
      </c>
      <c r="AK416" s="136">
        <f t="shared" si="255"/>
        <v>-39.976981134211783</v>
      </c>
      <c r="AL416" s="136">
        <f t="shared" si="255"/>
        <v>-39.784330383247791</v>
      </c>
      <c r="AM416" s="582">
        <f>-AM417</f>
        <v>-36.880517530455307</v>
      </c>
      <c r="AN416" s="582">
        <f>-AN417</f>
        <v>-36.880517530455307</v>
      </c>
    </row>
    <row r="417" spans="1:40" s="199" customFormat="1">
      <c r="A417" s="515"/>
      <c r="B417" s="209" t="s">
        <v>22</v>
      </c>
      <c r="C417" s="82" t="s">
        <v>900</v>
      </c>
      <c r="D417" s="212"/>
      <c r="E417" s="507"/>
      <c r="F417" s="507"/>
      <c r="G417" s="507"/>
      <c r="H417" s="507"/>
      <c r="I417" s="507"/>
      <c r="J417" s="507"/>
      <c r="K417" s="507"/>
      <c r="L417" s="507"/>
      <c r="M417" s="518">
        <v>37.5</v>
      </c>
      <c r="N417" s="518">
        <v>54.5</v>
      </c>
      <c r="O417" s="518">
        <v>48.25</v>
      </c>
      <c r="P417" s="518">
        <v>61.6</v>
      </c>
      <c r="Q417" s="518">
        <f>(35+72.2)/2</f>
        <v>53.6</v>
      </c>
      <c r="R417" s="518">
        <f>(35+72.2)/2</f>
        <v>53.6</v>
      </c>
      <c r="S417" s="256">
        <f>-S447-S429</f>
        <v>35</v>
      </c>
      <c r="T417" s="518">
        <f>-(T441+T429)</f>
        <v>35.800000000000004</v>
      </c>
      <c r="U417" s="256">
        <f>-U447-U429</f>
        <v>27</v>
      </c>
      <c r="V417" s="518">
        <v>39</v>
      </c>
      <c r="W417" s="501">
        <v>45</v>
      </c>
      <c r="X417" s="501">
        <v>45</v>
      </c>
      <c r="Y417" s="501">
        <v>40</v>
      </c>
      <c r="Z417" s="501">
        <v>40</v>
      </c>
      <c r="AA417" s="136">
        <f>AA414*AA271</f>
        <v>36.874223632582492</v>
      </c>
      <c r="AB417" s="136">
        <f t="shared" ref="AB417:AL417" si="256">AB414*AB271</f>
        <v>35.075943174362003</v>
      </c>
      <c r="AC417" s="136">
        <f t="shared" si="256"/>
        <v>36.208841941237608</v>
      </c>
      <c r="AD417" s="136">
        <f t="shared" si="256"/>
        <v>34.453431480873959</v>
      </c>
      <c r="AE417" s="136">
        <f t="shared" si="256"/>
        <v>36.789097498421619</v>
      </c>
      <c r="AF417" s="136">
        <f t="shared" si="256"/>
        <v>35.026937822831059</v>
      </c>
      <c r="AG417" s="136">
        <f t="shared" si="256"/>
        <v>37.391783379331685</v>
      </c>
      <c r="AH417" s="136">
        <f t="shared" si="256"/>
        <v>35.622212881071576</v>
      </c>
      <c r="AI417" s="136">
        <f t="shared" si="256"/>
        <v>38.017522267109463</v>
      </c>
      <c r="AJ417" s="136">
        <f t="shared" si="256"/>
        <v>36.239864081823768</v>
      </c>
      <c r="AK417" s="136">
        <f t="shared" si="256"/>
        <v>38.666956027656624</v>
      </c>
      <c r="AL417" s="136">
        <f t="shared" si="256"/>
        <v>36.880517530455307</v>
      </c>
      <c r="AM417" s="501">
        <f>AL417</f>
        <v>36.880517530455307</v>
      </c>
      <c r="AN417" s="501">
        <f>AM417</f>
        <v>36.880517530455307</v>
      </c>
    </row>
    <row r="418" spans="1:40" s="199" customFormat="1">
      <c r="A418" s="511"/>
      <c r="B418" s="209" t="s">
        <v>1258</v>
      </c>
      <c r="C418" s="82" t="s">
        <v>900</v>
      </c>
      <c r="D418" s="212"/>
      <c r="E418" s="507"/>
      <c r="F418" s="507"/>
      <c r="G418" s="507"/>
      <c r="H418" s="507"/>
      <c r="I418" s="507"/>
      <c r="J418" s="507"/>
      <c r="K418" s="507"/>
      <c r="L418" s="507"/>
      <c r="M418" s="518">
        <v>0</v>
      </c>
      <c r="N418" s="518">
        <v>0</v>
      </c>
      <c r="O418" s="518">
        <v>0</v>
      </c>
      <c r="P418" s="518">
        <v>0</v>
      </c>
      <c r="Q418" s="518">
        <v>0</v>
      </c>
      <c r="R418" s="518">
        <v>0</v>
      </c>
      <c r="S418" s="518">
        <v>0</v>
      </c>
      <c r="T418" s="518">
        <v>0</v>
      </c>
      <c r="U418" s="518">
        <v>0</v>
      </c>
      <c r="V418" s="518">
        <v>0</v>
      </c>
      <c r="W418" s="160">
        <v>0</v>
      </c>
      <c r="X418" s="160">
        <v>0</v>
      </c>
      <c r="Y418" s="160">
        <v>0</v>
      </c>
      <c r="Z418" s="160">
        <v>0</v>
      </c>
      <c r="AA418" s="160">
        <v>0</v>
      </c>
      <c r="AB418" s="160">
        <v>0</v>
      </c>
      <c r="AC418" s="160">
        <v>0</v>
      </c>
      <c r="AD418" s="160">
        <v>0</v>
      </c>
      <c r="AE418" s="160">
        <v>0</v>
      </c>
      <c r="AF418" s="160">
        <v>0</v>
      </c>
      <c r="AG418" s="160">
        <v>0</v>
      </c>
      <c r="AH418" s="160">
        <v>0</v>
      </c>
      <c r="AI418" s="160">
        <v>0</v>
      </c>
      <c r="AJ418" s="160">
        <v>0</v>
      </c>
      <c r="AK418" s="160">
        <v>0</v>
      </c>
      <c r="AL418" s="160">
        <v>0</v>
      </c>
      <c r="AM418" s="160">
        <v>0</v>
      </c>
      <c r="AN418" s="160">
        <v>0</v>
      </c>
    </row>
    <row r="419" spans="1:40" s="199" customFormat="1">
      <c r="A419" s="1"/>
      <c r="B419" s="209" t="s">
        <v>3</v>
      </c>
      <c r="C419" s="82" t="s">
        <v>900</v>
      </c>
      <c r="D419" s="212"/>
      <c r="E419" s="507"/>
      <c r="F419" s="507"/>
      <c r="G419" s="507"/>
      <c r="H419" s="507"/>
      <c r="I419" s="507"/>
      <c r="J419" s="507"/>
      <c r="K419" s="507"/>
      <c r="L419" s="507"/>
      <c r="M419" s="214"/>
      <c r="N419" s="214">
        <f t="shared" ref="N419:V419" si="257">N421-SUM(M421,N416:N418)</f>
        <v>5.8500000000001364</v>
      </c>
      <c r="O419" s="214">
        <f t="shared" si="257"/>
        <v>-11.050000000000182</v>
      </c>
      <c r="P419" s="214">
        <f t="shared" si="257"/>
        <v>-645.79999999999973</v>
      </c>
      <c r="Q419" s="214">
        <f t="shared" si="257"/>
        <v>-280.89999999999986</v>
      </c>
      <c r="R419" s="214">
        <f t="shared" si="257"/>
        <v>-44.200000000000045</v>
      </c>
      <c r="S419" s="214">
        <f t="shared" si="257"/>
        <v>6.6500000000000341</v>
      </c>
      <c r="T419" s="214">
        <f t="shared" si="257"/>
        <v>8.8499999999998522</v>
      </c>
      <c r="U419" s="214">
        <f t="shared" si="257"/>
        <v>17.950000000000045</v>
      </c>
      <c r="V419" s="214">
        <f t="shared" si="257"/>
        <v>9.2499999999999432</v>
      </c>
      <c r="W419" s="160">
        <v>0</v>
      </c>
      <c r="X419" s="160">
        <v>0</v>
      </c>
      <c r="Y419" s="160">
        <v>0</v>
      </c>
      <c r="Z419" s="160">
        <v>0</v>
      </c>
      <c r="AA419" s="160">
        <v>0</v>
      </c>
      <c r="AB419" s="160">
        <v>0</v>
      </c>
      <c r="AC419" s="160">
        <v>0</v>
      </c>
      <c r="AD419" s="160">
        <v>0</v>
      </c>
      <c r="AE419" s="160">
        <v>0</v>
      </c>
      <c r="AF419" s="160">
        <v>0</v>
      </c>
      <c r="AG419" s="160">
        <v>0</v>
      </c>
      <c r="AH419" s="160">
        <v>0</v>
      </c>
      <c r="AI419" s="160">
        <v>0</v>
      </c>
      <c r="AJ419" s="160">
        <v>0</v>
      </c>
      <c r="AK419" s="160">
        <v>0</v>
      </c>
      <c r="AL419" s="160">
        <v>0</v>
      </c>
      <c r="AM419" s="160">
        <v>0</v>
      </c>
      <c r="AN419" s="160">
        <v>0</v>
      </c>
    </row>
    <row r="420" spans="1:40" s="199" customFormat="1">
      <c r="A420" s="511"/>
      <c r="B420" s="209" t="s">
        <v>991</v>
      </c>
      <c r="C420" s="166" t="s">
        <v>991</v>
      </c>
      <c r="D420" s="212"/>
      <c r="E420" s="507"/>
      <c r="F420" s="507"/>
      <c r="G420" s="507"/>
      <c r="H420" s="507"/>
      <c r="I420" s="507"/>
      <c r="J420" s="507"/>
      <c r="K420" s="507"/>
      <c r="L420" s="507"/>
      <c r="M420" s="221" t="s">
        <v>991</v>
      </c>
      <c r="N420" s="221" t="s">
        <v>991</v>
      </c>
      <c r="O420" s="221" t="s">
        <v>991</v>
      </c>
      <c r="P420" s="221" t="s">
        <v>991</v>
      </c>
      <c r="Q420" s="221" t="s">
        <v>991</v>
      </c>
      <c r="R420" s="221" t="s">
        <v>991</v>
      </c>
      <c r="S420" s="221" t="s">
        <v>991</v>
      </c>
      <c r="T420" s="221" t="s">
        <v>991</v>
      </c>
      <c r="U420" s="221" t="s">
        <v>991</v>
      </c>
      <c r="V420" s="221" t="s">
        <v>991</v>
      </c>
      <c r="W420" s="221" t="s">
        <v>991</v>
      </c>
      <c r="X420" s="221" t="s">
        <v>991</v>
      </c>
      <c r="Y420" s="221" t="s">
        <v>991</v>
      </c>
      <c r="Z420" s="221" t="s">
        <v>991</v>
      </c>
      <c r="AA420" s="221" t="s">
        <v>991</v>
      </c>
      <c r="AB420" s="221" t="s">
        <v>991</v>
      </c>
      <c r="AC420" s="221" t="s">
        <v>991</v>
      </c>
      <c r="AD420" s="221" t="s">
        <v>991</v>
      </c>
      <c r="AE420" s="221" t="s">
        <v>991</v>
      </c>
      <c r="AF420" s="221" t="s">
        <v>991</v>
      </c>
      <c r="AG420" s="221" t="s">
        <v>991</v>
      </c>
      <c r="AH420" s="221" t="s">
        <v>991</v>
      </c>
      <c r="AI420" s="221" t="s">
        <v>991</v>
      </c>
      <c r="AJ420" s="221" t="s">
        <v>991</v>
      </c>
      <c r="AK420" s="221" t="s">
        <v>991</v>
      </c>
      <c r="AL420" s="221" t="s">
        <v>991</v>
      </c>
      <c r="AM420" s="221" t="s">
        <v>991</v>
      </c>
      <c r="AN420" s="221" t="s">
        <v>991</v>
      </c>
    </row>
    <row r="421" spans="1:40" s="199" customFormat="1">
      <c r="A421" s="522"/>
      <c r="B421" s="225" t="s">
        <v>1569</v>
      </c>
      <c r="C421" s="163" t="s">
        <v>900</v>
      </c>
      <c r="D421" s="212"/>
      <c r="E421" s="520"/>
      <c r="F421" s="520"/>
      <c r="G421" s="520"/>
      <c r="H421" s="520"/>
      <c r="I421" s="520"/>
      <c r="J421" s="520"/>
      <c r="K421" s="520"/>
      <c r="L421" s="520">
        <f>10098-L422</f>
        <v>3059.8999999999996</v>
      </c>
      <c r="M421" s="808">
        <f>3249-M422</f>
        <v>1515</v>
      </c>
      <c r="N421" s="808">
        <f>2515+693.4-N422</f>
        <v>1474.4</v>
      </c>
      <c r="O421" s="808">
        <f>2500.9+665.8-O422</f>
        <v>1432.6999999999998</v>
      </c>
      <c r="P421" s="213">
        <f t="shared" ref="P421:U421" si="258">P423-P422</f>
        <v>769.59999999999991</v>
      </c>
      <c r="Q421" s="213">
        <f t="shared" si="258"/>
        <v>467.70000000000005</v>
      </c>
      <c r="R421" s="213">
        <f t="shared" si="258"/>
        <v>402.5</v>
      </c>
      <c r="S421" s="213">
        <f t="shared" si="258"/>
        <v>411.20000000000005</v>
      </c>
      <c r="T421" s="213">
        <f t="shared" si="258"/>
        <v>402.09999999999991</v>
      </c>
      <c r="U421" s="213">
        <f t="shared" si="258"/>
        <v>392</v>
      </c>
      <c r="V421" s="213">
        <f t="shared" ref="V421" si="259">V423-V422</f>
        <v>400.59999999999991</v>
      </c>
      <c r="W421" s="213">
        <f t="shared" ref="W421:AN421" si="260">SUM(V421,W416:W420)</f>
        <v>396.59999999999991</v>
      </c>
      <c r="X421" s="213">
        <f t="shared" si="260"/>
        <v>392.59999999999991</v>
      </c>
      <c r="Y421" s="213">
        <f t="shared" si="260"/>
        <v>380.59999999999991</v>
      </c>
      <c r="Z421" s="213">
        <f t="shared" si="260"/>
        <v>368.59999999999991</v>
      </c>
      <c r="AA421" s="213">
        <f t="shared" si="260"/>
        <v>351.26834127964122</v>
      </c>
      <c r="AB421" s="213">
        <f t="shared" si="260"/>
        <v>334.68717544229128</v>
      </c>
      <c r="AC421" s="213">
        <f t="shared" si="260"/>
        <v>321.67731511260371</v>
      </c>
      <c r="AD421" s="213">
        <f t="shared" si="260"/>
        <v>308.82525907691831</v>
      </c>
      <c r="AE421" s="213">
        <f t="shared" si="260"/>
        <v>300.19887729932253</v>
      </c>
      <c r="AF421" s="213">
        <f t="shared" si="260"/>
        <v>291.07892140166496</v>
      </c>
      <c r="AG421" s="213">
        <f t="shared" si="260"/>
        <v>285.66498104545769</v>
      </c>
      <c r="AH421" s="213">
        <f t="shared" si="260"/>
        <v>279.27763789043257</v>
      </c>
      <c r="AI421" s="213">
        <f t="shared" si="260"/>
        <v>276.22491929130194</v>
      </c>
      <c r="AJ421" s="213">
        <f t="shared" si="260"/>
        <v>271.84347171264011</v>
      </c>
      <c r="AK421" s="213">
        <f t="shared" si="260"/>
        <v>270.53344660608496</v>
      </c>
      <c r="AL421" s="213">
        <f t="shared" si="260"/>
        <v>267.62963375329252</v>
      </c>
      <c r="AM421" s="213">
        <f t="shared" si="260"/>
        <v>267.62963375329252</v>
      </c>
      <c r="AN421" s="213">
        <f t="shared" si="260"/>
        <v>267.62963375329252</v>
      </c>
    </row>
    <row r="422" spans="1:40">
      <c r="B422" s="192" t="s">
        <v>52</v>
      </c>
      <c r="C422" s="82" t="s">
        <v>900</v>
      </c>
      <c r="D422" s="212"/>
      <c r="E422" s="208"/>
      <c r="F422" s="208"/>
      <c r="G422" s="208"/>
      <c r="H422" s="208"/>
      <c r="I422" s="208"/>
      <c r="J422" s="208"/>
      <c r="K422" s="208"/>
      <c r="L422" s="208">
        <v>7038.1</v>
      </c>
      <c r="M422" s="208">
        <v>1734</v>
      </c>
      <c r="N422" s="208">
        <v>1734</v>
      </c>
      <c r="O422" s="208">
        <v>1734</v>
      </c>
      <c r="P422" s="208">
        <v>1734</v>
      </c>
      <c r="Q422" s="208">
        <f>1734-212.8</f>
        <v>1521.2</v>
      </c>
      <c r="R422" s="208">
        <v>988</v>
      </c>
      <c r="S422" s="208">
        <v>988</v>
      </c>
      <c r="T422" s="208">
        <v>988</v>
      </c>
      <c r="U422" s="208">
        <v>988</v>
      </c>
      <c r="V422" s="208">
        <v>988</v>
      </c>
      <c r="W422" s="256">
        <f t="shared" ref="W422:AK422" si="261">V422</f>
        <v>988</v>
      </c>
      <c r="X422" s="501">
        <f>W422+283</f>
        <v>1271</v>
      </c>
      <c r="Y422" s="256">
        <f t="shared" si="261"/>
        <v>1271</v>
      </c>
      <c r="Z422" s="256">
        <f t="shared" si="261"/>
        <v>1271</v>
      </c>
      <c r="AA422" s="256">
        <f t="shared" si="261"/>
        <v>1271</v>
      </c>
      <c r="AB422" s="256">
        <f t="shared" si="261"/>
        <v>1271</v>
      </c>
      <c r="AC422" s="256">
        <f t="shared" si="261"/>
        <v>1271</v>
      </c>
      <c r="AD422" s="256">
        <f t="shared" si="261"/>
        <v>1271</v>
      </c>
      <c r="AE422" s="256">
        <f t="shared" si="261"/>
        <v>1271</v>
      </c>
      <c r="AF422" s="256">
        <f t="shared" si="261"/>
        <v>1271</v>
      </c>
      <c r="AG422" s="256">
        <f t="shared" si="261"/>
        <v>1271</v>
      </c>
      <c r="AH422" s="256">
        <f t="shared" si="261"/>
        <v>1271</v>
      </c>
      <c r="AI422" s="256">
        <f t="shared" si="261"/>
        <v>1271</v>
      </c>
      <c r="AJ422" s="256">
        <f t="shared" si="261"/>
        <v>1271</v>
      </c>
      <c r="AK422" s="256">
        <f t="shared" si="261"/>
        <v>1271</v>
      </c>
      <c r="AL422" s="256">
        <f>AK422</f>
        <v>1271</v>
      </c>
      <c r="AM422" s="256">
        <f>AL422</f>
        <v>1271</v>
      </c>
      <c r="AN422" s="256">
        <f>AM422</f>
        <v>1271</v>
      </c>
    </row>
    <row r="423" spans="1:40" s="199" customFormat="1">
      <c r="B423" s="189" t="s">
        <v>1570</v>
      </c>
      <c r="C423" s="163" t="s">
        <v>900</v>
      </c>
      <c r="D423" s="212"/>
      <c r="E423" s="520"/>
      <c r="F423" s="520"/>
      <c r="G423" s="520"/>
      <c r="H423" s="520"/>
      <c r="I423" s="520"/>
      <c r="J423" s="520"/>
      <c r="K423" s="520"/>
      <c r="L423" s="520"/>
      <c r="M423" s="807">
        <f>SUM(M421:M422)</f>
        <v>3249</v>
      </c>
      <c r="N423" s="807">
        <f>SUM(N421:N422)</f>
        <v>3208.4</v>
      </c>
      <c r="O423" s="807">
        <f>SUM(O421:O422)</f>
        <v>3166.7</v>
      </c>
      <c r="P423" s="520">
        <v>2503.6</v>
      </c>
      <c r="Q423" s="520">
        <v>1988.9</v>
      </c>
      <c r="R423" s="520">
        <v>1390.5</v>
      </c>
      <c r="S423" s="520">
        <v>1399.2</v>
      </c>
      <c r="T423" s="520">
        <v>1390.1</v>
      </c>
      <c r="U423" s="520">
        <v>1380</v>
      </c>
      <c r="V423" s="520">
        <v>1388.6</v>
      </c>
      <c r="W423" s="222">
        <f t="shared" ref="W423:AN423" si="262">SUM(W421:W422)</f>
        <v>1384.6</v>
      </c>
      <c r="X423" s="222">
        <f t="shared" si="262"/>
        <v>1663.6</v>
      </c>
      <c r="Y423" s="222">
        <f t="shared" si="262"/>
        <v>1651.6</v>
      </c>
      <c r="Z423" s="222">
        <f t="shared" si="262"/>
        <v>1639.6</v>
      </c>
      <c r="AA423" s="222">
        <f t="shared" si="262"/>
        <v>1622.2683412796412</v>
      </c>
      <c r="AB423" s="222">
        <f t="shared" si="262"/>
        <v>1605.6871754422914</v>
      </c>
      <c r="AC423" s="222">
        <f t="shared" si="262"/>
        <v>1592.6773151126038</v>
      </c>
      <c r="AD423" s="222">
        <f t="shared" si="262"/>
        <v>1579.8252590769184</v>
      </c>
      <c r="AE423" s="222">
        <f t="shared" si="262"/>
        <v>1571.1988772993225</v>
      </c>
      <c r="AF423" s="222">
        <f t="shared" si="262"/>
        <v>1562.078921401665</v>
      </c>
      <c r="AG423" s="222">
        <f t="shared" si="262"/>
        <v>1556.6649810454578</v>
      </c>
      <c r="AH423" s="222">
        <f t="shared" si="262"/>
        <v>1550.2776378904325</v>
      </c>
      <c r="AI423" s="222">
        <f t="shared" si="262"/>
        <v>1547.2249192913018</v>
      </c>
      <c r="AJ423" s="222">
        <f t="shared" si="262"/>
        <v>1542.8434717126402</v>
      </c>
      <c r="AK423" s="222">
        <f t="shared" si="262"/>
        <v>1541.5334466060849</v>
      </c>
      <c r="AL423" s="222">
        <f t="shared" si="262"/>
        <v>1538.6296337532926</v>
      </c>
      <c r="AM423" s="222">
        <f t="shared" si="262"/>
        <v>1538.6296337532926</v>
      </c>
      <c r="AN423" s="222">
        <f t="shared" si="262"/>
        <v>1538.6296337532926</v>
      </c>
    </row>
    <row r="424" spans="1:40" s="199" customFormat="1">
      <c r="B424" s="211"/>
      <c r="C424" s="82"/>
      <c r="D424" s="212"/>
      <c r="E424" s="507"/>
      <c r="F424" s="507"/>
      <c r="G424" s="507"/>
      <c r="H424" s="507"/>
      <c r="I424" s="507"/>
      <c r="J424" s="507"/>
      <c r="K424" s="507"/>
      <c r="L424" s="507"/>
      <c r="M424" s="507"/>
      <c r="N424" s="507"/>
      <c r="O424" s="507"/>
      <c r="P424" s="507"/>
      <c r="Q424" s="256"/>
      <c r="R424" s="256"/>
      <c r="S424" s="256"/>
      <c r="T424" s="256"/>
      <c r="U424" s="256"/>
      <c r="V424" s="256"/>
      <c r="W424" s="256"/>
      <c r="X424" s="256"/>
      <c r="Y424" s="256"/>
      <c r="Z424" s="256"/>
      <c r="AA424" s="256"/>
      <c r="AB424" s="256"/>
      <c r="AC424" s="256"/>
      <c r="AD424" s="256"/>
      <c r="AE424" s="256"/>
      <c r="AF424" s="256"/>
      <c r="AG424" s="256"/>
      <c r="AH424" s="256"/>
      <c r="AI424" s="256"/>
      <c r="AJ424" s="256"/>
      <c r="AK424" s="256"/>
      <c r="AL424" s="256"/>
      <c r="AM424" s="256"/>
      <c r="AN424" s="256"/>
    </row>
    <row r="425" spans="1:40" s="199" customFormat="1">
      <c r="B425" s="257" t="s">
        <v>89</v>
      </c>
      <c r="C425" s="82"/>
      <c r="D425" s="212"/>
      <c r="E425" s="507"/>
      <c r="F425" s="507"/>
      <c r="G425" s="507"/>
      <c r="H425" s="507"/>
      <c r="I425" s="507"/>
      <c r="J425" s="507"/>
      <c r="K425" s="507"/>
      <c r="L425" s="507"/>
      <c r="M425" s="507"/>
      <c r="N425" s="507"/>
      <c r="O425" s="507"/>
      <c r="P425" s="507"/>
      <c r="Q425" s="256"/>
      <c r="R425" s="256"/>
      <c r="S425" s="256"/>
      <c r="T425" s="256"/>
      <c r="U425" s="256"/>
      <c r="V425" s="256"/>
      <c r="W425" s="256"/>
      <c r="X425" s="256"/>
      <c r="Y425" s="256"/>
      <c r="Z425" s="256"/>
      <c r="AA425" s="256"/>
      <c r="AB425" s="256"/>
      <c r="AC425" s="256"/>
      <c r="AD425" s="256"/>
      <c r="AE425" s="256"/>
      <c r="AF425" s="256"/>
      <c r="AG425" s="256"/>
      <c r="AH425" s="256"/>
      <c r="AI425" s="256"/>
      <c r="AJ425" s="256"/>
      <c r="AK425" s="256"/>
      <c r="AL425" s="256"/>
      <c r="AM425" s="256"/>
      <c r="AN425" s="256"/>
    </row>
    <row r="426" spans="1:40" s="199" customFormat="1">
      <c r="A426" s="1"/>
      <c r="B426" s="192" t="s">
        <v>1260</v>
      </c>
      <c r="C426" s="82" t="s">
        <v>842</v>
      </c>
      <c r="D426" s="212"/>
      <c r="E426" s="507"/>
      <c r="F426" s="507"/>
      <c r="G426" s="507"/>
      <c r="H426" s="507"/>
      <c r="I426" s="507"/>
      <c r="J426" s="507"/>
      <c r="K426" s="507"/>
      <c r="L426" s="507"/>
      <c r="M426" s="215">
        <f t="shared" ref="M426:V426" si="263">M429/M271</f>
        <v>1.7356591165495098E-2</v>
      </c>
      <c r="N426" s="215">
        <f t="shared" si="263"/>
        <v>1.7959183673469385E-2</v>
      </c>
      <c r="O426" s="215">
        <f t="shared" si="263"/>
        <v>1.6987053746567286E-2</v>
      </c>
      <c r="P426" s="215">
        <f t="shared" si="263"/>
        <v>2.0605224588326577E-2</v>
      </c>
      <c r="Q426" s="215">
        <f t="shared" si="263"/>
        <v>2.5214947089947093E-2</v>
      </c>
      <c r="R426" s="215">
        <f t="shared" si="263"/>
        <v>2.700788098822279E-2</v>
      </c>
      <c r="S426" s="215">
        <f t="shared" si="263"/>
        <v>1.6525200931420417E-2</v>
      </c>
      <c r="T426" s="215">
        <f t="shared" si="263"/>
        <v>1.7143302423439571E-2</v>
      </c>
      <c r="U426" s="215">
        <f t="shared" si="263"/>
        <v>1.7845192951148784E-2</v>
      </c>
      <c r="V426" s="215">
        <f t="shared" si="263"/>
        <v>3.8717670744927983E-2</v>
      </c>
      <c r="W426" s="190">
        <f>V426</f>
        <v>3.8717670744927983E-2</v>
      </c>
      <c r="X426" s="190">
        <f>W426</f>
        <v>3.8717670744927983E-2</v>
      </c>
      <c r="Y426" s="505">
        <v>0.02</v>
      </c>
      <c r="Z426" s="190">
        <f t="shared" ref="Z426:AK426" si="264">Y426</f>
        <v>0.02</v>
      </c>
      <c r="AA426" s="190">
        <f t="shared" si="264"/>
        <v>0.02</v>
      </c>
      <c r="AB426" s="190">
        <f t="shared" si="264"/>
        <v>0.02</v>
      </c>
      <c r="AC426" s="190">
        <f t="shared" si="264"/>
        <v>0.02</v>
      </c>
      <c r="AD426" s="190">
        <f t="shared" si="264"/>
        <v>0.02</v>
      </c>
      <c r="AE426" s="190">
        <f t="shared" si="264"/>
        <v>0.02</v>
      </c>
      <c r="AF426" s="190">
        <f t="shared" si="264"/>
        <v>0.02</v>
      </c>
      <c r="AG426" s="190">
        <f t="shared" si="264"/>
        <v>0.02</v>
      </c>
      <c r="AH426" s="190">
        <f t="shared" si="264"/>
        <v>0.02</v>
      </c>
      <c r="AI426" s="190">
        <f t="shared" si="264"/>
        <v>0.02</v>
      </c>
      <c r="AJ426" s="190">
        <f t="shared" si="264"/>
        <v>0.02</v>
      </c>
      <c r="AK426" s="190">
        <f t="shared" si="264"/>
        <v>0.02</v>
      </c>
      <c r="AL426" s="190">
        <f t="shared" ref="AL426:AN427" si="265">AK426</f>
        <v>0.02</v>
      </c>
      <c r="AM426" s="190">
        <f t="shared" si="265"/>
        <v>0.02</v>
      </c>
      <c r="AN426" s="190">
        <f t="shared" si="265"/>
        <v>0.02</v>
      </c>
    </row>
    <row r="427" spans="1:40" s="199" customFormat="1">
      <c r="A427" s="511"/>
      <c r="B427" s="192" t="s">
        <v>1261</v>
      </c>
      <c r="C427" s="82" t="s">
        <v>1009</v>
      </c>
      <c r="D427" s="212"/>
      <c r="E427" s="507"/>
      <c r="F427" s="507"/>
      <c r="G427" s="507"/>
      <c r="H427" s="507"/>
      <c r="I427" s="507"/>
      <c r="J427" s="507"/>
      <c r="K427" s="507"/>
      <c r="L427" s="507"/>
      <c r="M427" s="519">
        <f t="shared" ref="M427:R427" si="266">-M432/M428</f>
        <v>6.4565718677940049</v>
      </c>
      <c r="N427" s="519">
        <f t="shared" si="266"/>
        <v>5.3712528823981556</v>
      </c>
      <c r="O427" s="519">
        <f t="shared" si="266"/>
        <v>7.8062953995157383</v>
      </c>
      <c r="P427" s="519">
        <f t="shared" si="266"/>
        <v>6.5786924939467317</v>
      </c>
      <c r="Q427" s="519">
        <f t="shared" si="266"/>
        <v>5.6652601969057663</v>
      </c>
      <c r="R427" s="519">
        <f t="shared" si="266"/>
        <v>5.175808720112518</v>
      </c>
      <c r="S427" s="256">
        <f>R427</f>
        <v>5.175808720112518</v>
      </c>
      <c r="T427" s="519">
        <f>-T432/T428</f>
        <v>9.3257403189066039</v>
      </c>
      <c r="U427" s="256">
        <f>T427</f>
        <v>9.3257403189066039</v>
      </c>
      <c r="V427" s="519">
        <f>-V432/V428</f>
        <v>5.901234567901235</v>
      </c>
      <c r="W427" s="519">
        <f t="shared" ref="W427:Z427" si="267">-W432/W428</f>
        <v>6.0450704225352112</v>
      </c>
      <c r="X427" s="519">
        <f t="shared" si="267"/>
        <v>6.0309859154929573</v>
      </c>
      <c r="Y427" s="519">
        <f t="shared" si="267"/>
        <v>7.3033333333333328</v>
      </c>
      <c r="Z427" s="519">
        <f t="shared" si="267"/>
        <v>7.47</v>
      </c>
      <c r="AA427" s="256">
        <f t="shared" ref="AA427:AK427" si="268">Z427</f>
        <v>7.47</v>
      </c>
      <c r="AB427" s="256">
        <f t="shared" si="268"/>
        <v>7.47</v>
      </c>
      <c r="AC427" s="256">
        <f t="shared" si="268"/>
        <v>7.47</v>
      </c>
      <c r="AD427" s="256">
        <f t="shared" si="268"/>
        <v>7.47</v>
      </c>
      <c r="AE427" s="256">
        <f t="shared" si="268"/>
        <v>7.47</v>
      </c>
      <c r="AF427" s="256">
        <f t="shared" si="268"/>
        <v>7.47</v>
      </c>
      <c r="AG427" s="256">
        <f t="shared" si="268"/>
        <v>7.47</v>
      </c>
      <c r="AH427" s="256">
        <f t="shared" si="268"/>
        <v>7.47</v>
      </c>
      <c r="AI427" s="256">
        <f t="shared" si="268"/>
        <v>7.47</v>
      </c>
      <c r="AJ427" s="256">
        <f t="shared" si="268"/>
        <v>7.47</v>
      </c>
      <c r="AK427" s="256">
        <f t="shared" si="268"/>
        <v>7.47</v>
      </c>
      <c r="AL427" s="256">
        <f t="shared" si="265"/>
        <v>7.47</v>
      </c>
      <c r="AM427" s="256">
        <f t="shared" si="265"/>
        <v>7.47</v>
      </c>
      <c r="AN427" s="256">
        <f t="shared" si="265"/>
        <v>7.47</v>
      </c>
    </row>
    <row r="428" spans="1:40" s="199" customFormat="1">
      <c r="A428" s="515"/>
      <c r="B428" s="192" t="s">
        <v>1262</v>
      </c>
      <c r="C428" s="82" t="s">
        <v>900</v>
      </c>
      <c r="D428" s="212"/>
      <c r="E428" s="507"/>
      <c r="F428" s="507"/>
      <c r="G428" s="507"/>
      <c r="H428" s="507"/>
      <c r="I428" s="507"/>
      <c r="J428" s="507"/>
      <c r="K428" s="507"/>
      <c r="L428" s="507"/>
      <c r="M428" s="518">
        <f>-88.1/2-42/2</f>
        <v>-65.05</v>
      </c>
      <c r="N428" s="518">
        <f>-88.1/2-42/2</f>
        <v>-65.05</v>
      </c>
      <c r="O428" s="518">
        <f>-50.4/2-32.2/2</f>
        <v>-41.3</v>
      </c>
      <c r="P428" s="518">
        <f>-50.4/2-32.2/2</f>
        <v>-41.3</v>
      </c>
      <c r="Q428" s="518">
        <f>-(46.9+24.2)/2</f>
        <v>-35.549999999999997</v>
      </c>
      <c r="R428" s="518">
        <f>-(46.9+24.2)/2</f>
        <v>-35.549999999999997</v>
      </c>
      <c r="S428" s="518">
        <f t="shared" ref="S428:AK428" si="269">R432/-S427</f>
        <v>-35.549999999999997</v>
      </c>
      <c r="T428" s="518">
        <f>-(38.2+19.3)-S428</f>
        <v>-21.950000000000003</v>
      </c>
      <c r="U428" s="518">
        <f t="shared" si="269"/>
        <v>-21.950000000000003</v>
      </c>
      <c r="V428" s="518">
        <f>-(34.9+23.5)-U428</f>
        <v>-36.449999999999996</v>
      </c>
      <c r="W428" s="501">
        <v>-35.5</v>
      </c>
      <c r="X428" s="501">
        <v>-35.5</v>
      </c>
      <c r="Y428" s="501">
        <v>-30</v>
      </c>
      <c r="Z428" s="501">
        <v>-30</v>
      </c>
      <c r="AA428" s="136">
        <f t="shared" si="269"/>
        <v>-30</v>
      </c>
      <c r="AB428" s="136">
        <f t="shared" si="269"/>
        <v>-29.932982450611245</v>
      </c>
      <c r="AC428" s="136">
        <f t="shared" si="269"/>
        <v>-29.682349530782378</v>
      </c>
      <c r="AD428" s="136">
        <f t="shared" si="269"/>
        <v>-29.74817087218117</v>
      </c>
      <c r="AE428" s="136">
        <f t="shared" si="269"/>
        <v>-29.609351866631922</v>
      </c>
      <c r="AF428" s="136">
        <f t="shared" si="269"/>
        <v>-29.749677085112882</v>
      </c>
      <c r="AG428" s="136">
        <f t="shared" si="269"/>
        <v>-29.674635286886151</v>
      </c>
      <c r="AH428" s="136">
        <f t="shared" si="269"/>
        <v>-29.873455125693415</v>
      </c>
      <c r="AI428" s="136">
        <f t="shared" si="269"/>
        <v>-29.848250610994562</v>
      </c>
      <c r="AJ428" s="136">
        <f t="shared" si="269"/>
        <v>-30.093634539365379</v>
      </c>
      <c r="AK428" s="136">
        <f t="shared" si="269"/>
        <v>-30.107858394183019</v>
      </c>
      <c r="AL428" s="136">
        <f>AK432/-AL427</f>
        <v>-30.390938041063542</v>
      </c>
      <c r="AM428" s="582">
        <f>-AM429</f>
        <v>-32.783955233412364</v>
      </c>
      <c r="AN428" s="582">
        <f>-AN429</f>
        <v>-31.287348806070021</v>
      </c>
    </row>
    <row r="429" spans="1:40" s="199" customFormat="1">
      <c r="A429" s="515"/>
      <c r="B429" s="192" t="s">
        <v>21</v>
      </c>
      <c r="C429" s="82" t="s">
        <v>900</v>
      </c>
      <c r="D429" s="212"/>
      <c r="E429" s="507"/>
      <c r="F429" s="507"/>
      <c r="G429" s="507"/>
      <c r="H429" s="507"/>
      <c r="I429" s="507"/>
      <c r="J429" s="507"/>
      <c r="K429" s="507"/>
      <c r="L429" s="507"/>
      <c r="M429" s="518">
        <v>20</v>
      </c>
      <c r="N429" s="518">
        <v>22</v>
      </c>
      <c r="O429" s="518">
        <f>69.9-O417</f>
        <v>21.650000000000006</v>
      </c>
      <c r="P429" s="518">
        <f>44.9/2+2.9/2</f>
        <v>23.9</v>
      </c>
      <c r="Q429" s="518">
        <f>(56+5)/2</f>
        <v>30.5</v>
      </c>
      <c r="R429" s="518">
        <f>(56+5)/2</f>
        <v>30.5</v>
      </c>
      <c r="S429" s="256">
        <v>22</v>
      </c>
      <c r="T429" s="518">
        <v>22</v>
      </c>
      <c r="U429" s="256">
        <v>24</v>
      </c>
      <c r="V429" s="256">
        <v>50</v>
      </c>
      <c r="W429" s="501">
        <v>35</v>
      </c>
      <c r="X429" s="501">
        <v>35</v>
      </c>
      <c r="Y429" s="501">
        <v>35</v>
      </c>
      <c r="Z429" s="501">
        <v>35</v>
      </c>
      <c r="AA429" s="136">
        <f t="shared" ref="AA429:AN429" si="270">AA271*AA426</f>
        <v>29.499378906065992</v>
      </c>
      <c r="AB429" s="136">
        <f t="shared" si="270"/>
        <v>28.060754539489604</v>
      </c>
      <c r="AC429" s="136">
        <f t="shared" si="270"/>
        <v>30.174034951031341</v>
      </c>
      <c r="AD429" s="136">
        <f t="shared" si="270"/>
        <v>28.711192900728296</v>
      </c>
      <c r="AE429" s="136">
        <f t="shared" si="270"/>
        <v>30.657581248684682</v>
      </c>
      <c r="AF429" s="136">
        <f t="shared" si="270"/>
        <v>29.189114852359218</v>
      </c>
      <c r="AG429" s="136">
        <f t="shared" si="270"/>
        <v>31.159819482776403</v>
      </c>
      <c r="AH429" s="136">
        <f t="shared" si="270"/>
        <v>29.685177400892982</v>
      </c>
      <c r="AI429" s="136">
        <f t="shared" si="270"/>
        <v>31.681268555924554</v>
      </c>
      <c r="AJ429" s="136">
        <f t="shared" si="270"/>
        <v>30.199886734853141</v>
      </c>
      <c r="AK429" s="136">
        <f t="shared" si="270"/>
        <v>32.222463356380516</v>
      </c>
      <c r="AL429" s="136">
        <f t="shared" si="270"/>
        <v>30.733764608712754</v>
      </c>
      <c r="AM429" s="136">
        <f t="shared" si="270"/>
        <v>32.783955233412364</v>
      </c>
      <c r="AN429" s="136">
        <f t="shared" si="270"/>
        <v>31.287348806070021</v>
      </c>
    </row>
    <row r="430" spans="1:40" s="199" customFormat="1">
      <c r="A430" s="515"/>
      <c r="B430" s="192" t="s">
        <v>3</v>
      </c>
      <c r="C430" s="82" t="s">
        <v>900</v>
      </c>
      <c r="D430" s="212"/>
      <c r="E430" s="507"/>
      <c r="F430" s="507"/>
      <c r="G430" s="507"/>
      <c r="H430" s="507"/>
      <c r="I430" s="507"/>
      <c r="J430" s="507"/>
      <c r="K430" s="507"/>
      <c r="L430" s="507"/>
      <c r="M430" s="507"/>
      <c r="N430" s="214">
        <f t="shared" ref="N430:V430" si="271">N432-SUM(M432,N428:N429)</f>
        <v>-27.550000000000011</v>
      </c>
      <c r="O430" s="214">
        <f t="shared" si="271"/>
        <v>-7.3500000000000227</v>
      </c>
      <c r="P430" s="214">
        <f t="shared" si="271"/>
        <v>-33.299999999999955</v>
      </c>
      <c r="Q430" s="214">
        <f t="shared" si="271"/>
        <v>-65.25</v>
      </c>
      <c r="R430" s="214">
        <f t="shared" si="271"/>
        <v>-12.349999999999966</v>
      </c>
      <c r="S430" s="214">
        <f t="shared" si="271"/>
        <v>35.25</v>
      </c>
      <c r="T430" s="214">
        <f t="shared" si="271"/>
        <v>-1.0500000000000114</v>
      </c>
      <c r="U430" s="214">
        <f t="shared" si="271"/>
        <v>-0.15000000000000568</v>
      </c>
      <c r="V430" s="214">
        <f t="shared" si="271"/>
        <v>-5.0500000000000114</v>
      </c>
      <c r="W430" s="160">
        <v>0</v>
      </c>
      <c r="X430" s="160">
        <v>0</v>
      </c>
      <c r="Y430" s="160">
        <v>0</v>
      </c>
      <c r="Z430" s="160">
        <v>0</v>
      </c>
      <c r="AA430" s="160">
        <v>0</v>
      </c>
      <c r="AB430" s="160">
        <v>0</v>
      </c>
      <c r="AC430" s="160">
        <v>0</v>
      </c>
      <c r="AD430" s="160">
        <v>0</v>
      </c>
      <c r="AE430" s="160">
        <v>0</v>
      </c>
      <c r="AF430" s="160">
        <v>0</v>
      </c>
      <c r="AG430" s="160">
        <v>0</v>
      </c>
      <c r="AH430" s="160">
        <v>0</v>
      </c>
      <c r="AI430" s="160">
        <v>0</v>
      </c>
      <c r="AJ430" s="160">
        <v>0</v>
      </c>
      <c r="AK430" s="160">
        <v>0</v>
      </c>
      <c r="AL430" s="160">
        <v>0</v>
      </c>
      <c r="AM430" s="160">
        <v>0</v>
      </c>
      <c r="AN430" s="160">
        <v>0</v>
      </c>
    </row>
    <row r="431" spans="1:40" s="199" customFormat="1">
      <c r="A431" s="516"/>
      <c r="B431" s="224" t="s">
        <v>991</v>
      </c>
      <c r="D431" s="212"/>
      <c r="E431" s="507"/>
      <c r="F431" s="507"/>
      <c r="G431" s="507"/>
      <c r="H431" s="507"/>
      <c r="I431" s="507"/>
      <c r="J431" s="507"/>
      <c r="K431" s="507"/>
      <c r="L431" s="507"/>
      <c r="M431" s="221" t="s">
        <v>991</v>
      </c>
      <c r="N431" s="221" t="s">
        <v>991</v>
      </c>
      <c r="O431" s="221" t="s">
        <v>991</v>
      </c>
      <c r="P431" s="221" t="s">
        <v>991</v>
      </c>
      <c r="Q431" s="221" t="s">
        <v>991</v>
      </c>
      <c r="R431" s="221" t="s">
        <v>991</v>
      </c>
      <c r="S431" s="221" t="s">
        <v>991</v>
      </c>
      <c r="T431" s="221" t="s">
        <v>991</v>
      </c>
      <c r="U431" s="221" t="s">
        <v>991</v>
      </c>
      <c r="V431" s="221" t="s">
        <v>991</v>
      </c>
      <c r="W431" s="221" t="s">
        <v>991</v>
      </c>
      <c r="X431" s="221" t="s">
        <v>991</v>
      </c>
      <c r="Y431" s="221" t="s">
        <v>991</v>
      </c>
      <c r="Z431" s="221" t="s">
        <v>991</v>
      </c>
      <c r="AA431" s="221" t="s">
        <v>991</v>
      </c>
      <c r="AB431" s="221" t="s">
        <v>991</v>
      </c>
      <c r="AC431" s="221" t="s">
        <v>991</v>
      </c>
      <c r="AD431" s="221" t="s">
        <v>991</v>
      </c>
      <c r="AE431" s="221" t="s">
        <v>991</v>
      </c>
      <c r="AF431" s="221" t="s">
        <v>991</v>
      </c>
      <c r="AG431" s="221" t="s">
        <v>991</v>
      </c>
      <c r="AH431" s="221" t="s">
        <v>991</v>
      </c>
      <c r="AI431" s="221" t="s">
        <v>991</v>
      </c>
      <c r="AJ431" s="221" t="s">
        <v>991</v>
      </c>
      <c r="AK431" s="221" t="s">
        <v>991</v>
      </c>
      <c r="AL431" s="221" t="s">
        <v>991</v>
      </c>
      <c r="AM431" s="221" t="s">
        <v>991</v>
      </c>
      <c r="AN431" s="221" t="s">
        <v>991</v>
      </c>
    </row>
    <row r="432" spans="1:40" s="3" customFormat="1">
      <c r="B432" s="189" t="s">
        <v>1008</v>
      </c>
      <c r="C432" s="163" t="s">
        <v>900</v>
      </c>
      <c r="E432" s="207"/>
      <c r="F432" s="207"/>
      <c r="G432" s="207"/>
      <c r="H432" s="207"/>
      <c r="I432" s="207"/>
      <c r="J432" s="207"/>
      <c r="K432" s="207"/>
      <c r="L432" s="207">
        <f>375.5+233.1</f>
        <v>608.6</v>
      </c>
      <c r="M432" s="207">
        <f>271+149</f>
        <v>420</v>
      </c>
      <c r="N432" s="207">
        <f>222.9+126.5</f>
        <v>349.4</v>
      </c>
      <c r="O432" s="207">
        <f>215.2+107.2</f>
        <v>322.39999999999998</v>
      </c>
      <c r="P432" s="207">
        <f>172+99.7</f>
        <v>271.7</v>
      </c>
      <c r="Q432" s="207">
        <f>144.1 +57.3</f>
        <v>201.39999999999998</v>
      </c>
      <c r="R432" s="207">
        <f>142.2+41.8</f>
        <v>184</v>
      </c>
      <c r="S432" s="207">
        <f>136.1+69.6</f>
        <v>205.7</v>
      </c>
      <c r="T432" s="207">
        <f>130.9+73.8</f>
        <v>204.7</v>
      </c>
      <c r="U432" s="207">
        <f>120.5+86.1</f>
        <v>206.6</v>
      </c>
      <c r="V432" s="207">
        <f>134+81.1</f>
        <v>215.1</v>
      </c>
      <c r="W432" s="499">
        <f t="shared" ref="W432:AK432" si="272">SUM(V432,W428:W431)</f>
        <v>214.6</v>
      </c>
      <c r="X432" s="499">
        <f t="shared" si="272"/>
        <v>214.1</v>
      </c>
      <c r="Y432" s="499">
        <f t="shared" si="272"/>
        <v>219.1</v>
      </c>
      <c r="Z432" s="499">
        <f t="shared" si="272"/>
        <v>224.1</v>
      </c>
      <c r="AA432" s="499">
        <f t="shared" si="272"/>
        <v>223.59937890606599</v>
      </c>
      <c r="AB432" s="499">
        <f t="shared" si="272"/>
        <v>221.72715099494437</v>
      </c>
      <c r="AC432" s="499">
        <f t="shared" si="272"/>
        <v>222.21883641519332</v>
      </c>
      <c r="AD432" s="499">
        <f t="shared" si="272"/>
        <v>221.18185844374045</v>
      </c>
      <c r="AE432" s="499">
        <f t="shared" si="272"/>
        <v>222.23008782579322</v>
      </c>
      <c r="AF432" s="499">
        <f t="shared" si="272"/>
        <v>221.66952559303954</v>
      </c>
      <c r="AG432" s="499">
        <f t="shared" si="272"/>
        <v>223.15470978892981</v>
      </c>
      <c r="AH432" s="499">
        <f t="shared" si="272"/>
        <v>222.96643206412938</v>
      </c>
      <c r="AI432" s="499">
        <f t="shared" si="272"/>
        <v>224.79945000905937</v>
      </c>
      <c r="AJ432" s="499">
        <f t="shared" si="272"/>
        <v>224.90570220454714</v>
      </c>
      <c r="AK432" s="499">
        <f t="shared" si="272"/>
        <v>227.02030716674466</v>
      </c>
      <c r="AL432" s="499">
        <f>SUM(AK432,AL428:AL431)</f>
        <v>227.36313373439387</v>
      </c>
      <c r="AM432" s="499">
        <f>SUM(AL432,AM428:AM431)</f>
        <v>227.36313373439387</v>
      </c>
      <c r="AN432" s="499">
        <f>SUM(AM432,AN428:AN431)</f>
        <v>227.36313373439387</v>
      </c>
    </row>
    <row r="433" spans="2:40" s="3" customFormat="1">
      <c r="B433" s="189"/>
      <c r="C433" s="163"/>
      <c r="E433" s="207"/>
      <c r="F433" s="207"/>
      <c r="G433" s="207"/>
      <c r="H433" s="207"/>
      <c r="I433" s="207"/>
      <c r="J433" s="207"/>
      <c r="K433" s="207"/>
      <c r="L433" s="207"/>
      <c r="M433" s="497"/>
      <c r="N433" s="497"/>
      <c r="O433" s="497"/>
      <c r="P433" s="497"/>
      <c r="Q433" s="497"/>
      <c r="R433" s="497"/>
      <c r="S433" s="497">
        <f t="shared" ref="S433:AN433" si="273">S301-S416-S428-S388</f>
        <v>0</v>
      </c>
      <c r="T433" s="497">
        <f t="shared" si="273"/>
        <v>1.2789769243681803E-13</v>
      </c>
      <c r="U433" s="497">
        <f t="shared" si="273"/>
        <v>0</v>
      </c>
      <c r="V433" s="497">
        <f t="shared" si="273"/>
        <v>-1.3500311979441904E-13</v>
      </c>
      <c r="W433" s="497">
        <f t="shared" si="273"/>
        <v>0</v>
      </c>
      <c r="X433" s="497">
        <f t="shared" si="273"/>
        <v>0</v>
      </c>
      <c r="Y433" s="497">
        <f t="shared" si="273"/>
        <v>0</v>
      </c>
      <c r="Z433" s="497">
        <f t="shared" si="273"/>
        <v>0</v>
      </c>
      <c r="AA433" s="497">
        <f t="shared" si="273"/>
        <v>0</v>
      </c>
      <c r="AB433" s="497">
        <f t="shared" si="273"/>
        <v>0</v>
      </c>
      <c r="AC433" s="497">
        <f t="shared" si="273"/>
        <v>0</v>
      </c>
      <c r="AD433" s="497">
        <f t="shared" si="273"/>
        <v>0</v>
      </c>
      <c r="AE433" s="497">
        <f t="shared" si="273"/>
        <v>0</v>
      </c>
      <c r="AF433" s="497">
        <f t="shared" si="273"/>
        <v>0</v>
      </c>
      <c r="AG433" s="497">
        <f t="shared" si="273"/>
        <v>0</v>
      </c>
      <c r="AH433" s="497">
        <f t="shared" si="273"/>
        <v>0</v>
      </c>
      <c r="AI433" s="497">
        <f t="shared" si="273"/>
        <v>0</v>
      </c>
      <c r="AJ433" s="497">
        <f t="shared" si="273"/>
        <v>0</v>
      </c>
      <c r="AK433" s="497">
        <f t="shared" si="273"/>
        <v>0</v>
      </c>
      <c r="AL433" s="497">
        <f t="shared" si="273"/>
        <v>0</v>
      </c>
      <c r="AM433" s="497">
        <f t="shared" si="273"/>
        <v>0</v>
      </c>
      <c r="AN433" s="497">
        <f t="shared" si="273"/>
        <v>0</v>
      </c>
    </row>
    <row r="434" spans="2:40" s="3" customFormat="1">
      <c r="B434" s="189"/>
      <c r="C434" s="82"/>
      <c r="E434" s="207"/>
      <c r="F434" s="207"/>
      <c r="G434" s="207"/>
      <c r="H434" s="207"/>
      <c r="I434" s="207"/>
      <c r="J434" s="207"/>
      <c r="K434" s="207"/>
      <c r="L434" s="207"/>
      <c r="M434" s="135"/>
      <c r="N434" s="135"/>
      <c r="O434" s="135"/>
      <c r="P434" s="135"/>
      <c r="Q434" s="135"/>
      <c r="R434" s="135"/>
      <c r="S434" s="203"/>
      <c r="T434" s="203"/>
      <c r="U434" s="203"/>
      <c r="V434" s="203"/>
      <c r="W434" s="203"/>
      <c r="X434" s="203"/>
      <c r="Y434" s="203"/>
      <c r="Z434" s="203"/>
      <c r="AA434" s="203"/>
      <c r="AB434" s="203"/>
      <c r="AC434" s="203"/>
      <c r="AD434" s="203"/>
      <c r="AE434" s="203"/>
      <c r="AF434" s="203"/>
      <c r="AG434" s="203"/>
      <c r="AH434" s="203"/>
      <c r="AI434" s="203"/>
      <c r="AJ434" s="203"/>
      <c r="AK434" s="203"/>
      <c r="AL434" s="203"/>
      <c r="AM434" s="203"/>
      <c r="AN434" s="203"/>
    </row>
    <row r="435" spans="2:40">
      <c r="B435" s="257" t="s">
        <v>80</v>
      </c>
      <c r="M435" s="132"/>
      <c r="N435" s="132"/>
      <c r="O435" s="132"/>
      <c r="P435" s="132"/>
    </row>
    <row r="436" spans="2:40">
      <c r="B436" s="502" t="s">
        <v>1246</v>
      </c>
      <c r="M436" s="132"/>
      <c r="N436" s="132"/>
      <c r="O436" s="132"/>
      <c r="P436" s="132"/>
      <c r="T436" s="499"/>
    </row>
    <row r="437" spans="2:40">
      <c r="B437" s="243" t="s">
        <v>1226</v>
      </c>
      <c r="C437" s="163" t="s">
        <v>900</v>
      </c>
      <c r="M437" s="135">
        <v>-43.1</v>
      </c>
      <c r="N437" s="135">
        <f>-100.4-M437</f>
        <v>-57.300000000000004</v>
      </c>
      <c r="O437" s="135">
        <v>-51.7</v>
      </c>
      <c r="P437" s="135">
        <f>-116.5-O437</f>
        <v>-64.8</v>
      </c>
      <c r="Q437" s="135">
        <v>-62.3</v>
      </c>
      <c r="R437" s="135">
        <f>-125.3-Q437</f>
        <v>-63</v>
      </c>
      <c r="S437" s="135">
        <v>-48.8</v>
      </c>
      <c r="T437" s="135">
        <f>-98.2-S437</f>
        <v>-49.400000000000006</v>
      </c>
      <c r="U437" s="135">
        <v>-48.8</v>
      </c>
      <c r="V437" s="135">
        <f>-122.8-U437</f>
        <v>-74</v>
      </c>
    </row>
    <row r="438" spans="2:40">
      <c r="B438" s="216" t="s">
        <v>1170</v>
      </c>
      <c r="C438" s="82" t="s">
        <v>900</v>
      </c>
      <c r="M438" s="135">
        <v>-6.3</v>
      </c>
      <c r="N438" s="135">
        <f>-9.8-M438</f>
        <v>-3.5000000000000009</v>
      </c>
      <c r="O438" s="135">
        <v>-8.6999999999999993</v>
      </c>
      <c r="P438" s="135">
        <f>-21-O438</f>
        <v>-12.3</v>
      </c>
      <c r="Q438" s="135">
        <v>-7.3</v>
      </c>
      <c r="R438" s="135">
        <f>-14.2 -Q438</f>
        <v>-6.8999999999999995</v>
      </c>
      <c r="S438" s="135"/>
      <c r="T438" s="135"/>
      <c r="U438" s="135"/>
      <c r="V438" s="135"/>
    </row>
    <row r="439" spans="2:40">
      <c r="B439" s="216" t="s">
        <v>1171</v>
      </c>
      <c r="C439" s="82" t="s">
        <v>900</v>
      </c>
      <c r="M439" s="214">
        <f t="shared" ref="M439:R439" si="274">M440-M438</f>
        <v>-8.1000000000000014</v>
      </c>
      <c r="N439" s="214">
        <f t="shared" si="274"/>
        <v>-15.700000000000003</v>
      </c>
      <c r="O439" s="214">
        <f t="shared" si="274"/>
        <v>-9.5</v>
      </c>
      <c r="P439" s="214">
        <f t="shared" si="274"/>
        <v>-8.3999999999999986</v>
      </c>
      <c r="Q439" s="214">
        <f t="shared" si="274"/>
        <v>-5.8999999999999995</v>
      </c>
      <c r="R439" s="214">
        <f t="shared" si="274"/>
        <v>-5.4000000000000012</v>
      </c>
      <c r="S439" s="214"/>
      <c r="T439" s="214"/>
      <c r="U439" s="214"/>
      <c r="V439" s="214"/>
    </row>
    <row r="440" spans="2:40">
      <c r="B440" s="243" t="s">
        <v>1227</v>
      </c>
      <c r="C440" s="163" t="s">
        <v>900</v>
      </c>
      <c r="M440" s="135">
        <v>-14.4</v>
      </c>
      <c r="N440" s="135">
        <f>-33.6-M440</f>
        <v>-19.200000000000003</v>
      </c>
      <c r="O440" s="135">
        <v>-18.2</v>
      </c>
      <c r="P440" s="135">
        <f>-38.9-O440</f>
        <v>-20.7</v>
      </c>
      <c r="Q440" s="135">
        <v>-13.2</v>
      </c>
      <c r="R440" s="135">
        <f>-25.5 -Q440</f>
        <v>-12.3</v>
      </c>
      <c r="S440" s="135">
        <v>-8.6</v>
      </c>
      <c r="T440" s="135">
        <f>-17 -S440</f>
        <v>-8.4</v>
      </c>
      <c r="U440" s="135">
        <v>-8.6</v>
      </c>
      <c r="V440" s="135">
        <f>-17.3 -U440</f>
        <v>-8.7000000000000011</v>
      </c>
    </row>
    <row r="441" spans="2:40">
      <c r="B441" s="210" t="s">
        <v>21</v>
      </c>
      <c r="C441" s="484" t="s">
        <v>900</v>
      </c>
      <c r="M441" s="485">
        <v>-57.5</v>
      </c>
      <c r="N441" s="485">
        <f>-134-M441</f>
        <v>-76.5</v>
      </c>
      <c r="O441" s="485">
        <v>-69.900000000000006</v>
      </c>
      <c r="P441" s="485">
        <f>-155.4-O441</f>
        <v>-85.5</v>
      </c>
      <c r="Q441" s="485">
        <v>-75.5</v>
      </c>
      <c r="R441" s="485">
        <f>-150.8-Q441</f>
        <v>-75.300000000000011</v>
      </c>
      <c r="S441" s="485">
        <v>-57.4</v>
      </c>
      <c r="T441" s="485">
        <f>-115.2-S441</f>
        <v>-57.800000000000004</v>
      </c>
      <c r="U441" s="485">
        <v>-50.8</v>
      </c>
      <c r="V441" s="485">
        <f>-115.2-U441</f>
        <v>-64.400000000000006</v>
      </c>
    </row>
    <row r="442" spans="2:40">
      <c r="B442" s="210"/>
      <c r="C442" s="484"/>
      <c r="M442" s="485"/>
      <c r="N442" s="485"/>
      <c r="O442" s="485"/>
      <c r="P442" s="485"/>
      <c r="Q442" s="485"/>
      <c r="R442" s="485"/>
      <c r="S442" s="485"/>
      <c r="T442" s="485"/>
      <c r="U442" s="485"/>
      <c r="V442" s="485"/>
    </row>
    <row r="443" spans="2:40">
      <c r="B443" s="502" t="s">
        <v>1264</v>
      </c>
      <c r="E443" s="142"/>
      <c r="F443" s="142"/>
      <c r="G443" s="142"/>
      <c r="H443" s="142"/>
      <c r="I443" s="142"/>
      <c r="J443" s="142"/>
      <c r="K443" s="142"/>
      <c r="L443" s="142"/>
      <c r="M443" s="142"/>
      <c r="N443" s="142"/>
      <c r="O443" s="142"/>
      <c r="P443" s="142"/>
      <c r="Q443" s="142"/>
      <c r="R443" s="142"/>
      <c r="S443" s="142"/>
      <c r="T443" s="142"/>
      <c r="U443" s="142"/>
      <c r="V443" s="142"/>
      <c r="W443" s="142"/>
      <c r="X443" s="142"/>
      <c r="Y443" s="142"/>
      <c r="Z443" s="142"/>
      <c r="AA443" s="142"/>
      <c r="AB443" s="142"/>
      <c r="AC443" s="142"/>
      <c r="AD443" s="142"/>
      <c r="AE443" s="142"/>
      <c r="AF443" s="142"/>
      <c r="AG443" s="142"/>
      <c r="AH443" s="142"/>
      <c r="AI443" s="142"/>
      <c r="AJ443" s="142"/>
      <c r="AK443" s="142"/>
      <c r="AL443" s="142"/>
      <c r="AM443" s="142"/>
      <c r="AN443" s="142"/>
    </row>
    <row r="444" spans="2:40">
      <c r="B444" s="209" t="s">
        <v>1252</v>
      </c>
      <c r="C444" s="82" t="s">
        <v>900</v>
      </c>
      <c r="E444" s="142"/>
      <c r="F444" s="142"/>
      <c r="G444" s="142"/>
      <c r="H444" s="142"/>
      <c r="I444" s="142"/>
      <c r="J444" s="142"/>
      <c r="K444" s="142"/>
      <c r="L444" s="142"/>
      <c r="M444" s="133">
        <v>-31</v>
      </c>
      <c r="N444" s="133">
        <f>-66-M444</f>
        <v>-35</v>
      </c>
      <c r="O444" s="133">
        <v>-26</v>
      </c>
      <c r="P444" s="133">
        <f>-52-O444</f>
        <v>-26</v>
      </c>
      <c r="Q444" s="133">
        <v>-13</v>
      </c>
      <c r="R444" s="133">
        <f>-39-Q444</f>
        <v>-26</v>
      </c>
      <c r="S444" s="133">
        <v>-15</v>
      </c>
      <c r="T444" s="133">
        <f>-36-S444</f>
        <v>-21</v>
      </c>
      <c r="U444" s="133">
        <v>-10</v>
      </c>
      <c r="V444" s="133">
        <f>-28-U444</f>
        <v>-18</v>
      </c>
      <c r="W444" s="142"/>
      <c r="X444" s="142"/>
      <c r="Y444" s="142"/>
      <c r="Z444" s="142"/>
      <c r="AA444" s="142"/>
      <c r="AB444" s="142"/>
      <c r="AC444" s="142"/>
      <c r="AD444" s="142"/>
      <c r="AE444" s="142"/>
      <c r="AF444" s="142"/>
      <c r="AG444" s="142"/>
      <c r="AH444" s="142"/>
      <c r="AI444" s="142"/>
      <c r="AJ444" s="142"/>
      <c r="AK444" s="142"/>
      <c r="AL444" s="142"/>
      <c r="AM444" s="142"/>
      <c r="AN444" s="142"/>
    </row>
    <row r="445" spans="2:40">
      <c r="B445" s="209" t="s">
        <v>1244</v>
      </c>
      <c r="C445" s="82" t="s">
        <v>900</v>
      </c>
      <c r="E445" s="142"/>
      <c r="F445" s="142"/>
      <c r="G445" s="142"/>
      <c r="H445" s="142"/>
      <c r="I445" s="142"/>
      <c r="J445" s="142"/>
      <c r="K445" s="142"/>
      <c r="L445" s="142"/>
      <c r="M445" s="133">
        <v>-20</v>
      </c>
      <c r="N445" s="133">
        <f>-54-M445</f>
        <v>-34</v>
      </c>
      <c r="O445" s="133">
        <v>-31</v>
      </c>
      <c r="P445" s="133">
        <f>-76-O445</f>
        <v>-45</v>
      </c>
      <c r="Q445" s="133">
        <v>-55</v>
      </c>
      <c r="R445" s="133">
        <f>-97-Q445</f>
        <v>-42</v>
      </c>
      <c r="S445" s="133">
        <v>-38</v>
      </c>
      <c r="T445" s="133">
        <f>-71-S445</f>
        <v>-33</v>
      </c>
      <c r="U445" s="133">
        <v>-36</v>
      </c>
      <c r="V445" s="133">
        <f>-100-U445</f>
        <v>-64</v>
      </c>
      <c r="W445" s="142"/>
      <c r="X445" s="142"/>
      <c r="Y445" s="142"/>
      <c r="Z445" s="142"/>
      <c r="AA445" s="142"/>
      <c r="AB445" s="142"/>
      <c r="AC445" s="142"/>
      <c r="AD445" s="142"/>
      <c r="AE445" s="142"/>
      <c r="AF445" s="142"/>
      <c r="AG445" s="142"/>
      <c r="AH445" s="142"/>
      <c r="AI445" s="142"/>
      <c r="AJ445" s="142"/>
      <c r="AK445" s="142"/>
      <c r="AL445" s="142"/>
      <c r="AM445" s="142"/>
      <c r="AN445" s="142"/>
    </row>
    <row r="446" spans="2:40">
      <c r="B446" s="209" t="s">
        <v>1245</v>
      </c>
      <c r="C446" s="82" t="s">
        <v>900</v>
      </c>
      <c r="E446" s="142"/>
      <c r="F446" s="142"/>
      <c r="G446" s="142"/>
      <c r="H446" s="142"/>
      <c r="I446" s="142"/>
      <c r="J446" s="142"/>
      <c r="K446" s="142"/>
      <c r="L446" s="142"/>
      <c r="M446" s="133">
        <v>-7</v>
      </c>
      <c r="N446" s="133">
        <f>-14-M446</f>
        <v>-7</v>
      </c>
      <c r="O446" s="133">
        <v>-13</v>
      </c>
      <c r="P446" s="133">
        <f>-27-O446</f>
        <v>-14</v>
      </c>
      <c r="Q446" s="133">
        <v>-8</v>
      </c>
      <c r="R446" s="133">
        <f>-15-Q446</f>
        <v>-7</v>
      </c>
      <c r="S446" s="133">
        <v>-4</v>
      </c>
      <c r="T446" s="133">
        <f>-8-S446</f>
        <v>-4</v>
      </c>
      <c r="U446" s="133">
        <v>-5</v>
      </c>
      <c r="V446" s="133">
        <f>-12-U446</f>
        <v>-7</v>
      </c>
      <c r="W446" s="142"/>
      <c r="X446" s="142"/>
      <c r="Y446" s="142"/>
      <c r="Z446" s="142"/>
      <c r="AA446" s="142"/>
      <c r="AB446" s="142"/>
      <c r="AC446" s="142"/>
      <c r="AD446" s="142"/>
      <c r="AE446" s="142"/>
      <c r="AF446" s="142"/>
      <c r="AG446" s="142"/>
      <c r="AH446" s="142"/>
      <c r="AI446" s="142"/>
      <c r="AJ446" s="142"/>
      <c r="AK446" s="142"/>
      <c r="AL446" s="142"/>
      <c r="AM446" s="142"/>
      <c r="AN446" s="142"/>
    </row>
    <row r="447" spans="2:40" s="199" customFormat="1">
      <c r="B447" s="210" t="s">
        <v>21</v>
      </c>
      <c r="C447" s="484" t="s">
        <v>900</v>
      </c>
      <c r="D447" s="3"/>
      <c r="E447" s="485"/>
      <c r="F447" s="485"/>
      <c r="G447" s="485"/>
      <c r="H447" s="485"/>
      <c r="I447" s="485"/>
      <c r="J447" s="485"/>
      <c r="K447" s="485"/>
      <c r="L447" s="485"/>
      <c r="M447" s="223">
        <v>-57.5</v>
      </c>
      <c r="N447" s="223">
        <f>-134-M447</f>
        <v>-76.5</v>
      </c>
      <c r="O447" s="223">
        <v>-69.900000000000006</v>
      </c>
      <c r="P447" s="223">
        <f>-155.4-O447</f>
        <v>-85.5</v>
      </c>
      <c r="Q447" s="223">
        <v>-76</v>
      </c>
      <c r="R447" s="223">
        <f>-150.8-Q447</f>
        <v>-74.800000000000011</v>
      </c>
      <c r="S447" s="223">
        <v>-57</v>
      </c>
      <c r="T447" s="223">
        <f>-115.2-S447</f>
        <v>-58.2</v>
      </c>
      <c r="U447" s="223">
        <v>-51</v>
      </c>
      <c r="V447" s="223">
        <f>-140.1-U447</f>
        <v>-89.1</v>
      </c>
      <c r="W447" s="203"/>
      <c r="X447" s="203"/>
      <c r="Y447" s="203"/>
      <c r="Z447" s="203"/>
      <c r="AA447" s="203"/>
      <c r="AB447" s="203"/>
      <c r="AC447" s="203"/>
      <c r="AD447" s="203"/>
      <c r="AE447" s="203"/>
      <c r="AF447" s="203"/>
      <c r="AG447" s="203"/>
      <c r="AH447" s="203"/>
      <c r="AI447" s="203"/>
      <c r="AJ447" s="203"/>
      <c r="AK447" s="203"/>
      <c r="AL447" s="203"/>
      <c r="AM447" s="203"/>
      <c r="AN447" s="203"/>
    </row>
    <row r="448" spans="2:40" s="199" customFormat="1">
      <c r="B448" s="210"/>
      <c r="C448" s="484"/>
      <c r="D448" s="3"/>
      <c r="E448" s="485"/>
      <c r="F448" s="485"/>
      <c r="G448" s="485"/>
      <c r="H448" s="485"/>
      <c r="I448" s="485"/>
      <c r="J448" s="485"/>
      <c r="K448" s="485"/>
      <c r="L448" s="485"/>
      <c r="M448" s="485"/>
      <c r="N448" s="485"/>
      <c r="O448" s="485"/>
      <c r="P448" s="485"/>
      <c r="Q448" s="203"/>
      <c r="R448" s="485"/>
      <c r="S448" s="203"/>
      <c r="T448" s="203"/>
      <c r="U448" s="203"/>
      <c r="V448" s="203"/>
      <c r="W448" s="203"/>
      <c r="X448" s="203"/>
      <c r="Y448" s="203"/>
      <c r="Z448" s="203"/>
      <c r="AA448" s="203"/>
      <c r="AB448" s="203"/>
      <c r="AC448" s="203"/>
      <c r="AD448" s="203"/>
      <c r="AE448" s="203"/>
      <c r="AF448" s="203"/>
      <c r="AG448" s="203"/>
      <c r="AH448" s="203"/>
      <c r="AI448" s="203"/>
      <c r="AJ448" s="203"/>
      <c r="AK448" s="203"/>
      <c r="AL448" s="203"/>
      <c r="AM448" s="203"/>
      <c r="AN448" s="203"/>
    </row>
    <row r="449" spans="1:40">
      <c r="A449" s="199"/>
      <c r="B449" s="138" t="s">
        <v>1345</v>
      </c>
      <c r="C449" s="82" t="s">
        <v>900</v>
      </c>
      <c r="D449" s="212"/>
      <c r="E449" s="208"/>
      <c r="F449" s="208"/>
      <c r="G449" s="208"/>
      <c r="H449" s="208"/>
      <c r="I449" s="208"/>
      <c r="J449" s="208"/>
      <c r="K449" s="208"/>
      <c r="L449" s="208"/>
      <c r="M449" s="214">
        <f t="shared" ref="M449:AN449" si="275">M417+M429+M391+M390</f>
        <v>57.5</v>
      </c>
      <c r="N449" s="214">
        <f t="shared" si="275"/>
        <v>76.5</v>
      </c>
      <c r="O449" s="214">
        <f t="shared" si="275"/>
        <v>69.900000000000006</v>
      </c>
      <c r="P449" s="214">
        <f t="shared" si="275"/>
        <v>85.5</v>
      </c>
      <c r="Q449" s="214">
        <f t="shared" si="275"/>
        <v>84.1</v>
      </c>
      <c r="R449" s="214">
        <f t="shared" si="275"/>
        <v>84.1</v>
      </c>
      <c r="S449" s="214">
        <f t="shared" si="275"/>
        <v>57</v>
      </c>
      <c r="T449" s="214">
        <f t="shared" si="275"/>
        <v>57.800000000000004</v>
      </c>
      <c r="U449" s="214">
        <f t="shared" si="275"/>
        <v>51</v>
      </c>
      <c r="V449" s="214">
        <f>V417+V429+V391+V390</f>
        <v>89</v>
      </c>
      <c r="W449" s="214">
        <f t="shared" si="275"/>
        <v>80</v>
      </c>
      <c r="X449" s="214">
        <f t="shared" si="275"/>
        <v>80</v>
      </c>
      <c r="Y449" s="214">
        <f t="shared" si="275"/>
        <v>75</v>
      </c>
      <c r="Z449" s="214">
        <f t="shared" si="275"/>
        <v>75</v>
      </c>
      <c r="AA449" s="214">
        <f t="shared" si="275"/>
        <v>66.373602538648484</v>
      </c>
      <c r="AB449" s="214">
        <f t="shared" si="275"/>
        <v>63.136697713851603</v>
      </c>
      <c r="AC449" s="214">
        <f t="shared" si="275"/>
        <v>66.382876892268953</v>
      </c>
      <c r="AD449" s="214">
        <f t="shared" si="275"/>
        <v>63.164624381602252</v>
      </c>
      <c r="AE449" s="214">
        <f t="shared" si="275"/>
        <v>67.446678747106304</v>
      </c>
      <c r="AF449" s="214">
        <f t="shared" si="275"/>
        <v>64.216052675190269</v>
      </c>
      <c r="AG449" s="214">
        <f t="shared" si="275"/>
        <v>68.551602862108084</v>
      </c>
      <c r="AH449" s="214">
        <f t="shared" si="275"/>
        <v>65.307390281964558</v>
      </c>
      <c r="AI449" s="214">
        <f t="shared" si="275"/>
        <v>69.698790823034017</v>
      </c>
      <c r="AJ449" s="214">
        <f t="shared" si="275"/>
        <v>66.439750816676906</v>
      </c>
      <c r="AK449" s="214">
        <f t="shared" si="275"/>
        <v>70.88941938403714</v>
      </c>
      <c r="AL449" s="214">
        <f t="shared" si="275"/>
        <v>67.614282139168068</v>
      </c>
      <c r="AM449" s="214">
        <f>AM417+AM429+AM391+AM390</f>
        <v>69.664472763867678</v>
      </c>
      <c r="AN449" s="214">
        <f t="shared" si="275"/>
        <v>68.167866336525321</v>
      </c>
    </row>
    <row r="450" spans="1:40" s="199" customFormat="1">
      <c r="B450" s="211"/>
      <c r="C450" s="82"/>
      <c r="D450" s="212"/>
      <c r="E450" s="213"/>
      <c r="F450" s="213"/>
      <c r="G450" s="213"/>
      <c r="H450" s="213"/>
      <c r="I450" s="213"/>
      <c r="J450" s="213"/>
      <c r="K450" s="213"/>
      <c r="L450" s="213"/>
      <c r="M450" s="213"/>
      <c r="N450" s="213"/>
      <c r="O450" s="213"/>
      <c r="P450" s="213"/>
      <c r="Q450" s="213"/>
      <c r="R450" s="213"/>
      <c r="S450" s="213"/>
      <c r="T450" s="213"/>
      <c r="U450" s="213"/>
      <c r="V450" s="213"/>
      <c r="W450" s="213"/>
      <c r="X450" s="213"/>
      <c r="Y450" s="213"/>
      <c r="Z450" s="213"/>
      <c r="AA450" s="213"/>
      <c r="AB450" s="213"/>
      <c r="AC450" s="213"/>
      <c r="AD450" s="213"/>
      <c r="AE450" s="213"/>
      <c r="AF450" s="213"/>
      <c r="AG450" s="213"/>
      <c r="AH450" s="213"/>
      <c r="AI450" s="213"/>
      <c r="AJ450" s="213"/>
      <c r="AK450" s="213"/>
      <c r="AL450" s="213"/>
      <c r="AM450" s="213"/>
      <c r="AN450" s="213"/>
    </row>
    <row r="451" spans="1:40" s="199" customFormat="1">
      <c r="B451" s="211"/>
      <c r="C451" s="82"/>
      <c r="D451" s="212"/>
      <c r="E451" s="507"/>
      <c r="F451" s="507"/>
      <c r="G451" s="507"/>
      <c r="H451" s="507"/>
      <c r="I451" s="507"/>
      <c r="J451" s="507"/>
      <c r="K451" s="507"/>
      <c r="L451" s="507"/>
      <c r="M451" s="507"/>
      <c r="N451" s="507"/>
      <c r="O451" s="507"/>
      <c r="P451" s="507"/>
      <c r="Q451" s="256"/>
      <c r="R451" s="256"/>
      <c r="S451" s="256"/>
      <c r="T451" s="256"/>
      <c r="U451" s="256"/>
      <c r="V451" s="256"/>
      <c r="W451" s="256"/>
      <c r="X451" s="256"/>
      <c r="Y451" s="256"/>
      <c r="Z451" s="256"/>
      <c r="AA451" s="256"/>
      <c r="AB451" s="256"/>
      <c r="AC451" s="256"/>
      <c r="AD451" s="256"/>
      <c r="AE451" s="256"/>
      <c r="AF451" s="256"/>
      <c r="AG451" s="256"/>
      <c r="AH451" s="256"/>
      <c r="AI451" s="256"/>
      <c r="AJ451" s="256"/>
      <c r="AK451" s="256"/>
      <c r="AL451" s="256"/>
      <c r="AM451" s="256"/>
      <c r="AN451" s="256"/>
    </row>
    <row r="452" spans="1:40">
      <c r="B452" s="257" t="s">
        <v>992</v>
      </c>
      <c r="D452" s="850"/>
      <c r="L452" s="135"/>
      <c r="M452" s="135"/>
      <c r="N452" s="135"/>
      <c r="O452" s="135"/>
      <c r="P452" s="135"/>
    </row>
    <row r="453" spans="1:40">
      <c r="B453" s="209" t="s">
        <v>1266</v>
      </c>
      <c r="C453" s="82" t="s">
        <v>900</v>
      </c>
      <c r="D453" s="850"/>
      <c r="E453" s="507"/>
      <c r="F453" s="507"/>
      <c r="G453" s="507"/>
      <c r="H453" s="507"/>
      <c r="I453" s="507"/>
      <c r="J453" s="507"/>
      <c r="K453" s="507"/>
      <c r="L453" s="507">
        <f>46.6+262.3</f>
        <v>308.90000000000003</v>
      </c>
      <c r="M453" s="507">
        <f>37+163</f>
        <v>200</v>
      </c>
      <c r="N453" s="507">
        <f>42.6+139.1</f>
        <v>181.7</v>
      </c>
      <c r="O453" s="507">
        <f>33.9+124.9</f>
        <v>158.80000000000001</v>
      </c>
      <c r="P453" s="507">
        <f>37.2+103.3</f>
        <v>140.5</v>
      </c>
      <c r="Q453" s="507">
        <f>33+91</f>
        <v>124</v>
      </c>
      <c r="R453" s="507">
        <f>31.4+80.4</f>
        <v>111.80000000000001</v>
      </c>
      <c r="S453" s="507">
        <f>30.4+95.4</f>
        <v>125.80000000000001</v>
      </c>
      <c r="T453" s="507">
        <f>34+90.5</f>
        <v>124.5</v>
      </c>
      <c r="U453" s="507">
        <f>95.5+30.7</f>
        <v>126.2</v>
      </c>
      <c r="V453" s="507">
        <f>29.6+86.1</f>
        <v>115.69999999999999</v>
      </c>
      <c r="W453" s="160">
        <f t="shared" ref="W453:AF453" si="276">V453</f>
        <v>115.69999999999999</v>
      </c>
      <c r="X453" s="160">
        <f t="shared" si="276"/>
        <v>115.69999999999999</v>
      </c>
      <c r="Y453" s="160">
        <f t="shared" si="276"/>
        <v>115.69999999999999</v>
      </c>
      <c r="Z453" s="160">
        <f t="shared" si="276"/>
        <v>115.69999999999999</v>
      </c>
      <c r="AA453" s="160">
        <f t="shared" si="276"/>
        <v>115.69999999999999</v>
      </c>
      <c r="AB453" s="160">
        <f t="shared" si="276"/>
        <v>115.69999999999999</v>
      </c>
      <c r="AC453" s="160">
        <f t="shared" si="276"/>
        <v>115.69999999999999</v>
      </c>
      <c r="AD453" s="160">
        <f t="shared" si="276"/>
        <v>115.69999999999999</v>
      </c>
      <c r="AE453" s="160">
        <f t="shared" si="276"/>
        <v>115.69999999999999</v>
      </c>
      <c r="AF453" s="160">
        <f t="shared" si="276"/>
        <v>115.69999999999999</v>
      </c>
      <c r="AG453" s="160">
        <f t="shared" ref="W453:AK454" si="277">AF453</f>
        <v>115.69999999999999</v>
      </c>
      <c r="AH453" s="160">
        <f t="shared" si="277"/>
        <v>115.69999999999999</v>
      </c>
      <c r="AI453" s="160">
        <f t="shared" si="277"/>
        <v>115.69999999999999</v>
      </c>
      <c r="AJ453" s="160">
        <f t="shared" si="277"/>
        <v>115.69999999999999</v>
      </c>
      <c r="AK453" s="160">
        <f t="shared" si="277"/>
        <v>115.69999999999999</v>
      </c>
      <c r="AL453" s="160">
        <f t="shared" ref="AL453:AN454" si="278">AK453</f>
        <v>115.69999999999999</v>
      </c>
      <c r="AM453" s="160">
        <f t="shared" si="278"/>
        <v>115.69999999999999</v>
      </c>
      <c r="AN453" s="160">
        <f t="shared" si="278"/>
        <v>115.69999999999999</v>
      </c>
    </row>
    <row r="454" spans="1:40">
      <c r="B454" s="209" t="s">
        <v>828</v>
      </c>
      <c r="C454" s="82" t="s">
        <v>900</v>
      </c>
      <c r="D454" s="850"/>
      <c r="E454" s="507"/>
      <c r="F454" s="507"/>
      <c r="G454" s="507"/>
      <c r="H454" s="507"/>
      <c r="I454" s="507"/>
      <c r="J454" s="507"/>
      <c r="K454" s="507"/>
      <c r="L454" s="135">
        <f>2298.7+176.8</f>
        <v>2475.5</v>
      </c>
      <c r="M454" s="135">
        <v>140</v>
      </c>
      <c r="N454" s="135">
        <v>135.30000000000001</v>
      </c>
      <c r="O454" s="135">
        <v>550.79999999999995</v>
      </c>
      <c r="P454" s="135">
        <v>431.9</v>
      </c>
      <c r="Q454" s="135">
        <v>418.7</v>
      </c>
      <c r="R454" s="135">
        <v>1032.5999999999999</v>
      </c>
      <c r="S454" s="135">
        <v>931.4</v>
      </c>
      <c r="T454" s="135">
        <v>738.1</v>
      </c>
      <c r="U454" s="135">
        <v>727.3</v>
      </c>
      <c r="V454" s="135">
        <v>716.3</v>
      </c>
      <c r="W454" s="160">
        <f t="shared" si="277"/>
        <v>716.3</v>
      </c>
      <c r="X454" s="501">
        <f>W454+175</f>
        <v>891.3</v>
      </c>
      <c r="Y454" s="160">
        <f t="shared" si="277"/>
        <v>891.3</v>
      </c>
      <c r="Z454" s="160">
        <f t="shared" si="277"/>
        <v>891.3</v>
      </c>
      <c r="AA454" s="160">
        <f t="shared" si="277"/>
        <v>891.3</v>
      </c>
      <c r="AB454" s="160">
        <f t="shared" si="277"/>
        <v>891.3</v>
      </c>
      <c r="AC454" s="160">
        <f t="shared" si="277"/>
        <v>891.3</v>
      </c>
      <c r="AD454" s="160">
        <f t="shared" si="277"/>
        <v>891.3</v>
      </c>
      <c r="AE454" s="160">
        <f t="shared" si="277"/>
        <v>891.3</v>
      </c>
      <c r="AF454" s="160">
        <f t="shared" si="277"/>
        <v>891.3</v>
      </c>
      <c r="AG454" s="160">
        <f t="shared" si="277"/>
        <v>891.3</v>
      </c>
      <c r="AH454" s="160">
        <f t="shared" si="277"/>
        <v>891.3</v>
      </c>
      <c r="AI454" s="160">
        <f t="shared" si="277"/>
        <v>891.3</v>
      </c>
      <c r="AJ454" s="160">
        <f t="shared" si="277"/>
        <v>891.3</v>
      </c>
      <c r="AK454" s="160">
        <f t="shared" si="277"/>
        <v>891.3</v>
      </c>
      <c r="AL454" s="160">
        <f t="shared" si="278"/>
        <v>891.3</v>
      </c>
      <c r="AM454" s="160">
        <f t="shared" si="278"/>
        <v>891.3</v>
      </c>
      <c r="AN454" s="160">
        <f t="shared" si="278"/>
        <v>891.3</v>
      </c>
    </row>
    <row r="455" spans="1:40">
      <c r="B455" s="209" t="s">
        <v>991</v>
      </c>
      <c r="D455" s="850"/>
      <c r="E455" s="221"/>
      <c r="F455" s="221"/>
      <c r="G455" s="221"/>
      <c r="H455" s="221"/>
      <c r="I455" s="221"/>
      <c r="J455" s="221"/>
      <c r="K455" s="221"/>
      <c r="L455" s="221" t="s">
        <v>991</v>
      </c>
      <c r="M455" s="221" t="s">
        <v>991</v>
      </c>
      <c r="N455" s="221" t="s">
        <v>991</v>
      </c>
      <c r="O455" s="221" t="s">
        <v>991</v>
      </c>
      <c r="P455" s="221" t="s">
        <v>991</v>
      </c>
      <c r="Q455" s="221" t="s">
        <v>991</v>
      </c>
      <c r="R455" s="221" t="s">
        <v>991</v>
      </c>
      <c r="S455" s="221" t="s">
        <v>991</v>
      </c>
      <c r="T455" s="221" t="s">
        <v>991</v>
      </c>
      <c r="U455" s="221" t="s">
        <v>991</v>
      </c>
      <c r="V455" s="221" t="s">
        <v>991</v>
      </c>
      <c r="W455" s="221" t="s">
        <v>991</v>
      </c>
      <c r="X455" s="221" t="s">
        <v>991</v>
      </c>
      <c r="Y455" s="221" t="s">
        <v>991</v>
      </c>
      <c r="Z455" s="221" t="s">
        <v>991</v>
      </c>
      <c r="AA455" s="221" t="s">
        <v>991</v>
      </c>
      <c r="AB455" s="221" t="s">
        <v>991</v>
      </c>
      <c r="AC455" s="221" t="s">
        <v>991</v>
      </c>
      <c r="AD455" s="221" t="s">
        <v>991</v>
      </c>
      <c r="AE455" s="221" t="s">
        <v>991</v>
      </c>
      <c r="AF455" s="221" t="s">
        <v>991</v>
      </c>
      <c r="AG455" s="221" t="s">
        <v>991</v>
      </c>
      <c r="AH455" s="221" t="s">
        <v>991</v>
      </c>
      <c r="AI455" s="221" t="s">
        <v>991</v>
      </c>
      <c r="AJ455" s="221" t="s">
        <v>991</v>
      </c>
      <c r="AK455" s="221" t="s">
        <v>991</v>
      </c>
      <c r="AL455" s="221" t="s">
        <v>991</v>
      </c>
      <c r="AM455" s="221" t="s">
        <v>991</v>
      </c>
      <c r="AN455" s="221" t="s">
        <v>991</v>
      </c>
    </row>
    <row r="456" spans="1:40" s="3" customFormat="1">
      <c r="B456" s="225" t="s">
        <v>1268</v>
      </c>
      <c r="C456" s="163" t="s">
        <v>900</v>
      </c>
      <c r="D456" s="851"/>
      <c r="E456" s="213"/>
      <c r="F456" s="213"/>
      <c r="G456" s="213"/>
      <c r="H456" s="213"/>
      <c r="I456" s="213"/>
      <c r="J456" s="213"/>
      <c r="K456" s="213"/>
      <c r="L456" s="213">
        <f t="shared" ref="L456:AL456" si="279">SUM(L453:L454)</f>
        <v>2784.4</v>
      </c>
      <c r="M456" s="213">
        <f t="shared" si="279"/>
        <v>340</v>
      </c>
      <c r="N456" s="213">
        <f t="shared" si="279"/>
        <v>317</v>
      </c>
      <c r="O456" s="213">
        <f t="shared" si="279"/>
        <v>709.59999999999991</v>
      </c>
      <c r="P456" s="213">
        <f t="shared" si="279"/>
        <v>572.4</v>
      </c>
      <c r="Q456" s="213">
        <f t="shared" ref="Q456:V456" si="280">SUM(Q453:Q454)</f>
        <v>542.70000000000005</v>
      </c>
      <c r="R456" s="213">
        <f t="shared" si="280"/>
        <v>1144.3999999999999</v>
      </c>
      <c r="S456" s="213">
        <f t="shared" si="280"/>
        <v>1057.2</v>
      </c>
      <c r="T456" s="213">
        <f t="shared" si="280"/>
        <v>862.6</v>
      </c>
      <c r="U456" s="213">
        <f t="shared" si="280"/>
        <v>853.5</v>
      </c>
      <c r="V456" s="213">
        <f t="shared" si="280"/>
        <v>832</v>
      </c>
      <c r="W456" s="213">
        <f t="shared" si="279"/>
        <v>832</v>
      </c>
      <c r="X456" s="213">
        <f t="shared" si="279"/>
        <v>1007</v>
      </c>
      <c r="Y456" s="213">
        <f t="shared" si="279"/>
        <v>1007</v>
      </c>
      <c r="Z456" s="213">
        <f t="shared" si="279"/>
        <v>1007</v>
      </c>
      <c r="AA456" s="213">
        <f t="shared" si="279"/>
        <v>1007</v>
      </c>
      <c r="AB456" s="213">
        <f t="shared" si="279"/>
        <v>1007</v>
      </c>
      <c r="AC456" s="213">
        <f t="shared" si="279"/>
        <v>1007</v>
      </c>
      <c r="AD456" s="213">
        <f t="shared" si="279"/>
        <v>1007</v>
      </c>
      <c r="AE456" s="213">
        <f t="shared" si="279"/>
        <v>1007</v>
      </c>
      <c r="AF456" s="213">
        <f t="shared" si="279"/>
        <v>1007</v>
      </c>
      <c r="AG456" s="213">
        <f t="shared" si="279"/>
        <v>1007</v>
      </c>
      <c r="AH456" s="213">
        <f t="shared" si="279"/>
        <v>1007</v>
      </c>
      <c r="AI456" s="213">
        <f t="shared" si="279"/>
        <v>1007</v>
      </c>
      <c r="AJ456" s="213">
        <f t="shared" si="279"/>
        <v>1007</v>
      </c>
      <c r="AK456" s="213">
        <f t="shared" si="279"/>
        <v>1007</v>
      </c>
      <c r="AL456" s="213">
        <f t="shared" si="279"/>
        <v>1007</v>
      </c>
      <c r="AM456" s="213">
        <f>SUM(AM453:AM454)</f>
        <v>1007</v>
      </c>
      <c r="AN456" s="213">
        <f>SUM(AN453:AN454)</f>
        <v>1007</v>
      </c>
    </row>
    <row r="457" spans="1:40">
      <c r="B457" s="209" t="s">
        <v>1267</v>
      </c>
      <c r="C457" s="82" t="s">
        <v>900</v>
      </c>
      <c r="F457" s="132"/>
      <c r="G457" s="132"/>
      <c r="H457" s="132"/>
      <c r="I457" s="132"/>
      <c r="J457" s="132"/>
      <c r="K457" s="132"/>
      <c r="L457" s="132"/>
      <c r="M457" s="132">
        <f t="shared" ref="M457:V457" si="281">M456-L456</f>
        <v>-2444.4</v>
      </c>
      <c r="N457" s="132">
        <f t="shared" si="281"/>
        <v>-23</v>
      </c>
      <c r="O457" s="132">
        <f t="shared" si="281"/>
        <v>392.59999999999991</v>
      </c>
      <c r="P457" s="132">
        <f t="shared" si="281"/>
        <v>-137.19999999999993</v>
      </c>
      <c r="Q457" s="132">
        <f t="shared" si="281"/>
        <v>-29.699999999999932</v>
      </c>
      <c r="R457" s="132">
        <f t="shared" si="281"/>
        <v>601.69999999999982</v>
      </c>
      <c r="S457" s="132">
        <f t="shared" si="281"/>
        <v>-87.199999999999818</v>
      </c>
      <c r="T457" s="132">
        <f t="shared" si="281"/>
        <v>-194.60000000000002</v>
      </c>
      <c r="U457" s="132">
        <f t="shared" ref="U457:AK457" si="282">U456-T456</f>
        <v>-9.1000000000000227</v>
      </c>
      <c r="V457" s="132">
        <f t="shared" si="281"/>
        <v>-21.5</v>
      </c>
      <c r="W457" s="132">
        <f t="shared" si="282"/>
        <v>0</v>
      </c>
      <c r="X457" s="132">
        <f t="shared" si="282"/>
        <v>175</v>
      </c>
      <c r="Y457" s="132">
        <f t="shared" si="282"/>
        <v>0</v>
      </c>
      <c r="Z457" s="132">
        <f t="shared" si="282"/>
        <v>0</v>
      </c>
      <c r="AA457" s="132">
        <f t="shared" si="282"/>
        <v>0</v>
      </c>
      <c r="AB457" s="132">
        <f t="shared" si="282"/>
        <v>0</v>
      </c>
      <c r="AC457" s="132">
        <f t="shared" si="282"/>
        <v>0</v>
      </c>
      <c r="AD457" s="132">
        <f t="shared" si="282"/>
        <v>0</v>
      </c>
      <c r="AE457" s="132">
        <f t="shared" si="282"/>
        <v>0</v>
      </c>
      <c r="AF457" s="132">
        <f t="shared" si="282"/>
        <v>0</v>
      </c>
      <c r="AG457" s="132">
        <f t="shared" si="282"/>
        <v>0</v>
      </c>
      <c r="AH457" s="132">
        <f t="shared" si="282"/>
        <v>0</v>
      </c>
      <c r="AI457" s="132">
        <f t="shared" si="282"/>
        <v>0</v>
      </c>
      <c r="AJ457" s="132">
        <f t="shared" si="282"/>
        <v>0</v>
      </c>
      <c r="AK457" s="132">
        <f t="shared" si="282"/>
        <v>0</v>
      </c>
      <c r="AL457" s="132">
        <f>AL456-AK456</f>
        <v>0</v>
      </c>
      <c r="AM457" s="132">
        <f>AM456-AL456</f>
        <v>0</v>
      </c>
      <c r="AN457" s="132">
        <f>AN456-AM456</f>
        <v>0</v>
      </c>
    </row>
    <row r="458" spans="1:40">
      <c r="B458" s="209" t="s">
        <v>1015</v>
      </c>
      <c r="C458" s="82" t="s">
        <v>900</v>
      </c>
      <c r="F458" s="132"/>
      <c r="G458" s="132"/>
      <c r="H458" s="132"/>
      <c r="I458" s="132"/>
      <c r="J458" s="132"/>
      <c r="K458" s="132"/>
      <c r="L458" s="132"/>
      <c r="M458" s="132">
        <f t="shared" ref="M458:AK458" si="283">AVERAGE(M456,L456)</f>
        <v>1562.2</v>
      </c>
      <c r="N458" s="132">
        <f t="shared" si="283"/>
        <v>328.5</v>
      </c>
      <c r="O458" s="132">
        <f t="shared" si="283"/>
        <v>513.29999999999995</v>
      </c>
      <c r="P458" s="132">
        <f t="shared" si="283"/>
        <v>641</v>
      </c>
      <c r="Q458" s="132">
        <f t="shared" si="283"/>
        <v>557.54999999999995</v>
      </c>
      <c r="R458" s="132">
        <f t="shared" si="283"/>
        <v>843.55</v>
      </c>
      <c r="S458" s="132">
        <f t="shared" si="283"/>
        <v>1100.8</v>
      </c>
      <c r="T458" s="132">
        <f t="shared" si="283"/>
        <v>959.90000000000009</v>
      </c>
      <c r="U458" s="132">
        <f t="shared" si="283"/>
        <v>858.05</v>
      </c>
      <c r="V458" s="132">
        <f t="shared" si="283"/>
        <v>842.75</v>
      </c>
      <c r="W458" s="132">
        <f t="shared" si="283"/>
        <v>832</v>
      </c>
      <c r="X458" s="132">
        <f t="shared" si="283"/>
        <v>919.5</v>
      </c>
      <c r="Y458" s="132">
        <f t="shared" si="283"/>
        <v>1007</v>
      </c>
      <c r="Z458" s="132">
        <f t="shared" si="283"/>
        <v>1007</v>
      </c>
      <c r="AA458" s="132">
        <f t="shared" si="283"/>
        <v>1007</v>
      </c>
      <c r="AB458" s="132">
        <f t="shared" si="283"/>
        <v>1007</v>
      </c>
      <c r="AC458" s="132">
        <f t="shared" si="283"/>
        <v>1007</v>
      </c>
      <c r="AD458" s="132">
        <f t="shared" si="283"/>
        <v>1007</v>
      </c>
      <c r="AE458" s="132">
        <f t="shared" si="283"/>
        <v>1007</v>
      </c>
      <c r="AF458" s="132">
        <f t="shared" si="283"/>
        <v>1007</v>
      </c>
      <c r="AG458" s="132">
        <f t="shared" si="283"/>
        <v>1007</v>
      </c>
      <c r="AH458" s="132">
        <f t="shared" si="283"/>
        <v>1007</v>
      </c>
      <c r="AI458" s="132">
        <f t="shared" si="283"/>
        <v>1007</v>
      </c>
      <c r="AJ458" s="132">
        <f t="shared" si="283"/>
        <v>1007</v>
      </c>
      <c r="AK458" s="132">
        <f t="shared" si="283"/>
        <v>1007</v>
      </c>
      <c r="AL458" s="132">
        <f>AVERAGE(AL456,AK456)</f>
        <v>1007</v>
      </c>
      <c r="AM458" s="132">
        <f>AVERAGE(AM456,AL456)</f>
        <v>1007</v>
      </c>
      <c r="AN458" s="132">
        <f>AVERAGE(AN456,AM456)</f>
        <v>1007</v>
      </c>
    </row>
    <row r="459" spans="1:40">
      <c r="B459" s="216" t="s">
        <v>1013</v>
      </c>
      <c r="C459" s="82" t="s">
        <v>900</v>
      </c>
      <c r="D459" s="850"/>
      <c r="E459" s="132"/>
      <c r="F459" s="132"/>
      <c r="G459" s="132"/>
      <c r="H459" s="132"/>
      <c r="I459" s="132"/>
      <c r="J459" s="132"/>
      <c r="K459" s="132"/>
      <c r="L459" s="132"/>
      <c r="M459" s="507">
        <f>-59.9-4.5</f>
        <v>-64.400000000000006</v>
      </c>
      <c r="N459" s="507">
        <f>-108.1-8.2-M459</f>
        <v>-51.899999999999991</v>
      </c>
      <c r="O459" s="507">
        <f>-7.4-2.8</f>
        <v>-10.199999999999999</v>
      </c>
      <c r="P459" s="507">
        <f>-23-5.4-O459</f>
        <v>-18.2</v>
      </c>
      <c r="Q459" s="507">
        <f>-18 -2.4</f>
        <v>-20.399999999999999</v>
      </c>
      <c r="R459" s="507">
        <f>-35.7-4.8-Q459</f>
        <v>-20.100000000000001</v>
      </c>
      <c r="S459" s="507">
        <f>-34.6-2.9</f>
        <v>-37.5</v>
      </c>
      <c r="T459" s="507">
        <f>-62.6-6.2-S459</f>
        <v>-31.299999999999997</v>
      </c>
      <c r="U459" s="507">
        <f>-27-2.9</f>
        <v>-29.9</v>
      </c>
      <c r="V459" s="507">
        <f>-53.1-6.2-U459</f>
        <v>-29.400000000000006</v>
      </c>
      <c r="W459" s="132">
        <f t="shared" ref="W459:AL459" si="284">(W456)*-W460*(W$17/365)</f>
        <v>-30.198180821917809</v>
      </c>
      <c r="X459" s="132">
        <f t="shared" si="284"/>
        <v>-34.455953424657537</v>
      </c>
      <c r="Y459" s="132">
        <f t="shared" si="284"/>
        <v>-35.027046575342467</v>
      </c>
      <c r="Z459" s="132">
        <f t="shared" si="284"/>
        <v>-34.64631780821918</v>
      </c>
      <c r="AA459" s="132">
        <f t="shared" si="284"/>
        <v>-35.027046575342467</v>
      </c>
      <c r="AB459" s="132">
        <f t="shared" si="284"/>
        <v>-34.455953424657537</v>
      </c>
      <c r="AC459" s="132">
        <f t="shared" si="284"/>
        <v>-35.027046575342467</v>
      </c>
      <c r="AD459" s="132">
        <f t="shared" si="284"/>
        <v>-34.455953424657537</v>
      </c>
      <c r="AE459" s="132">
        <f t="shared" si="284"/>
        <v>-34.011769863013704</v>
      </c>
      <c r="AF459" s="132">
        <f t="shared" si="284"/>
        <v>-33.457230136986304</v>
      </c>
      <c r="AG459" s="132">
        <f t="shared" si="284"/>
        <v>-34.011769863013704</v>
      </c>
      <c r="AH459" s="132">
        <f t="shared" si="284"/>
        <v>-33.642076712328773</v>
      </c>
      <c r="AI459" s="132">
        <f t="shared" si="284"/>
        <v>-34.011769863013704</v>
      </c>
      <c r="AJ459" s="132">
        <f t="shared" si="284"/>
        <v>-33.457230136986304</v>
      </c>
      <c r="AK459" s="132">
        <f t="shared" si="284"/>
        <v>-34.011769863013704</v>
      </c>
      <c r="AL459" s="132">
        <f t="shared" si="284"/>
        <v>-33.457230136986304</v>
      </c>
      <c r="AM459" s="132">
        <f>(AM456)*-AM460*(AM$17/365)</f>
        <v>-34.011769863013704</v>
      </c>
      <c r="AN459" s="132">
        <f>(AN456)*-AN460*(AN$17/365)</f>
        <v>-33.457230136986304</v>
      </c>
    </row>
    <row r="460" spans="1:40">
      <c r="B460" s="216" t="s">
        <v>54</v>
      </c>
      <c r="C460" s="82" t="s">
        <v>842</v>
      </c>
      <c r="D460" s="850"/>
      <c r="E460" s="507"/>
      <c r="F460" s="215"/>
      <c r="G460" s="215"/>
      <c r="H460" s="215"/>
      <c r="I460" s="215"/>
      <c r="J460" s="215"/>
      <c r="K460" s="215"/>
      <c r="L460" s="215"/>
      <c r="M460" s="215">
        <f t="shared" ref="M460:S460" si="285">-M459/M458*(365/M$17)</f>
        <v>8.1775700934579448E-2</v>
      </c>
      <c r="N460" s="215">
        <f t="shared" si="285"/>
        <v>0.31860036832412519</v>
      </c>
      <c r="O460" s="215">
        <f t="shared" si="285"/>
        <v>3.9418849897085356E-2</v>
      </c>
      <c r="P460" s="215">
        <f t="shared" si="285"/>
        <v>5.7256875910395529E-2</v>
      </c>
      <c r="Q460" s="215">
        <f t="shared" si="285"/>
        <v>7.2580739493046054E-2</v>
      </c>
      <c r="R460" s="215">
        <f t="shared" si="285"/>
        <v>4.7786662984339472E-2</v>
      </c>
      <c r="S460" s="215">
        <f t="shared" si="285"/>
        <v>6.7576841348584424E-2</v>
      </c>
      <c r="T460" s="215">
        <f>-T459/T458*(365/T$17)</f>
        <v>6.5755583425759698E-2</v>
      </c>
      <c r="U460" s="233">
        <f t="shared" ref="U460:AK460" si="286">T460</f>
        <v>6.5755583425759698E-2</v>
      </c>
      <c r="V460" s="215">
        <f>-V459/V458*(365/V$17)</f>
        <v>7.0349798656398191E-2</v>
      </c>
      <c r="W460" s="191">
        <v>7.1999999999999995E-2</v>
      </c>
      <c r="X460" s="191">
        <v>6.9000000000000006E-2</v>
      </c>
      <c r="Y460" s="191">
        <v>6.9000000000000006E-2</v>
      </c>
      <c r="Z460" s="191">
        <v>6.9000000000000006E-2</v>
      </c>
      <c r="AA460" s="191">
        <v>6.9000000000000006E-2</v>
      </c>
      <c r="AB460" s="191">
        <v>6.9000000000000006E-2</v>
      </c>
      <c r="AC460" s="233">
        <f t="shared" si="286"/>
        <v>6.9000000000000006E-2</v>
      </c>
      <c r="AD460" s="233">
        <f t="shared" si="286"/>
        <v>6.9000000000000006E-2</v>
      </c>
      <c r="AE460" s="191">
        <v>6.7000000000000004E-2</v>
      </c>
      <c r="AF460" s="233">
        <f t="shared" si="286"/>
        <v>6.7000000000000004E-2</v>
      </c>
      <c r="AG460" s="233">
        <f t="shared" si="286"/>
        <v>6.7000000000000004E-2</v>
      </c>
      <c r="AH460" s="233">
        <f t="shared" si="286"/>
        <v>6.7000000000000004E-2</v>
      </c>
      <c r="AI460" s="233">
        <f t="shared" si="286"/>
        <v>6.7000000000000004E-2</v>
      </c>
      <c r="AJ460" s="233">
        <f t="shared" si="286"/>
        <v>6.7000000000000004E-2</v>
      </c>
      <c r="AK460" s="233">
        <f t="shared" si="286"/>
        <v>6.7000000000000004E-2</v>
      </c>
      <c r="AL460" s="233">
        <f>AK460</f>
        <v>6.7000000000000004E-2</v>
      </c>
      <c r="AM460" s="233">
        <f>AL460</f>
        <v>6.7000000000000004E-2</v>
      </c>
      <c r="AN460" s="233">
        <f>AM460</f>
        <v>6.7000000000000004E-2</v>
      </c>
    </row>
    <row r="461" spans="1:40">
      <c r="D461" s="850"/>
      <c r="E461" s="507"/>
      <c r="F461" s="507"/>
      <c r="G461" s="507"/>
      <c r="H461" s="507"/>
      <c r="I461" s="507"/>
      <c r="J461" s="507"/>
      <c r="K461" s="507"/>
      <c r="L461" s="507"/>
      <c r="M461" s="507"/>
      <c r="N461" s="507"/>
      <c r="O461" s="507"/>
      <c r="P461" s="507"/>
      <c r="Q461" s="507"/>
      <c r="R461" s="507"/>
      <c r="T461" s="507"/>
      <c r="V461" s="507"/>
    </row>
    <row r="462" spans="1:40">
      <c r="B462" s="257" t="s">
        <v>1269</v>
      </c>
      <c r="C462" s="1"/>
    </row>
    <row r="463" spans="1:40">
      <c r="B463" s="209" t="s">
        <v>53</v>
      </c>
      <c r="C463" s="82" t="s">
        <v>900</v>
      </c>
      <c r="E463" s="519"/>
      <c r="F463" s="519"/>
      <c r="G463" s="519"/>
      <c r="H463" s="519"/>
      <c r="I463" s="519"/>
      <c r="J463" s="519"/>
      <c r="K463" s="519"/>
      <c r="L463" s="519"/>
      <c r="M463" s="519">
        <f t="shared" ref="M463:U463" si="287">M658-M684</f>
        <v>171</v>
      </c>
      <c r="N463" s="519">
        <f t="shared" si="287"/>
        <v>199.4</v>
      </c>
      <c r="O463" s="519">
        <f t="shared" si="287"/>
        <v>256.39999999999998</v>
      </c>
      <c r="P463" s="519">
        <f t="shared" si="287"/>
        <v>290.7</v>
      </c>
      <c r="Q463" s="519">
        <f t="shared" si="287"/>
        <v>313.39999999999998</v>
      </c>
      <c r="R463" s="519">
        <f t="shared" si="287"/>
        <v>313.7</v>
      </c>
      <c r="S463" s="519">
        <f t="shared" si="287"/>
        <v>260.3</v>
      </c>
      <c r="T463" s="519">
        <f t="shared" si="287"/>
        <v>236.5</v>
      </c>
      <c r="U463" s="519">
        <f t="shared" si="287"/>
        <v>218.3</v>
      </c>
      <c r="V463" s="519">
        <f t="shared" ref="V463" si="288">V658-V684</f>
        <v>305.8</v>
      </c>
      <c r="W463" s="519">
        <f t="shared" ref="W463:AL463" si="289">W658-W684</f>
        <v>377.35136514633547</v>
      </c>
      <c r="X463" s="519">
        <f t="shared" si="289"/>
        <v>269.13943476485838</v>
      </c>
      <c r="Y463" s="519">
        <f t="shared" si="289"/>
        <v>342.79753015313099</v>
      </c>
      <c r="Z463" s="519">
        <f t="shared" si="289"/>
        <v>352.72355053915533</v>
      </c>
      <c r="AA463" s="519">
        <f t="shared" si="289"/>
        <v>430.58003129407996</v>
      </c>
      <c r="AB463" s="519">
        <f t="shared" si="289"/>
        <v>458.57229818837226</v>
      </c>
      <c r="AC463" s="519">
        <f t="shared" si="289"/>
        <v>552.15214435503219</v>
      </c>
      <c r="AD463" s="519">
        <f t="shared" si="289"/>
        <v>587.57566607467811</v>
      </c>
      <c r="AE463" s="519">
        <f t="shared" si="289"/>
        <v>675.88079744015079</v>
      </c>
      <c r="AF463" s="519">
        <f t="shared" si="289"/>
        <v>710.06859137762478</v>
      </c>
      <c r="AG463" s="519">
        <f t="shared" si="289"/>
        <v>844.76572327851068</v>
      </c>
      <c r="AH463" s="519">
        <f t="shared" si="289"/>
        <v>913.46297845982997</v>
      </c>
      <c r="AI463" s="519">
        <f t="shared" si="289"/>
        <v>1053.6625873016435</v>
      </c>
      <c r="AJ463" s="519">
        <f t="shared" si="289"/>
        <v>1127.6528188455538</v>
      </c>
      <c r="AK463" s="519">
        <f t="shared" si="289"/>
        <v>1280.4708796932646</v>
      </c>
      <c r="AL463" s="519">
        <f t="shared" si="289"/>
        <v>1370.598173245646</v>
      </c>
      <c r="AM463" s="519">
        <f>AM658-AM684</f>
        <v>1530.0855997687781</v>
      </c>
      <c r="AN463" s="519">
        <f>AN658-AN684</f>
        <v>1624.2812426131779</v>
      </c>
    </row>
    <row r="464" spans="1:40">
      <c r="B464" s="209" t="s">
        <v>1014</v>
      </c>
      <c r="C464" s="82" t="s">
        <v>900</v>
      </c>
      <c r="E464" s="519"/>
      <c r="F464" s="519"/>
      <c r="G464" s="519"/>
      <c r="H464" s="519"/>
      <c r="I464" s="519"/>
      <c r="J464" s="519"/>
      <c r="K464" s="519"/>
      <c r="L464" s="519"/>
      <c r="M464" s="519">
        <f t="shared" ref="M464:U464" si="290">AVERAGE(M654,M658)</f>
        <v>171</v>
      </c>
      <c r="N464" s="519">
        <f t="shared" si="290"/>
        <v>379.5</v>
      </c>
      <c r="O464" s="519">
        <f t="shared" si="290"/>
        <v>227.89999999999998</v>
      </c>
      <c r="P464" s="519">
        <f t="shared" si="290"/>
        <v>273.54999999999995</v>
      </c>
      <c r="Q464" s="519">
        <f t="shared" si="290"/>
        <v>302.04999999999995</v>
      </c>
      <c r="R464" s="519">
        <f t="shared" si="290"/>
        <v>313.54999999999995</v>
      </c>
      <c r="S464" s="519">
        <f t="shared" si="290"/>
        <v>287</v>
      </c>
      <c r="T464" s="519">
        <f t="shared" si="290"/>
        <v>248.4</v>
      </c>
      <c r="U464" s="519">
        <f t="shared" si="290"/>
        <v>227.4</v>
      </c>
      <c r="V464" s="519">
        <f t="shared" ref="V464" si="291">AVERAGE(V654,V658)</f>
        <v>262.05</v>
      </c>
      <c r="W464" s="519">
        <f t="shared" ref="W464:AL464" si="292">AVERAGE(W654,W658)</f>
        <v>341.57568257316774</v>
      </c>
      <c r="X464" s="519">
        <f t="shared" si="292"/>
        <v>323.24539995559689</v>
      </c>
      <c r="Y464" s="519">
        <f t="shared" si="292"/>
        <v>305.96848245899469</v>
      </c>
      <c r="Z464" s="519">
        <f t="shared" si="292"/>
        <v>347.76054034614316</v>
      </c>
      <c r="AA464" s="519">
        <f t="shared" si="292"/>
        <v>391.65179091661764</v>
      </c>
      <c r="AB464" s="519">
        <f t="shared" si="292"/>
        <v>444.57616474122608</v>
      </c>
      <c r="AC464" s="519">
        <f t="shared" si="292"/>
        <v>505.3622212717022</v>
      </c>
      <c r="AD464" s="519">
        <f t="shared" si="292"/>
        <v>569.86390521485509</v>
      </c>
      <c r="AE464" s="519">
        <f t="shared" si="292"/>
        <v>631.72823175741451</v>
      </c>
      <c r="AF464" s="519">
        <f t="shared" si="292"/>
        <v>692.97469440888779</v>
      </c>
      <c r="AG464" s="519">
        <f t="shared" si="292"/>
        <v>777.41715732806779</v>
      </c>
      <c r="AH464" s="519">
        <f t="shared" si="292"/>
        <v>879.11435086917027</v>
      </c>
      <c r="AI464" s="519">
        <f t="shared" si="292"/>
        <v>983.56278288073668</v>
      </c>
      <c r="AJ464" s="519">
        <f t="shared" si="292"/>
        <v>1090.6577030735987</v>
      </c>
      <c r="AK464" s="519">
        <f t="shared" si="292"/>
        <v>1204.0618492694093</v>
      </c>
      <c r="AL464" s="519">
        <f t="shared" si="292"/>
        <v>1325.5345264694552</v>
      </c>
      <c r="AM464" s="519">
        <f>AVERAGE(AM654,AM658)</f>
        <v>1450.3418865072122</v>
      </c>
      <c r="AN464" s="519">
        <f>AVERAGE(AN654,AN658)</f>
        <v>1577.1834211909782</v>
      </c>
    </row>
    <row r="465" spans="2:40">
      <c r="B465" s="216" t="s">
        <v>12</v>
      </c>
      <c r="C465" s="82" t="s">
        <v>900</v>
      </c>
      <c r="D465" s="850"/>
      <c r="E465" s="507"/>
      <c r="F465" s="507"/>
      <c r="G465" s="507"/>
      <c r="H465" s="507"/>
      <c r="I465" s="507"/>
      <c r="J465" s="507"/>
      <c r="K465" s="507"/>
      <c r="L465" s="507"/>
      <c r="M465" s="507">
        <v>0.2</v>
      </c>
      <c r="N465" s="507">
        <f>0.4-M465</f>
        <v>0.2</v>
      </c>
      <c r="O465" s="507">
        <v>1.7</v>
      </c>
      <c r="P465" s="507">
        <f>4.6-O465</f>
        <v>2.8999999999999995</v>
      </c>
      <c r="Q465" s="507">
        <v>12</v>
      </c>
      <c r="R465" s="507">
        <f>17.3-Q465</f>
        <v>5.3000000000000007</v>
      </c>
      <c r="S465" s="507">
        <v>5.6</v>
      </c>
      <c r="T465" s="507">
        <f>9.5-S465</f>
        <v>3.9000000000000004</v>
      </c>
      <c r="U465" s="507">
        <v>3.3</v>
      </c>
      <c r="V465" s="507">
        <f>6.9-U465</f>
        <v>3.6000000000000005</v>
      </c>
      <c r="W465" s="519">
        <f t="shared" ref="W465:AN465" si="293">IF(V463&gt;0,V463*W466*(W$17/365),V463*W467*(W$17/365))</f>
        <v>4.1622312328767128</v>
      </c>
      <c r="X465" s="519">
        <f t="shared" si="293"/>
        <v>5.0523729355346338</v>
      </c>
      <c r="Y465" s="519">
        <f t="shared" si="293"/>
        <v>3.3918942463516406</v>
      </c>
      <c r="Z465" s="519">
        <f t="shared" si="293"/>
        <v>4.2732294854705373</v>
      </c>
      <c r="AA465" s="519">
        <f t="shared" si="293"/>
        <v>4.445283102685246</v>
      </c>
      <c r="AB465" s="519">
        <f t="shared" si="293"/>
        <v>5.3380127167279783</v>
      </c>
      <c r="AC465" s="519">
        <f t="shared" si="293"/>
        <v>5.7792673196342808</v>
      </c>
      <c r="AD465" s="519">
        <f t="shared" si="293"/>
        <v>6.845173844401427</v>
      </c>
      <c r="AE465" s="519">
        <f t="shared" si="293"/>
        <v>7.4050631888863556</v>
      </c>
      <c r="AF465" s="519">
        <f t="shared" si="293"/>
        <v>8.3790701600457052</v>
      </c>
      <c r="AG465" s="519">
        <f t="shared" si="293"/>
        <v>8.9488096447591072</v>
      </c>
      <c r="AH465" s="519">
        <f t="shared" si="293"/>
        <v>10.530641207992394</v>
      </c>
      <c r="AI465" s="519">
        <f t="shared" si="293"/>
        <v>11.512136166891009</v>
      </c>
      <c r="AJ465" s="519">
        <f t="shared" si="293"/>
        <v>13.062529335725856</v>
      </c>
      <c r="AK465" s="519">
        <f t="shared" si="293"/>
        <v>14.211514977231639</v>
      </c>
      <c r="AL465" s="519">
        <f t="shared" si="293"/>
        <v>15.874330768800062</v>
      </c>
      <c r="AM465" s="519">
        <f t="shared" si="293"/>
        <v>17.273292046383485</v>
      </c>
      <c r="AN465" s="519">
        <f t="shared" si="293"/>
        <v>18.96886942179102</v>
      </c>
    </row>
    <row r="466" spans="2:40">
      <c r="B466" s="216" t="s">
        <v>1288</v>
      </c>
      <c r="C466" s="82" t="s">
        <v>842</v>
      </c>
      <c r="D466" s="850"/>
      <c r="E466" s="507"/>
      <c r="F466" s="852"/>
      <c r="G466" s="215"/>
      <c r="H466" s="215"/>
      <c r="I466" s="215"/>
      <c r="J466" s="215"/>
      <c r="K466" s="215"/>
      <c r="L466" s="215"/>
      <c r="M466" s="215">
        <f t="shared" ref="M466:R466" si="294">M465/M464*(365/M$17)</f>
        <v>2.3201118738876178E-3</v>
      </c>
      <c r="N466" s="215">
        <f t="shared" si="294"/>
        <v>1.0627534048144186E-3</v>
      </c>
      <c r="O466" s="215">
        <f t="shared" si="294"/>
        <v>1.4797203197435948E-2</v>
      </c>
      <c r="P466" s="215">
        <f t="shared" si="294"/>
        <v>2.1378418199022267E-2</v>
      </c>
      <c r="Q466" s="215">
        <f t="shared" si="294"/>
        <v>7.8809295898318033E-2</v>
      </c>
      <c r="R466" s="215">
        <f t="shared" si="294"/>
        <v>3.3899285214864877E-2</v>
      </c>
      <c r="S466" s="215">
        <f>S465/S464*(365/S$17)</f>
        <v>3.8706256627783667E-2</v>
      </c>
      <c r="T466" s="215">
        <f>T465/T464*(365/T$17)</f>
        <v>3.1661195185096219E-2</v>
      </c>
      <c r="U466" s="215">
        <f>U465/U464*(365/U$17)</f>
        <v>2.8787140071125383E-2</v>
      </c>
      <c r="V466" s="215">
        <f>V465/V464*(365/V$17)</f>
        <v>2.7703371525614553E-2</v>
      </c>
      <c r="W466" s="191">
        <v>2.7E-2</v>
      </c>
      <c r="X466" s="191">
        <v>2.7E-2</v>
      </c>
      <c r="Y466" s="191">
        <v>2.5000000000000001E-2</v>
      </c>
      <c r="Z466" s="191">
        <v>2.5000000000000001E-2</v>
      </c>
      <c r="AA466" s="191">
        <v>2.5000000000000001E-2</v>
      </c>
      <c r="AB466" s="191">
        <v>2.5000000000000001E-2</v>
      </c>
      <c r="AC466" s="191">
        <v>2.5000000000000001E-2</v>
      </c>
      <c r="AD466" s="191">
        <v>2.5000000000000001E-2</v>
      </c>
      <c r="AE466" s="191">
        <v>2.5000000000000001E-2</v>
      </c>
      <c r="AF466" s="191">
        <v>2.5000000000000001E-2</v>
      </c>
      <c r="AG466" s="191">
        <v>2.5000000000000001E-2</v>
      </c>
      <c r="AH466" s="191">
        <v>2.5000000000000001E-2</v>
      </c>
      <c r="AI466" s="191">
        <v>2.5000000000000001E-2</v>
      </c>
      <c r="AJ466" s="191">
        <v>2.5000000000000001E-2</v>
      </c>
      <c r="AK466" s="191">
        <v>2.5000000000000001E-2</v>
      </c>
      <c r="AL466" s="191">
        <v>2.5000000000000001E-2</v>
      </c>
      <c r="AM466" s="191">
        <v>2.5000000000000001E-2</v>
      </c>
      <c r="AN466" s="191">
        <v>2.5000000000000001E-2</v>
      </c>
    </row>
    <row r="467" spans="2:40">
      <c r="B467" s="216" t="s">
        <v>1289</v>
      </c>
      <c r="C467" s="82" t="s">
        <v>842</v>
      </c>
      <c r="D467" s="850"/>
      <c r="E467" s="507"/>
      <c r="F467" s="852"/>
      <c r="G467" s="215"/>
      <c r="H467" s="215"/>
      <c r="I467" s="215"/>
      <c r="J467" s="215"/>
      <c r="K467" s="215"/>
      <c r="L467" s="215"/>
      <c r="M467" s="215"/>
      <c r="N467" s="215"/>
      <c r="O467" s="215"/>
      <c r="P467" s="215"/>
      <c r="Q467" s="215"/>
      <c r="R467" s="215"/>
      <c r="S467" s="215"/>
      <c r="T467" s="215"/>
      <c r="U467" s="215"/>
      <c r="V467" s="215"/>
      <c r="W467" s="215">
        <f t="shared" ref="W467:AL467" si="295">W460</f>
        <v>7.1999999999999995E-2</v>
      </c>
      <c r="X467" s="215">
        <f t="shared" si="295"/>
        <v>6.9000000000000006E-2</v>
      </c>
      <c r="Y467" s="215">
        <f t="shared" si="295"/>
        <v>6.9000000000000006E-2</v>
      </c>
      <c r="Z467" s="215">
        <f t="shared" si="295"/>
        <v>6.9000000000000006E-2</v>
      </c>
      <c r="AA467" s="215">
        <f t="shared" si="295"/>
        <v>6.9000000000000006E-2</v>
      </c>
      <c r="AB467" s="215">
        <f t="shared" si="295"/>
        <v>6.9000000000000006E-2</v>
      </c>
      <c r="AC467" s="215">
        <f t="shared" si="295"/>
        <v>6.9000000000000006E-2</v>
      </c>
      <c r="AD467" s="215">
        <f t="shared" si="295"/>
        <v>6.9000000000000006E-2</v>
      </c>
      <c r="AE467" s="215">
        <f t="shared" si="295"/>
        <v>6.7000000000000004E-2</v>
      </c>
      <c r="AF467" s="215">
        <f t="shared" si="295"/>
        <v>6.7000000000000004E-2</v>
      </c>
      <c r="AG467" s="215">
        <f t="shared" si="295"/>
        <v>6.7000000000000004E-2</v>
      </c>
      <c r="AH467" s="215">
        <f t="shared" si="295"/>
        <v>6.7000000000000004E-2</v>
      </c>
      <c r="AI467" s="215">
        <f t="shared" si="295"/>
        <v>6.7000000000000004E-2</v>
      </c>
      <c r="AJ467" s="215">
        <f t="shared" si="295"/>
        <v>6.7000000000000004E-2</v>
      </c>
      <c r="AK467" s="215">
        <f t="shared" si="295"/>
        <v>6.7000000000000004E-2</v>
      </c>
      <c r="AL467" s="215">
        <f t="shared" si="295"/>
        <v>6.7000000000000004E-2</v>
      </c>
      <c r="AM467" s="215">
        <f>AM460</f>
        <v>6.7000000000000004E-2</v>
      </c>
      <c r="AN467" s="215">
        <f>AN460</f>
        <v>6.7000000000000004E-2</v>
      </c>
    </row>
    <row r="468" spans="2:40">
      <c r="D468" s="850"/>
      <c r="E468" s="507"/>
      <c r="F468" s="507"/>
      <c r="G468" s="507"/>
      <c r="H468" s="507"/>
      <c r="I468" s="507"/>
      <c r="J468" s="507"/>
      <c r="K468" s="507"/>
      <c r="L468" s="507"/>
      <c r="M468" s="507"/>
      <c r="N468" s="507"/>
      <c r="O468" s="507"/>
      <c r="P468" s="507"/>
      <c r="Q468" s="507"/>
    </row>
    <row r="469" spans="2:40">
      <c r="B469" s="206" t="s">
        <v>1012</v>
      </c>
      <c r="D469" s="850"/>
      <c r="E469" s="132"/>
      <c r="F469" s="132"/>
      <c r="G469" s="132"/>
      <c r="H469" s="132"/>
      <c r="I469" s="132"/>
      <c r="J469" s="132"/>
      <c r="K469" s="132"/>
      <c r="L469" s="132"/>
      <c r="M469" s="132"/>
      <c r="N469" s="132"/>
      <c r="O469" s="132"/>
      <c r="P469" s="132"/>
      <c r="Q469" s="132"/>
    </row>
    <row r="470" spans="2:40">
      <c r="B470" s="209" t="s">
        <v>12</v>
      </c>
      <c r="C470" s="82" t="s">
        <v>900</v>
      </c>
      <c r="D470" s="850"/>
      <c r="E470" s="519"/>
      <c r="F470" s="519"/>
      <c r="G470" s="519"/>
      <c r="H470" s="519"/>
      <c r="I470" s="519"/>
      <c r="J470" s="519"/>
      <c r="K470" s="519"/>
      <c r="L470" s="519"/>
      <c r="M470" s="519">
        <f t="shared" ref="M470:AL470" si="296">M465</f>
        <v>0.2</v>
      </c>
      <c r="N470" s="519">
        <f t="shared" si="296"/>
        <v>0.2</v>
      </c>
      <c r="O470" s="519">
        <f t="shared" si="296"/>
        <v>1.7</v>
      </c>
      <c r="P470" s="519">
        <f t="shared" si="296"/>
        <v>2.8999999999999995</v>
      </c>
      <c r="Q470" s="519">
        <f t="shared" ref="Q470:V470" si="297">Q465</f>
        <v>12</v>
      </c>
      <c r="R470" s="519">
        <f t="shared" si="297"/>
        <v>5.3000000000000007</v>
      </c>
      <c r="S470" s="519">
        <f t="shared" si="297"/>
        <v>5.6</v>
      </c>
      <c r="T470" s="519">
        <f t="shared" si="297"/>
        <v>3.9000000000000004</v>
      </c>
      <c r="U470" s="519">
        <f t="shared" si="297"/>
        <v>3.3</v>
      </c>
      <c r="V470" s="519">
        <f t="shared" si="297"/>
        <v>3.6000000000000005</v>
      </c>
      <c r="W470" s="519">
        <f t="shared" si="296"/>
        <v>4.1622312328767128</v>
      </c>
      <c r="X470" s="519">
        <f t="shared" si="296"/>
        <v>5.0523729355346338</v>
      </c>
      <c r="Y470" s="519">
        <f t="shared" si="296"/>
        <v>3.3918942463516406</v>
      </c>
      <c r="Z470" s="519">
        <f t="shared" si="296"/>
        <v>4.2732294854705373</v>
      </c>
      <c r="AA470" s="519">
        <f t="shared" si="296"/>
        <v>4.445283102685246</v>
      </c>
      <c r="AB470" s="519">
        <f t="shared" si="296"/>
        <v>5.3380127167279783</v>
      </c>
      <c r="AC470" s="519">
        <f t="shared" si="296"/>
        <v>5.7792673196342808</v>
      </c>
      <c r="AD470" s="519">
        <f t="shared" si="296"/>
        <v>6.845173844401427</v>
      </c>
      <c r="AE470" s="519">
        <f t="shared" si="296"/>
        <v>7.4050631888863556</v>
      </c>
      <c r="AF470" s="519">
        <f t="shared" si="296"/>
        <v>8.3790701600457052</v>
      </c>
      <c r="AG470" s="519">
        <f t="shared" si="296"/>
        <v>8.9488096447591072</v>
      </c>
      <c r="AH470" s="519">
        <f t="shared" si="296"/>
        <v>10.530641207992394</v>
      </c>
      <c r="AI470" s="519">
        <f t="shared" si="296"/>
        <v>11.512136166891009</v>
      </c>
      <c r="AJ470" s="519">
        <f t="shared" si="296"/>
        <v>13.062529335725856</v>
      </c>
      <c r="AK470" s="519">
        <f t="shared" si="296"/>
        <v>14.211514977231639</v>
      </c>
      <c r="AL470" s="519">
        <f t="shared" si="296"/>
        <v>15.874330768800062</v>
      </c>
      <c r="AM470" s="519">
        <f>AM465</f>
        <v>17.273292046383485</v>
      </c>
      <c r="AN470" s="519">
        <f>AN465</f>
        <v>18.96886942179102</v>
      </c>
    </row>
    <row r="471" spans="2:40">
      <c r="B471" s="209" t="s">
        <v>11</v>
      </c>
      <c r="C471" s="82" t="s">
        <v>900</v>
      </c>
      <c r="D471" s="850"/>
      <c r="E471" s="519"/>
      <c r="F471" s="519"/>
      <c r="G471" s="519"/>
      <c r="H471" s="519"/>
      <c r="I471" s="519"/>
      <c r="J471" s="519"/>
      <c r="K471" s="519"/>
      <c r="L471" s="519"/>
      <c r="M471" s="519">
        <f t="shared" ref="M471:AL471" si="298">M459</f>
        <v>-64.400000000000006</v>
      </c>
      <c r="N471" s="519">
        <f t="shared" si="298"/>
        <v>-51.899999999999991</v>
      </c>
      <c r="O471" s="519">
        <f t="shared" si="298"/>
        <v>-10.199999999999999</v>
      </c>
      <c r="P471" s="519">
        <f t="shared" si="298"/>
        <v>-18.2</v>
      </c>
      <c r="Q471" s="519">
        <f t="shared" si="298"/>
        <v>-20.399999999999999</v>
      </c>
      <c r="R471" s="519">
        <f>R459</f>
        <v>-20.100000000000001</v>
      </c>
      <c r="S471" s="519">
        <f>S459</f>
        <v>-37.5</v>
      </c>
      <c r="T471" s="519">
        <f>T459</f>
        <v>-31.299999999999997</v>
      </c>
      <c r="U471" s="519">
        <f>U459</f>
        <v>-29.9</v>
      </c>
      <c r="V471" s="519">
        <f>V459</f>
        <v>-29.400000000000006</v>
      </c>
      <c r="W471" s="519">
        <f t="shared" si="298"/>
        <v>-30.198180821917809</v>
      </c>
      <c r="X471" s="519">
        <f t="shared" si="298"/>
        <v>-34.455953424657537</v>
      </c>
      <c r="Y471" s="519">
        <f t="shared" si="298"/>
        <v>-35.027046575342467</v>
      </c>
      <c r="Z471" s="519">
        <f t="shared" si="298"/>
        <v>-34.64631780821918</v>
      </c>
      <c r="AA471" s="519">
        <f t="shared" si="298"/>
        <v>-35.027046575342467</v>
      </c>
      <c r="AB471" s="519">
        <f t="shared" si="298"/>
        <v>-34.455953424657537</v>
      </c>
      <c r="AC471" s="519">
        <f t="shared" si="298"/>
        <v>-35.027046575342467</v>
      </c>
      <c r="AD471" s="519">
        <f t="shared" si="298"/>
        <v>-34.455953424657537</v>
      </c>
      <c r="AE471" s="519">
        <f t="shared" si="298"/>
        <v>-34.011769863013704</v>
      </c>
      <c r="AF471" s="519">
        <f t="shared" si="298"/>
        <v>-33.457230136986304</v>
      </c>
      <c r="AG471" s="519">
        <f t="shared" si="298"/>
        <v>-34.011769863013704</v>
      </c>
      <c r="AH471" s="519">
        <f t="shared" si="298"/>
        <v>-33.642076712328773</v>
      </c>
      <c r="AI471" s="519">
        <f t="shared" si="298"/>
        <v>-34.011769863013704</v>
      </c>
      <c r="AJ471" s="519">
        <f t="shared" si="298"/>
        <v>-33.457230136986304</v>
      </c>
      <c r="AK471" s="519">
        <f t="shared" si="298"/>
        <v>-34.011769863013704</v>
      </c>
      <c r="AL471" s="519">
        <f t="shared" si="298"/>
        <v>-33.457230136986304</v>
      </c>
      <c r="AM471" s="519">
        <f>AM459</f>
        <v>-34.011769863013704</v>
      </c>
      <c r="AN471" s="519">
        <f>AN459</f>
        <v>-33.457230136986304</v>
      </c>
    </row>
    <row r="472" spans="2:40">
      <c r="B472" s="209" t="s">
        <v>1052</v>
      </c>
      <c r="C472" s="82" t="s">
        <v>900</v>
      </c>
      <c r="D472" s="850"/>
      <c r="E472" s="519"/>
      <c r="F472" s="519"/>
      <c r="G472" s="519"/>
      <c r="H472" s="519"/>
      <c r="I472" s="519"/>
      <c r="J472" s="519"/>
      <c r="K472" s="519"/>
      <c r="L472" s="519"/>
      <c r="M472" s="507">
        <v>-5.3</v>
      </c>
      <c r="N472" s="507">
        <f>-9.5+64.3-M472</f>
        <v>60.099999999999994</v>
      </c>
      <c r="O472" s="507">
        <v>-4.4000000000000004</v>
      </c>
      <c r="P472" s="507">
        <f>-8.5-0.2-O472</f>
        <v>-4.2999999999999989</v>
      </c>
      <c r="Q472" s="507">
        <f>-4.8-7.7</f>
        <v>-12.5</v>
      </c>
      <c r="R472" s="507">
        <f>-7-1.6-2.7-7.7-Q472</f>
        <v>-6.5</v>
      </c>
      <c r="S472" s="507">
        <f>-1.7-1.2-11.2</f>
        <v>-14.1</v>
      </c>
      <c r="T472" s="507">
        <f>-4.2-25.5-2.5-S472</f>
        <v>-18.100000000000001</v>
      </c>
      <c r="U472" s="507">
        <f>-2.9-1.3-12.1</f>
        <v>-16.3</v>
      </c>
      <c r="V472" s="507">
        <f>-6.8-24.4-2.6-U472</f>
        <v>-17.499999999999996</v>
      </c>
      <c r="W472" s="160">
        <v>-16</v>
      </c>
      <c r="X472" s="160">
        <v>-16</v>
      </c>
      <c r="Y472" s="160">
        <v>-16</v>
      </c>
      <c r="Z472" s="160">
        <v>-16</v>
      </c>
      <c r="AA472" s="160">
        <v>-17</v>
      </c>
      <c r="AB472" s="160">
        <v>-17</v>
      </c>
      <c r="AC472" s="160">
        <v>-17</v>
      </c>
      <c r="AD472" s="160">
        <v>-17</v>
      </c>
      <c r="AE472" s="160">
        <v>-17</v>
      </c>
      <c r="AF472" s="160">
        <v>-17</v>
      </c>
      <c r="AG472" s="160">
        <v>-17</v>
      </c>
      <c r="AH472" s="160">
        <v>-17</v>
      </c>
      <c r="AI472" s="160">
        <v>-17</v>
      </c>
      <c r="AJ472" s="160">
        <v>-17</v>
      </c>
      <c r="AK472" s="160">
        <v>-17</v>
      </c>
      <c r="AL472" s="160">
        <v>-17</v>
      </c>
      <c r="AM472" s="160">
        <v>-17</v>
      </c>
      <c r="AN472" s="160">
        <v>-17</v>
      </c>
    </row>
    <row r="473" spans="2:40">
      <c r="B473" s="225" t="s">
        <v>1051</v>
      </c>
      <c r="C473" s="82" t="s">
        <v>900</v>
      </c>
      <c r="D473" s="850"/>
      <c r="E473" s="519"/>
      <c r="F473" s="519"/>
      <c r="G473" s="519"/>
      <c r="H473" s="519"/>
      <c r="I473" s="519"/>
      <c r="J473" s="519"/>
      <c r="K473" s="519"/>
      <c r="L473" s="519"/>
      <c r="M473" s="507">
        <v>-69.5</v>
      </c>
      <c r="N473" s="507">
        <f>-61.1-M473</f>
        <v>8.3999999999999986</v>
      </c>
      <c r="O473" s="507">
        <v>-12.9</v>
      </c>
      <c r="P473" s="507">
        <f>-32.5-O473</f>
        <v>-19.600000000000001</v>
      </c>
      <c r="Q473" s="507">
        <v>-20.9</v>
      </c>
      <c r="R473" s="507">
        <f>-42.2-Q473</f>
        <v>-21.300000000000004</v>
      </c>
      <c r="S473" s="507">
        <v>-46</v>
      </c>
      <c r="T473" s="507">
        <f>-91.5-S473</f>
        <v>-45.5</v>
      </c>
      <c r="U473" s="507">
        <v>-42.9</v>
      </c>
      <c r="V473" s="507">
        <f>-86.2-U473</f>
        <v>-43.300000000000004</v>
      </c>
      <c r="W473" s="853">
        <f t="shared" ref="W473:AL473" si="299">SUM(W470:W472)</f>
        <v>-42.035949589041095</v>
      </c>
      <c r="X473" s="853">
        <f t="shared" si="299"/>
        <v>-45.403580489122902</v>
      </c>
      <c r="Y473" s="853">
        <f t="shared" si="299"/>
        <v>-47.635152328990827</v>
      </c>
      <c r="Z473" s="853">
        <f t="shared" si="299"/>
        <v>-46.373088322748643</v>
      </c>
      <c r="AA473" s="853">
        <f t="shared" si="299"/>
        <v>-47.581763472657222</v>
      </c>
      <c r="AB473" s="853">
        <f t="shared" si="299"/>
        <v>-46.117940707929563</v>
      </c>
      <c r="AC473" s="853">
        <f t="shared" si="299"/>
        <v>-46.247779255708188</v>
      </c>
      <c r="AD473" s="853">
        <f t="shared" si="299"/>
        <v>-44.610779580256107</v>
      </c>
      <c r="AE473" s="853">
        <f t="shared" si="299"/>
        <v>-43.606706674127352</v>
      </c>
      <c r="AF473" s="853">
        <f t="shared" si="299"/>
        <v>-42.078159976940597</v>
      </c>
      <c r="AG473" s="853">
        <f t="shared" si="299"/>
        <v>-42.062960218254595</v>
      </c>
      <c r="AH473" s="853">
        <f t="shared" si="299"/>
        <v>-40.111435504336377</v>
      </c>
      <c r="AI473" s="853">
        <f t="shared" si="299"/>
        <v>-39.499633696122693</v>
      </c>
      <c r="AJ473" s="853">
        <f t="shared" si="299"/>
        <v>-37.394700801260448</v>
      </c>
      <c r="AK473" s="853">
        <f t="shared" si="299"/>
        <v>-36.800254885782067</v>
      </c>
      <c r="AL473" s="853">
        <f t="shared" si="299"/>
        <v>-34.58289936818624</v>
      </c>
      <c r="AM473" s="853">
        <f>SUM(AM470:AM472)</f>
        <v>-33.738477816630223</v>
      </c>
      <c r="AN473" s="853">
        <f>SUM(AN470:AN472)</f>
        <v>-31.488360715195284</v>
      </c>
    </row>
    <row r="474" spans="2:40">
      <c r="B474" s="225" t="s">
        <v>886</v>
      </c>
      <c r="D474" s="854"/>
      <c r="E474" s="519"/>
      <c r="F474" s="519"/>
      <c r="G474" s="519"/>
      <c r="H474" s="519"/>
      <c r="I474" s="519"/>
      <c r="J474" s="519"/>
      <c r="K474" s="519"/>
      <c r="L474" s="491"/>
      <c r="M474" s="491">
        <f>M473-SUM(M470:M472)</f>
        <v>0</v>
      </c>
      <c r="N474" s="491">
        <f>N473-SUM(N470:N472)</f>
        <v>0</v>
      </c>
      <c r="O474" s="491">
        <f>O473-SUM(O470:O472)</f>
        <v>0</v>
      </c>
      <c r="P474" s="491">
        <f t="shared" ref="P474:AL474" si="300">P473-SUM(P470:P472)</f>
        <v>0</v>
      </c>
      <c r="Q474" s="491">
        <f t="shared" ref="Q474:V474" si="301">Q473-SUM(Q470:Q472)</f>
        <v>0</v>
      </c>
      <c r="R474" s="491">
        <f t="shared" si="301"/>
        <v>0</v>
      </c>
      <c r="S474" s="491">
        <f t="shared" si="301"/>
        <v>0</v>
      </c>
      <c r="T474" s="491">
        <f t="shared" si="301"/>
        <v>0</v>
      </c>
      <c r="U474" s="491">
        <f t="shared" si="301"/>
        <v>0</v>
      </c>
      <c r="V474" s="491">
        <f t="shared" si="301"/>
        <v>0</v>
      </c>
      <c r="W474" s="491">
        <f t="shared" si="300"/>
        <v>0</v>
      </c>
      <c r="X474" s="491">
        <f t="shared" si="300"/>
        <v>0</v>
      </c>
      <c r="Y474" s="491">
        <f t="shared" si="300"/>
        <v>0</v>
      </c>
      <c r="Z474" s="491">
        <f t="shared" si="300"/>
        <v>0</v>
      </c>
      <c r="AA474" s="491">
        <f t="shared" si="300"/>
        <v>0</v>
      </c>
      <c r="AB474" s="491">
        <f t="shared" si="300"/>
        <v>0</v>
      </c>
      <c r="AC474" s="491">
        <f t="shared" si="300"/>
        <v>0</v>
      </c>
      <c r="AD474" s="491">
        <f t="shared" si="300"/>
        <v>0</v>
      </c>
      <c r="AE474" s="491">
        <f t="shared" si="300"/>
        <v>0</v>
      </c>
      <c r="AF474" s="491">
        <f t="shared" si="300"/>
        <v>0</v>
      </c>
      <c r="AG474" s="491">
        <f t="shared" si="300"/>
        <v>0</v>
      </c>
      <c r="AH474" s="491">
        <f t="shared" si="300"/>
        <v>0</v>
      </c>
      <c r="AI474" s="491">
        <f t="shared" si="300"/>
        <v>0</v>
      </c>
      <c r="AJ474" s="491">
        <f t="shared" si="300"/>
        <v>0</v>
      </c>
      <c r="AK474" s="491">
        <f t="shared" si="300"/>
        <v>0</v>
      </c>
      <c r="AL474" s="491">
        <f t="shared" si="300"/>
        <v>0</v>
      </c>
      <c r="AM474" s="491">
        <f>AM473-SUM(AM470:AM472)</f>
        <v>0</v>
      </c>
      <c r="AN474" s="491">
        <f>AN473-SUM(AN470:AN472)</f>
        <v>0</v>
      </c>
    </row>
    <row r="475" spans="2:40" s="199" customFormat="1">
      <c r="B475" s="225"/>
      <c r="C475" s="201"/>
      <c r="E475" s="491"/>
      <c r="F475" s="491"/>
      <c r="G475" s="491"/>
      <c r="H475" s="491"/>
      <c r="I475" s="491"/>
      <c r="J475" s="491"/>
      <c r="K475" s="491"/>
      <c r="L475" s="491"/>
      <c r="M475" s="491"/>
      <c r="N475" s="491"/>
      <c r="O475" s="491"/>
      <c r="P475" s="491"/>
      <c r="Q475" s="491"/>
      <c r="R475" s="491"/>
      <c r="S475" s="491"/>
      <c r="T475" s="491"/>
      <c r="U475" s="491"/>
      <c r="V475" s="491"/>
      <c r="W475" s="491"/>
      <c r="X475" s="491"/>
      <c r="Y475" s="491"/>
      <c r="Z475" s="491"/>
      <c r="AA475" s="491"/>
      <c r="AB475" s="491"/>
      <c r="AC475" s="491"/>
      <c r="AD475" s="491"/>
      <c r="AE475" s="491"/>
      <c r="AF475" s="491"/>
      <c r="AG475" s="491"/>
      <c r="AH475" s="491"/>
      <c r="AI475" s="491"/>
      <c r="AJ475" s="491"/>
      <c r="AK475" s="491"/>
      <c r="AL475" s="491"/>
      <c r="AM475" s="491"/>
      <c r="AN475" s="491"/>
    </row>
    <row r="476" spans="2:40" s="199" customFormat="1">
      <c r="B476" s="211"/>
      <c r="C476" s="82"/>
      <c r="D476" s="212"/>
      <c r="E476" s="507"/>
      <c r="F476" s="507"/>
      <c r="G476" s="507"/>
      <c r="H476" s="507"/>
      <c r="I476" s="507"/>
      <c r="J476" s="507"/>
      <c r="K476" s="507"/>
      <c r="L476" s="507"/>
      <c r="M476" s="507"/>
      <c r="N476" s="507"/>
      <c r="O476" s="507"/>
      <c r="P476" s="507"/>
      <c r="Q476" s="256"/>
      <c r="R476" s="256"/>
      <c r="S476" s="256"/>
      <c r="T476" s="256"/>
      <c r="U476" s="256"/>
      <c r="V476" s="256"/>
      <c r="W476" s="256"/>
      <c r="X476" s="256"/>
      <c r="Y476" s="256"/>
      <c r="Z476" s="256"/>
      <c r="AA476" s="256"/>
      <c r="AB476" s="256"/>
      <c r="AC476" s="256"/>
      <c r="AD476" s="256"/>
      <c r="AE476" s="256"/>
      <c r="AF476" s="256"/>
      <c r="AG476" s="256"/>
      <c r="AH476" s="256"/>
      <c r="AI476" s="256"/>
      <c r="AJ476" s="256"/>
      <c r="AK476" s="256"/>
      <c r="AL476" s="256"/>
      <c r="AM476" s="256"/>
      <c r="AN476" s="256"/>
    </row>
    <row r="477" spans="2:40">
      <c r="B477" s="257" t="s">
        <v>1049</v>
      </c>
    </row>
    <row r="478" spans="2:40">
      <c r="B478" s="856" t="s">
        <v>56</v>
      </c>
    </row>
    <row r="479" spans="2:40" s="199" customFormat="1">
      <c r="B479" s="211" t="s">
        <v>1238</v>
      </c>
      <c r="C479" s="82" t="s">
        <v>900</v>
      </c>
      <c r="D479" s="212"/>
      <c r="E479" s="507"/>
      <c r="F479" s="507"/>
      <c r="G479" s="507"/>
      <c r="H479" s="507"/>
      <c r="I479" s="507"/>
      <c r="J479" s="507"/>
      <c r="K479" s="507"/>
      <c r="L479" s="507"/>
      <c r="M479" s="507"/>
      <c r="N479" s="507">
        <v>0</v>
      </c>
      <c r="O479" s="507">
        <v>31.7</v>
      </c>
      <c r="P479" s="507">
        <v>10.8</v>
      </c>
      <c r="Q479" s="507">
        <v>56.5</v>
      </c>
      <c r="R479" s="507">
        <v>13</v>
      </c>
      <c r="S479" s="507">
        <v>7.4</v>
      </c>
      <c r="T479" s="507">
        <v>0</v>
      </c>
      <c r="U479" s="507">
        <v>0</v>
      </c>
      <c r="V479" s="507">
        <v>0</v>
      </c>
      <c r="W479" s="160">
        <f t="shared" ref="W479:AK479" si="302">V479</f>
        <v>0</v>
      </c>
      <c r="X479" s="160">
        <f t="shared" si="302"/>
        <v>0</v>
      </c>
      <c r="Y479" s="160">
        <f t="shared" si="302"/>
        <v>0</v>
      </c>
      <c r="Z479" s="160">
        <f t="shared" si="302"/>
        <v>0</v>
      </c>
      <c r="AA479" s="160">
        <f t="shared" si="302"/>
        <v>0</v>
      </c>
      <c r="AB479" s="160">
        <f t="shared" si="302"/>
        <v>0</v>
      </c>
      <c r="AC479" s="160">
        <f t="shared" si="302"/>
        <v>0</v>
      </c>
      <c r="AD479" s="160">
        <f t="shared" si="302"/>
        <v>0</v>
      </c>
      <c r="AE479" s="160">
        <f t="shared" si="302"/>
        <v>0</v>
      </c>
      <c r="AF479" s="160">
        <f t="shared" si="302"/>
        <v>0</v>
      </c>
      <c r="AG479" s="160">
        <f t="shared" si="302"/>
        <v>0</v>
      </c>
      <c r="AH479" s="160">
        <f t="shared" si="302"/>
        <v>0</v>
      </c>
      <c r="AI479" s="160">
        <f t="shared" si="302"/>
        <v>0</v>
      </c>
      <c r="AJ479" s="160">
        <f t="shared" si="302"/>
        <v>0</v>
      </c>
      <c r="AK479" s="160">
        <f t="shared" si="302"/>
        <v>0</v>
      </c>
      <c r="AL479" s="160">
        <f>AK479</f>
        <v>0</v>
      </c>
      <c r="AM479" s="160">
        <f>AL479</f>
        <v>0</v>
      </c>
      <c r="AN479" s="160">
        <f>AM479</f>
        <v>0</v>
      </c>
    </row>
    <row r="480" spans="2:40" s="199" customFormat="1">
      <c r="B480" s="234" t="s">
        <v>1046</v>
      </c>
      <c r="C480" s="82" t="s">
        <v>900</v>
      </c>
      <c r="D480" s="212"/>
      <c r="E480" s="507"/>
      <c r="F480" s="519"/>
      <c r="G480" s="519"/>
      <c r="H480" s="519"/>
      <c r="I480" s="519"/>
      <c r="J480" s="519"/>
      <c r="K480" s="519"/>
      <c r="L480" s="519"/>
      <c r="M480" s="519">
        <f t="shared" ref="M480:AL480" si="303">SUM(M479:M479)</f>
        <v>0</v>
      </c>
      <c r="N480" s="519">
        <f t="shared" si="303"/>
        <v>0</v>
      </c>
      <c r="O480" s="519">
        <f t="shared" si="303"/>
        <v>31.7</v>
      </c>
      <c r="P480" s="519">
        <f t="shared" si="303"/>
        <v>10.8</v>
      </c>
      <c r="Q480" s="519">
        <f t="shared" ref="Q480:V480" si="304">SUM(Q479:Q479)</f>
        <v>56.5</v>
      </c>
      <c r="R480" s="519">
        <f t="shared" si="304"/>
        <v>13</v>
      </c>
      <c r="S480" s="519">
        <f t="shared" si="304"/>
        <v>7.4</v>
      </c>
      <c r="T480" s="519">
        <f t="shared" si="304"/>
        <v>0</v>
      </c>
      <c r="U480" s="519">
        <f t="shared" si="304"/>
        <v>0</v>
      </c>
      <c r="V480" s="519">
        <f t="shared" si="304"/>
        <v>0</v>
      </c>
      <c r="W480" s="519">
        <f t="shared" si="303"/>
        <v>0</v>
      </c>
      <c r="X480" s="519">
        <f t="shared" si="303"/>
        <v>0</v>
      </c>
      <c r="Y480" s="519">
        <f t="shared" si="303"/>
        <v>0</v>
      </c>
      <c r="Z480" s="519">
        <f t="shared" si="303"/>
        <v>0</v>
      </c>
      <c r="AA480" s="519">
        <f t="shared" si="303"/>
        <v>0</v>
      </c>
      <c r="AB480" s="519">
        <f t="shared" si="303"/>
        <v>0</v>
      </c>
      <c r="AC480" s="519">
        <f t="shared" si="303"/>
        <v>0</v>
      </c>
      <c r="AD480" s="519">
        <f t="shared" si="303"/>
        <v>0</v>
      </c>
      <c r="AE480" s="519">
        <f t="shared" si="303"/>
        <v>0</v>
      </c>
      <c r="AF480" s="519">
        <f t="shared" si="303"/>
        <v>0</v>
      </c>
      <c r="AG480" s="519">
        <f t="shared" si="303"/>
        <v>0</v>
      </c>
      <c r="AH480" s="519">
        <f t="shared" si="303"/>
        <v>0</v>
      </c>
      <c r="AI480" s="519">
        <f t="shared" si="303"/>
        <v>0</v>
      </c>
      <c r="AJ480" s="519">
        <f t="shared" si="303"/>
        <v>0</v>
      </c>
      <c r="AK480" s="519">
        <f t="shared" si="303"/>
        <v>0</v>
      </c>
      <c r="AL480" s="519">
        <f t="shared" si="303"/>
        <v>0</v>
      </c>
      <c r="AM480" s="519">
        <f>SUM(AM479:AM479)</f>
        <v>0</v>
      </c>
      <c r="AN480" s="519">
        <f>SUM(AN479:AN479)</f>
        <v>0</v>
      </c>
    </row>
    <row r="481" spans="2:40" s="199" customFormat="1">
      <c r="B481" s="857"/>
      <c r="C481" s="82"/>
      <c r="D481" s="212"/>
      <c r="E481" s="507"/>
      <c r="F481" s="507"/>
      <c r="G481" s="507"/>
      <c r="H481" s="507"/>
      <c r="I481" s="507"/>
      <c r="J481" s="507"/>
      <c r="K481" s="507"/>
      <c r="L481" s="507"/>
      <c r="M481" s="507"/>
      <c r="N481" s="507"/>
      <c r="O481" s="507"/>
      <c r="P481" s="507"/>
      <c r="Q481" s="507"/>
      <c r="R481" s="507"/>
      <c r="S481" s="507"/>
      <c r="T481" s="507"/>
      <c r="U481" s="507"/>
      <c r="V481" s="507"/>
      <c r="W481" s="233"/>
      <c r="X481" s="233"/>
      <c r="Y481" s="233"/>
      <c r="Z481" s="233"/>
      <c r="AA481" s="233"/>
      <c r="AB481" s="233"/>
      <c r="AC481" s="233"/>
      <c r="AD481" s="233"/>
      <c r="AE481" s="233"/>
      <c r="AF481" s="233"/>
      <c r="AG481" s="233"/>
      <c r="AH481" s="233"/>
      <c r="AI481" s="233"/>
      <c r="AJ481" s="233"/>
      <c r="AK481" s="233"/>
      <c r="AL481" s="233"/>
      <c r="AM481" s="233"/>
      <c r="AN481" s="233"/>
    </row>
    <row r="482" spans="2:40" s="199" customFormat="1">
      <c r="B482" s="211" t="s">
        <v>1045</v>
      </c>
      <c r="C482" s="82" t="s">
        <v>900</v>
      </c>
      <c r="D482" s="212"/>
      <c r="E482" s="507"/>
      <c r="F482" s="507"/>
      <c r="G482" s="507"/>
      <c r="H482" s="507"/>
      <c r="I482" s="507"/>
      <c r="J482" s="507"/>
      <c r="K482" s="507"/>
      <c r="L482" s="135">
        <v>54.9</v>
      </c>
      <c r="M482" s="135">
        <v>32</v>
      </c>
      <c r="N482" s="135">
        <v>8.5</v>
      </c>
      <c r="O482" s="135">
        <v>0</v>
      </c>
      <c r="P482" s="135">
        <v>0</v>
      </c>
      <c r="Q482" s="135">
        <v>0</v>
      </c>
      <c r="R482" s="135">
        <v>0</v>
      </c>
      <c r="S482" s="135">
        <v>0</v>
      </c>
      <c r="T482" s="135">
        <v>12.1</v>
      </c>
      <c r="U482" s="135">
        <v>18.3</v>
      </c>
      <c r="V482" s="135">
        <v>24</v>
      </c>
      <c r="W482" s="160">
        <f t="shared" ref="W482:AK482" si="305">V482</f>
        <v>24</v>
      </c>
      <c r="X482" s="160">
        <f t="shared" si="305"/>
        <v>24</v>
      </c>
      <c r="Y482" s="160">
        <f t="shared" si="305"/>
        <v>24</v>
      </c>
      <c r="Z482" s="160">
        <f t="shared" si="305"/>
        <v>24</v>
      </c>
      <c r="AA482" s="160">
        <f t="shared" si="305"/>
        <v>24</v>
      </c>
      <c r="AB482" s="160">
        <f t="shared" si="305"/>
        <v>24</v>
      </c>
      <c r="AC482" s="160">
        <f t="shared" si="305"/>
        <v>24</v>
      </c>
      <c r="AD482" s="160">
        <f t="shared" si="305"/>
        <v>24</v>
      </c>
      <c r="AE482" s="160">
        <f t="shared" si="305"/>
        <v>24</v>
      </c>
      <c r="AF482" s="160">
        <f t="shared" si="305"/>
        <v>24</v>
      </c>
      <c r="AG482" s="160">
        <f t="shared" si="305"/>
        <v>24</v>
      </c>
      <c r="AH482" s="160">
        <f t="shared" si="305"/>
        <v>24</v>
      </c>
      <c r="AI482" s="160">
        <f t="shared" si="305"/>
        <v>24</v>
      </c>
      <c r="AJ482" s="160">
        <f t="shared" si="305"/>
        <v>24</v>
      </c>
      <c r="AK482" s="160">
        <f t="shared" si="305"/>
        <v>24</v>
      </c>
      <c r="AL482" s="160">
        <f t="shared" ref="AL482:AN483" si="306">AK482</f>
        <v>24</v>
      </c>
      <c r="AM482" s="160">
        <f t="shared" si="306"/>
        <v>24</v>
      </c>
      <c r="AN482" s="160">
        <f t="shared" si="306"/>
        <v>24</v>
      </c>
    </row>
    <row r="483" spans="2:40" s="199" customFormat="1">
      <c r="B483" s="211" t="s">
        <v>1056</v>
      </c>
      <c r="C483" s="82" t="s">
        <v>900</v>
      </c>
      <c r="D483" s="212"/>
      <c r="E483" s="507"/>
      <c r="F483" s="507"/>
      <c r="G483" s="507"/>
      <c r="H483" s="507"/>
      <c r="I483" s="507"/>
      <c r="J483" s="507"/>
      <c r="K483" s="507"/>
      <c r="L483" s="135">
        <v>525.6</v>
      </c>
      <c r="M483" s="135">
        <v>184</v>
      </c>
      <c r="N483" s="135">
        <v>179.5</v>
      </c>
      <c r="O483" s="135">
        <v>184.9</v>
      </c>
      <c r="P483" s="135">
        <v>180.1</v>
      </c>
      <c r="Q483" s="135">
        <v>34.1</v>
      </c>
      <c r="R483" s="135">
        <v>0</v>
      </c>
      <c r="S483" s="135">
        <v>0</v>
      </c>
      <c r="T483" s="135">
        <v>3</v>
      </c>
      <c r="U483" s="135">
        <v>20.8</v>
      </c>
      <c r="V483" s="135">
        <v>39.9</v>
      </c>
      <c r="W483" s="160">
        <f t="shared" ref="W483:AK483" si="307">V483</f>
        <v>39.9</v>
      </c>
      <c r="X483" s="160">
        <f t="shared" si="307"/>
        <v>39.9</v>
      </c>
      <c r="Y483" s="160">
        <f t="shared" si="307"/>
        <v>39.9</v>
      </c>
      <c r="Z483" s="160">
        <f t="shared" si="307"/>
        <v>39.9</v>
      </c>
      <c r="AA483" s="160">
        <f t="shared" si="307"/>
        <v>39.9</v>
      </c>
      <c r="AB483" s="160">
        <f t="shared" si="307"/>
        <v>39.9</v>
      </c>
      <c r="AC483" s="160">
        <f t="shared" si="307"/>
        <v>39.9</v>
      </c>
      <c r="AD483" s="160">
        <f t="shared" si="307"/>
        <v>39.9</v>
      </c>
      <c r="AE483" s="160">
        <f t="shared" si="307"/>
        <v>39.9</v>
      </c>
      <c r="AF483" s="160">
        <f t="shared" si="307"/>
        <v>39.9</v>
      </c>
      <c r="AG483" s="160">
        <f t="shared" si="307"/>
        <v>39.9</v>
      </c>
      <c r="AH483" s="160">
        <f t="shared" si="307"/>
        <v>39.9</v>
      </c>
      <c r="AI483" s="160">
        <f t="shared" si="307"/>
        <v>39.9</v>
      </c>
      <c r="AJ483" s="160">
        <f t="shared" si="307"/>
        <v>39.9</v>
      </c>
      <c r="AK483" s="160">
        <f t="shared" si="307"/>
        <v>39.9</v>
      </c>
      <c r="AL483" s="160">
        <f t="shared" si="306"/>
        <v>39.9</v>
      </c>
      <c r="AM483" s="160">
        <f t="shared" si="306"/>
        <v>39.9</v>
      </c>
      <c r="AN483" s="160">
        <f t="shared" si="306"/>
        <v>39.9</v>
      </c>
    </row>
    <row r="484" spans="2:40" s="199" customFormat="1">
      <c r="B484" s="234" t="s">
        <v>1047</v>
      </c>
      <c r="C484" s="82" t="s">
        <v>900</v>
      </c>
      <c r="D484" s="212"/>
      <c r="E484" s="507"/>
      <c r="F484" s="519"/>
      <c r="G484" s="519"/>
      <c r="H484" s="519"/>
      <c r="I484" s="519"/>
      <c r="J484" s="519"/>
      <c r="K484" s="519"/>
      <c r="L484" s="519">
        <f t="shared" ref="L484:AL484" si="308">SUM(L482:L483)</f>
        <v>580.5</v>
      </c>
      <c r="M484" s="519">
        <f t="shared" si="308"/>
        <v>216</v>
      </c>
      <c r="N484" s="519">
        <f t="shared" si="308"/>
        <v>188</v>
      </c>
      <c r="O484" s="519">
        <f t="shared" si="308"/>
        <v>184.9</v>
      </c>
      <c r="P484" s="519">
        <f t="shared" si="308"/>
        <v>180.1</v>
      </c>
      <c r="Q484" s="519">
        <f t="shared" ref="Q484:V484" si="309">SUM(Q482:Q483)</f>
        <v>34.1</v>
      </c>
      <c r="R484" s="519">
        <f t="shared" si="309"/>
        <v>0</v>
      </c>
      <c r="S484" s="519">
        <f t="shared" si="309"/>
        <v>0</v>
      </c>
      <c r="T484" s="519">
        <f t="shared" si="309"/>
        <v>15.1</v>
      </c>
      <c r="U484" s="519">
        <f t="shared" si="309"/>
        <v>39.1</v>
      </c>
      <c r="V484" s="519">
        <f t="shared" si="309"/>
        <v>63.9</v>
      </c>
      <c r="W484" s="519">
        <f t="shared" si="308"/>
        <v>63.9</v>
      </c>
      <c r="X484" s="519">
        <f t="shared" si="308"/>
        <v>63.9</v>
      </c>
      <c r="Y484" s="519">
        <f t="shared" si="308"/>
        <v>63.9</v>
      </c>
      <c r="Z484" s="519">
        <f t="shared" si="308"/>
        <v>63.9</v>
      </c>
      <c r="AA484" s="519">
        <f t="shared" si="308"/>
        <v>63.9</v>
      </c>
      <c r="AB484" s="519">
        <f t="shared" si="308"/>
        <v>63.9</v>
      </c>
      <c r="AC484" s="519">
        <f t="shared" si="308"/>
        <v>63.9</v>
      </c>
      <c r="AD484" s="519">
        <f t="shared" si="308"/>
        <v>63.9</v>
      </c>
      <c r="AE484" s="519">
        <f t="shared" si="308"/>
        <v>63.9</v>
      </c>
      <c r="AF484" s="519">
        <f t="shared" si="308"/>
        <v>63.9</v>
      </c>
      <c r="AG484" s="519">
        <f t="shared" si="308"/>
        <v>63.9</v>
      </c>
      <c r="AH484" s="519">
        <f t="shared" si="308"/>
        <v>63.9</v>
      </c>
      <c r="AI484" s="519">
        <f t="shared" si="308"/>
        <v>63.9</v>
      </c>
      <c r="AJ484" s="519">
        <f t="shared" si="308"/>
        <v>63.9</v>
      </c>
      <c r="AK484" s="519">
        <f t="shared" si="308"/>
        <v>63.9</v>
      </c>
      <c r="AL484" s="519">
        <f t="shared" si="308"/>
        <v>63.9</v>
      </c>
      <c r="AM484" s="519">
        <f>SUM(AM482:AM483)</f>
        <v>63.9</v>
      </c>
      <c r="AN484" s="519">
        <f>SUM(AN482:AN483)</f>
        <v>63.9</v>
      </c>
    </row>
    <row r="485" spans="2:40" s="199" customFormat="1">
      <c r="B485" s="858"/>
      <c r="C485" s="82"/>
      <c r="D485" s="212"/>
      <c r="E485" s="507"/>
      <c r="F485" s="507"/>
      <c r="G485" s="507"/>
      <c r="H485" s="507"/>
      <c r="I485" s="507"/>
      <c r="J485" s="507"/>
      <c r="K485" s="507"/>
      <c r="L485" s="507"/>
      <c r="M485" s="507"/>
      <c r="N485" s="507"/>
      <c r="O485" s="507"/>
      <c r="P485" s="507"/>
      <c r="Q485" s="507"/>
      <c r="R485" s="507"/>
      <c r="S485" s="507"/>
      <c r="T485" s="507"/>
      <c r="U485" s="507"/>
      <c r="V485" s="507"/>
      <c r="W485" s="233"/>
      <c r="X485" s="233"/>
      <c r="Y485" s="233"/>
      <c r="Z485" s="233"/>
      <c r="AA485" s="233"/>
      <c r="AB485" s="233"/>
      <c r="AC485" s="233"/>
      <c r="AD485" s="233"/>
      <c r="AE485" s="233"/>
      <c r="AF485" s="233"/>
      <c r="AG485" s="233"/>
      <c r="AH485" s="233"/>
      <c r="AI485" s="233"/>
      <c r="AJ485" s="233"/>
      <c r="AK485" s="233"/>
      <c r="AL485" s="233"/>
      <c r="AM485" s="233"/>
      <c r="AN485" s="233"/>
    </row>
    <row r="486" spans="2:40" s="199" customFormat="1">
      <c r="B486" s="234" t="s">
        <v>1253</v>
      </c>
      <c r="C486" s="82" t="s">
        <v>900</v>
      </c>
      <c r="D486" s="212"/>
      <c r="E486" s="507"/>
      <c r="F486" s="519"/>
      <c r="G486" s="519"/>
      <c r="H486" s="519"/>
      <c r="I486" s="519"/>
      <c r="J486" s="519"/>
      <c r="K486" s="519"/>
      <c r="L486" s="519">
        <f t="shared" ref="L486:AL486" si="310">L479-L482</f>
        <v>-54.9</v>
      </c>
      <c r="M486" s="519">
        <f t="shared" si="310"/>
        <v>-32</v>
      </c>
      <c r="N486" s="519">
        <f t="shared" si="310"/>
        <v>-8.5</v>
      </c>
      <c r="O486" s="519">
        <f t="shared" si="310"/>
        <v>31.7</v>
      </c>
      <c r="P486" s="519">
        <f t="shared" si="310"/>
        <v>10.8</v>
      </c>
      <c r="Q486" s="519">
        <f t="shared" ref="Q486:V486" si="311">Q479-Q482</f>
        <v>56.5</v>
      </c>
      <c r="R486" s="519">
        <f t="shared" si="311"/>
        <v>13</v>
      </c>
      <c r="S486" s="519">
        <f t="shared" si="311"/>
        <v>7.4</v>
      </c>
      <c r="T486" s="519">
        <f t="shared" si="311"/>
        <v>-12.1</v>
      </c>
      <c r="U486" s="519">
        <f t="shared" si="311"/>
        <v>-18.3</v>
      </c>
      <c r="V486" s="519">
        <f t="shared" si="311"/>
        <v>-24</v>
      </c>
      <c r="W486" s="519">
        <f t="shared" si="310"/>
        <v>-24</v>
      </c>
      <c r="X486" s="519">
        <f t="shared" si="310"/>
        <v>-24</v>
      </c>
      <c r="Y486" s="519">
        <f t="shared" si="310"/>
        <v>-24</v>
      </c>
      <c r="Z486" s="519">
        <f t="shared" si="310"/>
        <v>-24</v>
      </c>
      <c r="AA486" s="519">
        <f t="shared" si="310"/>
        <v>-24</v>
      </c>
      <c r="AB486" s="519">
        <f t="shared" si="310"/>
        <v>-24</v>
      </c>
      <c r="AC486" s="519">
        <f t="shared" si="310"/>
        <v>-24</v>
      </c>
      <c r="AD486" s="519">
        <f t="shared" si="310"/>
        <v>-24</v>
      </c>
      <c r="AE486" s="519">
        <f t="shared" si="310"/>
        <v>-24</v>
      </c>
      <c r="AF486" s="519">
        <f t="shared" si="310"/>
        <v>-24</v>
      </c>
      <c r="AG486" s="519">
        <f t="shared" si="310"/>
        <v>-24</v>
      </c>
      <c r="AH486" s="519">
        <f t="shared" si="310"/>
        <v>-24</v>
      </c>
      <c r="AI486" s="519">
        <f t="shared" si="310"/>
        <v>-24</v>
      </c>
      <c r="AJ486" s="519">
        <f t="shared" si="310"/>
        <v>-24</v>
      </c>
      <c r="AK486" s="519">
        <f t="shared" si="310"/>
        <v>-24</v>
      </c>
      <c r="AL486" s="519">
        <f t="shared" si="310"/>
        <v>-24</v>
      </c>
      <c r="AM486" s="519">
        <f>AM479-AM482</f>
        <v>-24</v>
      </c>
      <c r="AN486" s="519">
        <f>AN479-AN482</f>
        <v>-24</v>
      </c>
    </row>
    <row r="487" spans="2:40" s="199" customFormat="1">
      <c r="B487" s="234" t="s">
        <v>1254</v>
      </c>
      <c r="C487" s="82" t="s">
        <v>900</v>
      </c>
      <c r="D487" s="212"/>
      <c r="E487" s="507"/>
      <c r="F487" s="519"/>
      <c r="G487" s="519"/>
      <c r="H487" s="519"/>
      <c r="I487" s="519"/>
      <c r="J487" s="519"/>
      <c r="K487" s="519"/>
      <c r="L487" s="519">
        <f>-L483</f>
        <v>-525.6</v>
      </c>
      <c r="M487" s="519">
        <f t="shared" ref="M487:AL487" si="312">-M483</f>
        <v>-184</v>
      </c>
      <c r="N487" s="519">
        <f t="shared" si="312"/>
        <v>-179.5</v>
      </c>
      <c r="O487" s="519">
        <f t="shared" si="312"/>
        <v>-184.9</v>
      </c>
      <c r="P487" s="519">
        <f t="shared" si="312"/>
        <v>-180.1</v>
      </c>
      <c r="Q487" s="519">
        <f t="shared" ref="Q487:V487" si="313">-Q483</f>
        <v>-34.1</v>
      </c>
      <c r="R487" s="519">
        <f t="shared" si="313"/>
        <v>0</v>
      </c>
      <c r="S487" s="519">
        <f t="shared" si="313"/>
        <v>0</v>
      </c>
      <c r="T487" s="519">
        <f t="shared" si="313"/>
        <v>-3</v>
      </c>
      <c r="U487" s="519">
        <f t="shared" si="313"/>
        <v>-20.8</v>
      </c>
      <c r="V487" s="519">
        <f t="shared" si="313"/>
        <v>-39.9</v>
      </c>
      <c r="W487" s="519">
        <f t="shared" si="312"/>
        <v>-39.9</v>
      </c>
      <c r="X487" s="519">
        <f t="shared" si="312"/>
        <v>-39.9</v>
      </c>
      <c r="Y487" s="519">
        <f t="shared" si="312"/>
        <v>-39.9</v>
      </c>
      <c r="Z487" s="519">
        <f t="shared" si="312"/>
        <v>-39.9</v>
      </c>
      <c r="AA487" s="519">
        <f t="shared" si="312"/>
        <v>-39.9</v>
      </c>
      <c r="AB487" s="519">
        <f t="shared" si="312"/>
        <v>-39.9</v>
      </c>
      <c r="AC487" s="519">
        <f t="shared" si="312"/>
        <v>-39.9</v>
      </c>
      <c r="AD487" s="519">
        <f t="shared" si="312"/>
        <v>-39.9</v>
      </c>
      <c r="AE487" s="519">
        <f t="shared" si="312"/>
        <v>-39.9</v>
      </c>
      <c r="AF487" s="519">
        <f t="shared" si="312"/>
        <v>-39.9</v>
      </c>
      <c r="AG487" s="519">
        <f t="shared" si="312"/>
        <v>-39.9</v>
      </c>
      <c r="AH487" s="519">
        <f t="shared" si="312"/>
        <v>-39.9</v>
      </c>
      <c r="AI487" s="519">
        <f t="shared" si="312"/>
        <v>-39.9</v>
      </c>
      <c r="AJ487" s="519">
        <f t="shared" si="312"/>
        <v>-39.9</v>
      </c>
      <c r="AK487" s="519">
        <f t="shared" si="312"/>
        <v>-39.9</v>
      </c>
      <c r="AL487" s="519">
        <f t="shared" si="312"/>
        <v>-39.9</v>
      </c>
      <c r="AM487" s="519">
        <f>-AM483</f>
        <v>-39.9</v>
      </c>
      <c r="AN487" s="519">
        <f>-AN483</f>
        <v>-39.9</v>
      </c>
    </row>
    <row r="488" spans="2:40" s="199" customFormat="1">
      <c r="B488" s="859" t="s">
        <v>1048</v>
      </c>
      <c r="C488" s="82" t="s">
        <v>900</v>
      </c>
      <c r="D488" s="212"/>
      <c r="E488" s="507"/>
      <c r="F488" s="213"/>
      <c r="G488" s="213"/>
      <c r="H488" s="213"/>
      <c r="I488" s="213"/>
      <c r="J488" s="213"/>
      <c r="K488" s="213"/>
      <c r="L488" s="213">
        <f t="shared" ref="L488:Q488" si="314">L480-L484</f>
        <v>-580.5</v>
      </c>
      <c r="M488" s="213">
        <f t="shared" si="314"/>
        <v>-216</v>
      </c>
      <c r="N488" s="213">
        <f t="shared" si="314"/>
        <v>-188</v>
      </c>
      <c r="O488" s="213">
        <f t="shared" si="314"/>
        <v>-153.20000000000002</v>
      </c>
      <c r="P488" s="213">
        <f t="shared" si="314"/>
        <v>-169.29999999999998</v>
      </c>
      <c r="Q488" s="213">
        <f t="shared" si="314"/>
        <v>22.4</v>
      </c>
      <c r="R488" s="213">
        <f>R480-R484</f>
        <v>13</v>
      </c>
      <c r="S488" s="213">
        <f>S480-S484</f>
        <v>7.4</v>
      </c>
      <c r="T488" s="213">
        <f>T480-T484</f>
        <v>-15.1</v>
      </c>
      <c r="U488" s="213">
        <f>U480-U484</f>
        <v>-39.1</v>
      </c>
      <c r="V488" s="213">
        <f>V480-V484</f>
        <v>-63.9</v>
      </c>
      <c r="W488" s="213">
        <f t="shared" ref="W488:AL488" si="315">W480-W484</f>
        <v>-63.9</v>
      </c>
      <c r="X488" s="213">
        <f t="shared" si="315"/>
        <v>-63.9</v>
      </c>
      <c r="Y488" s="213">
        <f t="shared" si="315"/>
        <v>-63.9</v>
      </c>
      <c r="Z488" s="213">
        <f t="shared" si="315"/>
        <v>-63.9</v>
      </c>
      <c r="AA488" s="213">
        <f t="shared" si="315"/>
        <v>-63.9</v>
      </c>
      <c r="AB488" s="213">
        <f t="shared" si="315"/>
        <v>-63.9</v>
      </c>
      <c r="AC488" s="213">
        <f t="shared" si="315"/>
        <v>-63.9</v>
      </c>
      <c r="AD488" s="213">
        <f t="shared" si="315"/>
        <v>-63.9</v>
      </c>
      <c r="AE488" s="213">
        <f t="shared" si="315"/>
        <v>-63.9</v>
      </c>
      <c r="AF488" s="213">
        <f t="shared" si="315"/>
        <v>-63.9</v>
      </c>
      <c r="AG488" s="213">
        <f t="shared" si="315"/>
        <v>-63.9</v>
      </c>
      <c r="AH488" s="213">
        <f t="shared" si="315"/>
        <v>-63.9</v>
      </c>
      <c r="AI488" s="213">
        <f t="shared" si="315"/>
        <v>-63.9</v>
      </c>
      <c r="AJ488" s="213">
        <f t="shared" si="315"/>
        <v>-63.9</v>
      </c>
      <c r="AK488" s="213">
        <f t="shared" si="315"/>
        <v>-63.9</v>
      </c>
      <c r="AL488" s="213">
        <f t="shared" si="315"/>
        <v>-63.9</v>
      </c>
      <c r="AM488" s="213">
        <f>AM480-AM484</f>
        <v>-63.9</v>
      </c>
      <c r="AN488" s="213">
        <f>AN480-AN484</f>
        <v>-63.9</v>
      </c>
    </row>
    <row r="489" spans="2:40" s="199" customFormat="1">
      <c r="B489" s="859"/>
      <c r="C489" s="82"/>
      <c r="D489" s="212"/>
      <c r="E489" s="507"/>
      <c r="F489" s="507"/>
      <c r="G489" s="213"/>
      <c r="H489" s="213"/>
      <c r="I489" s="213"/>
      <c r="J489" s="213"/>
      <c r="K489" s="213"/>
      <c r="L489" s="213"/>
      <c r="M489" s="213"/>
      <c r="N489" s="213"/>
      <c r="O489" s="213"/>
      <c r="P489" s="213"/>
      <c r="Q489" s="213"/>
      <c r="R489" s="213"/>
      <c r="S489" s="213"/>
      <c r="T489" s="213"/>
      <c r="U489" s="213"/>
      <c r="V489" s="213"/>
      <c r="W489" s="213"/>
      <c r="X489" s="213"/>
      <c r="Y489" s="213"/>
      <c r="Z489" s="213"/>
      <c r="AA489" s="213"/>
      <c r="AB489" s="213"/>
      <c r="AC489" s="213"/>
      <c r="AD489" s="213"/>
      <c r="AE489" s="213"/>
      <c r="AF489" s="213"/>
      <c r="AG489" s="213"/>
      <c r="AH489" s="213"/>
      <c r="AI489" s="213"/>
      <c r="AJ489" s="213"/>
      <c r="AK489" s="213"/>
      <c r="AL489" s="213"/>
      <c r="AM489" s="213"/>
      <c r="AN489" s="213"/>
    </row>
    <row r="490" spans="2:40">
      <c r="B490" s="856" t="s">
        <v>1050</v>
      </c>
    </row>
    <row r="491" spans="2:40">
      <c r="B491" s="185"/>
      <c r="G491" s="507"/>
      <c r="H491" s="507"/>
      <c r="I491" s="507"/>
      <c r="J491" s="507"/>
      <c r="K491" s="507"/>
      <c r="L491" s="507"/>
      <c r="M491" s="507"/>
      <c r="N491" s="507"/>
      <c r="O491" s="507"/>
      <c r="P491" s="507"/>
      <c r="Q491" s="507"/>
      <c r="R491" s="507"/>
      <c r="S491" s="507"/>
      <c r="T491" s="507"/>
      <c r="U491" s="507"/>
      <c r="V491" s="507"/>
    </row>
    <row r="492" spans="2:40">
      <c r="B492" s="209" t="s">
        <v>1048</v>
      </c>
      <c r="C492" s="82" t="s">
        <v>900</v>
      </c>
      <c r="D492" s="850"/>
      <c r="F492" s="519"/>
      <c r="G492" s="519"/>
      <c r="H492" s="519"/>
      <c r="I492" s="519"/>
      <c r="J492" s="519"/>
      <c r="K492" s="519"/>
      <c r="L492" s="519">
        <f t="shared" ref="L492:Q492" si="316">L488</f>
        <v>-580.5</v>
      </c>
      <c r="M492" s="519">
        <f t="shared" si="316"/>
        <v>-216</v>
      </c>
      <c r="N492" s="519">
        <f t="shared" si="316"/>
        <v>-188</v>
      </c>
      <c r="O492" s="519">
        <f t="shared" si="316"/>
        <v>-153.20000000000002</v>
      </c>
      <c r="P492" s="519">
        <f t="shared" si="316"/>
        <v>-169.29999999999998</v>
      </c>
      <c r="Q492" s="519">
        <f t="shared" si="316"/>
        <v>22.4</v>
      </c>
      <c r="R492" s="519">
        <f>R488</f>
        <v>13</v>
      </c>
      <c r="S492" s="519">
        <f>S488</f>
        <v>7.4</v>
      </c>
      <c r="T492" s="519">
        <f>T488</f>
        <v>-15.1</v>
      </c>
      <c r="U492" s="519">
        <f>U488</f>
        <v>-39.1</v>
      </c>
      <c r="V492" s="519">
        <f>V488</f>
        <v>-63.9</v>
      </c>
      <c r="W492" s="519">
        <f t="shared" ref="W492:AL492" si="317">W488</f>
        <v>-63.9</v>
      </c>
      <c r="X492" s="519">
        <f t="shared" si="317"/>
        <v>-63.9</v>
      </c>
      <c r="Y492" s="519">
        <f t="shared" si="317"/>
        <v>-63.9</v>
      </c>
      <c r="Z492" s="519">
        <f t="shared" si="317"/>
        <v>-63.9</v>
      </c>
      <c r="AA492" s="519">
        <f t="shared" si="317"/>
        <v>-63.9</v>
      </c>
      <c r="AB492" s="519">
        <f t="shared" si="317"/>
        <v>-63.9</v>
      </c>
      <c r="AC492" s="519">
        <f t="shared" si="317"/>
        <v>-63.9</v>
      </c>
      <c r="AD492" s="519">
        <f t="shared" si="317"/>
        <v>-63.9</v>
      </c>
      <c r="AE492" s="519">
        <f t="shared" si="317"/>
        <v>-63.9</v>
      </c>
      <c r="AF492" s="519">
        <f t="shared" si="317"/>
        <v>-63.9</v>
      </c>
      <c r="AG492" s="519">
        <f t="shared" si="317"/>
        <v>-63.9</v>
      </c>
      <c r="AH492" s="519">
        <f t="shared" si="317"/>
        <v>-63.9</v>
      </c>
      <c r="AI492" s="519">
        <f t="shared" si="317"/>
        <v>-63.9</v>
      </c>
      <c r="AJ492" s="519">
        <f t="shared" si="317"/>
        <v>-63.9</v>
      </c>
      <c r="AK492" s="519">
        <f t="shared" si="317"/>
        <v>-63.9</v>
      </c>
      <c r="AL492" s="519">
        <f t="shared" si="317"/>
        <v>-63.9</v>
      </c>
      <c r="AM492" s="519">
        <f>AM488</f>
        <v>-63.9</v>
      </c>
      <c r="AN492" s="519">
        <f>AN488</f>
        <v>-63.9</v>
      </c>
    </row>
    <row r="493" spans="2:40">
      <c r="B493" s="209" t="s">
        <v>55</v>
      </c>
      <c r="C493" s="82" t="s">
        <v>900</v>
      </c>
      <c r="D493" s="850"/>
      <c r="F493" s="519"/>
      <c r="G493" s="519"/>
      <c r="H493" s="519"/>
      <c r="I493" s="519"/>
      <c r="J493" s="519"/>
      <c r="K493" s="519"/>
      <c r="L493" s="519">
        <f t="shared" ref="L493:Q493" si="318">L603</f>
        <v>0</v>
      </c>
      <c r="M493" s="519">
        <f t="shared" si="318"/>
        <v>17.5</v>
      </c>
      <c r="N493" s="519">
        <f t="shared" si="318"/>
        <v>-5.4</v>
      </c>
      <c r="O493" s="519">
        <f t="shared" si="318"/>
        <v>-11.8</v>
      </c>
      <c r="P493" s="519">
        <f t="shared" si="318"/>
        <v>-19.2</v>
      </c>
      <c r="Q493" s="519">
        <f t="shared" si="318"/>
        <v>-8.6999999999999993</v>
      </c>
      <c r="R493" s="519">
        <f>R603</f>
        <v>-15.3</v>
      </c>
      <c r="S493" s="519">
        <f>S603</f>
        <v>-24.1</v>
      </c>
      <c r="T493" s="519">
        <f>T603</f>
        <v>-27.4</v>
      </c>
      <c r="U493" s="519">
        <f>U603</f>
        <v>-27</v>
      </c>
      <c r="V493" s="519">
        <f>V603</f>
        <v>-31.4</v>
      </c>
      <c r="W493" s="519">
        <f t="shared" ref="W493:AL493" si="319">W603</f>
        <v>-35.871081446062369</v>
      </c>
      <c r="X493" s="519">
        <f t="shared" si="319"/>
        <v>-25.999188928283477</v>
      </c>
      <c r="Y493" s="519">
        <f t="shared" si="319"/>
        <v>-36.957197879351874</v>
      </c>
      <c r="Z493" s="519">
        <f t="shared" si="319"/>
        <v>-33.192698480692613</v>
      </c>
      <c r="AA493" s="519">
        <f t="shared" si="319"/>
        <v>-41.359385413544643</v>
      </c>
      <c r="AB493" s="519">
        <f t="shared" si="319"/>
        <v>-35.451017517616833</v>
      </c>
      <c r="AC493" s="519">
        <f t="shared" si="319"/>
        <v>-46.791384207036423</v>
      </c>
      <c r="AD493" s="519">
        <f t="shared" si="319"/>
        <v>-40.764946337617467</v>
      </c>
      <c r="AE493" s="519">
        <f t="shared" si="319"/>
        <v>-50.543193540214929</v>
      </c>
      <c r="AF493" s="519">
        <f t="shared" si="319"/>
        <v>-44.384310683821433</v>
      </c>
      <c r="AG493" s="519">
        <f t="shared" si="319"/>
        <v>-53.467041946109013</v>
      </c>
      <c r="AH493" s="519">
        <f t="shared" si="319"/>
        <v>-47.416916041663484</v>
      </c>
      <c r="AI493" s="519">
        <f t="shared" si="319"/>
        <v>-56.503075337409655</v>
      </c>
      <c r="AJ493" s="519">
        <f t="shared" si="319"/>
        <v>-50.511480985308872</v>
      </c>
      <c r="AK493" s="519">
        <f t="shared" si="319"/>
        <v>-46.906873056177623</v>
      </c>
      <c r="AL493" s="519">
        <f t="shared" si="319"/>
        <v>-40.12209165196694</v>
      </c>
      <c r="AM493" s="519">
        <f>AM603</f>
        <v>-49.2733248691124</v>
      </c>
      <c r="AN493" s="519">
        <f>AN603</f>
        <v>-42.965786223152691</v>
      </c>
    </row>
    <row r="494" spans="2:40" s="235" customFormat="1">
      <c r="B494" s="860" t="s">
        <v>17</v>
      </c>
      <c r="C494" s="82" t="s">
        <v>900</v>
      </c>
      <c r="D494" s="861"/>
      <c r="L494" s="235">
        <f t="shared" ref="L494:AK494" si="320">L493+K492-L492</f>
        <v>580.5</v>
      </c>
      <c r="M494" s="235">
        <f t="shared" si="320"/>
        <v>-347</v>
      </c>
      <c r="N494" s="235">
        <f t="shared" si="320"/>
        <v>-33.400000000000006</v>
      </c>
      <c r="O494" s="235">
        <f t="shared" si="320"/>
        <v>-46.599999999999994</v>
      </c>
      <c r="P494" s="235">
        <f t="shared" si="320"/>
        <v>-3.1000000000000227</v>
      </c>
      <c r="Q494" s="235">
        <f t="shared" si="320"/>
        <v>-200.39999999999998</v>
      </c>
      <c r="R494" s="235">
        <f t="shared" si="320"/>
        <v>-5.9000000000000021</v>
      </c>
      <c r="S494" s="235">
        <f t="shared" si="320"/>
        <v>-18.5</v>
      </c>
      <c r="T494" s="235">
        <f t="shared" si="320"/>
        <v>-4.9000000000000004</v>
      </c>
      <c r="U494" s="235">
        <f t="shared" si="320"/>
        <v>-3</v>
      </c>
      <c r="V494" s="235">
        <f t="shared" si="320"/>
        <v>-6.6000000000000014</v>
      </c>
      <c r="W494" s="235">
        <f t="shared" si="320"/>
        <v>-35.871081446062369</v>
      </c>
      <c r="X494" s="235">
        <f t="shared" si="320"/>
        <v>-25.99918892828348</v>
      </c>
      <c r="Y494" s="235">
        <f t="shared" si="320"/>
        <v>-36.957197879351874</v>
      </c>
      <c r="Z494" s="235">
        <f t="shared" si="320"/>
        <v>-33.192698480692606</v>
      </c>
      <c r="AA494" s="235">
        <f t="shared" si="320"/>
        <v>-41.359385413544636</v>
      </c>
      <c r="AB494" s="235">
        <f t="shared" si="320"/>
        <v>-35.45101751761684</v>
      </c>
      <c r="AC494" s="235">
        <f t="shared" si="320"/>
        <v>-46.791384207036423</v>
      </c>
      <c r="AD494" s="235">
        <f t="shared" si="320"/>
        <v>-40.764946337617467</v>
      </c>
      <c r="AE494" s="235">
        <f t="shared" si="320"/>
        <v>-50.543193540214936</v>
      </c>
      <c r="AF494" s="235">
        <f t="shared" si="320"/>
        <v>-44.384310683821433</v>
      </c>
      <c r="AG494" s="235">
        <f t="shared" si="320"/>
        <v>-53.467041946109013</v>
      </c>
      <c r="AH494" s="235">
        <f t="shared" si="320"/>
        <v>-47.416916041663491</v>
      </c>
      <c r="AI494" s="235">
        <f t="shared" si="320"/>
        <v>-56.503075337409662</v>
      </c>
      <c r="AJ494" s="235">
        <f t="shared" si="320"/>
        <v>-50.511480985308872</v>
      </c>
      <c r="AK494" s="235">
        <f t="shared" si="320"/>
        <v>-46.906873056177623</v>
      </c>
      <c r="AL494" s="235">
        <f>AL493+AK492-AL492</f>
        <v>-40.122091651966947</v>
      </c>
      <c r="AM494" s="235">
        <f>AM493+AL492-AM492</f>
        <v>-49.273324869112407</v>
      </c>
      <c r="AN494" s="235">
        <f>AN493+AM492-AN492</f>
        <v>-42.965786223152698</v>
      </c>
    </row>
    <row r="495" spans="2:40">
      <c r="B495" s="138"/>
      <c r="D495" s="850"/>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row>
    <row r="496" spans="2:40" s="199" customFormat="1">
      <c r="B496" s="211"/>
      <c r="C496" s="82"/>
      <c r="D496" s="212"/>
      <c r="E496" s="507"/>
      <c r="F496" s="507"/>
      <c r="G496" s="507"/>
      <c r="H496" s="507"/>
      <c r="I496" s="507"/>
      <c r="J496" s="507"/>
      <c r="K496" s="507"/>
      <c r="L496" s="507"/>
      <c r="M496" s="507"/>
      <c r="N496" s="507"/>
      <c r="O496" s="507"/>
      <c r="P496" s="507"/>
      <c r="Q496" s="256"/>
      <c r="R496" s="256"/>
      <c r="S496" s="256"/>
      <c r="T496" s="256"/>
      <c r="U496" s="256"/>
      <c r="V496" s="256"/>
      <c r="W496" s="256"/>
      <c r="X496" s="256"/>
      <c r="Y496" s="256"/>
      <c r="Z496" s="256"/>
      <c r="AA496" s="256"/>
      <c r="AB496" s="256"/>
      <c r="AC496" s="256"/>
      <c r="AD496" s="256"/>
      <c r="AE496" s="256"/>
      <c r="AF496" s="256"/>
      <c r="AG496" s="256"/>
      <c r="AH496" s="256"/>
      <c r="AI496" s="256"/>
      <c r="AJ496" s="256"/>
      <c r="AK496" s="256"/>
      <c r="AL496" s="256"/>
      <c r="AM496" s="256"/>
      <c r="AN496" s="256"/>
    </row>
    <row r="497" spans="1:40" s="177" customFormat="1">
      <c r="A497" s="177" t="s">
        <v>971</v>
      </c>
      <c r="B497" s="218" t="s">
        <v>995</v>
      </c>
      <c r="C497" s="219"/>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c r="AA497" s="220"/>
      <c r="AB497" s="220"/>
      <c r="AC497" s="220"/>
      <c r="AD497" s="220"/>
      <c r="AE497" s="220"/>
      <c r="AF497" s="220"/>
      <c r="AG497" s="220"/>
      <c r="AH497" s="220"/>
      <c r="AI497" s="220"/>
      <c r="AJ497" s="220"/>
      <c r="AK497" s="220"/>
      <c r="AL497" s="220"/>
      <c r="AM497" s="220"/>
      <c r="AN497" s="220"/>
    </row>
    <row r="499" spans="1:40">
      <c r="B499" s="185" t="s">
        <v>994</v>
      </c>
      <c r="P499" s="132"/>
    </row>
    <row r="501" spans="1:40">
      <c r="B501" s="206" t="s">
        <v>1000</v>
      </c>
    </row>
    <row r="502" spans="1:40">
      <c r="B502" s="192" t="s">
        <v>982</v>
      </c>
      <c r="C502" s="82" t="s">
        <v>900</v>
      </c>
      <c r="E502" s="132"/>
      <c r="F502" s="132"/>
      <c r="G502" s="132"/>
      <c r="H502" s="132"/>
      <c r="I502" s="132"/>
      <c r="J502" s="132"/>
      <c r="K502" s="132"/>
      <c r="L502" s="132"/>
      <c r="M502" s="132">
        <f t="shared" ref="M502:AN502" si="321">M271</f>
        <v>1152.3</v>
      </c>
      <c r="N502" s="132">
        <f t="shared" si="321"/>
        <v>1225.0000000000002</v>
      </c>
      <c r="O502" s="132">
        <f t="shared" si="321"/>
        <v>1274.5</v>
      </c>
      <c r="P502" s="132">
        <f t="shared" si="321"/>
        <v>1159.9000000000001</v>
      </c>
      <c r="Q502" s="132">
        <f t="shared" si="321"/>
        <v>1209.5999999999999</v>
      </c>
      <c r="R502" s="132">
        <f t="shared" si="321"/>
        <v>1129.3000000000002</v>
      </c>
      <c r="S502" s="132">
        <f t="shared" si="321"/>
        <v>1331.3</v>
      </c>
      <c r="T502" s="132">
        <f t="shared" si="321"/>
        <v>1283.3</v>
      </c>
      <c r="U502" s="132">
        <f t="shared" si="321"/>
        <v>1344.9</v>
      </c>
      <c r="V502" s="132">
        <f t="shared" si="321"/>
        <v>1291.4000000000001</v>
      </c>
      <c r="W502" s="132">
        <f t="shared" si="321"/>
        <v>1400.9837626000001</v>
      </c>
      <c r="X502" s="132">
        <f t="shared" si="321"/>
        <v>1345.9845538500001</v>
      </c>
      <c r="Y502" s="132">
        <f t="shared" si="321"/>
        <v>1458.358766001</v>
      </c>
      <c r="Z502" s="132">
        <f t="shared" si="321"/>
        <v>1388.4989695240001</v>
      </c>
      <c r="AA502" s="132">
        <f t="shared" si="321"/>
        <v>1474.9689453032995</v>
      </c>
      <c r="AB502" s="132">
        <f t="shared" si="321"/>
        <v>1403.0377269744802</v>
      </c>
      <c r="AC502" s="132">
        <f t="shared" si="321"/>
        <v>1508.701747551567</v>
      </c>
      <c r="AD502" s="132">
        <f t="shared" si="321"/>
        <v>1435.5596450364148</v>
      </c>
      <c r="AE502" s="132">
        <f t="shared" si="321"/>
        <v>1532.8790624342341</v>
      </c>
      <c r="AF502" s="132">
        <f t="shared" si="321"/>
        <v>1459.4557426179608</v>
      </c>
      <c r="AG502" s="132">
        <f t="shared" si="321"/>
        <v>1557.9909741388201</v>
      </c>
      <c r="AH502" s="132">
        <f t="shared" si="321"/>
        <v>1484.258870044649</v>
      </c>
      <c r="AI502" s="132">
        <f t="shared" si="321"/>
        <v>1584.0634277962276</v>
      </c>
      <c r="AJ502" s="132">
        <f t="shared" si="321"/>
        <v>1509.994336742657</v>
      </c>
      <c r="AK502" s="132">
        <f t="shared" si="321"/>
        <v>1611.1231678190259</v>
      </c>
      <c r="AL502" s="132">
        <f t="shared" si="321"/>
        <v>1536.6882304356377</v>
      </c>
      <c r="AM502" s="132">
        <f t="shared" si="321"/>
        <v>1639.1977616706183</v>
      </c>
      <c r="AN502" s="132">
        <f t="shared" si="321"/>
        <v>1564.3674403035011</v>
      </c>
    </row>
    <row r="503" spans="1:40">
      <c r="B503" s="192" t="s">
        <v>1001</v>
      </c>
      <c r="C503" s="82" t="s">
        <v>900</v>
      </c>
      <c r="E503" s="208"/>
      <c r="F503" s="208"/>
      <c r="G503" s="208"/>
      <c r="H503" s="208"/>
      <c r="I503" s="208"/>
      <c r="J503" s="208"/>
      <c r="K503" s="208"/>
      <c r="L503" s="208">
        <v>116.9</v>
      </c>
      <c r="M503" s="208">
        <v>127</v>
      </c>
      <c r="N503" s="208">
        <v>129.9</v>
      </c>
      <c r="O503" s="208">
        <v>233.5</v>
      </c>
      <c r="P503" s="208">
        <v>165.8</v>
      </c>
      <c r="Q503" s="208">
        <v>149.1</v>
      </c>
      <c r="R503" s="208">
        <v>160.9</v>
      </c>
      <c r="S503" s="208">
        <v>128.4</v>
      </c>
      <c r="T503" s="208">
        <v>87.8</v>
      </c>
      <c r="U503" s="208">
        <v>102.2</v>
      </c>
      <c r="V503" s="208">
        <v>106.9</v>
      </c>
      <c r="W503" s="214">
        <f t="shared" ref="W503:AL503" si="322">W504*W502/W$17</f>
        <v>114.08033211416638</v>
      </c>
      <c r="X503" s="214">
        <f t="shared" si="322"/>
        <v>111.41842094359997</v>
      </c>
      <c r="Y503" s="214">
        <f t="shared" si="322"/>
        <v>118.75230592126489</v>
      </c>
      <c r="Z503" s="214">
        <f t="shared" si="322"/>
        <v>114.30616960306696</v>
      </c>
      <c r="AA503" s="214">
        <f t="shared" si="322"/>
        <v>120.10485176930922</v>
      </c>
      <c r="AB503" s="214">
        <f t="shared" si="322"/>
        <v>116.14119019170816</v>
      </c>
      <c r="AC503" s="214">
        <f t="shared" si="322"/>
        <v>122.85167110180606</v>
      </c>
      <c r="AD503" s="214">
        <f t="shared" si="322"/>
        <v>118.83330188508033</v>
      </c>
      <c r="AE503" s="214">
        <f t="shared" si="322"/>
        <v>124.82039920920737</v>
      </c>
      <c r="AF503" s="214">
        <f t="shared" si="322"/>
        <v>120.81138213246091</v>
      </c>
      <c r="AG503" s="214">
        <f t="shared" si="322"/>
        <v>126.86523035126446</v>
      </c>
      <c r="AH503" s="214">
        <f t="shared" si="322"/>
        <v>122.18946492437252</v>
      </c>
      <c r="AI503" s="214">
        <f t="shared" si="322"/>
        <v>128.98827720710261</v>
      </c>
      <c r="AJ503" s="214">
        <f t="shared" si="322"/>
        <v>124.99488508424193</v>
      </c>
      <c r="AK503" s="214">
        <f t="shared" si="322"/>
        <v>131.19171754034022</v>
      </c>
      <c r="AL503" s="214">
        <f t="shared" si="322"/>
        <v>127.20456236144469</v>
      </c>
      <c r="AM503" s="214">
        <f>AM504*AM502/AM$17</f>
        <v>133.47779613458189</v>
      </c>
      <c r="AN503" s="214">
        <f>AN504*AN502/AN$17</f>
        <v>129.4958025154439</v>
      </c>
    </row>
    <row r="504" spans="1:40">
      <c r="B504" s="209" t="s">
        <v>1002</v>
      </c>
      <c r="C504" s="82" t="s">
        <v>1003</v>
      </c>
      <c r="E504" s="132"/>
      <c r="F504" s="132"/>
      <c r="G504" s="230"/>
      <c r="H504" s="230"/>
      <c r="I504" s="230"/>
      <c r="J504" s="230"/>
      <c r="K504" s="230"/>
      <c r="L504" s="230"/>
      <c r="M504" s="230">
        <f t="shared" ref="M504:R504" si="323">M503/M502*M$17</f>
        <v>20.279441117764474</v>
      </c>
      <c r="N504" s="230">
        <f t="shared" si="323"/>
        <v>19.193387755102037</v>
      </c>
      <c r="O504" s="230">
        <f t="shared" si="323"/>
        <v>33.710474695959199</v>
      </c>
      <c r="P504" s="230">
        <f t="shared" si="323"/>
        <v>25.872747650659537</v>
      </c>
      <c r="Q504" s="230">
        <f t="shared" si="323"/>
        <v>22.680555555555557</v>
      </c>
      <c r="R504" s="230">
        <f t="shared" si="323"/>
        <v>25.930930665013722</v>
      </c>
      <c r="S504" s="230">
        <f>S503/S502*S$17</f>
        <v>17.746263051153012</v>
      </c>
      <c r="T504" s="230">
        <f>T503/T502*T$17</f>
        <v>12.383542429673499</v>
      </c>
      <c r="U504" s="230">
        <f>U503/U502*U$17</f>
        <v>13.982303516990109</v>
      </c>
      <c r="V504" s="230">
        <f>V503/V502*V$17</f>
        <v>14.982886789530742</v>
      </c>
      <c r="W504" s="767">
        <f t="shared" ref="W504:AK504" si="324">V504</f>
        <v>14.982886789530742</v>
      </c>
      <c r="X504" s="767">
        <f t="shared" si="324"/>
        <v>14.982886789530742</v>
      </c>
      <c r="Y504" s="767">
        <f t="shared" si="324"/>
        <v>14.982886789530742</v>
      </c>
      <c r="Z504" s="767">
        <f t="shared" si="324"/>
        <v>14.982886789530742</v>
      </c>
      <c r="AA504" s="767">
        <f t="shared" si="324"/>
        <v>14.982886789530742</v>
      </c>
      <c r="AB504" s="767">
        <f t="shared" si="324"/>
        <v>14.982886789530742</v>
      </c>
      <c r="AC504" s="767">
        <f t="shared" si="324"/>
        <v>14.982886789530742</v>
      </c>
      <c r="AD504" s="767">
        <f t="shared" si="324"/>
        <v>14.982886789530742</v>
      </c>
      <c r="AE504" s="767">
        <f t="shared" si="324"/>
        <v>14.982886789530742</v>
      </c>
      <c r="AF504" s="767">
        <f t="shared" si="324"/>
        <v>14.982886789530742</v>
      </c>
      <c r="AG504" s="767">
        <f t="shared" si="324"/>
        <v>14.982886789530742</v>
      </c>
      <c r="AH504" s="767">
        <f t="shared" si="324"/>
        <v>14.982886789530742</v>
      </c>
      <c r="AI504" s="767">
        <f t="shared" si="324"/>
        <v>14.982886789530742</v>
      </c>
      <c r="AJ504" s="767">
        <f t="shared" si="324"/>
        <v>14.982886789530742</v>
      </c>
      <c r="AK504" s="767">
        <f t="shared" si="324"/>
        <v>14.982886789530742</v>
      </c>
      <c r="AL504" s="767">
        <f>AK504</f>
        <v>14.982886789530742</v>
      </c>
      <c r="AM504" s="767">
        <f>AL504</f>
        <v>14.982886789530742</v>
      </c>
      <c r="AN504" s="767">
        <f>AM504</f>
        <v>14.982886789530742</v>
      </c>
    </row>
    <row r="505" spans="1:40">
      <c r="B505" s="209"/>
    </row>
    <row r="506" spans="1:40" hidden="1" outlineLevel="1">
      <c r="B506" s="206" t="s">
        <v>1041</v>
      </c>
    </row>
    <row r="507" spans="1:40" hidden="1" outlineLevel="1">
      <c r="B507" s="192" t="s">
        <v>1161</v>
      </c>
      <c r="C507" s="82" t="s">
        <v>900</v>
      </c>
      <c r="E507" s="132"/>
      <c r="F507" s="132"/>
      <c r="G507" s="132"/>
      <c r="H507" s="132"/>
      <c r="I507" s="132"/>
      <c r="J507" s="132"/>
      <c r="K507" s="132"/>
      <c r="L507" s="132"/>
      <c r="M507" s="132">
        <f t="shared" ref="M507:AN507" si="325">M277</f>
        <v>-683.50000000000011</v>
      </c>
      <c r="N507" s="132">
        <f t="shared" si="325"/>
        <v>-707.7</v>
      </c>
      <c r="O507" s="132">
        <f t="shared" si="325"/>
        <v>-774.80000000000007</v>
      </c>
      <c r="P507" s="132">
        <f t="shared" si="325"/>
        <v>-691.40000000000009</v>
      </c>
      <c r="Q507" s="132">
        <f t="shared" si="325"/>
        <v>-723.09999999999991</v>
      </c>
      <c r="R507" s="132">
        <f t="shared" si="325"/>
        <v>-683.20000000000027</v>
      </c>
      <c r="S507" s="132">
        <f t="shared" si="325"/>
        <v>-786.9</v>
      </c>
      <c r="T507" s="132">
        <f t="shared" si="325"/>
        <v>-739.00000000000023</v>
      </c>
      <c r="U507" s="132">
        <f t="shared" si="325"/>
        <v>-777.30000000000007</v>
      </c>
      <c r="V507" s="132">
        <f t="shared" si="325"/>
        <v>-726.59999999999968</v>
      </c>
      <c r="W507" s="132">
        <f t="shared" si="325"/>
        <v>-791.67068439580316</v>
      </c>
      <c r="X507" s="132">
        <f t="shared" si="325"/>
        <v>-752.56766757925004</v>
      </c>
      <c r="Y507" s="132">
        <f t="shared" si="325"/>
        <v>-809.65109915397818</v>
      </c>
      <c r="Z507" s="132">
        <f t="shared" si="325"/>
        <v>-764.57639562452005</v>
      </c>
      <c r="AA507" s="132">
        <f t="shared" si="325"/>
        <v>-812.08057900357062</v>
      </c>
      <c r="AB507" s="132">
        <f t="shared" si="325"/>
        <v>-768.75837945393539</v>
      </c>
      <c r="AC507" s="132">
        <f t="shared" si="325"/>
        <v>-830.08065537662469</v>
      </c>
      <c r="AD507" s="132">
        <f t="shared" si="325"/>
        <v>-786.03175652043706</v>
      </c>
      <c r="AE507" s="132">
        <f t="shared" si="325"/>
        <v>-842.22741382387608</v>
      </c>
      <c r="AF507" s="132">
        <f t="shared" si="325"/>
        <v>-798.01444069547472</v>
      </c>
      <c r="AG507" s="132">
        <f t="shared" si="325"/>
        <v>-854.86518783668555</v>
      </c>
      <c r="AH507" s="132">
        <f t="shared" si="325"/>
        <v>-810.47164428096937</v>
      </c>
      <c r="AI507" s="132">
        <f t="shared" si="325"/>
        <v>-868.00744175389809</v>
      </c>
      <c r="AJ507" s="132">
        <f t="shared" si="325"/>
        <v>-823.41645247038275</v>
      </c>
      <c r="AK507" s="132">
        <f t="shared" si="325"/>
        <v>-881.66805650580625</v>
      </c>
      <c r="AL507" s="132">
        <f t="shared" si="325"/>
        <v>-836.86235451686844</v>
      </c>
      <c r="AM507" s="132">
        <f t="shared" si="325"/>
        <v>-895.86134198527873</v>
      </c>
      <c r="AN507" s="132">
        <f t="shared" si="325"/>
        <v>-850.82325574002493</v>
      </c>
    </row>
    <row r="508" spans="1:40" hidden="1" outlineLevel="1">
      <c r="B508" s="192" t="s">
        <v>1041</v>
      </c>
      <c r="C508" s="82" t="s">
        <v>900</v>
      </c>
      <c r="E508" s="208"/>
      <c r="F508" s="208"/>
      <c r="G508" s="208"/>
      <c r="H508" s="208"/>
      <c r="I508" s="208"/>
      <c r="J508" s="208"/>
      <c r="K508" s="208"/>
      <c r="L508" s="208"/>
      <c r="M508" s="208"/>
      <c r="N508" s="208"/>
      <c r="O508" s="208"/>
      <c r="P508" s="208"/>
      <c r="Q508" s="208"/>
      <c r="R508" s="208"/>
      <c r="S508" s="208"/>
      <c r="T508" s="208"/>
      <c r="U508" s="208"/>
      <c r="V508" s="208"/>
      <c r="W508" s="214"/>
      <c r="X508" s="214"/>
      <c r="Y508" s="214"/>
      <c r="Z508" s="214"/>
      <c r="AA508" s="214"/>
      <c r="AB508" s="214"/>
      <c r="AC508" s="214"/>
      <c r="AD508" s="214"/>
      <c r="AE508" s="214"/>
      <c r="AF508" s="214"/>
      <c r="AG508" s="214"/>
      <c r="AH508" s="214"/>
      <c r="AI508" s="214"/>
      <c r="AJ508" s="214"/>
      <c r="AK508" s="214"/>
      <c r="AL508" s="214"/>
      <c r="AM508" s="214"/>
      <c r="AN508" s="214"/>
    </row>
    <row r="509" spans="1:40" hidden="1" outlineLevel="1">
      <c r="B509" s="209" t="s">
        <v>1002</v>
      </c>
      <c r="C509" s="82" t="s">
        <v>1003</v>
      </c>
      <c r="G509" s="230"/>
      <c r="H509" s="230"/>
      <c r="I509" s="230"/>
      <c r="J509" s="230"/>
      <c r="K509" s="230"/>
      <c r="L509" s="230"/>
      <c r="M509" s="230">
        <f t="shared" ref="M509:R509" si="326">M508/M507*M$17</f>
        <v>0</v>
      </c>
      <c r="N509" s="230">
        <f t="shared" si="326"/>
        <v>0</v>
      </c>
      <c r="O509" s="230">
        <f t="shared" si="326"/>
        <v>0</v>
      </c>
      <c r="P509" s="230">
        <f t="shared" si="326"/>
        <v>0</v>
      </c>
      <c r="Q509" s="230">
        <f t="shared" si="326"/>
        <v>0</v>
      </c>
      <c r="R509" s="230">
        <f t="shared" si="326"/>
        <v>0</v>
      </c>
      <c r="S509" s="230">
        <f>S508/S507*S$17</f>
        <v>0</v>
      </c>
      <c r="T509" s="230">
        <f>T508/T507*T$17</f>
        <v>0</v>
      </c>
      <c r="U509" s="230">
        <f>U508/U507*U$17</f>
        <v>0</v>
      </c>
      <c r="V509" s="230">
        <f>V508/V507*V$17</f>
        <v>0</v>
      </c>
      <c r="W509" s="242">
        <v>0</v>
      </c>
      <c r="X509" s="242">
        <v>0</v>
      </c>
      <c r="Y509" s="242">
        <v>0</v>
      </c>
      <c r="Z509" s="242">
        <v>0</v>
      </c>
      <c r="AA509" s="242">
        <v>0</v>
      </c>
      <c r="AB509" s="242">
        <v>0</v>
      </c>
      <c r="AC509" s="242">
        <v>0</v>
      </c>
      <c r="AD509" s="242">
        <v>0</v>
      </c>
      <c r="AE509" s="242">
        <v>0</v>
      </c>
      <c r="AF509" s="242">
        <v>0</v>
      </c>
      <c r="AG509" s="242">
        <v>0</v>
      </c>
      <c r="AH509" s="242">
        <v>0</v>
      </c>
      <c r="AI509" s="242">
        <v>0</v>
      </c>
      <c r="AJ509" s="242">
        <v>0</v>
      </c>
      <c r="AK509" s="242">
        <v>0</v>
      </c>
      <c r="AL509" s="242">
        <v>0</v>
      </c>
      <c r="AM509" s="242">
        <v>0</v>
      </c>
      <c r="AN509" s="242">
        <v>0</v>
      </c>
    </row>
    <row r="510" spans="1:40" hidden="1" outlineLevel="1">
      <c r="B510" s="209" t="s">
        <v>1004</v>
      </c>
      <c r="C510" s="82" t="s">
        <v>952</v>
      </c>
    </row>
    <row r="511" spans="1:40" hidden="1" outlineLevel="1">
      <c r="B511" s="216"/>
    </row>
    <row r="512" spans="1:40" collapsed="1">
      <c r="B512" s="206" t="s">
        <v>1005</v>
      </c>
    </row>
    <row r="513" spans="1:40">
      <c r="B513" s="192" t="s">
        <v>1161</v>
      </c>
      <c r="C513" s="82" t="s">
        <v>900</v>
      </c>
      <c r="G513" s="132"/>
      <c r="H513" s="132"/>
      <c r="I513" s="132"/>
      <c r="J513" s="132"/>
      <c r="K513" s="132"/>
      <c r="L513" s="132"/>
      <c r="M513" s="132">
        <f t="shared" ref="M513:AL513" si="327">M507</f>
        <v>-683.50000000000011</v>
      </c>
      <c r="N513" s="132">
        <f t="shared" si="327"/>
        <v>-707.7</v>
      </c>
      <c r="O513" s="132">
        <f t="shared" si="327"/>
        <v>-774.80000000000007</v>
      </c>
      <c r="P513" s="132">
        <f t="shared" si="327"/>
        <v>-691.40000000000009</v>
      </c>
      <c r="Q513" s="132">
        <f t="shared" ref="Q513:V513" si="328">Q507</f>
        <v>-723.09999999999991</v>
      </c>
      <c r="R513" s="132">
        <f t="shared" si="328"/>
        <v>-683.20000000000027</v>
      </c>
      <c r="S513" s="132">
        <f t="shared" si="328"/>
        <v>-786.9</v>
      </c>
      <c r="T513" s="132">
        <f t="shared" si="328"/>
        <v>-739.00000000000023</v>
      </c>
      <c r="U513" s="132">
        <f t="shared" si="328"/>
        <v>-777.30000000000007</v>
      </c>
      <c r="V513" s="132">
        <f t="shared" si="328"/>
        <v>-726.59999999999968</v>
      </c>
      <c r="W513" s="132">
        <f t="shared" si="327"/>
        <v>-791.67068439580316</v>
      </c>
      <c r="X513" s="132">
        <f t="shared" si="327"/>
        <v>-752.56766757925004</v>
      </c>
      <c r="Y513" s="132">
        <f t="shared" si="327"/>
        <v>-809.65109915397818</v>
      </c>
      <c r="Z513" s="132">
        <f t="shared" si="327"/>
        <v>-764.57639562452005</v>
      </c>
      <c r="AA513" s="132">
        <f t="shared" si="327"/>
        <v>-812.08057900357062</v>
      </c>
      <c r="AB513" s="132">
        <f t="shared" si="327"/>
        <v>-768.75837945393539</v>
      </c>
      <c r="AC513" s="132">
        <f t="shared" si="327"/>
        <v>-830.08065537662469</v>
      </c>
      <c r="AD513" s="132">
        <f t="shared" si="327"/>
        <v>-786.03175652043706</v>
      </c>
      <c r="AE513" s="132">
        <f t="shared" si="327"/>
        <v>-842.22741382387608</v>
      </c>
      <c r="AF513" s="132">
        <f t="shared" si="327"/>
        <v>-798.01444069547472</v>
      </c>
      <c r="AG513" s="132">
        <f t="shared" si="327"/>
        <v>-854.86518783668555</v>
      </c>
      <c r="AH513" s="132">
        <f t="shared" si="327"/>
        <v>-810.47164428096937</v>
      </c>
      <c r="AI513" s="132">
        <f t="shared" si="327"/>
        <v>-868.00744175389809</v>
      </c>
      <c r="AJ513" s="132">
        <f t="shared" si="327"/>
        <v>-823.41645247038275</v>
      </c>
      <c r="AK513" s="132">
        <f t="shared" si="327"/>
        <v>-881.66805650580625</v>
      </c>
      <c r="AL513" s="132">
        <f t="shared" si="327"/>
        <v>-836.86235451686844</v>
      </c>
      <c r="AM513" s="132">
        <f>AM507</f>
        <v>-895.86134198527873</v>
      </c>
      <c r="AN513" s="132">
        <f>AN507</f>
        <v>-850.82325574002493</v>
      </c>
    </row>
    <row r="514" spans="1:40">
      <c r="B514" s="192" t="s">
        <v>1005</v>
      </c>
      <c r="C514" s="82" t="s">
        <v>900</v>
      </c>
      <c r="E514" s="208"/>
      <c r="F514" s="208"/>
      <c r="G514" s="208"/>
      <c r="H514" s="208"/>
      <c r="I514" s="208"/>
      <c r="J514" s="208"/>
      <c r="K514" s="208"/>
      <c r="L514" s="208">
        <v>1236.5999999999999</v>
      </c>
      <c r="M514" s="208">
        <v>540</v>
      </c>
      <c r="N514" s="208">
        <v>598.5</v>
      </c>
      <c r="O514" s="208">
        <v>560.9</v>
      </c>
      <c r="P514" s="208">
        <v>571</v>
      </c>
      <c r="Q514" s="208">
        <v>528</v>
      </c>
      <c r="R514" s="208">
        <v>554.9</v>
      </c>
      <c r="S514" s="208">
        <v>570.4</v>
      </c>
      <c r="T514" s="208">
        <v>564.29999999999995</v>
      </c>
      <c r="U514" s="208">
        <v>563.4</v>
      </c>
      <c r="V514" s="208">
        <v>590.70000000000005</v>
      </c>
      <c r="W514" s="214">
        <f t="shared" ref="W514:AL514" si="329">W515*W513/W$17</f>
        <v>633.10667509140853</v>
      </c>
      <c r="X514" s="214">
        <f t="shared" si="329"/>
        <v>611.81079168602139</v>
      </c>
      <c r="Y514" s="214">
        <f t="shared" si="329"/>
        <v>647.48578603827968</v>
      </c>
      <c r="Z514" s="214">
        <f t="shared" si="329"/>
        <v>618.15822238506735</v>
      </c>
      <c r="AA514" s="214">
        <f t="shared" si="329"/>
        <v>649.42866448520726</v>
      </c>
      <c r="AB514" s="214">
        <f t="shared" si="329"/>
        <v>624.97326554285701</v>
      </c>
      <c r="AC514" s="214">
        <f t="shared" si="329"/>
        <v>663.82349901496252</v>
      </c>
      <c r="AD514" s="214">
        <f t="shared" si="329"/>
        <v>639.01590775753152</v>
      </c>
      <c r="AE514" s="214">
        <f t="shared" si="329"/>
        <v>673.53737879509731</v>
      </c>
      <c r="AF514" s="214">
        <f t="shared" si="329"/>
        <v>648.75740451254774</v>
      </c>
      <c r="AG514" s="214">
        <f t="shared" si="329"/>
        <v>683.64392845458451</v>
      </c>
      <c r="AH514" s="214">
        <f t="shared" si="329"/>
        <v>655.26442326669121</v>
      </c>
      <c r="AI514" s="214">
        <f t="shared" si="329"/>
        <v>694.153915554945</v>
      </c>
      <c r="AJ514" s="214">
        <f t="shared" si="329"/>
        <v>669.40833811485732</v>
      </c>
      <c r="AK514" s="214">
        <f t="shared" si="329"/>
        <v>705.07844080989457</v>
      </c>
      <c r="AL514" s="214">
        <f t="shared" si="329"/>
        <v>680.33937904364768</v>
      </c>
      <c r="AM514" s="214">
        <f>AM515*AM513/AM$17</f>
        <v>716.42894797865506</v>
      </c>
      <c r="AN514" s="214">
        <f>AN515*AN513/AN$17</f>
        <v>691.68909601656071</v>
      </c>
    </row>
    <row r="515" spans="1:40">
      <c r="B515" s="209" t="s">
        <v>1006</v>
      </c>
      <c r="C515" s="82" t="s">
        <v>1003</v>
      </c>
      <c r="G515" s="230"/>
      <c r="H515" s="230"/>
      <c r="I515" s="230"/>
      <c r="J515" s="230"/>
      <c r="K515" s="230"/>
      <c r="L515" s="230"/>
      <c r="M515" s="230">
        <f t="shared" ref="M515:R515" si="330">M514/M513*M$17</f>
        <v>-145.36942209217261</v>
      </c>
      <c r="N515" s="230">
        <f t="shared" si="330"/>
        <v>-153.07121661721067</v>
      </c>
      <c r="O515" s="230">
        <f t="shared" si="330"/>
        <v>-133.20289106866286</v>
      </c>
      <c r="P515" s="230">
        <f t="shared" si="330"/>
        <v>-149.48076366792014</v>
      </c>
      <c r="Q515" s="230">
        <f t="shared" si="330"/>
        <v>-134.35486101507402</v>
      </c>
      <c r="R515" s="230">
        <f t="shared" si="330"/>
        <v>-147.82172131147536</v>
      </c>
      <c r="S515" s="230">
        <f>S514/S513*S$17</f>
        <v>-133.37603253272334</v>
      </c>
      <c r="T515" s="230">
        <f>T514/T513*T$17</f>
        <v>-138.21150202976989</v>
      </c>
      <c r="U515" s="230">
        <f>U514/U513*U$17</f>
        <v>-133.36626785025084</v>
      </c>
      <c r="V515" s="230">
        <f>V514/V513*V$17</f>
        <v>-147.14657308009916</v>
      </c>
      <c r="W515" s="767">
        <f t="shared" ref="W515:AK515" si="331">V515</f>
        <v>-147.14657308009916</v>
      </c>
      <c r="X515" s="767">
        <f t="shared" si="331"/>
        <v>-147.14657308009916</v>
      </c>
      <c r="Y515" s="767">
        <f t="shared" si="331"/>
        <v>-147.14657308009916</v>
      </c>
      <c r="Z515" s="767">
        <f t="shared" si="331"/>
        <v>-147.14657308009916</v>
      </c>
      <c r="AA515" s="767">
        <f t="shared" si="331"/>
        <v>-147.14657308009916</v>
      </c>
      <c r="AB515" s="767">
        <f t="shared" si="331"/>
        <v>-147.14657308009916</v>
      </c>
      <c r="AC515" s="767">
        <f t="shared" si="331"/>
        <v>-147.14657308009916</v>
      </c>
      <c r="AD515" s="767">
        <f t="shared" si="331"/>
        <v>-147.14657308009916</v>
      </c>
      <c r="AE515" s="767">
        <f t="shared" si="331"/>
        <v>-147.14657308009916</v>
      </c>
      <c r="AF515" s="767">
        <f t="shared" si="331"/>
        <v>-147.14657308009916</v>
      </c>
      <c r="AG515" s="767">
        <f t="shared" si="331"/>
        <v>-147.14657308009916</v>
      </c>
      <c r="AH515" s="767">
        <f t="shared" si="331"/>
        <v>-147.14657308009916</v>
      </c>
      <c r="AI515" s="767">
        <f t="shared" si="331"/>
        <v>-147.14657308009916</v>
      </c>
      <c r="AJ515" s="767">
        <f t="shared" si="331"/>
        <v>-147.14657308009916</v>
      </c>
      <c r="AK515" s="767">
        <f t="shared" si="331"/>
        <v>-147.14657308009916</v>
      </c>
      <c r="AL515" s="767">
        <f>AK515</f>
        <v>-147.14657308009916</v>
      </c>
      <c r="AM515" s="767">
        <f>AL515</f>
        <v>-147.14657308009916</v>
      </c>
      <c r="AN515" s="767">
        <f>AM515</f>
        <v>-147.14657308009916</v>
      </c>
    </row>
    <row r="516" spans="1:40">
      <c r="B516" s="206"/>
    </row>
    <row r="517" spans="1:40">
      <c r="B517" s="189" t="s">
        <v>1007</v>
      </c>
      <c r="C517" s="82" t="s">
        <v>1003</v>
      </c>
      <c r="G517" s="132"/>
      <c r="H517" s="132"/>
      <c r="I517" s="132"/>
      <c r="J517" s="132"/>
      <c r="K517" s="132"/>
      <c r="L517" s="132"/>
      <c r="M517" s="132">
        <f t="shared" ref="M517:AL517" si="332">M509+M504-M515</f>
        <v>165.64886320993708</v>
      </c>
      <c r="N517" s="132">
        <f t="shared" si="332"/>
        <v>172.2646043723127</v>
      </c>
      <c r="O517" s="132">
        <f t="shared" si="332"/>
        <v>166.91336576462206</v>
      </c>
      <c r="P517" s="132">
        <f t="shared" si="332"/>
        <v>175.35351131857968</v>
      </c>
      <c r="Q517" s="132">
        <f t="shared" ref="Q517:V517" si="333">Q509+Q504-Q515</f>
        <v>157.03541657062959</v>
      </c>
      <c r="R517" s="132">
        <f t="shared" si="333"/>
        <v>173.75265197648909</v>
      </c>
      <c r="S517" s="132">
        <f t="shared" si="333"/>
        <v>151.12229558387637</v>
      </c>
      <c r="T517" s="132">
        <f t="shared" si="333"/>
        <v>150.59504445944339</v>
      </c>
      <c r="U517" s="132">
        <f t="shared" si="333"/>
        <v>147.34857136724094</v>
      </c>
      <c r="V517" s="132">
        <f t="shared" si="333"/>
        <v>162.1294598696299</v>
      </c>
      <c r="W517" s="132">
        <f t="shared" si="332"/>
        <v>162.1294598696299</v>
      </c>
      <c r="X517" s="132">
        <f t="shared" si="332"/>
        <v>162.1294598696299</v>
      </c>
      <c r="Y517" s="132">
        <f t="shared" si="332"/>
        <v>162.1294598696299</v>
      </c>
      <c r="Z517" s="132">
        <f t="shared" si="332"/>
        <v>162.1294598696299</v>
      </c>
      <c r="AA517" s="132">
        <f t="shared" si="332"/>
        <v>162.1294598696299</v>
      </c>
      <c r="AB517" s="132">
        <f t="shared" si="332"/>
        <v>162.1294598696299</v>
      </c>
      <c r="AC517" s="132">
        <f t="shared" si="332"/>
        <v>162.1294598696299</v>
      </c>
      <c r="AD517" s="132">
        <f t="shared" si="332"/>
        <v>162.1294598696299</v>
      </c>
      <c r="AE517" s="132">
        <f t="shared" si="332"/>
        <v>162.1294598696299</v>
      </c>
      <c r="AF517" s="132">
        <f t="shared" si="332"/>
        <v>162.1294598696299</v>
      </c>
      <c r="AG517" s="132">
        <f t="shared" si="332"/>
        <v>162.1294598696299</v>
      </c>
      <c r="AH517" s="132">
        <f t="shared" si="332"/>
        <v>162.1294598696299</v>
      </c>
      <c r="AI517" s="132">
        <f t="shared" si="332"/>
        <v>162.1294598696299</v>
      </c>
      <c r="AJ517" s="132">
        <f t="shared" si="332"/>
        <v>162.1294598696299</v>
      </c>
      <c r="AK517" s="132">
        <f t="shared" si="332"/>
        <v>162.1294598696299</v>
      </c>
      <c r="AL517" s="132">
        <f t="shared" si="332"/>
        <v>162.1294598696299</v>
      </c>
      <c r="AM517" s="132">
        <f>AM509+AM504-AM515</f>
        <v>162.1294598696299</v>
      </c>
      <c r="AN517" s="132">
        <f>AN509+AN504-AN515</f>
        <v>162.1294598696299</v>
      </c>
    </row>
    <row r="518" spans="1:40">
      <c r="B518" s="206"/>
    </row>
    <row r="519" spans="1:40">
      <c r="B519" s="206" t="s">
        <v>1042</v>
      </c>
    </row>
    <row r="520" spans="1:40">
      <c r="B520" s="192" t="s">
        <v>1043</v>
      </c>
      <c r="C520" s="82" t="s">
        <v>900</v>
      </c>
      <c r="E520" s="132"/>
      <c r="F520" s="132"/>
      <c r="G520" s="132"/>
      <c r="H520" s="132"/>
      <c r="I520" s="132"/>
      <c r="J520" s="132"/>
      <c r="K520" s="132"/>
      <c r="L520" s="132"/>
      <c r="M520" s="132">
        <f t="shared" ref="M520:R520" si="334">M503+M508-M514</f>
        <v>-413</v>
      </c>
      <c r="N520" s="132">
        <f t="shared" si="334"/>
        <v>-468.6</v>
      </c>
      <c r="O520" s="132">
        <f t="shared" si="334"/>
        <v>-327.39999999999998</v>
      </c>
      <c r="P520" s="132">
        <f t="shared" si="334"/>
        <v>-405.2</v>
      </c>
      <c r="Q520" s="132">
        <f t="shared" si="334"/>
        <v>-378.9</v>
      </c>
      <c r="R520" s="132">
        <f t="shared" si="334"/>
        <v>-394</v>
      </c>
      <c r="S520" s="132">
        <f>S503+S508-S514</f>
        <v>-442</v>
      </c>
      <c r="T520" s="132">
        <f>T503+T508-T514</f>
        <v>-476.49999999999994</v>
      </c>
      <c r="U520" s="132">
        <f>U503+U508-U514</f>
        <v>-461.2</v>
      </c>
      <c r="V520" s="132">
        <f>V503+V508-V514</f>
        <v>-483.80000000000007</v>
      </c>
      <c r="W520" s="132">
        <f t="shared" ref="W520:AL520" si="335">W503+W508-W514</f>
        <v>-519.02634297724217</v>
      </c>
      <c r="X520" s="132">
        <f t="shared" si="335"/>
        <v>-500.39237074242141</v>
      </c>
      <c r="Y520" s="132">
        <f t="shared" si="335"/>
        <v>-528.73348011701478</v>
      </c>
      <c r="Z520" s="132">
        <f t="shared" si="335"/>
        <v>-503.85205278200038</v>
      </c>
      <c r="AA520" s="132">
        <f t="shared" si="335"/>
        <v>-529.32381271589804</v>
      </c>
      <c r="AB520" s="132">
        <f t="shared" si="335"/>
        <v>-508.83207535114883</v>
      </c>
      <c r="AC520" s="132">
        <f t="shared" si="335"/>
        <v>-540.9718279131564</v>
      </c>
      <c r="AD520" s="132">
        <f t="shared" si="335"/>
        <v>-520.18260587245118</v>
      </c>
      <c r="AE520" s="132">
        <f t="shared" si="335"/>
        <v>-548.71697958588993</v>
      </c>
      <c r="AF520" s="132">
        <f t="shared" si="335"/>
        <v>-527.94602238008679</v>
      </c>
      <c r="AG520" s="132">
        <f t="shared" si="335"/>
        <v>-556.77869810332004</v>
      </c>
      <c r="AH520" s="132">
        <f t="shared" si="335"/>
        <v>-533.07495834231872</v>
      </c>
      <c r="AI520" s="132">
        <f t="shared" si="335"/>
        <v>-565.16563834784233</v>
      </c>
      <c r="AJ520" s="132">
        <f t="shared" si="335"/>
        <v>-544.41345303061541</v>
      </c>
      <c r="AK520" s="132">
        <f t="shared" si="335"/>
        <v>-573.8867232695543</v>
      </c>
      <c r="AL520" s="132">
        <f t="shared" si="335"/>
        <v>-553.134816682203</v>
      </c>
      <c r="AM520" s="132">
        <f>AM503+AM508-AM514</f>
        <v>-582.95115184407314</v>
      </c>
      <c r="AN520" s="132">
        <f>AN503+AN508-AN514</f>
        <v>-562.19329350111684</v>
      </c>
    </row>
    <row r="521" spans="1:40">
      <c r="B521" s="192" t="s">
        <v>1044</v>
      </c>
      <c r="C521" s="82" t="s">
        <v>900</v>
      </c>
      <c r="F521" s="132"/>
      <c r="G521" s="132"/>
      <c r="H521" s="132"/>
      <c r="I521" s="132"/>
      <c r="J521" s="132"/>
      <c r="K521" s="132"/>
      <c r="L521" s="132"/>
      <c r="M521" s="132">
        <f t="shared" ref="M521:AK521" si="336">L520-M520</f>
        <v>413</v>
      </c>
      <c r="N521" s="132">
        <f t="shared" si="336"/>
        <v>55.600000000000023</v>
      </c>
      <c r="O521" s="132">
        <f t="shared" si="336"/>
        <v>-141.20000000000005</v>
      </c>
      <c r="P521" s="132">
        <f t="shared" si="336"/>
        <v>77.800000000000011</v>
      </c>
      <c r="Q521" s="132">
        <f t="shared" si="336"/>
        <v>-26.300000000000011</v>
      </c>
      <c r="R521" s="132">
        <f t="shared" si="336"/>
        <v>15.100000000000023</v>
      </c>
      <c r="S521" s="132">
        <f t="shared" si="336"/>
        <v>48</v>
      </c>
      <c r="T521" s="132">
        <f t="shared" si="336"/>
        <v>34.499999999999943</v>
      </c>
      <c r="U521" s="132">
        <f t="shared" si="336"/>
        <v>-15.299999999999955</v>
      </c>
      <c r="V521" s="132">
        <f t="shared" si="336"/>
        <v>22.60000000000008</v>
      </c>
      <c r="W521" s="132">
        <f t="shared" si="336"/>
        <v>35.226342977242098</v>
      </c>
      <c r="X521" s="132">
        <f t="shared" si="336"/>
        <v>-18.63397223482076</v>
      </c>
      <c r="Y521" s="132">
        <f t="shared" si="336"/>
        <v>28.341109374593373</v>
      </c>
      <c r="Z521" s="132">
        <f t="shared" si="336"/>
        <v>-24.881427335014394</v>
      </c>
      <c r="AA521" s="132">
        <f t="shared" si="336"/>
        <v>25.471759933897658</v>
      </c>
      <c r="AB521" s="132">
        <f t="shared" si="336"/>
        <v>-20.491737364749213</v>
      </c>
      <c r="AC521" s="132">
        <f t="shared" si="336"/>
        <v>32.139752562007573</v>
      </c>
      <c r="AD521" s="132">
        <f t="shared" si="336"/>
        <v>-20.789222040705226</v>
      </c>
      <c r="AE521" s="132">
        <f t="shared" si="336"/>
        <v>28.534373713438754</v>
      </c>
      <c r="AF521" s="132">
        <f t="shared" si="336"/>
        <v>-20.770957205803143</v>
      </c>
      <c r="AG521" s="132">
        <f t="shared" si="336"/>
        <v>28.832675723233251</v>
      </c>
      <c r="AH521" s="132">
        <f t="shared" si="336"/>
        <v>-23.703739761001316</v>
      </c>
      <c r="AI521" s="132">
        <f t="shared" si="336"/>
        <v>32.090680005523609</v>
      </c>
      <c r="AJ521" s="132">
        <f t="shared" si="336"/>
        <v>-20.752185317226918</v>
      </c>
      <c r="AK521" s="132">
        <f t="shared" si="336"/>
        <v>29.473270238938881</v>
      </c>
      <c r="AL521" s="132">
        <f>AK520-AL520</f>
        <v>-20.7519065873513</v>
      </c>
      <c r="AM521" s="132">
        <f>AL520-AM520</f>
        <v>29.816335161870143</v>
      </c>
      <c r="AN521" s="132">
        <f>AM520-AN520</f>
        <v>-20.757858342956297</v>
      </c>
    </row>
    <row r="522" spans="1:40">
      <c r="D522" s="20"/>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row>
    <row r="523" spans="1:40" s="177" customFormat="1">
      <c r="A523" s="177" t="s">
        <v>971</v>
      </c>
      <c r="B523" s="218" t="s">
        <v>1031</v>
      </c>
      <c r="C523" s="219"/>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c r="AA523" s="220"/>
      <c r="AB523" s="220"/>
      <c r="AC523" s="220"/>
      <c r="AD523" s="220"/>
      <c r="AE523" s="220"/>
      <c r="AF523" s="220"/>
      <c r="AG523" s="220"/>
      <c r="AH523" s="220"/>
      <c r="AI523" s="220"/>
      <c r="AJ523" s="220"/>
      <c r="AK523" s="220"/>
      <c r="AL523" s="220"/>
      <c r="AM523" s="220"/>
      <c r="AN523" s="220"/>
    </row>
    <row r="524" spans="1:40">
      <c r="B524" s="205"/>
      <c r="C524" s="170"/>
      <c r="E524" s="179"/>
      <c r="F524" s="179"/>
      <c r="G524" s="179"/>
      <c r="H524" s="179"/>
      <c r="I524" s="179"/>
      <c r="J524" s="179"/>
      <c r="K524" s="179"/>
      <c r="L524" s="179"/>
      <c r="M524" s="179"/>
      <c r="N524" s="179"/>
      <c r="O524" s="179"/>
      <c r="P524" s="179"/>
      <c r="Q524" s="179"/>
      <c r="R524" s="179"/>
      <c r="S524" s="179"/>
      <c r="T524" s="179"/>
      <c r="U524" s="179"/>
      <c r="V524" s="179"/>
      <c r="W524" s="179"/>
      <c r="X524" s="179"/>
      <c r="Y524" s="179"/>
      <c r="Z524" s="179"/>
      <c r="AA524" s="179"/>
      <c r="AB524" s="179"/>
      <c r="AC524" s="179"/>
      <c r="AD524" s="179"/>
      <c r="AE524" s="179"/>
      <c r="AF524" s="179"/>
      <c r="AG524" s="179"/>
      <c r="AH524" s="179"/>
      <c r="AI524" s="179"/>
      <c r="AJ524" s="179"/>
      <c r="AK524" s="179"/>
      <c r="AL524" s="179"/>
      <c r="AM524" s="179"/>
      <c r="AN524" s="179"/>
    </row>
    <row r="525" spans="1:40">
      <c r="B525" s="185" t="s">
        <v>1027</v>
      </c>
      <c r="D525" s="20"/>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row>
    <row r="526" spans="1:40">
      <c r="B526" s="206" t="s">
        <v>24</v>
      </c>
      <c r="D526" s="20"/>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row>
    <row r="527" spans="1:40">
      <c r="B527" s="192" t="s">
        <v>1028</v>
      </c>
      <c r="C527" s="82" t="s">
        <v>1029</v>
      </c>
      <c r="D527" s="20"/>
      <c r="E527" s="135"/>
      <c r="F527" s="135"/>
      <c r="G527" s="135"/>
      <c r="H527" s="135"/>
      <c r="I527" s="135"/>
      <c r="J527" s="135"/>
      <c r="K527" s="135"/>
      <c r="L527" s="135"/>
      <c r="M527" s="2"/>
      <c r="N527" s="2"/>
      <c r="O527" s="506">
        <v>1.3</v>
      </c>
      <c r="P527" s="506">
        <f>2.3-O527</f>
        <v>0.99999999999999978</v>
      </c>
      <c r="Q527" s="506">
        <v>1</v>
      </c>
      <c r="R527" s="506">
        <f>1.3-Q527</f>
        <v>0.30000000000000004</v>
      </c>
      <c r="S527" s="506">
        <v>1</v>
      </c>
      <c r="T527" s="506">
        <f>2-S527</f>
        <v>1</v>
      </c>
      <c r="U527" s="506">
        <v>1.5</v>
      </c>
      <c r="V527" s="506">
        <f>3-U527</f>
        <v>1.5</v>
      </c>
      <c r="W527" s="866">
        <v>1.6</v>
      </c>
      <c r="X527" s="866">
        <v>1.6</v>
      </c>
      <c r="Y527" s="866">
        <v>1.6</v>
      </c>
      <c r="Z527" s="866">
        <v>1.6</v>
      </c>
      <c r="AA527" s="504">
        <f t="shared" ref="AA527:AN527" si="337">AA533*AA534</f>
        <v>2.0774954859156241</v>
      </c>
      <c r="AB527" s="504">
        <f t="shared" si="337"/>
        <v>1.6507858224659839</v>
      </c>
      <c r="AC527" s="504">
        <f t="shared" si="337"/>
        <v>1.8372990794387998</v>
      </c>
      <c r="AD527" s="504">
        <f t="shared" si="337"/>
        <v>1.4622572517322296</v>
      </c>
      <c r="AE527" s="504">
        <f t="shared" si="337"/>
        <v>1.9616420333460318</v>
      </c>
      <c r="AF527" s="504">
        <f t="shared" si="337"/>
        <v>1.5701924894384574</v>
      </c>
      <c r="AG527" s="504">
        <f t="shared" si="337"/>
        <v>0</v>
      </c>
      <c r="AH527" s="504">
        <f t="shared" si="337"/>
        <v>0</v>
      </c>
      <c r="AI527" s="504">
        <f t="shared" si="337"/>
        <v>0</v>
      </c>
      <c r="AJ527" s="504">
        <f t="shared" si="337"/>
        <v>0</v>
      </c>
      <c r="AK527" s="504">
        <f t="shared" si="337"/>
        <v>0</v>
      </c>
      <c r="AL527" s="504">
        <f t="shared" si="337"/>
        <v>0</v>
      </c>
      <c r="AM527" s="504">
        <f t="shared" si="337"/>
        <v>0</v>
      </c>
      <c r="AN527" s="504">
        <f t="shared" si="337"/>
        <v>0</v>
      </c>
    </row>
    <row r="528" spans="1:40">
      <c r="B528" s="192" t="s">
        <v>1030</v>
      </c>
      <c r="C528" s="82" t="s">
        <v>900</v>
      </c>
      <c r="D528" s="20"/>
      <c r="E528" s="136"/>
      <c r="F528" s="136"/>
      <c r="G528" s="136"/>
      <c r="H528" s="136"/>
      <c r="I528" s="136"/>
      <c r="J528" s="136"/>
      <c r="K528" s="136"/>
      <c r="L528" s="136"/>
      <c r="M528" s="2"/>
      <c r="N528" s="2"/>
      <c r="O528" s="136">
        <f t="shared" ref="O528:U528" si="338">O527*-O558/100</f>
        <v>-29.632200000000001</v>
      </c>
      <c r="P528" s="136">
        <f t="shared" si="338"/>
        <v>-22.814999999999994</v>
      </c>
      <c r="Q528" s="136">
        <f t="shared" si="338"/>
        <v>-22.824109889999999</v>
      </c>
      <c r="R528" s="136">
        <f t="shared" si="338"/>
        <v>-6.8508000000000004</v>
      </c>
      <c r="S528" s="136">
        <f t="shared" si="338"/>
        <v>-22.848698250000002</v>
      </c>
      <c r="T528" s="136">
        <f t="shared" si="338"/>
        <v>-22.861999999999998</v>
      </c>
      <c r="U528" s="136">
        <f t="shared" si="338"/>
        <v>-34.337999999999994</v>
      </c>
      <c r="V528" s="136">
        <f t="shared" ref="V528" si="339">V527*-V558/100</f>
        <v>-34.388999999999996</v>
      </c>
      <c r="W528" s="187">
        <f>-W527*W558/100</f>
        <v>-36.681599999999996</v>
      </c>
      <c r="X528" s="187">
        <f t="shared" ref="X528:AN528" si="340">-X527*X558/100</f>
        <v>-36.681599999999996</v>
      </c>
      <c r="Y528" s="187">
        <f t="shared" si="340"/>
        <v>-36.681599999999996</v>
      </c>
      <c r="Z528" s="187">
        <f t="shared" si="340"/>
        <v>-36.681599999999996</v>
      </c>
      <c r="AA528" s="187">
        <f t="shared" si="340"/>
        <v>-47.628661510101594</v>
      </c>
      <c r="AB528" s="187">
        <f t="shared" si="340"/>
        <v>-37.845915765855146</v>
      </c>
      <c r="AC528" s="187">
        <f t="shared" si="340"/>
        <v>-42.121918695213928</v>
      </c>
      <c r="AD528" s="187">
        <f t="shared" si="340"/>
        <v>-33.523709753213097</v>
      </c>
      <c r="AE528" s="187">
        <f t="shared" si="340"/>
        <v>-44.972605256491121</v>
      </c>
      <c r="AF528" s="187">
        <f t="shared" si="340"/>
        <v>-35.998233012866073</v>
      </c>
      <c r="AG528" s="187">
        <f t="shared" si="340"/>
        <v>0</v>
      </c>
      <c r="AH528" s="187">
        <f t="shared" si="340"/>
        <v>0</v>
      </c>
      <c r="AI528" s="187">
        <f t="shared" si="340"/>
        <v>0</v>
      </c>
      <c r="AJ528" s="187">
        <f t="shared" si="340"/>
        <v>0</v>
      </c>
      <c r="AK528" s="187">
        <f t="shared" si="340"/>
        <v>0</v>
      </c>
      <c r="AL528" s="187">
        <f t="shared" si="340"/>
        <v>0</v>
      </c>
      <c r="AM528" s="187">
        <f t="shared" si="340"/>
        <v>0</v>
      </c>
      <c r="AN528" s="187">
        <f t="shared" si="340"/>
        <v>0</v>
      </c>
    </row>
    <row r="529" spans="2:40">
      <c r="B529" s="209" t="s">
        <v>1344</v>
      </c>
      <c r="C529" s="82" t="s">
        <v>842</v>
      </c>
      <c r="D529" s="20"/>
      <c r="E529" s="159"/>
      <c r="F529" s="159"/>
      <c r="G529" s="159"/>
      <c r="H529" s="159"/>
      <c r="I529" s="159"/>
      <c r="J529" s="159"/>
      <c r="K529" s="159"/>
      <c r="L529" s="159"/>
      <c r="M529" s="2"/>
      <c r="N529" s="2"/>
      <c r="O529" s="159">
        <f t="shared" ref="O529:U529" si="341">-(O528-O600)/O605</f>
        <v>0.60110359408033831</v>
      </c>
      <c r="P529" s="159">
        <f t="shared" si="341"/>
        <v>0.57608108108108091</v>
      </c>
      <c r="Q529" s="159">
        <f t="shared" si="341"/>
        <v>1.1377335164772726</v>
      </c>
      <c r="R529" s="159">
        <f t="shared" si="341"/>
        <v>0.62026923076923091</v>
      </c>
      <c r="S529" s="159">
        <f t="shared" si="341"/>
        <v>1.0112533144796381</v>
      </c>
      <c r="T529" s="159">
        <f t="shared" si="341"/>
        <v>0.99131386861313875</v>
      </c>
      <c r="U529" s="159">
        <f t="shared" si="341"/>
        <v>0.83299719887955159</v>
      </c>
      <c r="V529" s="159">
        <f t="shared" ref="V529:AN529" si="342">-(V528-V600)/V605</f>
        <v>1.0166384180790962</v>
      </c>
      <c r="W529" s="159">
        <f t="shared" si="342"/>
        <v>0.68173021314595472</v>
      </c>
      <c r="X529" s="159">
        <f t="shared" si="342"/>
        <v>1.0495202730107043</v>
      </c>
      <c r="Y529" s="159">
        <f t="shared" si="342"/>
        <v>0.67466922011688535</v>
      </c>
      <c r="Z529" s="159">
        <f t="shared" si="342"/>
        <v>0.89741824849402152</v>
      </c>
      <c r="AA529" s="159">
        <f t="shared" si="342"/>
        <v>0.85399703562525076</v>
      </c>
      <c r="AB529" s="159">
        <f t="shared" si="342"/>
        <v>0.9373669033351909</v>
      </c>
      <c r="AC529" s="159">
        <f t="shared" si="342"/>
        <v>0.7351204840307205</v>
      </c>
      <c r="AD529" s="159">
        <f t="shared" si="342"/>
        <v>0.80990678188812981</v>
      </c>
      <c r="AE529" s="159">
        <f t="shared" si="342"/>
        <v>0.72021407435977047</v>
      </c>
      <c r="AF529" s="159">
        <f t="shared" si="342"/>
        <v>0.78823999147961632</v>
      </c>
      <c r="AG529" s="159">
        <f t="shared" si="342"/>
        <v>0.17025827725401924</v>
      </c>
      <c r="AH529" s="159">
        <f t="shared" si="342"/>
        <v>0.23865463238316648</v>
      </c>
      <c r="AI529" s="159">
        <f t="shared" si="342"/>
        <v>0.16594322679200105</v>
      </c>
      <c r="AJ529" s="159">
        <f t="shared" si="342"/>
        <v>0.23075456191943203</v>
      </c>
      <c r="AK529" s="159">
        <f t="shared" si="342"/>
        <v>0.14396723592963157</v>
      </c>
      <c r="AL529" s="159">
        <f t="shared" si="342"/>
        <v>0.19235723710741542</v>
      </c>
      <c r="AM529" s="159">
        <f t="shared" si="342"/>
        <v>0.14116450359858371</v>
      </c>
      <c r="AN529" s="159">
        <f t="shared" si="342"/>
        <v>0.1850148370792189</v>
      </c>
    </row>
    <row r="530" spans="2:40">
      <c r="B530" s="209" t="s">
        <v>1343</v>
      </c>
      <c r="C530" s="82" t="s">
        <v>842</v>
      </c>
      <c r="D530" s="20"/>
      <c r="E530" s="159"/>
      <c r="F530" s="159"/>
      <c r="G530" s="159"/>
      <c r="H530" s="159"/>
      <c r="I530" s="159"/>
      <c r="J530" s="159"/>
      <c r="K530" s="159"/>
      <c r="L530" s="159"/>
      <c r="M530" s="2"/>
      <c r="N530" s="2"/>
      <c r="O530" s="159">
        <f t="shared" ref="O530:AN530" si="343">-O528/O611</f>
        <v>0.57315667311411989</v>
      </c>
      <c r="P530" s="159">
        <f t="shared" si="343"/>
        <v>1.541554054054054</v>
      </c>
      <c r="Q530" s="159">
        <f t="shared" si="343"/>
        <v>-3.5841881108668344E-2</v>
      </c>
      <c r="R530" s="159">
        <f t="shared" si="343"/>
        <v>-9.4768294369899017E-3</v>
      </c>
      <c r="S530" s="159">
        <f t="shared" si="343"/>
        <v>0.90311060276679844</v>
      </c>
      <c r="T530" s="159">
        <f t="shared" si="343"/>
        <v>2.0231858407079644</v>
      </c>
      <c r="U530" s="159">
        <f t="shared" si="343"/>
        <v>1.5823963133640551</v>
      </c>
      <c r="V530" s="159">
        <f t="shared" ref="V530" si="344">-V528/V611</f>
        <v>1.3979268292682927</v>
      </c>
      <c r="W530" s="159">
        <f t="shared" si="343"/>
        <v>0.92149491720702015</v>
      </c>
      <c r="X530" s="159">
        <f t="shared" si="343"/>
        <v>2.8427323399784461</v>
      </c>
      <c r="Y530" s="159">
        <f t="shared" si="343"/>
        <v>0.66333703344468808</v>
      </c>
      <c r="Z530" s="159">
        <f t="shared" si="343"/>
        <v>0.73674034107906383</v>
      </c>
      <c r="AA530" s="159">
        <f t="shared" si="343"/>
        <v>0.70580739990456764</v>
      </c>
      <c r="AB530" s="159">
        <f t="shared" si="343"/>
        <v>0.71170342284342436</v>
      </c>
      <c r="AC530" s="159">
        <f t="shared" si="343"/>
        <v>0.55173960512096643</v>
      </c>
      <c r="AD530" s="159">
        <f t="shared" si="343"/>
        <v>0.54824406367123923</v>
      </c>
      <c r="AE530" s="159">
        <f t="shared" si="343"/>
        <v>0.54535245804545929</v>
      </c>
      <c r="AF530" s="159">
        <f t="shared" si="343"/>
        <v>0.54070507435694426</v>
      </c>
      <c r="AG530" s="159">
        <f t="shared" si="343"/>
        <v>0</v>
      </c>
      <c r="AH530" s="159">
        <f t="shared" si="343"/>
        <v>0</v>
      </c>
      <c r="AI530" s="159">
        <f t="shared" si="343"/>
        <v>0</v>
      </c>
      <c r="AJ530" s="159">
        <f t="shared" si="343"/>
        <v>0</v>
      </c>
      <c r="AK530" s="159">
        <f t="shared" si="343"/>
        <v>0</v>
      </c>
      <c r="AL530" s="159">
        <f t="shared" si="343"/>
        <v>0</v>
      </c>
      <c r="AM530" s="159">
        <f t="shared" si="343"/>
        <v>0</v>
      </c>
      <c r="AN530" s="159">
        <f t="shared" si="343"/>
        <v>0</v>
      </c>
    </row>
    <row r="531" spans="2:40">
      <c r="B531" s="209" t="s">
        <v>1072</v>
      </c>
      <c r="C531" s="82" t="s">
        <v>842</v>
      </c>
      <c r="D531" s="20"/>
      <c r="E531" s="159"/>
      <c r="F531" s="159"/>
      <c r="G531" s="159"/>
      <c r="H531" s="159"/>
      <c r="I531" s="159"/>
      <c r="J531" s="159"/>
      <c r="K531" s="159"/>
      <c r="L531" s="159"/>
      <c r="M531" s="159"/>
      <c r="N531" s="159"/>
      <c r="O531" s="159"/>
      <c r="P531" s="159"/>
      <c r="Q531" s="159">
        <f t="shared" ref="Q531:AN531" si="345">(Q527/100)/Q$17*365/Q539</f>
        <v>2.6449275362318839E-2</v>
      </c>
      <c r="R531" s="159">
        <f t="shared" si="345"/>
        <v>7.9164256795835747E-3</v>
      </c>
      <c r="S531" s="159">
        <f t="shared" si="345"/>
        <v>3.3061594202898552E-2</v>
      </c>
      <c r="T531" s="159">
        <f t="shared" si="345"/>
        <v>2.6533876126781042E-2</v>
      </c>
      <c r="U531" s="159">
        <f t="shared" si="345"/>
        <v>2.9755434782608694E-2</v>
      </c>
      <c r="V531" s="159">
        <f t="shared" ref="V531" si="346">(V527/100)/V$17*365/V539</f>
        <v>3.3609576427255983E-2</v>
      </c>
      <c r="W531" s="159">
        <f t="shared" si="345"/>
        <v>3.2585507246376814E-2</v>
      </c>
      <c r="X531" s="159">
        <f t="shared" si="345"/>
        <v>3.0608053038674039E-2</v>
      </c>
      <c r="Y531" s="159">
        <f t="shared" si="345"/>
        <v>2.7820724034782616E-2</v>
      </c>
      <c r="Z531" s="159">
        <f t="shared" si="345"/>
        <v>2.5988836359876928E-2</v>
      </c>
      <c r="AA531" s="159">
        <f t="shared" si="345"/>
        <v>3.0841285873733321E-2</v>
      </c>
      <c r="AB531" s="159">
        <f t="shared" si="345"/>
        <v>2.301941792848829E-2</v>
      </c>
      <c r="AC531" s="159">
        <f t="shared" si="345"/>
        <v>2.3287141815800706E-2</v>
      </c>
      <c r="AD531" s="159">
        <f t="shared" si="345"/>
        <v>1.7408900124751926E-2</v>
      </c>
      <c r="AE531" s="159">
        <f t="shared" si="345"/>
        <v>2.1227557787542435E-2</v>
      </c>
      <c r="AF531" s="159">
        <f t="shared" si="345"/>
        <v>1.5960422660312844E-2</v>
      </c>
      <c r="AG531" s="159">
        <f t="shared" si="345"/>
        <v>0</v>
      </c>
      <c r="AH531" s="159">
        <f t="shared" si="345"/>
        <v>0</v>
      </c>
      <c r="AI531" s="159">
        <f t="shared" si="345"/>
        <v>0</v>
      </c>
      <c r="AJ531" s="159">
        <f t="shared" si="345"/>
        <v>0</v>
      </c>
      <c r="AK531" s="159">
        <f t="shared" si="345"/>
        <v>0</v>
      </c>
      <c r="AL531" s="159">
        <f t="shared" si="345"/>
        <v>0</v>
      </c>
      <c r="AM531" s="159">
        <f t="shared" si="345"/>
        <v>0</v>
      </c>
      <c r="AN531" s="159">
        <f t="shared" si="345"/>
        <v>0</v>
      </c>
    </row>
    <row r="532" spans="2:40">
      <c r="B532" s="209"/>
      <c r="D532" s="20"/>
      <c r="E532" s="159"/>
      <c r="F532" s="159"/>
      <c r="G532" s="159"/>
      <c r="H532" s="159"/>
      <c r="I532" s="159"/>
      <c r="J532" s="159"/>
      <c r="K532" s="159"/>
      <c r="L532" s="159"/>
      <c r="M532" s="159"/>
      <c r="N532" s="159"/>
      <c r="O532" s="159"/>
      <c r="P532" s="159"/>
      <c r="Q532" s="159"/>
      <c r="R532" s="159"/>
      <c r="S532" s="159"/>
      <c r="T532" s="159"/>
      <c r="U532" s="159"/>
      <c r="V532" s="159"/>
      <c r="W532" s="159"/>
      <c r="X532" s="159"/>
      <c r="Y532" s="159"/>
      <c r="Z532" s="159"/>
      <c r="AA532" s="159"/>
      <c r="AB532" s="159"/>
      <c r="AC532" s="159"/>
      <c r="AD532" s="159"/>
      <c r="AE532" s="159"/>
      <c r="AF532" s="159"/>
      <c r="AG532" s="159"/>
      <c r="AH532" s="159"/>
      <c r="AI532" s="159"/>
      <c r="AJ532" s="159"/>
      <c r="AK532" s="159"/>
      <c r="AL532" s="159"/>
      <c r="AM532" s="159"/>
      <c r="AN532" s="159"/>
    </row>
    <row r="533" spans="2:40">
      <c r="B533" s="209" t="s">
        <v>1685</v>
      </c>
      <c r="D533" s="20"/>
      <c r="E533" s="159"/>
      <c r="F533" s="159"/>
      <c r="G533" s="159"/>
      <c r="H533" s="159"/>
      <c r="I533" s="159"/>
      <c r="J533" s="159"/>
      <c r="K533" s="159"/>
      <c r="L533" s="159"/>
      <c r="M533" s="159"/>
      <c r="N533" s="159"/>
      <c r="O533" s="159"/>
      <c r="P533" s="159"/>
      <c r="Q533" s="865">
        <f>Q621</f>
        <v>0.9</v>
      </c>
      <c r="R533" s="865">
        <f t="shared" ref="R533:AN533" si="347">R621</f>
        <v>0.49999999999999989</v>
      </c>
      <c r="S533" s="865">
        <f t="shared" si="347"/>
        <v>1.9</v>
      </c>
      <c r="T533" s="865">
        <f t="shared" si="347"/>
        <v>2</v>
      </c>
      <c r="U533" s="865">
        <f t="shared" si="347"/>
        <v>2.7</v>
      </c>
      <c r="V533" s="865">
        <f t="shared" si="347"/>
        <v>2.5</v>
      </c>
      <c r="W533" s="865">
        <f t="shared" si="347"/>
        <v>3.3022167918125076</v>
      </c>
      <c r="X533" s="865">
        <f t="shared" si="347"/>
        <v>2.4776952740706562</v>
      </c>
      <c r="Y533" s="865">
        <f t="shared" si="347"/>
        <v>3.4109127633987337</v>
      </c>
      <c r="Z533" s="865">
        <f t="shared" si="347"/>
        <v>2.7780270313634703</v>
      </c>
      <c r="AA533" s="865">
        <f t="shared" si="347"/>
        <v>3.4624924765260405</v>
      </c>
      <c r="AB533" s="865">
        <f t="shared" si="347"/>
        <v>2.7513097041099734</v>
      </c>
      <c r="AC533" s="865">
        <f t="shared" si="347"/>
        <v>3.6745981588775996</v>
      </c>
      <c r="AD533" s="865">
        <f t="shared" si="347"/>
        <v>2.9245145034644593</v>
      </c>
      <c r="AE533" s="865">
        <f t="shared" si="347"/>
        <v>3.9232840666920636</v>
      </c>
      <c r="AF533" s="865">
        <f t="shared" si="347"/>
        <v>3.1403849788769147</v>
      </c>
      <c r="AG533" s="865">
        <f t="shared" si="347"/>
        <v>4.1124967293612391</v>
      </c>
      <c r="AH533" s="865">
        <f t="shared" si="347"/>
        <v>3.3172369389555625</v>
      </c>
      <c r="AI533" s="865">
        <f t="shared" si="347"/>
        <v>4.3091271997770848</v>
      </c>
      <c r="AJ533" s="865">
        <f t="shared" si="347"/>
        <v>3.4974958334625885</v>
      </c>
      <c r="AK533" s="865">
        <f t="shared" si="347"/>
        <v>5.0419718714304471</v>
      </c>
      <c r="AL533" s="865">
        <f t="shared" si="347"/>
        <v>4.2532527651831771</v>
      </c>
      <c r="AM533" s="865">
        <f t="shared" si="347"/>
        <v>5.262202491540708</v>
      </c>
      <c r="AN533" s="865">
        <f t="shared" si="347"/>
        <v>4.5191100060436309</v>
      </c>
    </row>
    <row r="534" spans="2:40">
      <c r="B534" s="209" t="s">
        <v>1303</v>
      </c>
      <c r="D534" s="20"/>
      <c r="E534" s="159"/>
      <c r="F534" s="159"/>
      <c r="G534" s="159"/>
      <c r="H534" s="159"/>
      <c r="I534" s="159"/>
      <c r="J534" s="159"/>
      <c r="K534" s="159"/>
      <c r="L534" s="159"/>
      <c r="M534" s="159"/>
      <c r="N534" s="159"/>
      <c r="O534" s="159"/>
      <c r="P534" s="159"/>
      <c r="Q534" s="159"/>
      <c r="R534" s="159">
        <f t="shared" ref="R534:U534" si="348">R527/R533</f>
        <v>0.6000000000000002</v>
      </c>
      <c r="S534" s="159">
        <f>S527/S533</f>
        <v>0.52631578947368418</v>
      </c>
      <c r="T534" s="159">
        <f t="shared" si="348"/>
        <v>0.5</v>
      </c>
      <c r="U534" s="159">
        <f t="shared" si="348"/>
        <v>0.55555555555555547</v>
      </c>
      <c r="V534" s="159">
        <f>V527/V533</f>
        <v>0.6</v>
      </c>
      <c r="W534" s="159">
        <f t="shared" ref="W534:X534" si="349">W527/W533</f>
        <v>0.48452300405201393</v>
      </c>
      <c r="X534" s="159">
        <f t="shared" si="349"/>
        <v>0.64576141252888108</v>
      </c>
      <c r="Y534" s="159">
        <f t="shared" ref="Y534" si="350">Y527/Y533</f>
        <v>0.46908265059400495</v>
      </c>
      <c r="Z534" s="159">
        <f t="shared" ref="Z534" si="351">Z527/Z533</f>
        <v>0.57594831941383651</v>
      </c>
      <c r="AA534" s="191">
        <v>0.6</v>
      </c>
      <c r="AB534" s="191">
        <v>0.6</v>
      </c>
      <c r="AC534" s="191">
        <v>0.5</v>
      </c>
      <c r="AD534" s="191">
        <v>0.5</v>
      </c>
      <c r="AE534" s="191">
        <v>0.5</v>
      </c>
      <c r="AF534" s="191">
        <v>0.5</v>
      </c>
      <c r="AG534" s="191"/>
      <c r="AH534" s="191"/>
      <c r="AI534" s="191"/>
      <c r="AJ534" s="191"/>
      <c r="AK534" s="191"/>
      <c r="AL534" s="191"/>
      <c r="AM534" s="191"/>
      <c r="AN534" s="191"/>
    </row>
    <row r="536" spans="2:40">
      <c r="B536" s="185" t="s">
        <v>993</v>
      </c>
      <c r="D536" s="20"/>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row>
    <row r="537" spans="2:40">
      <c r="B537" s="206" t="s">
        <v>1021</v>
      </c>
      <c r="D537" s="20"/>
      <c r="E537" s="2"/>
      <c r="F537" s="2"/>
      <c r="G537" s="2"/>
      <c r="H537" s="2"/>
      <c r="I537" s="2"/>
      <c r="J537" s="2"/>
      <c r="K537" s="2"/>
      <c r="L537" s="2"/>
      <c r="M537" s="2"/>
      <c r="N537" s="2"/>
      <c r="O537" s="2"/>
      <c r="P537" s="2"/>
    </row>
    <row r="538" spans="2:40">
      <c r="B538" s="209" t="s">
        <v>1021</v>
      </c>
      <c r="C538" s="82" t="s">
        <v>900</v>
      </c>
      <c r="D538" s="208"/>
      <c r="E538" s="208"/>
      <c r="F538" s="208"/>
      <c r="G538" s="208"/>
      <c r="H538" s="208"/>
      <c r="I538" s="208"/>
      <c r="J538" s="208"/>
      <c r="K538" s="208"/>
      <c r="L538" s="208"/>
      <c r="M538" s="208">
        <v>0</v>
      </c>
      <c r="N538" s="208">
        <v>0</v>
      </c>
      <c r="O538" s="208">
        <v>0</v>
      </c>
      <c r="P538" s="208">
        <v>0</v>
      </c>
      <c r="Q538" s="208">
        <v>0</v>
      </c>
      <c r="R538" s="208">
        <v>0</v>
      </c>
      <c r="S538" s="208">
        <v>0</v>
      </c>
      <c r="T538" s="208">
        <v>0</v>
      </c>
      <c r="U538" s="208">
        <v>0</v>
      </c>
      <c r="V538" s="208">
        <v>0</v>
      </c>
      <c r="W538" s="160">
        <v>0</v>
      </c>
      <c r="X538" s="160">
        <v>0</v>
      </c>
      <c r="Y538" s="160">
        <v>0</v>
      </c>
      <c r="Z538" s="160">
        <v>0</v>
      </c>
      <c r="AA538" s="160">
        <v>0</v>
      </c>
      <c r="AB538" s="160">
        <v>0</v>
      </c>
      <c r="AC538" s="160">
        <v>0</v>
      </c>
      <c r="AD538" s="160">
        <v>0</v>
      </c>
      <c r="AE538" s="160">
        <v>0</v>
      </c>
      <c r="AF538" s="160">
        <v>0</v>
      </c>
      <c r="AG538" s="160">
        <v>0</v>
      </c>
      <c r="AH538" s="160">
        <v>0</v>
      </c>
      <c r="AI538" s="160">
        <v>0</v>
      </c>
      <c r="AJ538" s="160">
        <v>0</v>
      </c>
      <c r="AK538" s="160">
        <v>0</v>
      </c>
      <c r="AL538" s="160">
        <v>0</v>
      </c>
      <c r="AM538" s="160">
        <v>0</v>
      </c>
      <c r="AN538" s="160">
        <v>0</v>
      </c>
    </row>
    <row r="539" spans="2:40">
      <c r="B539" s="209" t="s">
        <v>1024</v>
      </c>
      <c r="C539" s="82" t="s">
        <v>848</v>
      </c>
      <c r="D539" s="20"/>
      <c r="E539" s="2"/>
      <c r="F539" s="2"/>
      <c r="G539" s="2"/>
      <c r="H539" s="2"/>
      <c r="I539" s="2"/>
      <c r="J539" s="2"/>
      <c r="K539" s="2"/>
      <c r="L539" s="2"/>
      <c r="M539" s="231"/>
      <c r="N539" s="231"/>
      <c r="O539" s="508"/>
      <c r="P539" s="508"/>
      <c r="Q539" s="509">
        <v>0.75</v>
      </c>
      <c r="R539" s="509">
        <v>0.76</v>
      </c>
      <c r="S539" s="509">
        <v>0.6</v>
      </c>
      <c r="T539" s="509">
        <v>0.76</v>
      </c>
      <c r="U539" s="509">
        <v>1</v>
      </c>
      <c r="V539" s="509">
        <v>0.9</v>
      </c>
      <c r="W539" s="504">
        <f t="shared" ref="W539:AN539" si="352">V539/(1-$D727/2)</f>
        <v>0.97402597402597402</v>
      </c>
      <c r="X539" s="504">
        <f t="shared" si="352"/>
        <v>1.0541406645302749</v>
      </c>
      <c r="Y539" s="504">
        <f t="shared" si="352"/>
        <v>1.1408448750327649</v>
      </c>
      <c r="Z539" s="504">
        <f t="shared" si="352"/>
        <v>1.2346806006848103</v>
      </c>
      <c r="AA539" s="504">
        <f t="shared" si="352"/>
        <v>1.3362344163255522</v>
      </c>
      <c r="AB539" s="504">
        <f t="shared" si="352"/>
        <v>1.446141143209472</v>
      </c>
      <c r="AC539" s="504">
        <f t="shared" si="352"/>
        <v>1.5650878173262683</v>
      </c>
      <c r="AD539" s="504">
        <f t="shared" si="352"/>
        <v>1.6938179841193379</v>
      </c>
      <c r="AE539" s="504">
        <f t="shared" si="352"/>
        <v>1.8331363464494999</v>
      </c>
      <c r="AF539" s="504">
        <f t="shared" si="352"/>
        <v>1.983913794858766</v>
      </c>
      <c r="AG539" s="504">
        <f t="shared" si="352"/>
        <v>2.1470928515787508</v>
      </c>
      <c r="AH539" s="504">
        <f t="shared" si="352"/>
        <v>2.3236935623146655</v>
      </c>
      <c r="AI539" s="504">
        <f t="shared" si="352"/>
        <v>2.5148198726349191</v>
      </c>
      <c r="AJ539" s="504">
        <f t="shared" si="352"/>
        <v>2.7216665288256698</v>
      </c>
      <c r="AK539" s="504">
        <f t="shared" si="352"/>
        <v>2.9455265463481273</v>
      </c>
      <c r="AL539" s="504">
        <f t="shared" si="352"/>
        <v>3.1877992925845531</v>
      </c>
      <c r="AM539" s="504">
        <f t="shared" si="352"/>
        <v>3.449999234398867</v>
      </c>
      <c r="AN539" s="504">
        <f t="shared" si="352"/>
        <v>3.7337654051935787</v>
      </c>
    </row>
    <row r="540" spans="2:40">
      <c r="B540" s="192" t="s">
        <v>1022</v>
      </c>
      <c r="C540" s="82" t="s">
        <v>1017</v>
      </c>
      <c r="D540" s="20"/>
      <c r="E540" s="7"/>
      <c r="F540" s="7"/>
      <c r="G540" s="7"/>
      <c r="H540" s="7"/>
      <c r="I540" s="2"/>
      <c r="J540" s="7"/>
      <c r="K540" s="7"/>
      <c r="L540" s="2"/>
      <c r="M540" s="2"/>
      <c r="N540" s="2"/>
      <c r="O540" s="2"/>
      <c r="P540" s="2"/>
      <c r="Q540" s="7">
        <f>Q538/Q539</f>
        <v>0</v>
      </c>
      <c r="R540" s="7">
        <f t="shared" ref="R540:AL540" si="353">R538/R539</f>
        <v>0</v>
      </c>
      <c r="S540" s="7">
        <f t="shared" si="353"/>
        <v>0</v>
      </c>
      <c r="T540" s="7">
        <f>T538/T539</f>
        <v>0</v>
      </c>
      <c r="U540" s="7">
        <f>U538/U539</f>
        <v>0</v>
      </c>
      <c r="V540" s="7">
        <f>V538/V539</f>
        <v>0</v>
      </c>
      <c r="W540" s="7">
        <f t="shared" si="353"/>
        <v>0</v>
      </c>
      <c r="X540" s="7">
        <f t="shared" si="353"/>
        <v>0</v>
      </c>
      <c r="Y540" s="7">
        <f t="shared" si="353"/>
        <v>0</v>
      </c>
      <c r="Z540" s="7">
        <f t="shared" si="353"/>
        <v>0</v>
      </c>
      <c r="AA540" s="7">
        <f t="shared" si="353"/>
        <v>0</v>
      </c>
      <c r="AB540" s="7">
        <f t="shared" si="353"/>
        <v>0</v>
      </c>
      <c r="AC540" s="7">
        <f t="shared" si="353"/>
        <v>0</v>
      </c>
      <c r="AD540" s="7">
        <f t="shared" si="353"/>
        <v>0</v>
      </c>
      <c r="AE540" s="7">
        <f t="shared" si="353"/>
        <v>0</v>
      </c>
      <c r="AF540" s="7">
        <f t="shared" si="353"/>
        <v>0</v>
      </c>
      <c r="AG540" s="7">
        <f t="shared" si="353"/>
        <v>0</v>
      </c>
      <c r="AH540" s="7">
        <f t="shared" si="353"/>
        <v>0</v>
      </c>
      <c r="AI540" s="7">
        <f t="shared" si="353"/>
        <v>0</v>
      </c>
      <c r="AJ540" s="7">
        <f t="shared" si="353"/>
        <v>0</v>
      </c>
      <c r="AK540" s="7">
        <f t="shared" si="353"/>
        <v>0</v>
      </c>
      <c r="AL540" s="7">
        <f t="shared" si="353"/>
        <v>0</v>
      </c>
      <c r="AM540" s="7">
        <f>AM538/AM539</f>
        <v>0</v>
      </c>
      <c r="AN540" s="7">
        <f>AN538/AN539</f>
        <v>0</v>
      </c>
    </row>
    <row r="541" spans="2:40">
      <c r="B541" s="192"/>
      <c r="D541" s="20"/>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row>
    <row r="542" spans="2:40">
      <c r="B542" s="206" t="s">
        <v>1255</v>
      </c>
      <c r="D542" s="20"/>
      <c r="E542" s="2"/>
      <c r="F542" s="2"/>
      <c r="G542" s="2"/>
      <c r="H542" s="2"/>
      <c r="I542" s="2"/>
      <c r="J542" s="2"/>
      <c r="K542" s="2"/>
      <c r="L542" s="2"/>
      <c r="M542" s="2"/>
      <c r="N542" s="2"/>
      <c r="O542" s="2"/>
      <c r="P542" s="2"/>
    </row>
    <row r="543" spans="2:40">
      <c r="B543" s="209" t="s">
        <v>1256</v>
      </c>
      <c r="C543" s="82" t="s">
        <v>900</v>
      </c>
      <c r="D543" s="208"/>
      <c r="E543" s="208"/>
      <c r="F543" s="208"/>
      <c r="G543" s="208"/>
      <c r="H543" s="208"/>
      <c r="I543" s="208"/>
      <c r="J543" s="208"/>
      <c r="K543" s="208"/>
      <c r="L543" s="208"/>
      <c r="M543" s="208">
        <v>20.399999999999999</v>
      </c>
      <c r="N543" s="208">
        <v>0</v>
      </c>
      <c r="O543" s="208">
        <v>49.3</v>
      </c>
      <c r="P543" s="236">
        <f>51.4-O543</f>
        <v>2.1000000000000014</v>
      </c>
      <c r="Q543" s="208">
        <v>0.9</v>
      </c>
      <c r="R543" s="236">
        <f>1.8-Q543</f>
        <v>0.9</v>
      </c>
      <c r="S543" s="208">
        <v>0.5</v>
      </c>
      <c r="T543" s="236">
        <f>1.4-S543</f>
        <v>0.89999999999999991</v>
      </c>
      <c r="U543" s="208">
        <v>3</v>
      </c>
      <c r="V543" s="236">
        <f>6.4-U543</f>
        <v>3.4000000000000004</v>
      </c>
      <c r="W543" s="160">
        <v>0</v>
      </c>
      <c r="X543" s="160">
        <v>0</v>
      </c>
      <c r="Y543" s="160">
        <v>0</v>
      </c>
      <c r="Z543" s="160">
        <v>0</v>
      </c>
      <c r="AA543" s="160">
        <v>0</v>
      </c>
      <c r="AB543" s="160">
        <v>0</v>
      </c>
      <c r="AC543" s="160">
        <v>0</v>
      </c>
      <c r="AD543" s="160">
        <v>0</v>
      </c>
      <c r="AE543" s="160">
        <v>0</v>
      </c>
      <c r="AF543" s="160">
        <v>0</v>
      </c>
      <c r="AG543" s="160">
        <v>0</v>
      </c>
      <c r="AH543" s="160">
        <v>0</v>
      </c>
      <c r="AI543" s="160">
        <v>0</v>
      </c>
      <c r="AJ543" s="160">
        <v>0</v>
      </c>
      <c r="AK543" s="160">
        <v>0</v>
      </c>
      <c r="AL543" s="160">
        <v>0</v>
      </c>
      <c r="AM543" s="160">
        <v>0</v>
      </c>
      <c r="AN543" s="160">
        <v>0</v>
      </c>
    </row>
    <row r="544" spans="2:40">
      <c r="B544" s="216" t="s">
        <v>1250</v>
      </c>
      <c r="C544" s="82" t="s">
        <v>900</v>
      </c>
      <c r="D544" s="208"/>
      <c r="E544" s="208"/>
      <c r="F544" s="208"/>
      <c r="G544" s="208"/>
      <c r="H544" s="208"/>
      <c r="I544" s="208"/>
      <c r="J544" s="208"/>
      <c r="K544" s="208"/>
      <c r="L544" s="208"/>
      <c r="M544" s="208"/>
      <c r="N544" s="208"/>
      <c r="O544" s="159"/>
      <c r="P544" s="159">
        <f>P543/P528</f>
        <v>-9.20447074293229E-2</v>
      </c>
      <c r="Q544" s="159"/>
      <c r="R544" s="159">
        <f>R543/R528</f>
        <v>-0.13137151865475563</v>
      </c>
      <c r="S544" s="159"/>
      <c r="T544" s="159">
        <f>T543/T528</f>
        <v>-3.9366634590149593E-2</v>
      </c>
      <c r="U544" s="159"/>
      <c r="V544" s="159">
        <f>V543/V528</f>
        <v>-9.8868824333362429E-2</v>
      </c>
      <c r="W544" s="159">
        <f t="shared" ref="W544:AN544" si="354">W543/W528</f>
        <v>0</v>
      </c>
      <c r="X544" s="159">
        <f t="shared" si="354"/>
        <v>0</v>
      </c>
      <c r="Y544" s="159">
        <f t="shared" si="354"/>
        <v>0</v>
      </c>
      <c r="Z544" s="159">
        <f t="shared" si="354"/>
        <v>0</v>
      </c>
      <c r="AA544" s="159">
        <f t="shared" si="354"/>
        <v>0</v>
      </c>
      <c r="AB544" s="159">
        <f t="shared" si="354"/>
        <v>0</v>
      </c>
      <c r="AC544" s="159">
        <f t="shared" si="354"/>
        <v>0</v>
      </c>
      <c r="AD544" s="159">
        <f t="shared" si="354"/>
        <v>0</v>
      </c>
      <c r="AE544" s="159">
        <f t="shared" si="354"/>
        <v>0</v>
      </c>
      <c r="AF544" s="159">
        <f t="shared" si="354"/>
        <v>0</v>
      </c>
      <c r="AG544" s="159" t="e">
        <f t="shared" si="354"/>
        <v>#DIV/0!</v>
      </c>
      <c r="AH544" s="159" t="e">
        <f t="shared" si="354"/>
        <v>#DIV/0!</v>
      </c>
      <c r="AI544" s="159" t="e">
        <f t="shared" si="354"/>
        <v>#DIV/0!</v>
      </c>
      <c r="AJ544" s="159" t="e">
        <f t="shared" si="354"/>
        <v>#DIV/0!</v>
      </c>
      <c r="AK544" s="159" t="e">
        <f t="shared" si="354"/>
        <v>#DIV/0!</v>
      </c>
      <c r="AL544" s="159" t="e">
        <f t="shared" si="354"/>
        <v>#DIV/0!</v>
      </c>
      <c r="AM544" s="159" t="e">
        <f t="shared" si="354"/>
        <v>#DIV/0!</v>
      </c>
      <c r="AN544" s="159" t="e">
        <f t="shared" si="354"/>
        <v>#DIV/0!</v>
      </c>
    </row>
    <row r="545" spans="2:40">
      <c r="B545" s="209" t="s">
        <v>1024</v>
      </c>
      <c r="C545" s="82" t="s">
        <v>848</v>
      </c>
      <c r="D545" s="20"/>
      <c r="E545" s="2"/>
      <c r="F545" s="2"/>
      <c r="G545" s="2"/>
      <c r="H545" s="2"/>
      <c r="I545" s="2"/>
      <c r="J545" s="2"/>
      <c r="K545" s="2"/>
      <c r="L545" s="2"/>
      <c r="M545" s="508">
        <f>M543/M546</f>
        <v>4.975609756097561</v>
      </c>
      <c r="N545" s="231"/>
      <c r="O545" s="508">
        <f t="shared" ref="O545:T545" si="355">O543/O546</f>
        <v>0.91806331471135927</v>
      </c>
      <c r="P545" s="508">
        <f t="shared" si="355"/>
        <v>1.0000000000000033</v>
      </c>
      <c r="Q545" s="508">
        <f t="shared" si="355"/>
        <v>1.125</v>
      </c>
      <c r="R545" s="508">
        <f t="shared" si="355"/>
        <v>0.69230769230769229</v>
      </c>
      <c r="S545" s="508">
        <f t="shared" si="355"/>
        <v>0.41666666666666669</v>
      </c>
      <c r="T545" s="508">
        <f t="shared" si="355"/>
        <v>0.64285714285714268</v>
      </c>
      <c r="U545" s="508">
        <f>U543/U546</f>
        <v>1</v>
      </c>
      <c r="V545" s="508">
        <f t="shared" ref="V545" si="356">V543/V546</f>
        <v>1</v>
      </c>
      <c r="W545" s="508">
        <f t="shared" ref="W545:AL545" si="357">W539</f>
        <v>0.97402597402597402</v>
      </c>
      <c r="X545" s="508">
        <f t="shared" si="357"/>
        <v>1.0541406645302749</v>
      </c>
      <c r="Y545" s="508">
        <f t="shared" si="357"/>
        <v>1.1408448750327649</v>
      </c>
      <c r="Z545" s="508">
        <f t="shared" si="357"/>
        <v>1.2346806006848103</v>
      </c>
      <c r="AA545" s="508">
        <f t="shared" si="357"/>
        <v>1.3362344163255522</v>
      </c>
      <c r="AB545" s="508">
        <f t="shared" si="357"/>
        <v>1.446141143209472</v>
      </c>
      <c r="AC545" s="508">
        <f t="shared" si="357"/>
        <v>1.5650878173262683</v>
      </c>
      <c r="AD545" s="508">
        <f t="shared" si="357"/>
        <v>1.6938179841193379</v>
      </c>
      <c r="AE545" s="508">
        <f t="shared" si="357"/>
        <v>1.8331363464494999</v>
      </c>
      <c r="AF545" s="508">
        <f t="shared" si="357"/>
        <v>1.983913794858766</v>
      </c>
      <c r="AG545" s="508">
        <f t="shared" si="357"/>
        <v>2.1470928515787508</v>
      </c>
      <c r="AH545" s="508">
        <f t="shared" si="357"/>
        <v>2.3236935623146655</v>
      </c>
      <c r="AI545" s="508">
        <f t="shared" si="357"/>
        <v>2.5148198726349191</v>
      </c>
      <c r="AJ545" s="508">
        <f t="shared" si="357"/>
        <v>2.7216665288256698</v>
      </c>
      <c r="AK545" s="508">
        <f t="shared" si="357"/>
        <v>2.9455265463481273</v>
      </c>
      <c r="AL545" s="508">
        <f t="shared" si="357"/>
        <v>3.1877992925845531</v>
      </c>
      <c r="AM545" s="508">
        <f>AM539</f>
        <v>3.449999234398867</v>
      </c>
      <c r="AN545" s="508">
        <f>AN539</f>
        <v>3.7337654051935787</v>
      </c>
    </row>
    <row r="546" spans="2:40">
      <c r="B546" s="192" t="s">
        <v>1022</v>
      </c>
      <c r="C546" s="82" t="s">
        <v>1017</v>
      </c>
      <c r="D546" s="20"/>
      <c r="E546" s="7"/>
      <c r="F546" s="7"/>
      <c r="G546" s="7"/>
      <c r="H546" s="7"/>
      <c r="I546" s="2"/>
      <c r="J546" s="7"/>
      <c r="K546" s="7"/>
      <c r="L546" s="2"/>
      <c r="M546" s="236">
        <v>4.0999999999999996</v>
      </c>
      <c r="N546" s="236"/>
      <c r="O546" s="236">
        <v>53.7</v>
      </c>
      <c r="P546" s="236">
        <f>55.8-O546</f>
        <v>2.0999999999999943</v>
      </c>
      <c r="Q546" s="236">
        <v>0.8</v>
      </c>
      <c r="R546" s="236">
        <f>2.1-Q546</f>
        <v>1.3</v>
      </c>
      <c r="S546" s="236">
        <v>1.2</v>
      </c>
      <c r="T546" s="236">
        <f>2.6-S546</f>
        <v>1.4000000000000001</v>
      </c>
      <c r="U546" s="236">
        <v>3</v>
      </c>
      <c r="V546" s="236">
        <f>6.4-U546</f>
        <v>3.4000000000000004</v>
      </c>
      <c r="W546" s="7">
        <f t="shared" ref="W546:AL546" si="358">W543/W545</f>
        <v>0</v>
      </c>
      <c r="X546" s="7">
        <f t="shared" si="358"/>
        <v>0</v>
      </c>
      <c r="Y546" s="7">
        <f t="shared" si="358"/>
        <v>0</v>
      </c>
      <c r="Z546" s="7">
        <f t="shared" si="358"/>
        <v>0</v>
      </c>
      <c r="AA546" s="7">
        <f t="shared" si="358"/>
        <v>0</v>
      </c>
      <c r="AB546" s="7">
        <f t="shared" si="358"/>
        <v>0</v>
      </c>
      <c r="AC546" s="7">
        <f t="shared" si="358"/>
        <v>0</v>
      </c>
      <c r="AD546" s="7">
        <f t="shared" si="358"/>
        <v>0</v>
      </c>
      <c r="AE546" s="7">
        <f t="shared" si="358"/>
        <v>0</v>
      </c>
      <c r="AF546" s="7">
        <f t="shared" si="358"/>
        <v>0</v>
      </c>
      <c r="AG546" s="7">
        <f t="shared" si="358"/>
        <v>0</v>
      </c>
      <c r="AH546" s="7">
        <f t="shared" si="358"/>
        <v>0</v>
      </c>
      <c r="AI546" s="7">
        <f t="shared" si="358"/>
        <v>0</v>
      </c>
      <c r="AJ546" s="7">
        <f t="shared" si="358"/>
        <v>0</v>
      </c>
      <c r="AK546" s="7">
        <f t="shared" si="358"/>
        <v>0</v>
      </c>
      <c r="AL546" s="7">
        <f t="shared" si="358"/>
        <v>0</v>
      </c>
      <c r="AM546" s="7">
        <f>AM543/AM545</f>
        <v>0</v>
      </c>
      <c r="AN546" s="7">
        <f>AN543/AN545</f>
        <v>0</v>
      </c>
    </row>
    <row r="547" spans="2:40">
      <c r="B547" s="192"/>
      <c r="D547" s="20"/>
      <c r="E547" s="7"/>
      <c r="F547" s="7"/>
      <c r="G547" s="7"/>
      <c r="H547" s="7"/>
      <c r="I547" s="2"/>
      <c r="J547" s="7"/>
      <c r="K547" s="7"/>
      <c r="L547" s="2"/>
      <c r="M547" s="2"/>
      <c r="N547" s="2"/>
      <c r="O547" s="2"/>
      <c r="P547" s="2"/>
      <c r="Q547" s="7"/>
      <c r="R547" s="7"/>
      <c r="S547" s="7"/>
      <c r="T547" s="7"/>
      <c r="U547" s="7"/>
      <c r="V547" s="7"/>
      <c r="W547" s="7"/>
      <c r="X547" s="7"/>
      <c r="Y547" s="7"/>
      <c r="Z547" s="7"/>
      <c r="AA547" s="7"/>
      <c r="AB547" s="7"/>
      <c r="AC547" s="7"/>
      <c r="AD547" s="7"/>
      <c r="AE547" s="7"/>
      <c r="AF547" s="7"/>
      <c r="AG547" s="7"/>
      <c r="AH547" s="7"/>
      <c r="AI547" s="7"/>
      <c r="AJ547" s="7"/>
      <c r="AK547" s="7"/>
      <c r="AL547" s="7"/>
      <c r="AM547" s="7"/>
      <c r="AN547" s="7"/>
    </row>
    <row r="548" spans="2:40">
      <c r="B548" s="206" t="s">
        <v>970</v>
      </c>
      <c r="D548" s="20"/>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row>
    <row r="549" spans="2:40">
      <c r="B549" s="209" t="s">
        <v>1023</v>
      </c>
      <c r="C549" s="82" t="s">
        <v>900</v>
      </c>
      <c r="D549" s="20"/>
      <c r="E549" s="208"/>
      <c r="F549" s="208"/>
      <c r="G549" s="208"/>
      <c r="H549" s="208"/>
      <c r="I549" s="208"/>
      <c r="J549" s="208"/>
      <c r="K549" s="208"/>
      <c r="L549" s="208"/>
      <c r="M549" s="208">
        <v>0</v>
      </c>
      <c r="N549" s="208">
        <v>0</v>
      </c>
      <c r="O549" s="208">
        <v>0</v>
      </c>
      <c r="P549" s="208">
        <v>0</v>
      </c>
      <c r="Q549" s="208">
        <v>0</v>
      </c>
      <c r="R549" s="208">
        <v>0</v>
      </c>
      <c r="S549" s="208">
        <v>0</v>
      </c>
      <c r="T549" s="208">
        <v>0</v>
      </c>
      <c r="U549" s="208">
        <v>0</v>
      </c>
      <c r="V549" s="208">
        <v>0</v>
      </c>
      <c r="W549" s="160">
        <v>0</v>
      </c>
      <c r="X549" s="160">
        <v>0</v>
      </c>
      <c r="Y549" s="160">
        <v>0</v>
      </c>
      <c r="Z549" s="160">
        <v>0</v>
      </c>
      <c r="AA549" s="160">
        <v>0</v>
      </c>
      <c r="AB549" s="160">
        <v>0</v>
      </c>
      <c r="AC549" s="160">
        <v>0</v>
      </c>
      <c r="AD549" s="160">
        <v>0</v>
      </c>
      <c r="AE549" s="160">
        <v>0</v>
      </c>
      <c r="AF549" s="160">
        <v>0</v>
      </c>
      <c r="AG549" s="160">
        <v>0</v>
      </c>
      <c r="AH549" s="160">
        <v>0</v>
      </c>
      <c r="AI549" s="160">
        <v>0</v>
      </c>
      <c r="AJ549" s="160">
        <v>0</v>
      </c>
      <c r="AK549" s="160">
        <v>0</v>
      </c>
      <c r="AL549" s="160">
        <v>0</v>
      </c>
      <c r="AM549" s="160">
        <v>0</v>
      </c>
      <c r="AN549" s="160">
        <v>0</v>
      </c>
    </row>
    <row r="550" spans="2:40">
      <c r="B550" s="209" t="s">
        <v>1025</v>
      </c>
      <c r="C550" s="82" t="s">
        <v>848</v>
      </c>
      <c r="D550" s="20"/>
      <c r="E550" s="2"/>
      <c r="F550" s="2"/>
      <c r="G550" s="2"/>
      <c r="H550" s="2"/>
      <c r="I550" s="2"/>
      <c r="J550" s="2"/>
      <c r="K550" s="2"/>
      <c r="L550" s="2"/>
      <c r="M550" s="508"/>
      <c r="N550" s="508"/>
      <c r="O550" s="508"/>
      <c r="P550" s="508"/>
      <c r="Q550" s="508">
        <f t="shared" ref="Q550:AL550" si="359">Q539</f>
        <v>0.75</v>
      </c>
      <c r="R550" s="508">
        <f>R539</f>
        <v>0.76</v>
      </c>
      <c r="S550" s="508">
        <f>S539</f>
        <v>0.6</v>
      </c>
      <c r="T550" s="508">
        <f>T539</f>
        <v>0.76</v>
      </c>
      <c r="U550" s="508">
        <f>U539</f>
        <v>1</v>
      </c>
      <c r="V550" s="508">
        <f>V539</f>
        <v>0.9</v>
      </c>
      <c r="W550" s="508">
        <f t="shared" si="359"/>
        <v>0.97402597402597402</v>
      </c>
      <c r="X550" s="508">
        <f t="shared" si="359"/>
        <v>1.0541406645302749</v>
      </c>
      <c r="Y550" s="508">
        <f t="shared" si="359"/>
        <v>1.1408448750327649</v>
      </c>
      <c r="Z550" s="508">
        <f t="shared" si="359"/>
        <v>1.2346806006848103</v>
      </c>
      <c r="AA550" s="508">
        <f t="shared" si="359"/>
        <v>1.3362344163255522</v>
      </c>
      <c r="AB550" s="508">
        <f t="shared" si="359"/>
        <v>1.446141143209472</v>
      </c>
      <c r="AC550" s="508">
        <f t="shared" si="359"/>
        <v>1.5650878173262683</v>
      </c>
      <c r="AD550" s="508">
        <f t="shared" si="359"/>
        <v>1.6938179841193379</v>
      </c>
      <c r="AE550" s="508">
        <f t="shared" si="359"/>
        <v>1.8331363464494999</v>
      </c>
      <c r="AF550" s="508">
        <f t="shared" si="359"/>
        <v>1.983913794858766</v>
      </c>
      <c r="AG550" s="508">
        <f t="shared" si="359"/>
        <v>2.1470928515787508</v>
      </c>
      <c r="AH550" s="508">
        <f t="shared" si="359"/>
        <v>2.3236935623146655</v>
      </c>
      <c r="AI550" s="508">
        <f t="shared" si="359"/>
        <v>2.5148198726349191</v>
      </c>
      <c r="AJ550" s="508">
        <f t="shared" si="359"/>
        <v>2.7216665288256698</v>
      </c>
      <c r="AK550" s="508">
        <f t="shared" si="359"/>
        <v>2.9455265463481273</v>
      </c>
      <c r="AL550" s="508">
        <f t="shared" si="359"/>
        <v>3.1877992925845531</v>
      </c>
      <c r="AM550" s="508">
        <f>AM539</f>
        <v>3.449999234398867</v>
      </c>
      <c r="AN550" s="508">
        <f>AN539</f>
        <v>3.7337654051935787</v>
      </c>
    </row>
    <row r="551" spans="2:40">
      <c r="B551" s="192" t="s">
        <v>1026</v>
      </c>
      <c r="C551" s="82" t="s">
        <v>1017</v>
      </c>
      <c r="D551" s="20"/>
      <c r="E551" s="2"/>
      <c r="F551" s="7"/>
      <c r="G551" s="7"/>
      <c r="H551" s="7"/>
      <c r="I551" s="7"/>
      <c r="J551" s="7"/>
      <c r="K551" s="7"/>
      <c r="L551" s="7"/>
      <c r="M551" s="7"/>
      <c r="N551" s="7"/>
      <c r="O551" s="7"/>
      <c r="P551" s="7"/>
      <c r="Q551" s="7">
        <f t="shared" ref="Q551:V551" si="360">Q549/Q550</f>
        <v>0</v>
      </c>
      <c r="R551" s="7">
        <f t="shared" si="360"/>
        <v>0</v>
      </c>
      <c r="S551" s="7">
        <f t="shared" si="360"/>
        <v>0</v>
      </c>
      <c r="T551" s="7">
        <f t="shared" si="360"/>
        <v>0</v>
      </c>
      <c r="U551" s="7">
        <f t="shared" si="360"/>
        <v>0</v>
      </c>
      <c r="V551" s="7">
        <f t="shared" si="360"/>
        <v>0</v>
      </c>
      <c r="W551" s="7">
        <f t="shared" ref="W551:AL551" si="361">W549/W550</f>
        <v>0</v>
      </c>
      <c r="X551" s="7">
        <f t="shared" si="361"/>
        <v>0</v>
      </c>
      <c r="Y551" s="7">
        <f t="shared" si="361"/>
        <v>0</v>
      </c>
      <c r="Z551" s="7">
        <f t="shared" si="361"/>
        <v>0</v>
      </c>
      <c r="AA551" s="7">
        <f t="shared" si="361"/>
        <v>0</v>
      </c>
      <c r="AB551" s="7">
        <f t="shared" si="361"/>
        <v>0</v>
      </c>
      <c r="AC551" s="7">
        <f t="shared" si="361"/>
        <v>0</v>
      </c>
      <c r="AD551" s="7">
        <f t="shared" si="361"/>
        <v>0</v>
      </c>
      <c r="AE551" s="7">
        <f t="shared" si="361"/>
        <v>0</v>
      </c>
      <c r="AF551" s="7">
        <f t="shared" si="361"/>
        <v>0</v>
      </c>
      <c r="AG551" s="7">
        <f t="shared" si="361"/>
        <v>0</v>
      </c>
      <c r="AH551" s="7">
        <f t="shared" si="361"/>
        <v>0</v>
      </c>
      <c r="AI551" s="7">
        <f t="shared" si="361"/>
        <v>0</v>
      </c>
      <c r="AJ551" s="7">
        <f t="shared" si="361"/>
        <v>0</v>
      </c>
      <c r="AK551" s="7">
        <f t="shared" si="361"/>
        <v>0</v>
      </c>
      <c r="AL551" s="7">
        <f t="shared" si="361"/>
        <v>0</v>
      </c>
      <c r="AM551" s="7">
        <f>AM549/AM550</f>
        <v>0</v>
      </c>
      <c r="AN551" s="7">
        <f>AN549/AN550</f>
        <v>0</v>
      </c>
    </row>
    <row r="552" spans="2:40">
      <c r="B552" s="192"/>
      <c r="D552" s="20"/>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row>
    <row r="553" spans="2:40">
      <c r="B553" s="206" t="s">
        <v>127</v>
      </c>
      <c r="D553" s="20"/>
      <c r="E553" s="132"/>
      <c r="F553" s="132"/>
      <c r="G553" s="132"/>
      <c r="H553" s="132"/>
      <c r="I553" s="132"/>
      <c r="J553" s="132"/>
      <c r="K553" s="132"/>
      <c r="L553" s="132"/>
      <c r="M553" s="132"/>
      <c r="N553" s="132"/>
      <c r="O553" s="132"/>
      <c r="P553" s="13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row>
    <row r="554" spans="2:40">
      <c r="B554" s="209" t="s">
        <v>1016</v>
      </c>
      <c r="C554" s="82" t="s">
        <v>1017</v>
      </c>
      <c r="D554" s="208"/>
      <c r="E554" s="208"/>
      <c r="F554" s="208"/>
      <c r="G554" s="208"/>
      <c r="H554" s="208"/>
      <c r="I554" s="208"/>
      <c r="J554" s="208"/>
      <c r="K554" s="208"/>
      <c r="L554" s="208"/>
      <c r="M554" s="214">
        <f t="shared" ref="M554:V554" si="362">L558</f>
        <v>2221.6</v>
      </c>
      <c r="N554" s="214">
        <f t="shared" si="362"/>
        <v>2225.6999999999998</v>
      </c>
      <c r="O554" s="214">
        <f t="shared" si="362"/>
        <v>2225.6999999999998</v>
      </c>
      <c r="P554" s="214">
        <f t="shared" si="362"/>
        <v>2279.4</v>
      </c>
      <c r="Q554" s="132">
        <f t="shared" si="362"/>
        <v>2281.5</v>
      </c>
      <c r="R554" s="214">
        <f t="shared" si="362"/>
        <v>2282.410989</v>
      </c>
      <c r="S554" s="214">
        <f t="shared" si="362"/>
        <v>2283.6</v>
      </c>
      <c r="T554" s="214">
        <f t="shared" si="362"/>
        <v>2284.8698250000002</v>
      </c>
      <c r="U554" s="214">
        <f t="shared" si="362"/>
        <v>2286.1999999999998</v>
      </c>
      <c r="V554" s="214">
        <f t="shared" si="362"/>
        <v>2289.1999999999998</v>
      </c>
      <c r="W554" s="132">
        <f t="shared" ref="W554:AK554" si="363">V558</f>
        <v>2292.6</v>
      </c>
      <c r="X554" s="132">
        <f t="shared" si="363"/>
        <v>2292.6</v>
      </c>
      <c r="Y554" s="132">
        <f t="shared" si="363"/>
        <v>2292.6</v>
      </c>
      <c r="Z554" s="132">
        <f t="shared" si="363"/>
        <v>2292.6</v>
      </c>
      <c r="AA554" s="132">
        <f t="shared" si="363"/>
        <v>2292.6</v>
      </c>
      <c r="AB554" s="132">
        <f t="shared" si="363"/>
        <v>2292.6</v>
      </c>
      <c r="AC554" s="132">
        <f t="shared" si="363"/>
        <v>2292.6</v>
      </c>
      <c r="AD554" s="132">
        <f t="shared" si="363"/>
        <v>2292.6</v>
      </c>
      <c r="AE554" s="132">
        <f t="shared" si="363"/>
        <v>2292.6</v>
      </c>
      <c r="AF554" s="132">
        <f t="shared" si="363"/>
        <v>2292.6</v>
      </c>
      <c r="AG554" s="132">
        <f t="shared" si="363"/>
        <v>2292.6</v>
      </c>
      <c r="AH554" s="132">
        <f t="shared" si="363"/>
        <v>2292.6</v>
      </c>
      <c r="AI554" s="132">
        <f t="shared" si="363"/>
        <v>2292.6</v>
      </c>
      <c r="AJ554" s="132">
        <f t="shared" si="363"/>
        <v>2292.6</v>
      </c>
      <c r="AK554" s="132">
        <f t="shared" si="363"/>
        <v>2292.6</v>
      </c>
      <c r="AL554" s="132">
        <f>AK558</f>
        <v>2292.6</v>
      </c>
      <c r="AM554" s="132">
        <f>AL558</f>
        <v>2292.6</v>
      </c>
      <c r="AN554" s="132">
        <f>AM558</f>
        <v>2292.6</v>
      </c>
    </row>
    <row r="555" spans="2:40">
      <c r="B555" s="216" t="s">
        <v>1248</v>
      </c>
      <c r="C555" s="82" t="s">
        <v>1017</v>
      </c>
      <c r="D555" s="208"/>
      <c r="E555" s="208"/>
      <c r="F555" s="208"/>
      <c r="G555" s="208"/>
      <c r="H555" s="208"/>
      <c r="I555" s="208"/>
      <c r="J555" s="208"/>
      <c r="K555" s="208"/>
      <c r="L555" s="208"/>
      <c r="M555" s="132">
        <f t="shared" ref="M555:R555" si="364">M540</f>
        <v>0</v>
      </c>
      <c r="N555" s="132">
        <f t="shared" si="364"/>
        <v>0</v>
      </c>
      <c r="O555" s="132">
        <f t="shared" si="364"/>
        <v>0</v>
      </c>
      <c r="P555" s="132">
        <f t="shared" si="364"/>
        <v>0</v>
      </c>
      <c r="Q555" s="132">
        <f t="shared" si="364"/>
        <v>0</v>
      </c>
      <c r="R555" s="132">
        <f t="shared" si="364"/>
        <v>0</v>
      </c>
      <c r="S555" s="132">
        <f>S540</f>
        <v>0</v>
      </c>
      <c r="T555" s="132">
        <f>T540</f>
        <v>0</v>
      </c>
      <c r="U555" s="132">
        <f>U540</f>
        <v>0</v>
      </c>
      <c r="V555" s="132">
        <f>V540</f>
        <v>0</v>
      </c>
      <c r="W555" s="132">
        <f t="shared" ref="W555:AL555" si="365">W540</f>
        <v>0</v>
      </c>
      <c r="X555" s="132">
        <f t="shared" si="365"/>
        <v>0</v>
      </c>
      <c r="Y555" s="132">
        <f t="shared" si="365"/>
        <v>0</v>
      </c>
      <c r="Z555" s="132">
        <f t="shared" si="365"/>
        <v>0</v>
      </c>
      <c r="AA555" s="132">
        <f t="shared" si="365"/>
        <v>0</v>
      </c>
      <c r="AB555" s="132">
        <f t="shared" si="365"/>
        <v>0</v>
      </c>
      <c r="AC555" s="132">
        <f t="shared" si="365"/>
        <v>0</v>
      </c>
      <c r="AD555" s="132">
        <f t="shared" si="365"/>
        <v>0</v>
      </c>
      <c r="AE555" s="132">
        <f t="shared" si="365"/>
        <v>0</v>
      </c>
      <c r="AF555" s="132">
        <f t="shared" si="365"/>
        <v>0</v>
      </c>
      <c r="AG555" s="132">
        <f t="shared" si="365"/>
        <v>0</v>
      </c>
      <c r="AH555" s="132">
        <f t="shared" si="365"/>
        <v>0</v>
      </c>
      <c r="AI555" s="132">
        <f t="shared" si="365"/>
        <v>0</v>
      </c>
      <c r="AJ555" s="132">
        <f t="shared" si="365"/>
        <v>0</v>
      </c>
      <c r="AK555" s="132">
        <f t="shared" si="365"/>
        <v>0</v>
      </c>
      <c r="AL555" s="132">
        <f t="shared" si="365"/>
        <v>0</v>
      </c>
      <c r="AM555" s="132">
        <f>AM540</f>
        <v>0</v>
      </c>
      <c r="AN555" s="132">
        <f>AN540</f>
        <v>0</v>
      </c>
    </row>
    <row r="556" spans="2:40">
      <c r="B556" s="216" t="s">
        <v>1249</v>
      </c>
      <c r="C556" s="82" t="s">
        <v>1017</v>
      </c>
      <c r="D556" s="208"/>
      <c r="E556" s="208"/>
      <c r="F556" s="208"/>
      <c r="G556" s="208"/>
      <c r="H556" s="208"/>
      <c r="I556" s="208"/>
      <c r="J556" s="208"/>
      <c r="K556" s="208"/>
      <c r="L556" s="208"/>
      <c r="M556" s="132">
        <f t="shared" ref="M556:R556" si="366">M546</f>
        <v>4.0999999999999996</v>
      </c>
      <c r="N556" s="132">
        <f t="shared" si="366"/>
        <v>0</v>
      </c>
      <c r="O556" s="132">
        <f t="shared" si="366"/>
        <v>53.7</v>
      </c>
      <c r="P556" s="132">
        <f t="shared" si="366"/>
        <v>2.0999999999999943</v>
      </c>
      <c r="Q556" s="132">
        <f t="shared" si="366"/>
        <v>0.8</v>
      </c>
      <c r="R556" s="132">
        <f t="shared" si="366"/>
        <v>1.3</v>
      </c>
      <c r="S556" s="132">
        <f>S546</f>
        <v>1.2</v>
      </c>
      <c r="T556" s="132">
        <f>T546</f>
        <v>1.4000000000000001</v>
      </c>
      <c r="U556" s="132">
        <f>U546</f>
        <v>3</v>
      </c>
      <c r="V556" s="132">
        <f>V546</f>
        <v>3.4000000000000004</v>
      </c>
      <c r="W556" s="132">
        <f t="shared" ref="W556:AL556" si="367">W546</f>
        <v>0</v>
      </c>
      <c r="X556" s="132">
        <f t="shared" si="367"/>
        <v>0</v>
      </c>
      <c r="Y556" s="132">
        <f t="shared" si="367"/>
        <v>0</v>
      </c>
      <c r="Z556" s="132">
        <f t="shared" si="367"/>
        <v>0</v>
      </c>
      <c r="AA556" s="132">
        <f t="shared" si="367"/>
        <v>0</v>
      </c>
      <c r="AB556" s="132">
        <f t="shared" si="367"/>
        <v>0</v>
      </c>
      <c r="AC556" s="132">
        <f t="shared" si="367"/>
        <v>0</v>
      </c>
      <c r="AD556" s="132">
        <f t="shared" si="367"/>
        <v>0</v>
      </c>
      <c r="AE556" s="132">
        <f t="shared" si="367"/>
        <v>0</v>
      </c>
      <c r="AF556" s="132">
        <f t="shared" si="367"/>
        <v>0</v>
      </c>
      <c r="AG556" s="132">
        <f t="shared" si="367"/>
        <v>0</v>
      </c>
      <c r="AH556" s="132">
        <f t="shared" si="367"/>
        <v>0</v>
      </c>
      <c r="AI556" s="132">
        <f t="shared" si="367"/>
        <v>0</v>
      </c>
      <c r="AJ556" s="132">
        <f t="shared" si="367"/>
        <v>0</v>
      </c>
      <c r="AK556" s="132">
        <f t="shared" si="367"/>
        <v>0</v>
      </c>
      <c r="AL556" s="132">
        <f t="shared" si="367"/>
        <v>0</v>
      </c>
      <c r="AM556" s="132">
        <f>AM546</f>
        <v>0</v>
      </c>
      <c r="AN556" s="132">
        <f>AN546</f>
        <v>0</v>
      </c>
    </row>
    <row r="557" spans="2:40">
      <c r="B557" s="216" t="s">
        <v>1018</v>
      </c>
      <c r="C557" s="82" t="s">
        <v>1017</v>
      </c>
      <c r="D557" s="507"/>
      <c r="E557" s="507"/>
      <c r="F557" s="507"/>
      <c r="G557" s="507"/>
      <c r="H557" s="507"/>
      <c r="I557" s="507"/>
      <c r="J557" s="507"/>
      <c r="K557" s="507"/>
      <c r="L557" s="507"/>
      <c r="M557" s="132">
        <f t="shared" ref="M557:R557" si="368">M551</f>
        <v>0</v>
      </c>
      <c r="N557" s="132">
        <f t="shared" si="368"/>
        <v>0</v>
      </c>
      <c r="O557" s="132">
        <f t="shared" si="368"/>
        <v>0</v>
      </c>
      <c r="P557" s="132">
        <f t="shared" si="368"/>
        <v>0</v>
      </c>
      <c r="Q557" s="132">
        <f t="shared" si="368"/>
        <v>0</v>
      </c>
      <c r="R557" s="132">
        <f t="shared" si="368"/>
        <v>0</v>
      </c>
      <c r="S557" s="132">
        <f>S551</f>
        <v>0</v>
      </c>
      <c r="T557" s="132">
        <f>T551</f>
        <v>0</v>
      </c>
      <c r="U557" s="132">
        <f>U551</f>
        <v>0</v>
      </c>
      <c r="V557" s="132">
        <f>V551</f>
        <v>0</v>
      </c>
      <c r="W557" s="132">
        <f t="shared" ref="W557:AL557" si="369">W551</f>
        <v>0</v>
      </c>
      <c r="X557" s="132">
        <f t="shared" si="369"/>
        <v>0</v>
      </c>
      <c r="Y557" s="132">
        <f t="shared" si="369"/>
        <v>0</v>
      </c>
      <c r="Z557" s="132">
        <f t="shared" si="369"/>
        <v>0</v>
      </c>
      <c r="AA557" s="132">
        <f t="shared" si="369"/>
        <v>0</v>
      </c>
      <c r="AB557" s="132">
        <f t="shared" si="369"/>
        <v>0</v>
      </c>
      <c r="AC557" s="132">
        <f t="shared" si="369"/>
        <v>0</v>
      </c>
      <c r="AD557" s="132">
        <f t="shared" si="369"/>
        <v>0</v>
      </c>
      <c r="AE557" s="132">
        <f t="shared" si="369"/>
        <v>0</v>
      </c>
      <c r="AF557" s="132">
        <f t="shared" si="369"/>
        <v>0</v>
      </c>
      <c r="AG557" s="132">
        <f t="shared" si="369"/>
        <v>0</v>
      </c>
      <c r="AH557" s="132">
        <f t="shared" si="369"/>
        <v>0</v>
      </c>
      <c r="AI557" s="132">
        <f t="shared" si="369"/>
        <v>0</v>
      </c>
      <c r="AJ557" s="132">
        <f t="shared" si="369"/>
        <v>0</v>
      </c>
      <c r="AK557" s="132">
        <f t="shared" si="369"/>
        <v>0</v>
      </c>
      <c r="AL557" s="132">
        <f t="shared" si="369"/>
        <v>0</v>
      </c>
      <c r="AM557" s="132">
        <f>AM551</f>
        <v>0</v>
      </c>
      <c r="AN557" s="132">
        <f>AN551</f>
        <v>0</v>
      </c>
    </row>
    <row r="558" spans="2:40" s="3" customFormat="1">
      <c r="B558" s="243" t="s">
        <v>1019</v>
      </c>
      <c r="C558" s="163" t="s">
        <v>1017</v>
      </c>
      <c r="D558" s="21"/>
      <c r="E558" s="499"/>
      <c r="F558" s="499"/>
      <c r="G558" s="499"/>
      <c r="H558" s="499"/>
      <c r="I558" s="499"/>
      <c r="J558" s="499"/>
      <c r="K558" s="499"/>
      <c r="L558" s="485">
        <v>2221.6</v>
      </c>
      <c r="M558" s="485">
        <v>2225.6999999999998</v>
      </c>
      <c r="N558" s="485">
        <v>2225.6999999999998</v>
      </c>
      <c r="O558" s="485">
        <v>2279.4</v>
      </c>
      <c r="P558" s="485">
        <v>2281.5</v>
      </c>
      <c r="Q558" s="485">
        <v>2282.410989</v>
      </c>
      <c r="R558" s="485">
        <v>2283.6</v>
      </c>
      <c r="S558" s="485">
        <v>2284.8698250000002</v>
      </c>
      <c r="T558" s="485">
        <v>2286.1999999999998</v>
      </c>
      <c r="U558" s="485">
        <v>2289.1999999999998</v>
      </c>
      <c r="V558" s="485">
        <v>2292.6</v>
      </c>
      <c r="W558" s="499">
        <f t="shared" ref="W558:AL558" si="370">SUM(W554:W557)</f>
        <v>2292.6</v>
      </c>
      <c r="X558" s="499">
        <f t="shared" si="370"/>
        <v>2292.6</v>
      </c>
      <c r="Y558" s="499">
        <f t="shared" si="370"/>
        <v>2292.6</v>
      </c>
      <c r="Z558" s="499">
        <f t="shared" si="370"/>
        <v>2292.6</v>
      </c>
      <c r="AA558" s="499">
        <f t="shared" si="370"/>
        <v>2292.6</v>
      </c>
      <c r="AB558" s="499">
        <f t="shared" si="370"/>
        <v>2292.6</v>
      </c>
      <c r="AC558" s="499">
        <f t="shared" si="370"/>
        <v>2292.6</v>
      </c>
      <c r="AD558" s="499">
        <f t="shared" si="370"/>
        <v>2292.6</v>
      </c>
      <c r="AE558" s="499">
        <f t="shared" si="370"/>
        <v>2292.6</v>
      </c>
      <c r="AF558" s="499">
        <f t="shared" si="370"/>
        <v>2292.6</v>
      </c>
      <c r="AG558" s="499">
        <f t="shared" si="370"/>
        <v>2292.6</v>
      </c>
      <c r="AH558" s="499">
        <f t="shared" si="370"/>
        <v>2292.6</v>
      </c>
      <c r="AI558" s="499">
        <f t="shared" si="370"/>
        <v>2292.6</v>
      </c>
      <c r="AJ558" s="499">
        <f t="shared" si="370"/>
        <v>2292.6</v>
      </c>
      <c r="AK558" s="499">
        <f t="shared" si="370"/>
        <v>2292.6</v>
      </c>
      <c r="AL558" s="499">
        <f t="shared" si="370"/>
        <v>2292.6</v>
      </c>
      <c r="AM558" s="499">
        <f>SUM(AM554:AM557)</f>
        <v>2292.6</v>
      </c>
      <c r="AN558" s="499">
        <f>SUM(AN554:AN557)</f>
        <v>2292.6</v>
      </c>
    </row>
    <row r="559" spans="2:40">
      <c r="B559" s="192" t="s">
        <v>1020</v>
      </c>
      <c r="C559" s="82" t="s">
        <v>1017</v>
      </c>
      <c r="D559" s="20"/>
      <c r="E559" s="132"/>
      <c r="F559" s="132"/>
      <c r="G559" s="132"/>
      <c r="H559" s="132"/>
      <c r="I559" s="132"/>
      <c r="J559" s="132"/>
      <c r="K559" s="132"/>
      <c r="L559" s="132"/>
      <c r="M559" s="132">
        <f t="shared" ref="M559:AL559" si="371">AVERAGE(M558,M554)</f>
        <v>2223.6499999999996</v>
      </c>
      <c r="N559" s="132">
        <f t="shared" si="371"/>
        <v>2225.6999999999998</v>
      </c>
      <c r="O559" s="132">
        <f t="shared" si="371"/>
        <v>2252.5500000000002</v>
      </c>
      <c r="P559" s="132">
        <f t="shared" si="371"/>
        <v>2280.4499999999998</v>
      </c>
      <c r="Q559" s="132">
        <f t="shared" si="371"/>
        <v>2281.9554945</v>
      </c>
      <c r="R559" s="132">
        <f>AVERAGE(R558,R554)</f>
        <v>2283.0054945000002</v>
      </c>
      <c r="S559" s="132">
        <f>AVERAGE(S558,S554)</f>
        <v>2284.2349125000001</v>
      </c>
      <c r="T559" s="132">
        <f>AVERAGE(T558,T554)</f>
        <v>2285.5349125000002</v>
      </c>
      <c r="U559" s="132">
        <f>AVERAGE(U558,U554)</f>
        <v>2287.6999999999998</v>
      </c>
      <c r="V559" s="132">
        <f>AVERAGE(V558,V554)</f>
        <v>2290.8999999999996</v>
      </c>
      <c r="W559" s="132">
        <f t="shared" si="371"/>
        <v>2292.6</v>
      </c>
      <c r="X559" s="132">
        <f t="shared" si="371"/>
        <v>2292.6</v>
      </c>
      <c r="Y559" s="132">
        <f t="shared" si="371"/>
        <v>2292.6</v>
      </c>
      <c r="Z559" s="132">
        <f t="shared" si="371"/>
        <v>2292.6</v>
      </c>
      <c r="AA559" s="132">
        <f t="shared" si="371"/>
        <v>2292.6</v>
      </c>
      <c r="AB559" s="132">
        <f t="shared" si="371"/>
        <v>2292.6</v>
      </c>
      <c r="AC559" s="132">
        <f t="shared" si="371"/>
        <v>2292.6</v>
      </c>
      <c r="AD559" s="132">
        <f t="shared" si="371"/>
        <v>2292.6</v>
      </c>
      <c r="AE559" s="132">
        <f t="shared" si="371"/>
        <v>2292.6</v>
      </c>
      <c r="AF559" s="132">
        <f t="shared" si="371"/>
        <v>2292.6</v>
      </c>
      <c r="AG559" s="132">
        <f t="shared" si="371"/>
        <v>2292.6</v>
      </c>
      <c r="AH559" s="132">
        <f t="shared" si="371"/>
        <v>2292.6</v>
      </c>
      <c r="AI559" s="132">
        <f t="shared" si="371"/>
        <v>2292.6</v>
      </c>
      <c r="AJ559" s="132">
        <f t="shared" si="371"/>
        <v>2292.6</v>
      </c>
      <c r="AK559" s="132">
        <f t="shared" si="371"/>
        <v>2292.6</v>
      </c>
      <c r="AL559" s="132">
        <f t="shared" si="371"/>
        <v>2292.6</v>
      </c>
      <c r="AM559" s="132">
        <f>AVERAGE(AM558,AM554)</f>
        <v>2292.6</v>
      </c>
      <c r="AN559" s="132">
        <f>AVERAGE(AN558,AN554)</f>
        <v>2292.6</v>
      </c>
    </row>
    <row r="560" spans="2:40" s="3" customFormat="1">
      <c r="B560" s="243" t="s">
        <v>886</v>
      </c>
      <c r="C560" s="163"/>
      <c r="D560" s="21"/>
      <c r="E560" s="499"/>
      <c r="F560" s="499"/>
      <c r="G560" s="499"/>
      <c r="H560" s="499"/>
      <c r="I560" s="499"/>
      <c r="J560" s="499"/>
      <c r="K560" s="499"/>
      <c r="L560" s="485"/>
      <c r="M560" s="217">
        <f t="shared" ref="M560:AL560" si="372">SUM(M554:M557)-M558</f>
        <v>0</v>
      </c>
      <c r="N560" s="217">
        <f t="shared" si="372"/>
        <v>0</v>
      </c>
      <c r="O560" s="217">
        <f t="shared" si="372"/>
        <v>0</v>
      </c>
      <c r="P560" s="217">
        <f t="shared" si="372"/>
        <v>0</v>
      </c>
      <c r="Q560" s="217">
        <f t="shared" si="372"/>
        <v>-0.11098899999979039</v>
      </c>
      <c r="R560" s="217">
        <f>SUM(R554:R557)-R558</f>
        <v>0.11098900000024514</v>
      </c>
      <c r="S560" s="217">
        <f>SUM(S554:S557)-S558</f>
        <v>-6.9825000000491855E-2</v>
      </c>
      <c r="T560" s="217">
        <f>SUM(T554:T557)-T558</f>
        <v>6.9825000000491855E-2</v>
      </c>
      <c r="U560" s="217">
        <f>SUM(U554:U557)-U558</f>
        <v>0</v>
      </c>
      <c r="V560" s="217">
        <f>SUM(V554:V557)-V558</f>
        <v>0</v>
      </c>
      <c r="W560" s="217">
        <f t="shared" si="372"/>
        <v>0</v>
      </c>
      <c r="X560" s="217">
        <f t="shared" si="372"/>
        <v>0</v>
      </c>
      <c r="Y560" s="217">
        <f t="shared" si="372"/>
        <v>0</v>
      </c>
      <c r="Z560" s="217">
        <f t="shared" si="372"/>
        <v>0</v>
      </c>
      <c r="AA560" s="217">
        <f t="shared" si="372"/>
        <v>0</v>
      </c>
      <c r="AB560" s="217">
        <f t="shared" si="372"/>
        <v>0</v>
      </c>
      <c r="AC560" s="217">
        <f t="shared" si="372"/>
        <v>0</v>
      </c>
      <c r="AD560" s="217">
        <f t="shared" si="372"/>
        <v>0</v>
      </c>
      <c r="AE560" s="217">
        <f t="shared" si="372"/>
        <v>0</v>
      </c>
      <c r="AF560" s="217">
        <f t="shared" si="372"/>
        <v>0</v>
      </c>
      <c r="AG560" s="217">
        <f t="shared" si="372"/>
        <v>0</v>
      </c>
      <c r="AH560" s="217">
        <f t="shared" si="372"/>
        <v>0</v>
      </c>
      <c r="AI560" s="217">
        <f t="shared" si="372"/>
        <v>0</v>
      </c>
      <c r="AJ560" s="217">
        <f t="shared" si="372"/>
        <v>0</v>
      </c>
      <c r="AK560" s="217">
        <f t="shared" si="372"/>
        <v>0</v>
      </c>
      <c r="AL560" s="217">
        <f t="shared" si="372"/>
        <v>0</v>
      </c>
      <c r="AM560" s="217">
        <f>SUM(AM554:AM557)-AM558</f>
        <v>0</v>
      </c>
      <c r="AN560" s="217">
        <f>SUM(AN554:AN557)-AN558</f>
        <v>0</v>
      </c>
    </row>
    <row r="561" spans="2:41">
      <c r="B561" s="192"/>
      <c r="D561" s="20"/>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row>
    <row r="562" spans="2:41">
      <c r="B562" s="185" t="s">
        <v>1074</v>
      </c>
      <c r="D562" s="20"/>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row>
    <row r="563" spans="2:41">
      <c r="B563" s="206" t="s">
        <v>522</v>
      </c>
      <c r="D563" s="20"/>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row>
    <row r="564" spans="2:41">
      <c r="B564" s="209" t="s">
        <v>31</v>
      </c>
      <c r="C564" s="82" t="s">
        <v>900</v>
      </c>
      <c r="D564" s="20"/>
      <c r="F564" s="2"/>
      <c r="G564" s="7"/>
      <c r="H564" s="7"/>
      <c r="I564" s="7"/>
      <c r="J564" s="7"/>
      <c r="K564" s="7"/>
      <c r="L564" s="132">
        <f t="shared" ref="L564:Q564" si="373">L658</f>
        <v>424.4</v>
      </c>
      <c r="M564" s="132">
        <f t="shared" si="373"/>
        <v>171</v>
      </c>
      <c r="N564" s="132">
        <f t="shared" si="373"/>
        <v>199.4</v>
      </c>
      <c r="O564" s="132">
        <f t="shared" si="373"/>
        <v>256.39999999999998</v>
      </c>
      <c r="P564" s="132">
        <f t="shared" si="373"/>
        <v>290.7</v>
      </c>
      <c r="Q564" s="132">
        <f t="shared" si="373"/>
        <v>313.39999999999998</v>
      </c>
      <c r="R564" s="132">
        <f>R658</f>
        <v>313.7</v>
      </c>
      <c r="S564" s="132">
        <f t="shared" ref="S564:AL564" si="374">S658</f>
        <v>260.3</v>
      </c>
      <c r="T564" s="132">
        <f t="shared" si="374"/>
        <v>236.5</v>
      </c>
      <c r="U564" s="132">
        <f t="shared" si="374"/>
        <v>218.3</v>
      </c>
      <c r="V564" s="132">
        <f t="shared" ref="V564" si="375">V658</f>
        <v>305.8</v>
      </c>
      <c r="W564" s="132">
        <f t="shared" si="374"/>
        <v>377.35136514633547</v>
      </c>
      <c r="X564" s="132">
        <f t="shared" si="374"/>
        <v>269.13943476485838</v>
      </c>
      <c r="Y564" s="132">
        <f t="shared" si="374"/>
        <v>342.79753015313099</v>
      </c>
      <c r="Z564" s="132">
        <f t="shared" si="374"/>
        <v>352.72355053915533</v>
      </c>
      <c r="AA564" s="132">
        <f t="shared" si="374"/>
        <v>430.58003129407996</v>
      </c>
      <c r="AB564" s="132">
        <f t="shared" si="374"/>
        <v>458.57229818837226</v>
      </c>
      <c r="AC564" s="132">
        <f t="shared" si="374"/>
        <v>552.15214435503219</v>
      </c>
      <c r="AD564" s="132">
        <f t="shared" si="374"/>
        <v>587.57566607467811</v>
      </c>
      <c r="AE564" s="132">
        <f t="shared" si="374"/>
        <v>675.88079744015079</v>
      </c>
      <c r="AF564" s="132">
        <f t="shared" si="374"/>
        <v>710.06859137762478</v>
      </c>
      <c r="AG564" s="132">
        <f t="shared" si="374"/>
        <v>844.76572327851068</v>
      </c>
      <c r="AH564" s="132">
        <f t="shared" si="374"/>
        <v>913.46297845982997</v>
      </c>
      <c r="AI564" s="132">
        <f t="shared" si="374"/>
        <v>1053.6625873016435</v>
      </c>
      <c r="AJ564" s="132">
        <f t="shared" si="374"/>
        <v>1127.6528188455538</v>
      </c>
      <c r="AK564" s="132">
        <f t="shared" si="374"/>
        <v>1280.4708796932646</v>
      </c>
      <c r="AL564" s="132">
        <f t="shared" si="374"/>
        <v>1370.598173245646</v>
      </c>
      <c r="AM564" s="132">
        <f>AM658</f>
        <v>1530.0855997687781</v>
      </c>
      <c r="AN564" s="132">
        <f>AN658</f>
        <v>1624.2812426131779</v>
      </c>
    </row>
    <row r="565" spans="2:41">
      <c r="B565" s="209" t="s">
        <v>1076</v>
      </c>
      <c r="C565" s="82" t="s">
        <v>900</v>
      </c>
      <c r="D565" s="20"/>
      <c r="E565" s="2"/>
      <c r="F565" s="2"/>
      <c r="G565" s="7"/>
      <c r="H565" s="7"/>
      <c r="I565" s="7"/>
      <c r="J565" s="7"/>
      <c r="K565" s="7"/>
      <c r="L565" s="132">
        <f t="shared" ref="L565:AN565" si="376">L454</f>
        <v>2475.5</v>
      </c>
      <c r="M565" s="132">
        <f t="shared" si="376"/>
        <v>140</v>
      </c>
      <c r="N565" s="132">
        <f t="shared" si="376"/>
        <v>135.30000000000001</v>
      </c>
      <c r="O565" s="132">
        <f t="shared" si="376"/>
        <v>550.79999999999995</v>
      </c>
      <c r="P565" s="132">
        <f t="shared" si="376"/>
        <v>431.9</v>
      </c>
      <c r="Q565" s="132">
        <f t="shared" si="376"/>
        <v>418.7</v>
      </c>
      <c r="R565" s="132">
        <f t="shared" si="376"/>
        <v>1032.5999999999999</v>
      </c>
      <c r="S565" s="132">
        <f t="shared" si="376"/>
        <v>931.4</v>
      </c>
      <c r="T565" s="132">
        <f t="shared" si="376"/>
        <v>738.1</v>
      </c>
      <c r="U565" s="132">
        <f t="shared" si="376"/>
        <v>727.3</v>
      </c>
      <c r="V565" s="132">
        <f t="shared" si="376"/>
        <v>716.3</v>
      </c>
      <c r="W565" s="132">
        <f t="shared" si="376"/>
        <v>716.3</v>
      </c>
      <c r="X565" s="132">
        <f t="shared" si="376"/>
        <v>891.3</v>
      </c>
      <c r="Y565" s="132">
        <f t="shared" si="376"/>
        <v>891.3</v>
      </c>
      <c r="Z565" s="132">
        <f t="shared" si="376"/>
        <v>891.3</v>
      </c>
      <c r="AA565" s="132">
        <f t="shared" si="376"/>
        <v>891.3</v>
      </c>
      <c r="AB565" s="132">
        <f t="shared" si="376"/>
        <v>891.3</v>
      </c>
      <c r="AC565" s="132">
        <f t="shared" si="376"/>
        <v>891.3</v>
      </c>
      <c r="AD565" s="132">
        <f t="shared" si="376"/>
        <v>891.3</v>
      </c>
      <c r="AE565" s="132">
        <f t="shared" si="376"/>
        <v>891.3</v>
      </c>
      <c r="AF565" s="132">
        <f t="shared" si="376"/>
        <v>891.3</v>
      </c>
      <c r="AG565" s="132">
        <f t="shared" si="376"/>
        <v>891.3</v>
      </c>
      <c r="AH565" s="132">
        <f t="shared" si="376"/>
        <v>891.3</v>
      </c>
      <c r="AI565" s="132">
        <f t="shared" si="376"/>
        <v>891.3</v>
      </c>
      <c r="AJ565" s="132">
        <f t="shared" si="376"/>
        <v>891.3</v>
      </c>
      <c r="AK565" s="132">
        <f t="shared" si="376"/>
        <v>891.3</v>
      </c>
      <c r="AL565" s="132">
        <f t="shared" si="376"/>
        <v>891.3</v>
      </c>
      <c r="AM565" s="132">
        <f t="shared" si="376"/>
        <v>891.3</v>
      </c>
      <c r="AN565" s="132">
        <f t="shared" si="376"/>
        <v>891.3</v>
      </c>
    </row>
    <row r="566" spans="2:41">
      <c r="B566" s="209" t="s">
        <v>1077</v>
      </c>
      <c r="C566" s="82" t="s">
        <v>900</v>
      </c>
      <c r="D566" s="20"/>
      <c r="E566" s="2"/>
      <c r="F566" s="2"/>
      <c r="G566" s="7"/>
      <c r="H566" s="7"/>
      <c r="I566" s="7"/>
      <c r="J566" s="7"/>
      <c r="K566" s="7"/>
      <c r="L566" s="132">
        <f t="shared" ref="L566:AN566" si="377">L453</f>
        <v>308.90000000000003</v>
      </c>
      <c r="M566" s="132">
        <f t="shared" si="377"/>
        <v>200</v>
      </c>
      <c r="N566" s="132">
        <f t="shared" si="377"/>
        <v>181.7</v>
      </c>
      <c r="O566" s="132">
        <f t="shared" si="377"/>
        <v>158.80000000000001</v>
      </c>
      <c r="P566" s="132">
        <f t="shared" si="377"/>
        <v>140.5</v>
      </c>
      <c r="Q566" s="132">
        <f t="shared" si="377"/>
        <v>124</v>
      </c>
      <c r="R566" s="132">
        <f t="shared" si="377"/>
        <v>111.80000000000001</v>
      </c>
      <c r="S566" s="132">
        <f t="shared" si="377"/>
        <v>125.80000000000001</v>
      </c>
      <c r="T566" s="132">
        <f t="shared" si="377"/>
        <v>124.5</v>
      </c>
      <c r="U566" s="132">
        <f t="shared" si="377"/>
        <v>126.2</v>
      </c>
      <c r="V566" s="132">
        <f t="shared" si="377"/>
        <v>115.69999999999999</v>
      </c>
      <c r="W566" s="132">
        <f t="shared" si="377"/>
        <v>115.69999999999999</v>
      </c>
      <c r="X566" s="132">
        <f t="shared" si="377"/>
        <v>115.69999999999999</v>
      </c>
      <c r="Y566" s="132">
        <f t="shared" si="377"/>
        <v>115.69999999999999</v>
      </c>
      <c r="Z566" s="132">
        <f t="shared" si="377"/>
        <v>115.69999999999999</v>
      </c>
      <c r="AA566" s="132">
        <f t="shared" si="377"/>
        <v>115.69999999999999</v>
      </c>
      <c r="AB566" s="132">
        <f t="shared" si="377"/>
        <v>115.69999999999999</v>
      </c>
      <c r="AC566" s="132">
        <f t="shared" si="377"/>
        <v>115.69999999999999</v>
      </c>
      <c r="AD566" s="132">
        <f t="shared" si="377"/>
        <v>115.69999999999999</v>
      </c>
      <c r="AE566" s="132">
        <f t="shared" si="377"/>
        <v>115.69999999999999</v>
      </c>
      <c r="AF566" s="132">
        <f t="shared" si="377"/>
        <v>115.69999999999999</v>
      </c>
      <c r="AG566" s="132">
        <f t="shared" si="377"/>
        <v>115.69999999999999</v>
      </c>
      <c r="AH566" s="132">
        <f t="shared" si="377"/>
        <v>115.69999999999999</v>
      </c>
      <c r="AI566" s="132">
        <f t="shared" si="377"/>
        <v>115.69999999999999</v>
      </c>
      <c r="AJ566" s="132">
        <f t="shared" si="377"/>
        <v>115.69999999999999</v>
      </c>
      <c r="AK566" s="132">
        <f t="shared" si="377"/>
        <v>115.69999999999999</v>
      </c>
      <c r="AL566" s="132">
        <f t="shared" si="377"/>
        <v>115.69999999999999</v>
      </c>
      <c r="AM566" s="132">
        <f t="shared" si="377"/>
        <v>115.69999999999999</v>
      </c>
      <c r="AN566" s="132">
        <f t="shared" si="377"/>
        <v>115.69999999999999</v>
      </c>
    </row>
    <row r="567" spans="2:41" s="3" customFormat="1">
      <c r="B567" s="225" t="s">
        <v>1073</v>
      </c>
      <c r="C567" s="163" t="s">
        <v>900</v>
      </c>
      <c r="D567" s="21"/>
      <c r="E567" s="4"/>
      <c r="F567" s="4"/>
      <c r="G567" s="235"/>
      <c r="H567" s="235"/>
      <c r="I567" s="235"/>
      <c r="J567" s="235"/>
      <c r="K567" s="235"/>
      <c r="L567" s="499">
        <f t="shared" ref="L567:AL567" si="378">L565+L566-L564</f>
        <v>2360</v>
      </c>
      <c r="M567" s="499">
        <f t="shared" si="378"/>
        <v>169</v>
      </c>
      <c r="N567" s="499">
        <f t="shared" si="378"/>
        <v>117.6</v>
      </c>
      <c r="O567" s="499">
        <f t="shared" si="378"/>
        <v>453.19999999999993</v>
      </c>
      <c r="P567" s="499">
        <f t="shared" si="378"/>
        <v>281.7</v>
      </c>
      <c r="Q567" s="499">
        <f>Q565+Q566-Q564</f>
        <v>229.30000000000007</v>
      </c>
      <c r="R567" s="499">
        <f>R565+R566-R564</f>
        <v>830.69999999999982</v>
      </c>
      <c r="S567" s="499">
        <f t="shared" si="378"/>
        <v>796.90000000000009</v>
      </c>
      <c r="T567" s="499">
        <f t="shared" si="378"/>
        <v>626.1</v>
      </c>
      <c r="U567" s="499">
        <f t="shared" si="378"/>
        <v>635.20000000000005</v>
      </c>
      <c r="V567" s="499">
        <f t="shared" ref="V567" si="379">V565+V566-V564</f>
        <v>526.20000000000005</v>
      </c>
      <c r="W567" s="499">
        <f t="shared" si="378"/>
        <v>454.64863485366453</v>
      </c>
      <c r="X567" s="499">
        <f t="shared" si="378"/>
        <v>737.86056523514162</v>
      </c>
      <c r="Y567" s="499">
        <f t="shared" si="378"/>
        <v>664.20246984686901</v>
      </c>
      <c r="Z567" s="499">
        <f t="shared" si="378"/>
        <v>654.27644946084467</v>
      </c>
      <c r="AA567" s="499">
        <f t="shared" si="378"/>
        <v>576.41996870592004</v>
      </c>
      <c r="AB567" s="499">
        <f t="shared" si="378"/>
        <v>548.42770181162768</v>
      </c>
      <c r="AC567" s="499">
        <f t="shared" si="378"/>
        <v>454.84785564496781</v>
      </c>
      <c r="AD567" s="499">
        <f t="shared" si="378"/>
        <v>419.42433392532189</v>
      </c>
      <c r="AE567" s="499">
        <f t="shared" si="378"/>
        <v>331.11920255984921</v>
      </c>
      <c r="AF567" s="499">
        <f t="shared" si="378"/>
        <v>296.93140862237522</v>
      </c>
      <c r="AG567" s="499">
        <f t="shared" si="378"/>
        <v>162.23427672148932</v>
      </c>
      <c r="AH567" s="499">
        <f t="shared" si="378"/>
        <v>93.537021540170031</v>
      </c>
      <c r="AI567" s="499">
        <f t="shared" si="378"/>
        <v>-46.662587301643498</v>
      </c>
      <c r="AJ567" s="499">
        <f t="shared" si="378"/>
        <v>-120.65281884555384</v>
      </c>
      <c r="AK567" s="499">
        <f t="shared" si="378"/>
        <v>-273.47087969326458</v>
      </c>
      <c r="AL567" s="499">
        <f t="shared" si="378"/>
        <v>-363.59817324564597</v>
      </c>
      <c r="AM567" s="499">
        <f>AM565+AM566-AM564</f>
        <v>-523.08559976877814</v>
      </c>
      <c r="AN567" s="499">
        <f>AN565+AN566-AN564</f>
        <v>-617.28124261317794</v>
      </c>
    </row>
    <row r="568" spans="2:41">
      <c r="B568" s="225"/>
      <c r="D568" s="20"/>
      <c r="E568" s="2"/>
      <c r="F568" s="2"/>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row>
    <row r="569" spans="2:41">
      <c r="B569" s="206" t="s">
        <v>1251</v>
      </c>
      <c r="D569" s="20"/>
      <c r="E569" s="2"/>
      <c r="F569" s="2"/>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row>
    <row r="570" spans="2:41">
      <c r="B570" s="216" t="s">
        <v>1291</v>
      </c>
      <c r="C570" s="82" t="s">
        <v>900</v>
      </c>
      <c r="D570" s="20"/>
      <c r="E570" s="2"/>
      <c r="F570" s="2"/>
      <c r="H570" s="7"/>
      <c r="I570" s="7"/>
      <c r="J570" s="7"/>
      <c r="K570" s="7"/>
      <c r="L570" s="7"/>
      <c r="M570" s="7"/>
      <c r="N570" s="7">
        <f t="shared" ref="N570:AJ570" si="380">SUM(O295:P295)</f>
        <v>391</v>
      </c>
      <c r="O570" s="7">
        <f t="shared" si="380"/>
        <v>364.20000000000005</v>
      </c>
      <c r="P570" s="7">
        <f t="shared" si="380"/>
        <v>317.7</v>
      </c>
      <c r="Q570" s="7">
        <f t="shared" si="380"/>
        <v>338.09999999999997</v>
      </c>
      <c r="R570" s="7">
        <f t="shared" si="380"/>
        <v>391.5</v>
      </c>
      <c r="S570" s="7">
        <f t="shared" si="380"/>
        <v>418.70000000000005</v>
      </c>
      <c r="T570" s="7">
        <f t="shared" si="380"/>
        <v>431.7</v>
      </c>
      <c r="U570" s="7">
        <f t="shared" si="380"/>
        <v>460.21365320419682</v>
      </c>
      <c r="V570" s="7">
        <f t="shared" si="380"/>
        <v>466.42006447494691</v>
      </c>
      <c r="W570" s="7">
        <f t="shared" si="380"/>
        <v>473.09734749277197</v>
      </c>
      <c r="X570" s="7">
        <f t="shared" si="380"/>
        <v>485.64577074650185</v>
      </c>
      <c r="Y570" s="7">
        <f t="shared" si="380"/>
        <v>493.38296828045884</v>
      </c>
      <c r="Z570" s="7">
        <f t="shared" si="380"/>
        <v>494.3637097202735</v>
      </c>
      <c r="AA570" s="7">
        <f t="shared" si="380"/>
        <v>498.01962861917451</v>
      </c>
      <c r="AB570" s="7">
        <f t="shared" si="380"/>
        <v>501.26085646792001</v>
      </c>
      <c r="AC570" s="7">
        <f t="shared" si="380"/>
        <v>504.19674568301377</v>
      </c>
      <c r="AD570" s="7">
        <f t="shared" si="380"/>
        <v>507.07544936206921</v>
      </c>
      <c r="AE570" s="7">
        <f t="shared" si="380"/>
        <v>510.24896869621978</v>
      </c>
      <c r="AF570" s="7">
        <f t="shared" si="380"/>
        <v>513.35579797440937</v>
      </c>
      <c r="AG570" s="7">
        <f t="shared" si="380"/>
        <v>516.7745874631413</v>
      </c>
      <c r="AH570" s="7">
        <f t="shared" si="380"/>
        <v>520.11696815723963</v>
      </c>
      <c r="AI570" s="7">
        <f t="shared" si="380"/>
        <v>523.78893205915222</v>
      </c>
      <c r="AJ570" s="7">
        <f t="shared" si="380"/>
        <v>527.37454693382267</v>
      </c>
      <c r="AK570" s="7"/>
      <c r="AL570" s="7"/>
      <c r="AM570" s="7"/>
      <c r="AN570" s="7"/>
    </row>
    <row r="571" spans="2:41">
      <c r="B571" s="209" t="s">
        <v>980</v>
      </c>
      <c r="C571" s="82" t="s">
        <v>1079</v>
      </c>
      <c r="D571" s="20"/>
      <c r="E571" s="2"/>
      <c r="F571" s="2"/>
      <c r="G571" s="2"/>
      <c r="H571" s="241"/>
      <c r="I571" s="241"/>
      <c r="J571" s="241"/>
      <c r="K571" s="241"/>
      <c r="L571" s="241"/>
      <c r="M571" s="241"/>
      <c r="N571" s="241">
        <f t="shared" ref="N571:AJ571" si="381">N567/N570</f>
        <v>0.30076726342710997</v>
      </c>
      <c r="O571" s="241">
        <f t="shared" si="381"/>
        <v>1.2443712246018668</v>
      </c>
      <c r="P571" s="241">
        <f t="shared" si="381"/>
        <v>0.88668555240793201</v>
      </c>
      <c r="Q571" s="241">
        <f>Q567/Q570</f>
        <v>0.67820171546879648</v>
      </c>
      <c r="R571" s="241">
        <f>R567/R570</f>
        <v>2.1218390804597695</v>
      </c>
      <c r="S571" s="241">
        <f t="shared" si="381"/>
        <v>1.9032720324814902</v>
      </c>
      <c r="T571" s="241">
        <f t="shared" si="381"/>
        <v>1.4503127171646979</v>
      </c>
      <c r="U571" s="241">
        <f t="shared" si="381"/>
        <v>1.3802284994751379</v>
      </c>
      <c r="V571" s="241">
        <f t="shared" ref="V571" si="382">V567/V570</f>
        <v>1.1281675898577561</v>
      </c>
      <c r="W571" s="241">
        <f t="shared" si="381"/>
        <v>0.9610044048294113</v>
      </c>
      <c r="X571" s="241">
        <f t="shared" si="381"/>
        <v>1.5193390114382181</v>
      </c>
      <c r="Y571" s="241">
        <f t="shared" si="381"/>
        <v>1.3462209126548315</v>
      </c>
      <c r="Z571" s="241">
        <f t="shared" si="381"/>
        <v>1.3234718418774203</v>
      </c>
      <c r="AA571" s="241">
        <f t="shared" si="381"/>
        <v>1.1574241969219585</v>
      </c>
      <c r="AB571" s="241">
        <f t="shared" si="381"/>
        <v>1.0940964065617724</v>
      </c>
      <c r="AC571" s="241">
        <f t="shared" si="381"/>
        <v>0.90212374343829782</v>
      </c>
      <c r="AD571" s="241">
        <f t="shared" si="381"/>
        <v>0.82714383915250167</v>
      </c>
      <c r="AE571" s="241">
        <f t="shared" si="381"/>
        <v>0.64893654445969751</v>
      </c>
      <c r="AF571" s="241">
        <f t="shared" si="381"/>
        <v>0.57841249635048864</v>
      </c>
      <c r="AG571" s="241">
        <f t="shared" si="381"/>
        <v>0.31393625123460739</v>
      </c>
      <c r="AH571" s="241">
        <f t="shared" si="381"/>
        <v>0.17983843494198848</v>
      </c>
      <c r="AI571" s="241">
        <f t="shared" si="381"/>
        <v>-8.9086623343109947E-2</v>
      </c>
      <c r="AJ571" s="241">
        <f t="shared" si="381"/>
        <v>-0.22878013272926101</v>
      </c>
      <c r="AK571" s="241"/>
      <c r="AL571" s="241"/>
      <c r="AM571" s="241"/>
      <c r="AN571" s="241"/>
    </row>
    <row r="572" spans="2:41">
      <c r="B572" s="216" t="s">
        <v>1078</v>
      </c>
      <c r="C572" s="82" t="s">
        <v>900</v>
      </c>
      <c r="D572" s="20"/>
      <c r="E572" s="2"/>
      <c r="F572" s="2"/>
      <c r="H572" s="7"/>
      <c r="I572" s="7"/>
      <c r="J572" s="7"/>
      <c r="K572" s="7"/>
      <c r="L572" s="7"/>
      <c r="M572" s="7"/>
      <c r="N572" s="7">
        <f t="shared" ref="N572:AN572" si="383">SUM(M295:N295)</f>
        <v>360.6</v>
      </c>
      <c r="O572" s="7">
        <f t="shared" si="383"/>
        <v>398.20000000000005</v>
      </c>
      <c r="P572" s="7">
        <f t="shared" si="383"/>
        <v>391</v>
      </c>
      <c r="Q572" s="7">
        <f t="shared" si="383"/>
        <v>364.20000000000005</v>
      </c>
      <c r="R572" s="7">
        <f t="shared" si="383"/>
        <v>317.7</v>
      </c>
      <c r="S572" s="7">
        <f t="shared" si="383"/>
        <v>338.09999999999997</v>
      </c>
      <c r="T572" s="7">
        <f t="shared" si="383"/>
        <v>391.5</v>
      </c>
      <c r="U572" s="7">
        <f t="shared" si="383"/>
        <v>418.70000000000005</v>
      </c>
      <c r="V572" s="7">
        <f t="shared" si="383"/>
        <v>431.7</v>
      </c>
      <c r="W572" s="7">
        <f t="shared" si="383"/>
        <v>460.21365320419682</v>
      </c>
      <c r="X572" s="7">
        <f t="shared" si="383"/>
        <v>466.42006447494691</v>
      </c>
      <c r="Y572" s="7">
        <f t="shared" si="383"/>
        <v>473.09734749277197</v>
      </c>
      <c r="Z572" s="7">
        <f t="shared" si="383"/>
        <v>485.64577074650185</v>
      </c>
      <c r="AA572" s="7">
        <f t="shared" si="383"/>
        <v>493.38296828045884</v>
      </c>
      <c r="AB572" s="7">
        <f t="shared" si="383"/>
        <v>494.3637097202735</v>
      </c>
      <c r="AC572" s="7">
        <f t="shared" si="383"/>
        <v>498.01962861917451</v>
      </c>
      <c r="AD572" s="7">
        <f t="shared" si="383"/>
        <v>501.26085646792001</v>
      </c>
      <c r="AE572" s="7">
        <f t="shared" si="383"/>
        <v>504.19674568301377</v>
      </c>
      <c r="AF572" s="7">
        <f t="shared" si="383"/>
        <v>507.07544936206921</v>
      </c>
      <c r="AG572" s="7">
        <f t="shared" si="383"/>
        <v>510.24896869621978</v>
      </c>
      <c r="AH572" s="7">
        <f t="shared" si="383"/>
        <v>513.35579797440937</v>
      </c>
      <c r="AI572" s="7">
        <f t="shared" si="383"/>
        <v>516.7745874631413</v>
      </c>
      <c r="AJ572" s="7">
        <f t="shared" si="383"/>
        <v>520.11696815723963</v>
      </c>
      <c r="AK572" s="7">
        <f t="shared" si="383"/>
        <v>523.78893205915222</v>
      </c>
      <c r="AL572" s="7">
        <f t="shared" si="383"/>
        <v>527.37454693382267</v>
      </c>
      <c r="AM572" s="7">
        <f t="shared" si="383"/>
        <v>531.30786210972622</v>
      </c>
      <c r="AN572" s="7">
        <f t="shared" si="383"/>
        <v>535.14465904410179</v>
      </c>
    </row>
    <row r="573" spans="2:41">
      <c r="B573" s="209" t="s">
        <v>980</v>
      </c>
      <c r="C573" s="82" t="s">
        <v>1079</v>
      </c>
      <c r="D573" s="20"/>
      <c r="E573" s="2"/>
      <c r="F573" s="2"/>
      <c r="H573" s="7"/>
      <c r="I573" s="7"/>
      <c r="J573" s="7"/>
      <c r="K573" s="7"/>
      <c r="L573" s="7"/>
      <c r="M573" s="7"/>
      <c r="N573" s="241">
        <f>N567/N572</f>
        <v>0.32612312811980032</v>
      </c>
      <c r="O573" s="241">
        <f t="shared" ref="O573:AL573" si="384">O567/O572</f>
        <v>1.1381215469613257</v>
      </c>
      <c r="P573" s="241">
        <f t="shared" si="384"/>
        <v>0.72046035805626596</v>
      </c>
      <c r="Q573" s="241">
        <f t="shared" si="384"/>
        <v>0.62959912136188922</v>
      </c>
      <c r="R573" s="241">
        <f>R567/R572</f>
        <v>2.6147308781869683</v>
      </c>
      <c r="S573" s="241">
        <f t="shared" si="384"/>
        <v>2.3569949719018046</v>
      </c>
      <c r="T573" s="241">
        <f t="shared" si="384"/>
        <v>1.5992337164750958</v>
      </c>
      <c r="U573" s="241">
        <f t="shared" si="384"/>
        <v>1.5170766658705517</v>
      </c>
      <c r="V573" s="241">
        <f t="shared" ref="V573" si="385">V567/V572</f>
        <v>1.2189020152883949</v>
      </c>
      <c r="W573" s="241">
        <f t="shared" si="384"/>
        <v>0.98790775042898804</v>
      </c>
      <c r="X573" s="241">
        <f t="shared" si="384"/>
        <v>1.5819657459756959</v>
      </c>
      <c r="Y573" s="241">
        <f t="shared" si="384"/>
        <v>1.4039446075250226</v>
      </c>
      <c r="Z573" s="241">
        <f t="shared" si="384"/>
        <v>1.3472297894309573</v>
      </c>
      <c r="AA573" s="241">
        <f t="shared" si="384"/>
        <v>1.1683013110786176</v>
      </c>
      <c r="AB573" s="241">
        <f t="shared" si="384"/>
        <v>1.1093607621844761</v>
      </c>
      <c r="AC573" s="241">
        <f t="shared" si="384"/>
        <v>0.91331310957781686</v>
      </c>
      <c r="AD573" s="241">
        <f t="shared" si="384"/>
        <v>0.83673865316504015</v>
      </c>
      <c r="AE573" s="241">
        <f t="shared" si="384"/>
        <v>0.65672617960137003</v>
      </c>
      <c r="AF573" s="241">
        <f t="shared" si="384"/>
        <v>0.58557638512361898</v>
      </c>
      <c r="AG573" s="241">
        <f t="shared" si="384"/>
        <v>0.31795120945766497</v>
      </c>
      <c r="AH573" s="241">
        <f t="shared" si="384"/>
        <v>0.18220700323098879</v>
      </c>
      <c r="AI573" s="241">
        <f t="shared" si="384"/>
        <v>-9.029582420202055E-2</v>
      </c>
      <c r="AJ573" s="241">
        <f t="shared" si="384"/>
        <v>-0.23197247202494378</v>
      </c>
      <c r="AK573" s="241">
        <f t="shared" si="384"/>
        <v>-0.52210129492079671</v>
      </c>
      <c r="AL573" s="241">
        <f t="shared" si="384"/>
        <v>-0.68944960533196131</v>
      </c>
      <c r="AM573" s="241">
        <f>AM567/AM572</f>
        <v>-0.98452448584461183</v>
      </c>
      <c r="AN573" s="241">
        <f>AN567/AN572</f>
        <v>-1.1534848235536761</v>
      </c>
      <c r="AO573" s="241"/>
    </row>
    <row r="574" spans="2:41">
      <c r="B574" s="209"/>
      <c r="D574" s="20"/>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row>
    <row r="575" spans="2:41">
      <c r="B575" s="206" t="s">
        <v>1075</v>
      </c>
    </row>
    <row r="576" spans="2:41">
      <c r="B576" s="209" t="s">
        <v>3</v>
      </c>
      <c r="C576" s="82" t="s">
        <v>900</v>
      </c>
      <c r="E576" s="193"/>
      <c r="F576" s="193"/>
      <c r="G576" s="193"/>
      <c r="H576" s="193"/>
      <c r="I576" s="193"/>
      <c r="J576" s="193"/>
      <c r="K576" s="193"/>
      <c r="L576" s="193"/>
      <c r="M576" s="193"/>
      <c r="N576" s="136"/>
      <c r="O576" s="136"/>
      <c r="P576" s="136">
        <f>P577-P567</f>
        <v>13.300000000000011</v>
      </c>
      <c r="Q576" s="136"/>
      <c r="R576" s="136">
        <f>R577-R567</f>
        <v>29.300000000000182</v>
      </c>
      <c r="S576" s="136">
        <f>S577-S567</f>
        <v>-43.900000000000091</v>
      </c>
      <c r="T576" s="136">
        <f>T577-T567</f>
        <v>-17.100000000000023</v>
      </c>
      <c r="U576" s="136">
        <f>U577-U567</f>
        <v>-4.2000000000000455</v>
      </c>
      <c r="V576" s="136">
        <f>V577-V567</f>
        <v>6.7999999999999545</v>
      </c>
      <c r="W576" s="256">
        <f t="shared" ref="W576:AK576" si="386">V576</f>
        <v>6.7999999999999545</v>
      </c>
      <c r="X576" s="256">
        <f t="shared" si="386"/>
        <v>6.7999999999999545</v>
      </c>
      <c r="Y576" s="256">
        <f t="shared" si="386"/>
        <v>6.7999999999999545</v>
      </c>
      <c r="Z576" s="256">
        <f t="shared" si="386"/>
        <v>6.7999999999999545</v>
      </c>
      <c r="AA576" s="256">
        <f t="shared" si="386"/>
        <v>6.7999999999999545</v>
      </c>
      <c r="AB576" s="256">
        <f t="shared" si="386"/>
        <v>6.7999999999999545</v>
      </c>
      <c r="AC576" s="256">
        <f t="shared" si="386"/>
        <v>6.7999999999999545</v>
      </c>
      <c r="AD576" s="256">
        <f t="shared" si="386"/>
        <v>6.7999999999999545</v>
      </c>
      <c r="AE576" s="256">
        <f t="shared" si="386"/>
        <v>6.7999999999999545</v>
      </c>
      <c r="AF576" s="256">
        <f t="shared" si="386"/>
        <v>6.7999999999999545</v>
      </c>
      <c r="AG576" s="256">
        <f t="shared" si="386"/>
        <v>6.7999999999999545</v>
      </c>
      <c r="AH576" s="256">
        <f t="shared" si="386"/>
        <v>6.7999999999999545</v>
      </c>
      <c r="AI576" s="256">
        <f t="shared" si="386"/>
        <v>6.7999999999999545</v>
      </c>
      <c r="AJ576" s="256">
        <f t="shared" si="386"/>
        <v>6.7999999999999545</v>
      </c>
      <c r="AK576" s="256">
        <f t="shared" si="386"/>
        <v>6.7999999999999545</v>
      </c>
      <c r="AL576" s="256">
        <f>AK576</f>
        <v>6.7999999999999545</v>
      </c>
      <c r="AM576" s="256">
        <f>AL576</f>
        <v>6.7999999999999545</v>
      </c>
      <c r="AN576" s="256">
        <f>AM576</f>
        <v>6.7999999999999545</v>
      </c>
    </row>
    <row r="577" spans="1:40">
      <c r="B577" s="192" t="s">
        <v>522</v>
      </c>
      <c r="C577" s="82" t="s">
        <v>900</v>
      </c>
      <c r="D577" s="3"/>
      <c r="E577" s="223"/>
      <c r="F577" s="133"/>
      <c r="G577" s="133"/>
      <c r="H577" s="133"/>
      <c r="I577" s="133"/>
      <c r="J577" s="133"/>
      <c r="K577" s="133"/>
      <c r="L577" s="133"/>
      <c r="M577" s="135"/>
      <c r="N577" s="135"/>
      <c r="O577" s="135"/>
      <c r="P577" s="135">
        <v>295</v>
      </c>
      <c r="Q577" s="132"/>
      <c r="R577" s="135">
        <v>860</v>
      </c>
      <c r="S577" s="135">
        <v>753</v>
      </c>
      <c r="T577" s="135">
        <v>609</v>
      </c>
      <c r="U577" s="135">
        <v>631</v>
      </c>
      <c r="V577" s="135">
        <v>533</v>
      </c>
      <c r="W577" s="132">
        <f t="shared" ref="W577:AL577" si="387">W567+W576</f>
        <v>461.44863485366449</v>
      </c>
      <c r="X577" s="132">
        <f t="shared" si="387"/>
        <v>744.66056523514158</v>
      </c>
      <c r="Y577" s="132">
        <f t="shared" si="387"/>
        <v>671.00246984686896</v>
      </c>
      <c r="Z577" s="132">
        <f t="shared" si="387"/>
        <v>661.07644946084463</v>
      </c>
      <c r="AA577" s="132">
        <f t="shared" si="387"/>
        <v>583.21996870592</v>
      </c>
      <c r="AB577" s="132">
        <f t="shared" si="387"/>
        <v>555.22770181162764</v>
      </c>
      <c r="AC577" s="132">
        <f t="shared" si="387"/>
        <v>461.64785564496776</v>
      </c>
      <c r="AD577" s="132">
        <f t="shared" si="387"/>
        <v>426.22433392532184</v>
      </c>
      <c r="AE577" s="132">
        <f t="shared" si="387"/>
        <v>337.91920255984917</v>
      </c>
      <c r="AF577" s="132">
        <f t="shared" si="387"/>
        <v>303.73140862237517</v>
      </c>
      <c r="AG577" s="132">
        <f t="shared" si="387"/>
        <v>169.03427672148928</v>
      </c>
      <c r="AH577" s="132">
        <f t="shared" si="387"/>
        <v>100.33702154016999</v>
      </c>
      <c r="AI577" s="132">
        <f t="shared" si="387"/>
        <v>-39.862587301643543</v>
      </c>
      <c r="AJ577" s="132">
        <f t="shared" si="387"/>
        <v>-113.85281884555388</v>
      </c>
      <c r="AK577" s="132">
        <f t="shared" si="387"/>
        <v>-266.67087969326462</v>
      </c>
      <c r="AL577" s="132">
        <f t="shared" si="387"/>
        <v>-356.79817324564601</v>
      </c>
      <c r="AM577" s="132">
        <f>AM567+AM576</f>
        <v>-516.28559976877818</v>
      </c>
      <c r="AN577" s="132">
        <f>AN567+AN576</f>
        <v>-610.48124261317798</v>
      </c>
    </row>
    <row r="578" spans="1:40">
      <c r="B578" s="209"/>
      <c r="E578" s="193"/>
      <c r="F578" s="193"/>
      <c r="G578" s="193"/>
      <c r="H578" s="193"/>
      <c r="I578" s="193"/>
      <c r="J578" s="193"/>
      <c r="K578" s="193"/>
      <c r="L578" s="193"/>
      <c r="M578" s="193"/>
      <c r="N578" s="136"/>
      <c r="O578" s="136"/>
      <c r="P578" s="136"/>
      <c r="Q578" s="136"/>
      <c r="R578" s="136"/>
      <c r="S578" s="136"/>
      <c r="T578" s="136"/>
      <c r="U578" s="136"/>
      <c r="V578" s="136"/>
      <c r="W578" s="136"/>
      <c r="X578" s="136"/>
      <c r="Y578" s="136"/>
      <c r="Z578" s="136"/>
      <c r="AA578" s="136"/>
      <c r="AB578" s="136"/>
      <c r="AC578" s="136"/>
      <c r="AD578" s="136"/>
      <c r="AE578" s="136"/>
      <c r="AF578" s="136"/>
      <c r="AG578" s="136"/>
      <c r="AH578" s="136"/>
      <c r="AI578" s="136"/>
      <c r="AJ578" s="136"/>
      <c r="AK578" s="136"/>
      <c r="AL578" s="136"/>
      <c r="AM578" s="136"/>
      <c r="AN578" s="136"/>
    </row>
    <row r="579" spans="1:40">
      <c r="B579" s="192" t="s">
        <v>980</v>
      </c>
      <c r="C579" s="82" t="s">
        <v>1079</v>
      </c>
      <c r="E579" s="193"/>
      <c r="F579" s="193"/>
      <c r="G579" s="193"/>
      <c r="H579" s="193"/>
      <c r="I579" s="193"/>
      <c r="J579" s="193"/>
      <c r="K579" s="193"/>
      <c r="L579" s="193"/>
      <c r="M579" s="193"/>
      <c r="N579" s="193"/>
      <c r="O579" s="193"/>
      <c r="P579" s="193">
        <v>0.8</v>
      </c>
      <c r="Q579" s="193"/>
      <c r="R579" s="193">
        <v>2.7</v>
      </c>
      <c r="S579" s="193">
        <v>2.2000000000000002</v>
      </c>
      <c r="T579" s="193">
        <v>1.6</v>
      </c>
      <c r="U579" s="193">
        <v>1.5</v>
      </c>
      <c r="V579" s="193">
        <v>1.2</v>
      </c>
      <c r="W579" s="241">
        <f t="shared" ref="W579:AL579" si="388">(W567+W576)/W572</f>
        <v>1.0026834963301701</v>
      </c>
      <c r="X579" s="241">
        <f t="shared" si="388"/>
        <v>1.5965448786458456</v>
      </c>
      <c r="Y579" s="241">
        <f t="shared" si="388"/>
        <v>1.4183179707155738</v>
      </c>
      <c r="Z579" s="241">
        <f t="shared" si="388"/>
        <v>1.3612317645527574</v>
      </c>
      <c r="AA579" s="241">
        <f t="shared" si="388"/>
        <v>1.1820837081964171</v>
      </c>
      <c r="AB579" s="241">
        <f t="shared" si="388"/>
        <v>1.1231158171496709</v>
      </c>
      <c r="AC579" s="241">
        <f t="shared" si="388"/>
        <v>0.92696718987753091</v>
      </c>
      <c r="AD579" s="241">
        <f t="shared" si="388"/>
        <v>0.8503044441344676</v>
      </c>
      <c r="AE579" s="241">
        <f t="shared" si="388"/>
        <v>0.67021297827316295</v>
      </c>
      <c r="AF579" s="241">
        <f t="shared" si="388"/>
        <v>0.59898661827246258</v>
      </c>
      <c r="AG579" s="241">
        <f t="shared" si="388"/>
        <v>0.33127803698144265</v>
      </c>
      <c r="AH579" s="241">
        <f t="shared" si="388"/>
        <v>0.19545317679488206</v>
      </c>
      <c r="AI579" s="241">
        <f t="shared" si="388"/>
        <v>-7.7137282421974207E-2</v>
      </c>
      <c r="AJ579" s="241">
        <f t="shared" si="388"/>
        <v>-0.21889848979342347</v>
      </c>
      <c r="AK579" s="241">
        <f t="shared" si="388"/>
        <v>-0.50911896638386611</v>
      </c>
      <c r="AL579" s="241">
        <f t="shared" si="388"/>
        <v>-0.67655554353179403</v>
      </c>
      <c r="AM579" s="241">
        <f>(AM567+AM576)/AM572</f>
        <v>-0.97172587982926251</v>
      </c>
      <c r="AN579" s="241">
        <f>(AN567+AN576)/AN572</f>
        <v>-1.1407779789929056</v>
      </c>
    </row>
    <row r="580" spans="1:40">
      <c r="B580" s="209" t="s">
        <v>1339</v>
      </c>
      <c r="C580" s="82" t="s">
        <v>1079</v>
      </c>
      <c r="E580" s="193"/>
      <c r="F580" s="193"/>
      <c r="G580" s="193"/>
      <c r="H580" s="193"/>
      <c r="I580" s="193"/>
      <c r="J580" s="193"/>
      <c r="K580" s="193"/>
      <c r="L580" s="193"/>
      <c r="M580" s="193"/>
      <c r="N580" s="241"/>
      <c r="O580" s="241"/>
      <c r="P580" s="241">
        <f>(P567+P576)/P572</f>
        <v>0.75447570332480818</v>
      </c>
      <c r="Q580" s="241"/>
      <c r="R580" s="241">
        <f>(R567+R576)/R572</f>
        <v>2.7069562480327356</v>
      </c>
      <c r="S580" s="241">
        <f>(S567+S576)/S572</f>
        <v>2.2271517302573205</v>
      </c>
      <c r="T580" s="241">
        <f>(T567+T576)/T572</f>
        <v>1.5555555555555556</v>
      </c>
      <c r="U580" s="241">
        <f>(U567+U576)/U572</f>
        <v>1.5070456173871505</v>
      </c>
      <c r="V580" s="241">
        <f>(V567+V576)/V572</f>
        <v>1.2346536946953903</v>
      </c>
      <c r="W580" s="241"/>
      <c r="X580" s="241"/>
      <c r="Y580" s="241"/>
      <c r="Z580" s="241"/>
      <c r="AA580" s="241"/>
      <c r="AB580" s="241"/>
      <c r="AC580" s="241"/>
      <c r="AD580" s="241"/>
      <c r="AE580" s="241"/>
      <c r="AF580" s="241"/>
      <c r="AG580" s="241"/>
      <c r="AH580" s="241"/>
      <c r="AI580" s="241"/>
      <c r="AJ580" s="241"/>
      <c r="AK580" s="241"/>
      <c r="AL580" s="241"/>
      <c r="AM580" s="241"/>
      <c r="AN580" s="241"/>
    </row>
    <row r="581" spans="1:40">
      <c r="B581" s="482"/>
      <c r="C581" s="165"/>
      <c r="E581" s="142"/>
      <c r="F581" s="142"/>
      <c r="G581" s="142"/>
      <c r="H581" s="142"/>
      <c r="I581" s="142"/>
      <c r="J581" s="142"/>
      <c r="K581" s="142"/>
      <c r="L581" s="142"/>
      <c r="M581" s="510"/>
      <c r="N581" s="510"/>
      <c r="O581" s="510"/>
      <c r="P581" s="510"/>
      <c r="Q581" s="142"/>
      <c r="R581" s="142"/>
      <c r="S581" s="142"/>
      <c r="T581" s="142"/>
      <c r="U581" s="142"/>
      <c r="V581" s="142"/>
      <c r="W581" s="142"/>
      <c r="X581" s="142"/>
      <c r="Y581" s="142"/>
      <c r="Z581" s="142"/>
      <c r="AA581" s="142"/>
      <c r="AB581" s="142"/>
      <c r="AC581" s="142"/>
      <c r="AD581" s="142"/>
      <c r="AE581" s="142"/>
      <c r="AF581" s="142"/>
      <c r="AG581" s="142"/>
      <c r="AH581" s="142"/>
      <c r="AI581" s="142"/>
      <c r="AJ581" s="142"/>
      <c r="AK581" s="142"/>
      <c r="AL581" s="142"/>
      <c r="AM581" s="142"/>
      <c r="AN581" s="142"/>
    </row>
    <row r="582" spans="1:40" s="195" customFormat="1">
      <c r="A582" s="195" t="s">
        <v>971</v>
      </c>
      <c r="B582" s="196" t="s">
        <v>996</v>
      </c>
      <c r="C582" s="197"/>
      <c r="E582" s="198"/>
      <c r="F582" s="198"/>
      <c r="G582" s="198"/>
      <c r="H582" s="198"/>
      <c r="I582" s="198"/>
      <c r="J582" s="198"/>
      <c r="K582" s="198"/>
      <c r="L582" s="198"/>
      <c r="M582" s="198"/>
      <c r="N582" s="198"/>
      <c r="O582" s="198"/>
      <c r="P582" s="198"/>
      <c r="Q582" s="198"/>
      <c r="R582" s="198"/>
      <c r="S582" s="198"/>
      <c r="T582" s="198"/>
      <c r="U582" s="198"/>
      <c r="V582" s="198"/>
      <c r="W582" s="198"/>
      <c r="X582" s="198"/>
      <c r="Y582" s="198"/>
      <c r="Z582" s="198"/>
      <c r="AA582" s="198"/>
      <c r="AB582" s="198"/>
      <c r="AC582" s="198"/>
      <c r="AD582" s="198"/>
      <c r="AE582" s="198"/>
      <c r="AF582" s="198"/>
      <c r="AG582" s="198"/>
      <c r="AH582" s="198"/>
      <c r="AI582" s="198"/>
      <c r="AJ582" s="198"/>
      <c r="AK582" s="198"/>
      <c r="AL582" s="198"/>
      <c r="AM582" s="198"/>
      <c r="AN582" s="198"/>
    </row>
    <row r="584" spans="1:40">
      <c r="B584" s="185" t="s">
        <v>16</v>
      </c>
      <c r="C584" s="163"/>
      <c r="M584" s="132"/>
      <c r="N584" s="132"/>
    </row>
    <row r="585" spans="1:40" s="3" customFormat="1">
      <c r="A585" s="1"/>
      <c r="B585" s="189" t="s">
        <v>1</v>
      </c>
      <c r="C585" s="163"/>
      <c r="D585" s="1"/>
      <c r="E585" s="4"/>
      <c r="F585" s="4"/>
      <c r="G585" s="235"/>
      <c r="H585" s="235"/>
      <c r="I585" s="235"/>
      <c r="J585" s="235"/>
      <c r="K585" s="235"/>
      <c r="L585" s="235"/>
      <c r="M585" s="485">
        <v>1150.3</v>
      </c>
      <c r="N585" s="485">
        <f>2373.3-M585</f>
        <v>1223.0000000000002</v>
      </c>
      <c r="O585" s="499">
        <f t="shared" ref="O585:AN585" si="389">O271</f>
        <v>1274.5</v>
      </c>
      <c r="P585" s="499">
        <f t="shared" si="389"/>
        <v>1159.9000000000001</v>
      </c>
      <c r="Q585" s="499">
        <f t="shared" si="389"/>
        <v>1209.5999999999999</v>
      </c>
      <c r="R585" s="499">
        <f t="shared" si="389"/>
        <v>1129.3000000000002</v>
      </c>
      <c r="S585" s="499">
        <f t="shared" si="389"/>
        <v>1331.3</v>
      </c>
      <c r="T585" s="499">
        <f t="shared" si="389"/>
        <v>1283.3</v>
      </c>
      <c r="U585" s="499">
        <f t="shared" si="389"/>
        <v>1344.9</v>
      </c>
      <c r="V585" s="499">
        <f t="shared" si="389"/>
        <v>1291.4000000000001</v>
      </c>
      <c r="W585" s="499">
        <f t="shared" si="389"/>
        <v>1400.9837626000001</v>
      </c>
      <c r="X585" s="499">
        <f t="shared" si="389"/>
        <v>1345.9845538500001</v>
      </c>
      <c r="Y585" s="499">
        <f t="shared" si="389"/>
        <v>1458.358766001</v>
      </c>
      <c r="Z585" s="499">
        <f t="shared" si="389"/>
        <v>1388.4989695240001</v>
      </c>
      <c r="AA585" s="499">
        <f t="shared" si="389"/>
        <v>1474.9689453032995</v>
      </c>
      <c r="AB585" s="499">
        <f t="shared" si="389"/>
        <v>1403.0377269744802</v>
      </c>
      <c r="AC585" s="499">
        <f t="shared" si="389"/>
        <v>1508.701747551567</v>
      </c>
      <c r="AD585" s="499">
        <f t="shared" si="389"/>
        <v>1435.5596450364148</v>
      </c>
      <c r="AE585" s="499">
        <f t="shared" si="389"/>
        <v>1532.8790624342341</v>
      </c>
      <c r="AF585" s="499">
        <f t="shared" si="389"/>
        <v>1459.4557426179608</v>
      </c>
      <c r="AG585" s="499">
        <f t="shared" si="389"/>
        <v>1557.9909741388201</v>
      </c>
      <c r="AH585" s="499">
        <f t="shared" si="389"/>
        <v>1484.258870044649</v>
      </c>
      <c r="AI585" s="499">
        <f t="shared" si="389"/>
        <v>1584.0634277962276</v>
      </c>
      <c r="AJ585" s="499">
        <f t="shared" si="389"/>
        <v>1509.994336742657</v>
      </c>
      <c r="AK585" s="499">
        <f t="shared" si="389"/>
        <v>1611.1231678190259</v>
      </c>
      <c r="AL585" s="499">
        <f t="shared" si="389"/>
        <v>1536.6882304356377</v>
      </c>
      <c r="AM585" s="499">
        <f t="shared" si="389"/>
        <v>1639.1977616706183</v>
      </c>
      <c r="AN585" s="499">
        <f t="shared" si="389"/>
        <v>1564.3674403035011</v>
      </c>
    </row>
    <row r="586" spans="1:40">
      <c r="B586" s="192" t="s">
        <v>5</v>
      </c>
      <c r="C586" s="82" t="s">
        <v>900</v>
      </c>
      <c r="D586" s="2"/>
      <c r="E586" s="2"/>
      <c r="F586" s="2"/>
      <c r="G586" s="236"/>
      <c r="H586" s="236"/>
      <c r="I586" s="236"/>
      <c r="J586" s="236"/>
      <c r="K586" s="236"/>
      <c r="L586" s="236"/>
      <c r="M586" s="135">
        <v>0</v>
      </c>
      <c r="N586" s="135">
        <v>0</v>
      </c>
      <c r="O586" s="135">
        <v>0</v>
      </c>
      <c r="P586" s="135">
        <v>0</v>
      </c>
      <c r="Q586" s="135">
        <v>0</v>
      </c>
      <c r="R586" s="135">
        <v>0</v>
      </c>
      <c r="S586" s="135">
        <v>0</v>
      </c>
      <c r="T586" s="135">
        <v>0</v>
      </c>
      <c r="U586" s="135">
        <v>0</v>
      </c>
      <c r="V586" s="135">
        <v>0</v>
      </c>
      <c r="W586" s="160">
        <v>0</v>
      </c>
      <c r="X586" s="160">
        <v>0</v>
      </c>
      <c r="Y586" s="160">
        <v>0</v>
      </c>
      <c r="Z586" s="160">
        <v>0</v>
      </c>
      <c r="AA586" s="160">
        <v>0</v>
      </c>
      <c r="AB586" s="160">
        <v>0</v>
      </c>
      <c r="AC586" s="160">
        <v>0</v>
      </c>
      <c r="AD586" s="160">
        <v>0</v>
      </c>
      <c r="AE586" s="160">
        <v>0</v>
      </c>
      <c r="AF586" s="160">
        <v>0</v>
      </c>
      <c r="AG586" s="160">
        <v>0</v>
      </c>
      <c r="AH586" s="160">
        <v>0</v>
      </c>
      <c r="AI586" s="160">
        <v>0</v>
      </c>
      <c r="AJ586" s="160">
        <v>0</v>
      </c>
      <c r="AK586" s="160">
        <v>0</v>
      </c>
      <c r="AL586" s="160">
        <v>0</v>
      </c>
      <c r="AM586" s="160">
        <v>0</v>
      </c>
      <c r="AN586" s="160">
        <v>0</v>
      </c>
    </row>
    <row r="587" spans="1:40">
      <c r="B587" s="192" t="s">
        <v>6</v>
      </c>
      <c r="C587" s="82" t="s">
        <v>900</v>
      </c>
      <c r="D587" s="2"/>
      <c r="E587" s="2"/>
      <c r="F587" s="2"/>
      <c r="G587" s="236"/>
      <c r="H587" s="236"/>
      <c r="I587" s="208"/>
      <c r="J587" s="236"/>
      <c r="K587" s="236"/>
      <c r="L587" s="236"/>
      <c r="M587" s="136">
        <f>M589-M585</f>
        <v>-683.8</v>
      </c>
      <c r="N587" s="136">
        <f>N589-N585</f>
        <v>-708.30000000000018</v>
      </c>
      <c r="O587" s="136">
        <f t="shared" ref="O587:AN587" si="390">O277</f>
        <v>-774.80000000000007</v>
      </c>
      <c r="P587" s="136">
        <f t="shared" si="390"/>
        <v>-691.40000000000009</v>
      </c>
      <c r="Q587" s="136">
        <f t="shared" si="390"/>
        <v>-723.09999999999991</v>
      </c>
      <c r="R587" s="136">
        <f t="shared" si="390"/>
        <v>-683.20000000000027</v>
      </c>
      <c r="S587" s="136">
        <f t="shared" si="390"/>
        <v>-786.9</v>
      </c>
      <c r="T587" s="136">
        <f t="shared" si="390"/>
        <v>-739.00000000000023</v>
      </c>
      <c r="U587" s="136">
        <f t="shared" si="390"/>
        <v>-777.30000000000007</v>
      </c>
      <c r="V587" s="136">
        <f t="shared" si="390"/>
        <v>-726.59999999999968</v>
      </c>
      <c r="W587" s="136">
        <f t="shared" si="390"/>
        <v>-791.67068439580316</v>
      </c>
      <c r="X587" s="136">
        <f t="shared" si="390"/>
        <v>-752.56766757925004</v>
      </c>
      <c r="Y587" s="136">
        <f t="shared" si="390"/>
        <v>-809.65109915397818</v>
      </c>
      <c r="Z587" s="136">
        <f t="shared" si="390"/>
        <v>-764.57639562452005</v>
      </c>
      <c r="AA587" s="136">
        <f t="shared" si="390"/>
        <v>-812.08057900357062</v>
      </c>
      <c r="AB587" s="136">
        <f t="shared" si="390"/>
        <v>-768.75837945393539</v>
      </c>
      <c r="AC587" s="136">
        <f t="shared" si="390"/>
        <v>-830.08065537662469</v>
      </c>
      <c r="AD587" s="136">
        <f t="shared" si="390"/>
        <v>-786.03175652043706</v>
      </c>
      <c r="AE587" s="136">
        <f t="shared" si="390"/>
        <v>-842.22741382387608</v>
      </c>
      <c r="AF587" s="136">
        <f t="shared" si="390"/>
        <v>-798.01444069547472</v>
      </c>
      <c r="AG587" s="136">
        <f t="shared" si="390"/>
        <v>-854.86518783668555</v>
      </c>
      <c r="AH587" s="136">
        <f t="shared" si="390"/>
        <v>-810.47164428096937</v>
      </c>
      <c r="AI587" s="136">
        <f t="shared" si="390"/>
        <v>-868.00744175389809</v>
      </c>
      <c r="AJ587" s="136">
        <f t="shared" si="390"/>
        <v>-823.41645247038275</v>
      </c>
      <c r="AK587" s="136">
        <f t="shared" si="390"/>
        <v>-881.66805650580625</v>
      </c>
      <c r="AL587" s="136">
        <f t="shared" si="390"/>
        <v>-836.86235451686844</v>
      </c>
      <c r="AM587" s="136">
        <f t="shared" si="390"/>
        <v>-895.86134198527873</v>
      </c>
      <c r="AN587" s="136">
        <f t="shared" si="390"/>
        <v>-850.82325574002493</v>
      </c>
    </row>
    <row r="588" spans="1:40">
      <c r="B588" s="224" t="s">
        <v>991</v>
      </c>
      <c r="C588" s="166"/>
      <c r="D588" s="5"/>
      <c r="E588" s="5"/>
      <c r="F588" s="5"/>
      <c r="G588" s="221"/>
      <c r="H588" s="221"/>
      <c r="I588" s="221"/>
      <c r="J588" s="221"/>
      <c r="K588" s="221"/>
      <c r="L588" s="221"/>
      <c r="M588" s="500" t="s">
        <v>991</v>
      </c>
      <c r="N588" s="500" t="s">
        <v>991</v>
      </c>
      <c r="O588" s="500" t="s">
        <v>991</v>
      </c>
      <c r="P588" s="500" t="s">
        <v>991</v>
      </c>
      <c r="Q588" s="500" t="s">
        <v>991</v>
      </c>
      <c r="R588" s="500" t="s">
        <v>991</v>
      </c>
      <c r="S588" s="500" t="s">
        <v>991</v>
      </c>
      <c r="T588" s="500" t="s">
        <v>991</v>
      </c>
      <c r="U588" s="500" t="s">
        <v>991</v>
      </c>
      <c r="V588" s="500" t="s">
        <v>991</v>
      </c>
      <c r="W588" s="500" t="s">
        <v>991</v>
      </c>
      <c r="X588" s="500" t="s">
        <v>991</v>
      </c>
      <c r="Y588" s="500" t="s">
        <v>991</v>
      </c>
      <c r="Z588" s="500" t="s">
        <v>991</v>
      </c>
      <c r="AA588" s="500" t="s">
        <v>991</v>
      </c>
      <c r="AB588" s="500" t="s">
        <v>991</v>
      </c>
      <c r="AC588" s="500" t="s">
        <v>991</v>
      </c>
      <c r="AD588" s="500" t="s">
        <v>991</v>
      </c>
      <c r="AE588" s="500" t="s">
        <v>991</v>
      </c>
      <c r="AF588" s="500" t="s">
        <v>991</v>
      </c>
      <c r="AG588" s="500" t="s">
        <v>991</v>
      </c>
      <c r="AH588" s="500" t="s">
        <v>991</v>
      </c>
      <c r="AI588" s="500" t="s">
        <v>991</v>
      </c>
      <c r="AJ588" s="500" t="s">
        <v>991</v>
      </c>
      <c r="AK588" s="500" t="s">
        <v>991</v>
      </c>
      <c r="AL588" s="500" t="s">
        <v>991</v>
      </c>
      <c r="AM588" s="500" t="s">
        <v>991</v>
      </c>
      <c r="AN588" s="500" t="s">
        <v>991</v>
      </c>
    </row>
    <row r="589" spans="1:40" s="3" customFormat="1">
      <c r="A589" s="1"/>
      <c r="B589" s="189" t="s">
        <v>7</v>
      </c>
      <c r="C589" s="82" t="s">
        <v>900</v>
      </c>
      <c r="D589" s="4"/>
      <c r="E589" s="4"/>
      <c r="F589" s="4"/>
      <c r="G589" s="235"/>
      <c r="H589" s="235"/>
      <c r="I589" s="235"/>
      <c r="J589" s="235"/>
      <c r="K589" s="235"/>
      <c r="L589" s="235"/>
      <c r="M589" s="485">
        <v>466.5</v>
      </c>
      <c r="N589" s="485">
        <f>981.2-M589</f>
        <v>514.70000000000005</v>
      </c>
      <c r="O589" s="499">
        <f t="shared" ref="O589:AN589" si="391">O282</f>
        <v>499.7</v>
      </c>
      <c r="P589" s="499">
        <f t="shared" si="391"/>
        <v>468.7</v>
      </c>
      <c r="Q589" s="499">
        <f t="shared" si="391"/>
        <v>485.6</v>
      </c>
      <c r="R589" s="499">
        <f t="shared" si="391"/>
        <v>446.1</v>
      </c>
      <c r="S589" s="499">
        <f t="shared" si="391"/>
        <v>544.4</v>
      </c>
      <c r="T589" s="499">
        <f t="shared" si="391"/>
        <v>544.30000000000007</v>
      </c>
      <c r="U589" s="499">
        <f t="shared" si="391"/>
        <v>567.6</v>
      </c>
      <c r="V589" s="499">
        <f t="shared" si="391"/>
        <v>564.80000000000007</v>
      </c>
      <c r="W589" s="499">
        <f t="shared" si="391"/>
        <v>609.31307820419681</v>
      </c>
      <c r="X589" s="499">
        <f t="shared" si="391"/>
        <v>593.41688627075007</v>
      </c>
      <c r="Y589" s="499">
        <f t="shared" si="391"/>
        <v>648.70766684702187</v>
      </c>
      <c r="Z589" s="499">
        <f t="shared" si="391"/>
        <v>623.92257389947997</v>
      </c>
      <c r="AA589" s="499">
        <f t="shared" si="391"/>
        <v>662.88836629972889</v>
      </c>
      <c r="AB589" s="499">
        <f t="shared" si="391"/>
        <v>634.27934752054466</v>
      </c>
      <c r="AC589" s="499">
        <f t="shared" si="391"/>
        <v>678.62109217494231</v>
      </c>
      <c r="AD589" s="499">
        <f t="shared" si="391"/>
        <v>649.52788851597757</v>
      </c>
      <c r="AE589" s="499">
        <f t="shared" si="391"/>
        <v>690.65164861035805</v>
      </c>
      <c r="AF589" s="499">
        <f t="shared" si="391"/>
        <v>661.4413019224861</v>
      </c>
      <c r="AG589" s="499">
        <f t="shared" si="391"/>
        <v>703.12578630213466</v>
      </c>
      <c r="AH589" s="499">
        <f t="shared" si="391"/>
        <v>673.78722576367966</v>
      </c>
      <c r="AI589" s="499">
        <f t="shared" si="391"/>
        <v>716.05598604232955</v>
      </c>
      <c r="AJ589" s="499">
        <f t="shared" si="391"/>
        <v>686.5778842722741</v>
      </c>
      <c r="AK589" s="499">
        <f t="shared" si="391"/>
        <v>729.4551113132195</v>
      </c>
      <c r="AL589" s="499">
        <f t="shared" si="391"/>
        <v>699.82587591876927</v>
      </c>
      <c r="AM589" s="499">
        <f t="shared" si="391"/>
        <v>743.33641968533959</v>
      </c>
      <c r="AN589" s="499">
        <f t="shared" si="391"/>
        <v>713.54418456347605</v>
      </c>
    </row>
    <row r="590" spans="1:40">
      <c r="B590" s="192" t="s">
        <v>4</v>
      </c>
      <c r="C590" s="82" t="s">
        <v>900</v>
      </c>
      <c r="D590" s="2"/>
      <c r="E590" s="2"/>
      <c r="F590" s="2"/>
      <c r="G590" s="7"/>
      <c r="H590" s="7"/>
      <c r="I590" s="7"/>
      <c r="J590" s="7"/>
      <c r="K590" s="7"/>
      <c r="L590" s="7"/>
      <c r="M590" s="135">
        <v>-296</v>
      </c>
      <c r="N590" s="135">
        <f>-599.6-M590</f>
        <v>-303.60000000000002</v>
      </c>
      <c r="O590" s="136">
        <f t="shared" ref="O590:AN590" si="392">O288</f>
        <v>-303.10000000000002</v>
      </c>
      <c r="P590" s="136">
        <f t="shared" si="392"/>
        <v>-274.29999999999995</v>
      </c>
      <c r="Q590" s="136">
        <f t="shared" si="392"/>
        <v>-315.8</v>
      </c>
      <c r="R590" s="136">
        <f t="shared" si="392"/>
        <v>-298.2</v>
      </c>
      <c r="S590" s="136">
        <f t="shared" si="392"/>
        <v>-354.2</v>
      </c>
      <c r="T590" s="136">
        <f t="shared" si="392"/>
        <v>-343.00000000000006</v>
      </c>
      <c r="U590" s="136">
        <f t="shared" si="392"/>
        <v>-350.2</v>
      </c>
      <c r="V590" s="136">
        <f t="shared" si="392"/>
        <v>-350.50000000000006</v>
      </c>
      <c r="W590" s="136">
        <f t="shared" si="392"/>
        <v>-363.39942500000001</v>
      </c>
      <c r="X590" s="136">
        <f t="shared" si="392"/>
        <v>-372.91047499999996</v>
      </c>
      <c r="Y590" s="136">
        <f t="shared" si="392"/>
        <v>-396.11673062499995</v>
      </c>
      <c r="Z590" s="136">
        <f t="shared" si="392"/>
        <v>-390.86773937499993</v>
      </c>
      <c r="AA590" s="136">
        <f t="shared" si="392"/>
        <v>-402.56023254375003</v>
      </c>
      <c r="AB590" s="136">
        <f t="shared" si="392"/>
        <v>-400.24377155624995</v>
      </c>
      <c r="AC590" s="136">
        <f t="shared" si="392"/>
        <v>-414.6370395200625</v>
      </c>
      <c r="AD590" s="136">
        <f t="shared" si="392"/>
        <v>-412.25108470293748</v>
      </c>
      <c r="AE590" s="136">
        <f t="shared" si="392"/>
        <v>-423.73170674038442</v>
      </c>
      <c r="AF590" s="136">
        <f t="shared" si="392"/>
        <v>-421.28579443039064</v>
      </c>
      <c r="AG590" s="136">
        <f t="shared" si="392"/>
        <v>-433.03232509801029</v>
      </c>
      <c r="AH590" s="136">
        <f t="shared" si="392"/>
        <v>-430.52488899339465</v>
      </c>
      <c r="AI590" s="136">
        <f t="shared" si="392"/>
        <v>-442.54373534947337</v>
      </c>
      <c r="AJ590" s="136">
        <f t="shared" si="392"/>
        <v>-439.97316680789066</v>
      </c>
      <c r="AK590" s="136">
        <f t="shared" si="392"/>
        <v>-452.27089671845073</v>
      </c>
      <c r="AL590" s="136">
        <f t="shared" si="392"/>
        <v>-449.63554357971543</v>
      </c>
      <c r="AM590" s="136">
        <f t="shared" si="392"/>
        <v>-462.21888991466722</v>
      </c>
      <c r="AN590" s="136">
        <f t="shared" si="392"/>
        <v>-459.51705529004664</v>
      </c>
    </row>
    <row r="591" spans="1:40">
      <c r="B591" s="224" t="s">
        <v>991</v>
      </c>
      <c r="C591" s="166"/>
      <c r="D591" s="5"/>
      <c r="E591" s="5"/>
      <c r="F591" s="5"/>
      <c r="G591" s="221"/>
      <c r="H591" s="221"/>
      <c r="I591" s="221"/>
      <c r="J591" s="221"/>
      <c r="K591" s="221"/>
      <c r="L591" s="221"/>
      <c r="M591" s="500" t="s">
        <v>991</v>
      </c>
      <c r="N591" s="500" t="s">
        <v>991</v>
      </c>
      <c r="O591" s="500" t="s">
        <v>991</v>
      </c>
      <c r="P591" s="500" t="s">
        <v>991</v>
      </c>
      <c r="Q591" s="500" t="s">
        <v>991</v>
      </c>
      <c r="R591" s="500" t="s">
        <v>991</v>
      </c>
      <c r="S591" s="500" t="s">
        <v>991</v>
      </c>
      <c r="T591" s="500" t="s">
        <v>991</v>
      </c>
      <c r="U591" s="500" t="s">
        <v>991</v>
      </c>
      <c r="V591" s="500" t="s">
        <v>991</v>
      </c>
      <c r="W591" s="500" t="s">
        <v>991</v>
      </c>
      <c r="X591" s="500" t="s">
        <v>991</v>
      </c>
      <c r="Y591" s="500" t="s">
        <v>991</v>
      </c>
      <c r="Z591" s="500" t="s">
        <v>991</v>
      </c>
      <c r="AA591" s="500" t="s">
        <v>991</v>
      </c>
      <c r="AB591" s="500" t="s">
        <v>991</v>
      </c>
      <c r="AC591" s="500" t="s">
        <v>991</v>
      </c>
      <c r="AD591" s="500" t="s">
        <v>991</v>
      </c>
      <c r="AE591" s="500" t="s">
        <v>991</v>
      </c>
      <c r="AF591" s="500" t="s">
        <v>991</v>
      </c>
      <c r="AG591" s="500" t="s">
        <v>991</v>
      </c>
      <c r="AH591" s="500" t="s">
        <v>991</v>
      </c>
      <c r="AI591" s="500" t="s">
        <v>991</v>
      </c>
      <c r="AJ591" s="500" t="s">
        <v>991</v>
      </c>
      <c r="AK591" s="500" t="s">
        <v>991</v>
      </c>
      <c r="AL591" s="500" t="s">
        <v>991</v>
      </c>
      <c r="AM591" s="500" t="s">
        <v>991</v>
      </c>
      <c r="AN591" s="500" t="s">
        <v>991</v>
      </c>
    </row>
    <row r="592" spans="1:40" s="3" customFormat="1">
      <c r="A592" s="1"/>
      <c r="B592" s="189" t="s">
        <v>2</v>
      </c>
      <c r="C592" s="82" t="s">
        <v>900</v>
      </c>
      <c r="D592" s="4"/>
      <c r="E592" s="4"/>
      <c r="F592" s="4"/>
      <c r="G592" s="235"/>
      <c r="H592" s="235"/>
      <c r="I592" s="235"/>
      <c r="J592" s="235"/>
      <c r="K592" s="235"/>
      <c r="L592" s="235"/>
      <c r="M592" s="485">
        <v>170.5</v>
      </c>
      <c r="N592" s="485">
        <f>381.6-M592</f>
        <v>211.10000000000002</v>
      </c>
      <c r="O592" s="499">
        <f t="shared" ref="O592:AN592" si="393">O295</f>
        <v>196.6</v>
      </c>
      <c r="P592" s="499">
        <f t="shared" si="393"/>
        <v>194.4</v>
      </c>
      <c r="Q592" s="499">
        <f t="shared" si="393"/>
        <v>169.8</v>
      </c>
      <c r="R592" s="499">
        <f t="shared" si="393"/>
        <v>147.89999999999998</v>
      </c>
      <c r="S592" s="499">
        <f t="shared" si="393"/>
        <v>190.2</v>
      </c>
      <c r="T592" s="499">
        <f t="shared" si="393"/>
        <v>201.3</v>
      </c>
      <c r="U592" s="499">
        <f t="shared" si="393"/>
        <v>217.4</v>
      </c>
      <c r="V592" s="499">
        <f t="shared" si="393"/>
        <v>214.29999999999998</v>
      </c>
      <c r="W592" s="499">
        <f t="shared" si="393"/>
        <v>245.91365320419683</v>
      </c>
      <c r="X592" s="499">
        <f t="shared" si="393"/>
        <v>220.50641127075005</v>
      </c>
      <c r="Y592" s="499">
        <f t="shared" si="393"/>
        <v>252.5909362220219</v>
      </c>
      <c r="Z592" s="499">
        <f t="shared" si="393"/>
        <v>233.05483452447999</v>
      </c>
      <c r="AA592" s="499">
        <f t="shared" si="393"/>
        <v>260.32813375597885</v>
      </c>
      <c r="AB592" s="499">
        <f t="shared" si="393"/>
        <v>234.03557596429465</v>
      </c>
      <c r="AC592" s="499">
        <f t="shared" si="393"/>
        <v>263.98405265487986</v>
      </c>
      <c r="AD592" s="499">
        <f t="shared" si="393"/>
        <v>237.27680381304012</v>
      </c>
      <c r="AE592" s="499">
        <f t="shared" si="393"/>
        <v>266.91994186997368</v>
      </c>
      <c r="AF592" s="499">
        <f t="shared" si="393"/>
        <v>240.1555074920955</v>
      </c>
      <c r="AG592" s="499">
        <f t="shared" si="393"/>
        <v>270.09346120412431</v>
      </c>
      <c r="AH592" s="499">
        <f t="shared" si="393"/>
        <v>243.26233677028503</v>
      </c>
      <c r="AI592" s="499">
        <f t="shared" si="393"/>
        <v>273.51225069285624</v>
      </c>
      <c r="AJ592" s="499">
        <f t="shared" si="393"/>
        <v>246.60471746438341</v>
      </c>
      <c r="AK592" s="499">
        <f t="shared" si="393"/>
        <v>277.18421459476878</v>
      </c>
      <c r="AL592" s="499">
        <f t="shared" si="393"/>
        <v>250.19033233905387</v>
      </c>
      <c r="AM592" s="499">
        <f t="shared" si="393"/>
        <v>281.11752977067238</v>
      </c>
      <c r="AN592" s="499">
        <f t="shared" si="393"/>
        <v>254.02712927342938</v>
      </c>
    </row>
    <row r="593" spans="1:40">
      <c r="B593" s="192" t="s">
        <v>8</v>
      </c>
      <c r="C593" s="82" t="s">
        <v>900</v>
      </c>
      <c r="D593" s="2"/>
      <c r="E593" s="2"/>
      <c r="F593" s="2"/>
      <c r="G593" s="7"/>
      <c r="H593" s="7"/>
      <c r="I593" s="7"/>
      <c r="J593" s="7"/>
      <c r="K593" s="7"/>
      <c r="L593" s="7"/>
      <c r="M593" s="132">
        <f>M596-M594-M592</f>
        <v>-41.75</v>
      </c>
      <c r="N593" s="132">
        <f>N596-N594-N592</f>
        <v>-42.750000000000028</v>
      </c>
      <c r="O593" s="132">
        <f t="shared" ref="O593:AL593" si="394">O596-O594-O592</f>
        <v>-44.499999999999972</v>
      </c>
      <c r="P593" s="132">
        <f t="shared" si="394"/>
        <v>-38.200000000000017</v>
      </c>
      <c r="Q593" s="132">
        <f t="shared" ref="Q593:V593" si="395">Q596-Q594-Q592</f>
        <v>-45.200000000000017</v>
      </c>
      <c r="R593" s="132">
        <f t="shared" si="395"/>
        <v>-25.899999999999977</v>
      </c>
      <c r="S593" s="132">
        <f t="shared" si="395"/>
        <v>-35.549999999999983</v>
      </c>
      <c r="T593" s="132">
        <f t="shared" si="395"/>
        <v>-21.949999999999875</v>
      </c>
      <c r="U593" s="132">
        <f t="shared" si="395"/>
        <v>-21.950000000000017</v>
      </c>
      <c r="V593" s="132">
        <f t="shared" si="395"/>
        <v>-36.450000000000131</v>
      </c>
      <c r="W593" s="132">
        <f t="shared" si="394"/>
        <v>-35.5</v>
      </c>
      <c r="X593" s="132">
        <f t="shared" si="394"/>
        <v>-35.5</v>
      </c>
      <c r="Y593" s="132">
        <f t="shared" si="394"/>
        <v>-30</v>
      </c>
      <c r="Z593" s="132">
        <f t="shared" si="394"/>
        <v>-30</v>
      </c>
      <c r="AA593" s="132">
        <f t="shared" si="394"/>
        <v>-30</v>
      </c>
      <c r="AB593" s="132">
        <f t="shared" si="394"/>
        <v>-29.932982450611235</v>
      </c>
      <c r="AC593" s="132">
        <f t="shared" si="394"/>
        <v>-29.682349530782403</v>
      </c>
      <c r="AD593" s="132">
        <f t="shared" si="394"/>
        <v>-29.748170872181163</v>
      </c>
      <c r="AE593" s="132">
        <f t="shared" si="394"/>
        <v>-29.609351866631897</v>
      </c>
      <c r="AF593" s="132">
        <f t="shared" si="394"/>
        <v>-29.749677085112893</v>
      </c>
      <c r="AG593" s="132">
        <f t="shared" si="394"/>
        <v>-29.674635286886144</v>
      </c>
      <c r="AH593" s="132">
        <f t="shared" si="394"/>
        <v>-29.873455125693425</v>
      </c>
      <c r="AI593" s="132">
        <f t="shared" si="394"/>
        <v>-29.848250610994569</v>
      </c>
      <c r="AJ593" s="132">
        <f t="shared" si="394"/>
        <v>-30.093634539365382</v>
      </c>
      <c r="AK593" s="132">
        <f t="shared" si="394"/>
        <v>-30.10785839418304</v>
      </c>
      <c r="AL593" s="132">
        <f t="shared" si="394"/>
        <v>-30.390938041063549</v>
      </c>
      <c r="AM593" s="132">
        <f>AM596-AM594-AM592</f>
        <v>-32.783955233412371</v>
      </c>
      <c r="AN593" s="132">
        <f>AN596-AN594-AN592</f>
        <v>-31.287348806070014</v>
      </c>
    </row>
    <row r="594" spans="1:40">
      <c r="B594" s="192" t="s">
        <v>9</v>
      </c>
      <c r="C594" s="82" t="s">
        <v>900</v>
      </c>
      <c r="D594" s="2"/>
      <c r="E594" s="2"/>
      <c r="F594" s="2"/>
      <c r="G594" s="7"/>
      <c r="H594" s="7"/>
      <c r="I594" s="7"/>
      <c r="J594" s="7"/>
      <c r="K594" s="7"/>
      <c r="L594" s="7"/>
      <c r="M594" s="256">
        <v>-100.94999999999999</v>
      </c>
      <c r="N594" s="256">
        <v>-100.94999999999999</v>
      </c>
      <c r="O594" s="132">
        <f t="shared" ref="O594:AN594" si="396">O416+O388+O389</f>
        <v>-78.900000000000006</v>
      </c>
      <c r="P594" s="132">
        <f t="shared" si="396"/>
        <v>-78.900000000000006</v>
      </c>
      <c r="Q594" s="132">
        <f t="shared" si="396"/>
        <v>-74.599999999999994</v>
      </c>
      <c r="R594" s="132">
        <f t="shared" si="396"/>
        <v>-74.599999999999994</v>
      </c>
      <c r="S594" s="132">
        <f t="shared" si="396"/>
        <v>-61.95</v>
      </c>
      <c r="T594" s="132">
        <f t="shared" si="396"/>
        <v>-83.350000000000136</v>
      </c>
      <c r="U594" s="132">
        <f t="shared" si="396"/>
        <v>-85.25</v>
      </c>
      <c r="V594" s="132">
        <f t="shared" si="396"/>
        <v>-69.349999999999866</v>
      </c>
      <c r="W594" s="132">
        <f t="shared" si="396"/>
        <v>-78.699999999999818</v>
      </c>
      <c r="X594" s="132">
        <f t="shared" si="396"/>
        <v>-78.699999999999818</v>
      </c>
      <c r="Y594" s="132">
        <f t="shared" si="396"/>
        <v>-81.699999999999818</v>
      </c>
      <c r="Z594" s="132">
        <f t="shared" si="396"/>
        <v>-81.699999999999818</v>
      </c>
      <c r="AA594" s="132">
        <f t="shared" si="396"/>
        <v>-83.905882352940978</v>
      </c>
      <c r="AB594" s="132">
        <f t="shared" si="396"/>
        <v>-81.357109011711771</v>
      </c>
      <c r="AC594" s="132">
        <f t="shared" si="396"/>
        <v>-78.91870227092501</v>
      </c>
      <c r="AD594" s="132">
        <f t="shared" si="396"/>
        <v>-77.005487516559185</v>
      </c>
      <c r="AE594" s="132">
        <f t="shared" si="396"/>
        <v>-75.115479276017226</v>
      </c>
      <c r="AF594" s="132">
        <f t="shared" si="396"/>
        <v>-73.846893720488424</v>
      </c>
      <c r="AG594" s="132">
        <f t="shared" si="396"/>
        <v>-72.505723735538794</v>
      </c>
      <c r="AH594" s="132">
        <f t="shared" si="396"/>
        <v>-71.709556036096529</v>
      </c>
      <c r="AI594" s="132">
        <f t="shared" si="396"/>
        <v>-70.770240866239902</v>
      </c>
      <c r="AJ594" s="132">
        <f t="shared" si="396"/>
        <v>-70.321311660485406</v>
      </c>
      <c r="AK594" s="132">
        <f t="shared" si="396"/>
        <v>-69.676981134211601</v>
      </c>
      <c r="AL594" s="132">
        <f t="shared" si="396"/>
        <v>-69.48433038324761</v>
      </c>
      <c r="AM594" s="132">
        <f t="shared" si="396"/>
        <v>-66.580517530455126</v>
      </c>
      <c r="AN594" s="132">
        <f t="shared" si="396"/>
        <v>-66.580517530455126</v>
      </c>
    </row>
    <row r="595" spans="1:40">
      <c r="B595" s="224" t="s">
        <v>991</v>
      </c>
      <c r="C595" s="166"/>
      <c r="D595" s="5"/>
      <c r="E595" s="5"/>
      <c r="F595" s="5"/>
      <c r="G595" s="221"/>
      <c r="H595" s="221"/>
      <c r="I595" s="221"/>
      <c r="J595" s="221"/>
      <c r="K595" s="221"/>
      <c r="L595" s="221"/>
      <c r="M595" s="500" t="s">
        <v>991</v>
      </c>
      <c r="N595" s="500" t="s">
        <v>991</v>
      </c>
      <c r="O595" s="500" t="s">
        <v>991</v>
      </c>
      <c r="P595" s="500" t="s">
        <v>991</v>
      </c>
      <c r="Q595" s="500" t="s">
        <v>991</v>
      </c>
      <c r="R595" s="500" t="s">
        <v>991</v>
      </c>
      <c r="S595" s="500" t="s">
        <v>991</v>
      </c>
      <c r="T595" s="500" t="s">
        <v>991</v>
      </c>
      <c r="U595" s="500" t="s">
        <v>991</v>
      </c>
      <c r="V595" s="500" t="s">
        <v>991</v>
      </c>
      <c r="W595" s="500" t="s">
        <v>991</v>
      </c>
      <c r="X595" s="500" t="s">
        <v>991</v>
      </c>
      <c r="Y595" s="500" t="s">
        <v>991</v>
      </c>
      <c r="Z595" s="500" t="s">
        <v>991</v>
      </c>
      <c r="AA595" s="500" t="s">
        <v>991</v>
      </c>
      <c r="AB595" s="500" t="s">
        <v>991</v>
      </c>
      <c r="AC595" s="500" t="s">
        <v>991</v>
      </c>
      <c r="AD595" s="500" t="s">
        <v>991</v>
      </c>
      <c r="AE595" s="500" t="s">
        <v>991</v>
      </c>
      <c r="AF595" s="500" t="s">
        <v>991</v>
      </c>
      <c r="AG595" s="500" t="s">
        <v>991</v>
      </c>
      <c r="AH595" s="500" t="s">
        <v>991</v>
      </c>
      <c r="AI595" s="500" t="s">
        <v>991</v>
      </c>
      <c r="AJ595" s="500" t="s">
        <v>991</v>
      </c>
      <c r="AK595" s="500" t="s">
        <v>991</v>
      </c>
      <c r="AL595" s="500" t="s">
        <v>991</v>
      </c>
      <c r="AM595" s="500" t="s">
        <v>991</v>
      </c>
      <c r="AN595" s="500" t="s">
        <v>991</v>
      </c>
    </row>
    <row r="596" spans="1:40" s="3" customFormat="1">
      <c r="A596" s="1"/>
      <c r="B596" s="189" t="s">
        <v>10</v>
      </c>
      <c r="C596" s="82" t="s">
        <v>900</v>
      </c>
      <c r="D596" s="4"/>
      <c r="E596" s="4"/>
      <c r="F596" s="4"/>
      <c r="G596" s="235"/>
      <c r="H596" s="235"/>
      <c r="I596" s="235"/>
      <c r="J596" s="235"/>
      <c r="K596" s="235"/>
      <c r="L596" s="235"/>
      <c r="M596" s="485">
        <v>27.8</v>
      </c>
      <c r="N596" s="485">
        <f>95.2-M596</f>
        <v>67.400000000000006</v>
      </c>
      <c r="O596" s="499">
        <f t="shared" ref="O596:AN596" si="397">O311</f>
        <v>73.2</v>
      </c>
      <c r="P596" s="499">
        <f t="shared" si="397"/>
        <v>77.3</v>
      </c>
      <c r="Q596" s="499">
        <f t="shared" si="397"/>
        <v>50</v>
      </c>
      <c r="R596" s="499">
        <f t="shared" si="397"/>
        <v>47.400000000000006</v>
      </c>
      <c r="S596" s="499">
        <f t="shared" si="397"/>
        <v>92.7</v>
      </c>
      <c r="T596" s="499">
        <f t="shared" si="397"/>
        <v>95.999999999999986</v>
      </c>
      <c r="U596" s="499">
        <f t="shared" si="397"/>
        <v>110.2</v>
      </c>
      <c r="V596" s="499">
        <f t="shared" si="397"/>
        <v>108.49999999999999</v>
      </c>
      <c r="W596" s="499">
        <f t="shared" si="397"/>
        <v>131.71365320419702</v>
      </c>
      <c r="X596" s="499">
        <f t="shared" si="397"/>
        <v>106.30641127075023</v>
      </c>
      <c r="Y596" s="499">
        <f t="shared" si="397"/>
        <v>140.89093622202208</v>
      </c>
      <c r="Z596" s="499">
        <f t="shared" si="397"/>
        <v>121.35483452448017</v>
      </c>
      <c r="AA596" s="499">
        <f t="shared" si="397"/>
        <v>146.42225140303788</v>
      </c>
      <c r="AB596" s="499">
        <f t="shared" si="397"/>
        <v>122.74548450197165</v>
      </c>
      <c r="AC596" s="499">
        <f t="shared" si="397"/>
        <v>155.38300085317246</v>
      </c>
      <c r="AD596" s="499">
        <f t="shared" si="397"/>
        <v>130.52314542429977</v>
      </c>
      <c r="AE596" s="499">
        <f t="shared" si="397"/>
        <v>162.19511072732456</v>
      </c>
      <c r="AF596" s="499">
        <f t="shared" si="397"/>
        <v>136.55893668649418</v>
      </c>
      <c r="AG596" s="499">
        <f t="shared" si="397"/>
        <v>167.91310218169937</v>
      </c>
      <c r="AH596" s="499">
        <f t="shared" si="397"/>
        <v>141.67932560849508</v>
      </c>
      <c r="AI596" s="499">
        <f t="shared" si="397"/>
        <v>172.89375921562177</v>
      </c>
      <c r="AJ596" s="499">
        <f t="shared" si="397"/>
        <v>146.18977126453262</v>
      </c>
      <c r="AK596" s="499">
        <f t="shared" si="397"/>
        <v>177.39937506637415</v>
      </c>
      <c r="AL596" s="499">
        <f t="shared" si="397"/>
        <v>150.31506391474272</v>
      </c>
      <c r="AM596" s="499">
        <f t="shared" si="397"/>
        <v>181.75305700680488</v>
      </c>
      <c r="AN596" s="499">
        <f t="shared" si="397"/>
        <v>156.15926293690424</v>
      </c>
    </row>
    <row r="597" spans="1:40">
      <c r="B597" s="192" t="s">
        <v>12</v>
      </c>
      <c r="C597" s="82" t="s">
        <v>900</v>
      </c>
      <c r="D597" s="2"/>
      <c r="E597" s="2"/>
      <c r="F597" s="2"/>
      <c r="G597" s="7"/>
      <c r="H597" s="7"/>
      <c r="I597" s="7"/>
      <c r="J597" s="7"/>
      <c r="K597" s="7"/>
      <c r="L597" s="7"/>
      <c r="M597" s="132">
        <f t="shared" ref="M597:AN597" si="398">M470</f>
        <v>0.2</v>
      </c>
      <c r="N597" s="132">
        <f t="shared" si="398"/>
        <v>0.2</v>
      </c>
      <c r="O597" s="132">
        <f t="shared" si="398"/>
        <v>1.7</v>
      </c>
      <c r="P597" s="132">
        <f t="shared" si="398"/>
        <v>2.8999999999999995</v>
      </c>
      <c r="Q597" s="132">
        <f t="shared" si="398"/>
        <v>12</v>
      </c>
      <c r="R597" s="132">
        <f t="shared" si="398"/>
        <v>5.3000000000000007</v>
      </c>
      <c r="S597" s="132">
        <f t="shared" si="398"/>
        <v>5.6</v>
      </c>
      <c r="T597" s="132">
        <f t="shared" si="398"/>
        <v>3.9000000000000004</v>
      </c>
      <c r="U597" s="132">
        <f t="shared" si="398"/>
        <v>3.3</v>
      </c>
      <c r="V597" s="132">
        <f t="shared" si="398"/>
        <v>3.6000000000000005</v>
      </c>
      <c r="W597" s="132">
        <f t="shared" si="398"/>
        <v>4.1622312328767128</v>
      </c>
      <c r="X597" s="132">
        <f t="shared" si="398"/>
        <v>5.0523729355346338</v>
      </c>
      <c r="Y597" s="132">
        <f t="shared" si="398"/>
        <v>3.3918942463516406</v>
      </c>
      <c r="Z597" s="132">
        <f t="shared" si="398"/>
        <v>4.2732294854705373</v>
      </c>
      <c r="AA597" s="132">
        <f t="shared" si="398"/>
        <v>4.445283102685246</v>
      </c>
      <c r="AB597" s="132">
        <f t="shared" si="398"/>
        <v>5.3380127167279783</v>
      </c>
      <c r="AC597" s="132">
        <f t="shared" si="398"/>
        <v>5.7792673196342808</v>
      </c>
      <c r="AD597" s="132">
        <f t="shared" si="398"/>
        <v>6.845173844401427</v>
      </c>
      <c r="AE597" s="132">
        <f t="shared" si="398"/>
        <v>7.4050631888863556</v>
      </c>
      <c r="AF597" s="132">
        <f t="shared" si="398"/>
        <v>8.3790701600457052</v>
      </c>
      <c r="AG597" s="132">
        <f t="shared" si="398"/>
        <v>8.9488096447591072</v>
      </c>
      <c r="AH597" s="132">
        <f t="shared" si="398"/>
        <v>10.530641207992394</v>
      </c>
      <c r="AI597" s="132">
        <f t="shared" si="398"/>
        <v>11.512136166891009</v>
      </c>
      <c r="AJ597" s="132">
        <f t="shared" si="398"/>
        <v>13.062529335725856</v>
      </c>
      <c r="AK597" s="132">
        <f t="shared" si="398"/>
        <v>14.211514977231639</v>
      </c>
      <c r="AL597" s="132">
        <f t="shared" si="398"/>
        <v>15.874330768800062</v>
      </c>
      <c r="AM597" s="132">
        <f t="shared" si="398"/>
        <v>17.273292046383485</v>
      </c>
      <c r="AN597" s="132">
        <f t="shared" si="398"/>
        <v>18.96886942179102</v>
      </c>
    </row>
    <row r="598" spans="1:40">
      <c r="B598" s="192" t="s">
        <v>11</v>
      </c>
      <c r="C598" s="82" t="s">
        <v>900</v>
      </c>
      <c r="D598" s="2"/>
      <c r="E598" s="2"/>
      <c r="F598" s="2"/>
      <c r="G598" s="7"/>
      <c r="H598" s="7"/>
      <c r="I598" s="7"/>
      <c r="J598" s="7"/>
      <c r="K598" s="7"/>
      <c r="L598" s="7"/>
      <c r="M598" s="132">
        <f t="shared" ref="M598:AN598" si="399">M471</f>
        <v>-64.400000000000006</v>
      </c>
      <c r="N598" s="132">
        <f t="shared" si="399"/>
        <v>-51.899999999999991</v>
      </c>
      <c r="O598" s="132">
        <f t="shared" si="399"/>
        <v>-10.199999999999999</v>
      </c>
      <c r="P598" s="132">
        <f t="shared" si="399"/>
        <v>-18.2</v>
      </c>
      <c r="Q598" s="132">
        <f t="shared" si="399"/>
        <v>-20.399999999999999</v>
      </c>
      <c r="R598" s="132">
        <f t="shared" si="399"/>
        <v>-20.100000000000001</v>
      </c>
      <c r="S598" s="132">
        <f t="shared" si="399"/>
        <v>-37.5</v>
      </c>
      <c r="T598" s="132">
        <f t="shared" si="399"/>
        <v>-31.299999999999997</v>
      </c>
      <c r="U598" s="132">
        <f t="shared" si="399"/>
        <v>-29.9</v>
      </c>
      <c r="V598" s="132">
        <f t="shared" si="399"/>
        <v>-29.400000000000006</v>
      </c>
      <c r="W598" s="132">
        <f t="shared" si="399"/>
        <v>-30.198180821917809</v>
      </c>
      <c r="X598" s="132">
        <f t="shared" si="399"/>
        <v>-34.455953424657537</v>
      </c>
      <c r="Y598" s="132">
        <f t="shared" si="399"/>
        <v>-35.027046575342467</v>
      </c>
      <c r="Z598" s="132">
        <f t="shared" si="399"/>
        <v>-34.64631780821918</v>
      </c>
      <c r="AA598" s="132">
        <f t="shared" si="399"/>
        <v>-35.027046575342467</v>
      </c>
      <c r="AB598" s="132">
        <f t="shared" si="399"/>
        <v>-34.455953424657537</v>
      </c>
      <c r="AC598" s="132">
        <f t="shared" si="399"/>
        <v>-35.027046575342467</v>
      </c>
      <c r="AD598" s="132">
        <f t="shared" si="399"/>
        <v>-34.455953424657537</v>
      </c>
      <c r="AE598" s="132">
        <f t="shared" si="399"/>
        <v>-34.011769863013704</v>
      </c>
      <c r="AF598" s="132">
        <f t="shared" si="399"/>
        <v>-33.457230136986304</v>
      </c>
      <c r="AG598" s="132">
        <f t="shared" si="399"/>
        <v>-34.011769863013704</v>
      </c>
      <c r="AH598" s="132">
        <f t="shared" si="399"/>
        <v>-33.642076712328773</v>
      </c>
      <c r="AI598" s="132">
        <f t="shared" si="399"/>
        <v>-34.011769863013704</v>
      </c>
      <c r="AJ598" s="132">
        <f t="shared" si="399"/>
        <v>-33.457230136986304</v>
      </c>
      <c r="AK598" s="132">
        <f t="shared" si="399"/>
        <v>-34.011769863013704</v>
      </c>
      <c r="AL598" s="132">
        <f t="shared" si="399"/>
        <v>-33.457230136986304</v>
      </c>
      <c r="AM598" s="132">
        <f t="shared" si="399"/>
        <v>-34.011769863013704</v>
      </c>
      <c r="AN598" s="132">
        <f t="shared" si="399"/>
        <v>-33.457230136986304</v>
      </c>
    </row>
    <row r="599" spans="1:40">
      <c r="B599" s="192" t="s">
        <v>1090</v>
      </c>
      <c r="C599" s="82" t="s">
        <v>900</v>
      </c>
      <c r="D599" s="2"/>
      <c r="E599" s="2"/>
      <c r="F599" s="2"/>
      <c r="G599" s="7"/>
      <c r="H599" s="7"/>
      <c r="I599" s="7"/>
      <c r="J599" s="7"/>
      <c r="K599" s="7"/>
      <c r="L599" s="7"/>
      <c r="M599" s="132">
        <f>M472</f>
        <v>-5.3</v>
      </c>
      <c r="N599" s="256">
        <f>-125.4-SUM(M597:M599,N597:N598)</f>
        <v>-4.2000000000000171</v>
      </c>
      <c r="O599" s="132">
        <f t="shared" ref="O599:AN599" si="400">O472</f>
        <v>-4.4000000000000004</v>
      </c>
      <c r="P599" s="132">
        <f t="shared" si="400"/>
        <v>-4.2999999999999989</v>
      </c>
      <c r="Q599" s="132">
        <f t="shared" si="400"/>
        <v>-12.5</v>
      </c>
      <c r="R599" s="132">
        <f t="shared" si="400"/>
        <v>-6.5</v>
      </c>
      <c r="S599" s="132">
        <f t="shared" si="400"/>
        <v>-14.1</v>
      </c>
      <c r="T599" s="132">
        <f t="shared" si="400"/>
        <v>-18.100000000000001</v>
      </c>
      <c r="U599" s="132">
        <f t="shared" si="400"/>
        <v>-16.3</v>
      </c>
      <c r="V599" s="132">
        <f t="shared" si="400"/>
        <v>-17.499999999999996</v>
      </c>
      <c r="W599" s="132">
        <f t="shared" si="400"/>
        <v>-16</v>
      </c>
      <c r="X599" s="132">
        <f t="shared" si="400"/>
        <v>-16</v>
      </c>
      <c r="Y599" s="132">
        <f t="shared" si="400"/>
        <v>-16</v>
      </c>
      <c r="Z599" s="132">
        <f t="shared" si="400"/>
        <v>-16</v>
      </c>
      <c r="AA599" s="132">
        <f t="shared" si="400"/>
        <v>-17</v>
      </c>
      <c r="AB599" s="132">
        <f t="shared" si="400"/>
        <v>-17</v>
      </c>
      <c r="AC599" s="132">
        <f t="shared" si="400"/>
        <v>-17</v>
      </c>
      <c r="AD599" s="132">
        <f t="shared" si="400"/>
        <v>-17</v>
      </c>
      <c r="AE599" s="132">
        <f t="shared" si="400"/>
        <v>-17</v>
      </c>
      <c r="AF599" s="132">
        <f t="shared" si="400"/>
        <v>-17</v>
      </c>
      <c r="AG599" s="132">
        <f t="shared" si="400"/>
        <v>-17</v>
      </c>
      <c r="AH599" s="132">
        <f t="shared" si="400"/>
        <v>-17</v>
      </c>
      <c r="AI599" s="132">
        <f t="shared" si="400"/>
        <v>-17</v>
      </c>
      <c r="AJ599" s="132">
        <f t="shared" si="400"/>
        <v>-17</v>
      </c>
      <c r="AK599" s="132">
        <f t="shared" si="400"/>
        <v>-17</v>
      </c>
      <c r="AL599" s="132">
        <f t="shared" si="400"/>
        <v>-17</v>
      </c>
      <c r="AM599" s="132">
        <f t="shared" si="400"/>
        <v>-17</v>
      </c>
      <c r="AN599" s="132">
        <f t="shared" si="400"/>
        <v>-17</v>
      </c>
    </row>
    <row r="600" spans="1:40">
      <c r="B600" s="192" t="s">
        <v>49</v>
      </c>
      <c r="C600" s="82" t="s">
        <v>900</v>
      </c>
      <c r="D600" s="2"/>
      <c r="E600" s="2"/>
      <c r="F600" s="2"/>
      <c r="G600" s="236"/>
      <c r="H600" s="236"/>
      <c r="I600" s="236"/>
      <c r="J600" s="236"/>
      <c r="K600" s="236"/>
      <c r="L600" s="236"/>
      <c r="M600" s="136">
        <f t="shared" ref="M600:AN600" si="401">M315</f>
        <v>0</v>
      </c>
      <c r="N600" s="136">
        <f t="shared" si="401"/>
        <v>0</v>
      </c>
      <c r="O600" s="136">
        <f t="shared" si="401"/>
        <v>-1.2</v>
      </c>
      <c r="P600" s="136">
        <f t="shared" si="401"/>
        <v>-1.5000000000000002</v>
      </c>
      <c r="Q600" s="136">
        <f t="shared" si="401"/>
        <v>-2.8</v>
      </c>
      <c r="R600" s="136">
        <f t="shared" si="401"/>
        <v>-0.40000000000000036</v>
      </c>
      <c r="S600" s="136">
        <f t="shared" si="401"/>
        <v>-0.5</v>
      </c>
      <c r="T600" s="136">
        <f t="shared" si="401"/>
        <v>4.3</v>
      </c>
      <c r="U600" s="136">
        <f t="shared" si="401"/>
        <v>-4.5999999999999996</v>
      </c>
      <c r="V600" s="136">
        <f t="shared" si="401"/>
        <v>1.5999999999999996</v>
      </c>
      <c r="W600" s="136">
        <f t="shared" si="401"/>
        <v>0</v>
      </c>
      <c r="X600" s="136">
        <f t="shared" si="401"/>
        <v>1</v>
      </c>
      <c r="Y600" s="136">
        <f t="shared" si="401"/>
        <v>4</v>
      </c>
      <c r="Z600" s="136">
        <f t="shared" si="401"/>
        <v>8</v>
      </c>
      <c r="AA600" s="136">
        <f t="shared" si="401"/>
        <v>10</v>
      </c>
      <c r="AB600" s="136">
        <f t="shared" si="401"/>
        <v>12</v>
      </c>
      <c r="AC600" s="136">
        <f t="shared" si="401"/>
        <v>14</v>
      </c>
      <c r="AD600" s="136">
        <f t="shared" si="401"/>
        <v>16</v>
      </c>
      <c r="AE600" s="136">
        <f t="shared" si="401"/>
        <v>14.42</v>
      </c>
      <c r="AF600" s="136">
        <f t="shared" si="401"/>
        <v>16.48</v>
      </c>
      <c r="AG600" s="136">
        <f t="shared" si="401"/>
        <v>14.852600000000001</v>
      </c>
      <c r="AH600" s="136">
        <f t="shared" si="401"/>
        <v>16.974399999999999</v>
      </c>
      <c r="AI600" s="136">
        <f t="shared" si="401"/>
        <v>15.298178000000002</v>
      </c>
      <c r="AJ600" s="136">
        <f t="shared" si="401"/>
        <v>17.483632</v>
      </c>
      <c r="AK600" s="136">
        <f t="shared" si="401"/>
        <v>15.757123340000001</v>
      </c>
      <c r="AL600" s="136">
        <f t="shared" si="401"/>
        <v>18.008140960000002</v>
      </c>
      <c r="AM600" s="136">
        <f t="shared" si="401"/>
        <v>16.229837040200003</v>
      </c>
      <c r="AN600" s="136">
        <f t="shared" si="401"/>
        <v>18.548385188800001</v>
      </c>
    </row>
    <row r="601" spans="1:40">
      <c r="B601" s="224" t="s">
        <v>991</v>
      </c>
      <c r="C601" s="166"/>
      <c r="D601" s="5"/>
      <c r="E601" s="5"/>
      <c r="F601" s="5"/>
      <c r="G601" s="221"/>
      <c r="H601" s="221"/>
      <c r="I601" s="221"/>
      <c r="J601" s="221"/>
      <c r="K601" s="221"/>
      <c r="L601" s="221"/>
      <c r="M601" s="500" t="s">
        <v>991</v>
      </c>
      <c r="N601" s="500" t="s">
        <v>991</v>
      </c>
      <c r="O601" s="500" t="s">
        <v>991</v>
      </c>
      <c r="P601" s="500" t="s">
        <v>991</v>
      </c>
      <c r="Q601" s="500" t="s">
        <v>991</v>
      </c>
      <c r="R601" s="500" t="s">
        <v>991</v>
      </c>
      <c r="S601" s="500" t="s">
        <v>991</v>
      </c>
      <c r="T601" s="500" t="s">
        <v>991</v>
      </c>
      <c r="U601" s="500" t="s">
        <v>991</v>
      </c>
      <c r="V601" s="500" t="s">
        <v>991</v>
      </c>
      <c r="W601" s="500" t="s">
        <v>991</v>
      </c>
      <c r="X601" s="500" t="s">
        <v>991</v>
      </c>
      <c r="Y601" s="500" t="s">
        <v>991</v>
      </c>
      <c r="Z601" s="500" t="s">
        <v>991</v>
      </c>
      <c r="AA601" s="500" t="s">
        <v>991</v>
      </c>
      <c r="AB601" s="500" t="s">
        <v>991</v>
      </c>
      <c r="AC601" s="500" t="s">
        <v>991</v>
      </c>
      <c r="AD601" s="500" t="s">
        <v>991</v>
      </c>
      <c r="AE601" s="500" t="s">
        <v>991</v>
      </c>
      <c r="AF601" s="500" t="s">
        <v>991</v>
      </c>
      <c r="AG601" s="500" t="s">
        <v>991</v>
      </c>
      <c r="AH601" s="500" t="s">
        <v>991</v>
      </c>
      <c r="AI601" s="500" t="s">
        <v>991</v>
      </c>
      <c r="AJ601" s="500" t="s">
        <v>991</v>
      </c>
      <c r="AK601" s="500" t="s">
        <v>991</v>
      </c>
      <c r="AL601" s="500" t="s">
        <v>991</v>
      </c>
      <c r="AM601" s="500" t="s">
        <v>991</v>
      </c>
      <c r="AN601" s="500" t="s">
        <v>991</v>
      </c>
    </row>
    <row r="602" spans="1:40" s="3" customFormat="1">
      <c r="A602" s="1"/>
      <c r="B602" s="189" t="s">
        <v>13</v>
      </c>
      <c r="C602" s="82" t="s">
        <v>900</v>
      </c>
      <c r="D602" s="4"/>
      <c r="E602" s="4"/>
      <c r="F602" s="4"/>
      <c r="G602" s="235"/>
      <c r="H602" s="235"/>
      <c r="I602" s="235"/>
      <c r="J602" s="235"/>
      <c r="K602" s="235"/>
      <c r="L602" s="235"/>
      <c r="M602" s="499">
        <f>SUM(M596:M601)</f>
        <v>-41.7</v>
      </c>
      <c r="N602" s="499">
        <f>SUM(N596:N601)</f>
        <v>11.5</v>
      </c>
      <c r="O602" s="499">
        <f t="shared" ref="O602:AN602" si="402">O320</f>
        <v>59.1</v>
      </c>
      <c r="P602" s="499">
        <f t="shared" si="402"/>
        <v>56.199999999999996</v>
      </c>
      <c r="Q602" s="499">
        <f t="shared" si="402"/>
        <v>26.300000000000004</v>
      </c>
      <c r="R602" s="499">
        <f t="shared" si="402"/>
        <v>25.700000000000003</v>
      </c>
      <c r="S602" s="499">
        <f t="shared" si="402"/>
        <v>46.2</v>
      </c>
      <c r="T602" s="499">
        <f t="shared" si="402"/>
        <v>54.799999999999983</v>
      </c>
      <c r="U602" s="499">
        <f t="shared" si="402"/>
        <v>62.70000000000001</v>
      </c>
      <c r="V602" s="499">
        <f t="shared" si="402"/>
        <v>66.799999999999983</v>
      </c>
      <c r="W602" s="499">
        <f t="shared" si="402"/>
        <v>89.67770361515592</v>
      </c>
      <c r="X602" s="499">
        <f t="shared" si="402"/>
        <v>61.90283078162733</v>
      </c>
      <c r="Y602" s="499">
        <f t="shared" si="402"/>
        <v>97.25578389303125</v>
      </c>
      <c r="Z602" s="499">
        <f t="shared" si="402"/>
        <v>82.981746201731525</v>
      </c>
      <c r="AA602" s="499">
        <f t="shared" si="402"/>
        <v>108.84048793038065</v>
      </c>
      <c r="AB602" s="499">
        <f t="shared" si="402"/>
        <v>88.627543794042083</v>
      </c>
      <c r="AC602" s="499">
        <f t="shared" si="402"/>
        <v>123.13522159746427</v>
      </c>
      <c r="AD602" s="499">
        <f t="shared" si="402"/>
        <v>101.91236584404366</v>
      </c>
      <c r="AE602" s="499">
        <f t="shared" si="402"/>
        <v>133.00840405319718</v>
      </c>
      <c r="AF602" s="499">
        <f t="shared" si="402"/>
        <v>110.96077670955357</v>
      </c>
      <c r="AG602" s="499">
        <f t="shared" si="402"/>
        <v>140.70274196344477</v>
      </c>
      <c r="AH602" s="499">
        <f t="shared" si="402"/>
        <v>118.5422901041587</v>
      </c>
      <c r="AI602" s="499">
        <f t="shared" si="402"/>
        <v>148.69230351949909</v>
      </c>
      <c r="AJ602" s="499">
        <f t="shared" si="402"/>
        <v>126.27870246327217</v>
      </c>
      <c r="AK602" s="499">
        <f t="shared" si="402"/>
        <v>156.35624352059207</v>
      </c>
      <c r="AL602" s="499">
        <f t="shared" si="402"/>
        <v>133.74030550655647</v>
      </c>
      <c r="AM602" s="499">
        <f t="shared" si="402"/>
        <v>164.24441623037467</v>
      </c>
      <c r="AN602" s="499">
        <f t="shared" si="402"/>
        <v>143.21928741050897</v>
      </c>
    </row>
    <row r="603" spans="1:40">
      <c r="B603" s="192" t="s">
        <v>14</v>
      </c>
      <c r="C603" s="82" t="s">
        <v>900</v>
      </c>
      <c r="D603" s="2"/>
      <c r="E603" s="2"/>
      <c r="F603" s="2"/>
      <c r="G603" s="7"/>
      <c r="H603" s="7"/>
      <c r="I603" s="7"/>
      <c r="J603" s="7"/>
      <c r="K603" s="7"/>
      <c r="L603" s="7"/>
      <c r="M603" s="135">
        <v>17.5</v>
      </c>
      <c r="N603" s="135">
        <f>12.1-M603</f>
        <v>-5.4</v>
      </c>
      <c r="O603" s="132">
        <f t="shared" ref="O603:AN603" si="403">O322</f>
        <v>-11.8</v>
      </c>
      <c r="P603" s="132">
        <f t="shared" si="403"/>
        <v>-19.2</v>
      </c>
      <c r="Q603" s="132">
        <f t="shared" si="403"/>
        <v>-8.6999999999999993</v>
      </c>
      <c r="R603" s="132">
        <f t="shared" si="403"/>
        <v>-15.3</v>
      </c>
      <c r="S603" s="132">
        <f t="shared" si="403"/>
        <v>-24.1</v>
      </c>
      <c r="T603" s="132">
        <f t="shared" si="403"/>
        <v>-27.4</v>
      </c>
      <c r="U603" s="132">
        <f t="shared" si="403"/>
        <v>-27</v>
      </c>
      <c r="V603" s="132">
        <f t="shared" si="403"/>
        <v>-31.4</v>
      </c>
      <c r="W603" s="132">
        <f t="shared" si="403"/>
        <v>-35.871081446062369</v>
      </c>
      <c r="X603" s="132">
        <f t="shared" si="403"/>
        <v>-25.999188928283477</v>
      </c>
      <c r="Y603" s="132">
        <f t="shared" si="403"/>
        <v>-36.957197879351874</v>
      </c>
      <c r="Z603" s="132">
        <f t="shared" si="403"/>
        <v>-33.192698480692613</v>
      </c>
      <c r="AA603" s="132">
        <f t="shared" si="403"/>
        <v>-41.359385413544643</v>
      </c>
      <c r="AB603" s="132">
        <f t="shared" si="403"/>
        <v>-35.451017517616833</v>
      </c>
      <c r="AC603" s="132">
        <f t="shared" si="403"/>
        <v>-46.791384207036423</v>
      </c>
      <c r="AD603" s="132">
        <f t="shared" si="403"/>
        <v>-40.764946337617467</v>
      </c>
      <c r="AE603" s="132">
        <f t="shared" si="403"/>
        <v>-50.543193540214929</v>
      </c>
      <c r="AF603" s="132">
        <f t="shared" si="403"/>
        <v>-44.384310683821433</v>
      </c>
      <c r="AG603" s="132">
        <f t="shared" si="403"/>
        <v>-53.467041946109013</v>
      </c>
      <c r="AH603" s="132">
        <f t="shared" si="403"/>
        <v>-47.416916041663484</v>
      </c>
      <c r="AI603" s="132">
        <f t="shared" si="403"/>
        <v>-56.503075337409655</v>
      </c>
      <c r="AJ603" s="132">
        <f t="shared" si="403"/>
        <v>-50.511480985308872</v>
      </c>
      <c r="AK603" s="132">
        <f t="shared" si="403"/>
        <v>-46.906873056177623</v>
      </c>
      <c r="AL603" s="132">
        <f t="shared" si="403"/>
        <v>-40.12209165196694</v>
      </c>
      <c r="AM603" s="132">
        <f t="shared" si="403"/>
        <v>-49.2733248691124</v>
      </c>
      <c r="AN603" s="132">
        <f t="shared" si="403"/>
        <v>-42.965786223152691</v>
      </c>
    </row>
    <row r="604" spans="1:40">
      <c r="B604" s="224" t="s">
        <v>991</v>
      </c>
      <c r="C604" s="166"/>
      <c r="D604" s="5"/>
      <c r="E604" s="5"/>
      <c r="F604" s="5"/>
      <c r="G604" s="221"/>
      <c r="H604" s="221"/>
      <c r="I604" s="221"/>
      <c r="J604" s="221"/>
      <c r="K604" s="221"/>
      <c r="L604" s="221"/>
      <c r="M604" s="500" t="s">
        <v>991</v>
      </c>
      <c r="N604" s="500" t="s">
        <v>991</v>
      </c>
      <c r="O604" s="500" t="s">
        <v>991</v>
      </c>
      <c r="P604" s="500" t="s">
        <v>991</v>
      </c>
      <c r="Q604" s="500" t="s">
        <v>991</v>
      </c>
      <c r="R604" s="500" t="s">
        <v>991</v>
      </c>
      <c r="S604" s="500" t="s">
        <v>991</v>
      </c>
      <c r="T604" s="500" t="s">
        <v>991</v>
      </c>
      <c r="U604" s="500" t="s">
        <v>991</v>
      </c>
      <c r="V604" s="500" t="s">
        <v>991</v>
      </c>
      <c r="W604" s="500" t="s">
        <v>991</v>
      </c>
      <c r="X604" s="500" t="s">
        <v>991</v>
      </c>
      <c r="Y604" s="500" t="s">
        <v>991</v>
      </c>
      <c r="Z604" s="500" t="s">
        <v>991</v>
      </c>
      <c r="AA604" s="500" t="s">
        <v>991</v>
      </c>
      <c r="AB604" s="500" t="s">
        <v>991</v>
      </c>
      <c r="AC604" s="500" t="s">
        <v>991</v>
      </c>
      <c r="AD604" s="500" t="s">
        <v>991</v>
      </c>
      <c r="AE604" s="500" t="s">
        <v>991</v>
      </c>
      <c r="AF604" s="500" t="s">
        <v>991</v>
      </c>
      <c r="AG604" s="500" t="s">
        <v>991</v>
      </c>
      <c r="AH604" s="500" t="s">
        <v>991</v>
      </c>
      <c r="AI604" s="500" t="s">
        <v>991</v>
      </c>
      <c r="AJ604" s="500" t="s">
        <v>991</v>
      </c>
      <c r="AK604" s="500" t="s">
        <v>991</v>
      </c>
      <c r="AL604" s="500" t="s">
        <v>991</v>
      </c>
      <c r="AM604" s="500" t="s">
        <v>991</v>
      </c>
      <c r="AN604" s="500" t="s">
        <v>991</v>
      </c>
    </row>
    <row r="605" spans="1:40" s="3" customFormat="1">
      <c r="A605" s="1"/>
      <c r="B605" s="189" t="s">
        <v>1228</v>
      </c>
      <c r="C605" s="82" t="s">
        <v>900</v>
      </c>
      <c r="D605" s="4"/>
      <c r="E605" s="4"/>
      <c r="F605" s="4"/>
      <c r="G605" s="235"/>
      <c r="H605" s="235"/>
      <c r="I605" s="235"/>
      <c r="J605" s="235"/>
      <c r="K605" s="235"/>
      <c r="L605" s="235"/>
      <c r="M605" s="485">
        <v>-24.2</v>
      </c>
      <c r="N605" s="485">
        <f>-18.1-M605</f>
        <v>6.0999999999999979</v>
      </c>
      <c r="O605" s="499">
        <f t="shared" ref="O605:AN605" si="404">O328</f>
        <v>47.3</v>
      </c>
      <c r="P605" s="499">
        <f t="shared" si="404"/>
        <v>37</v>
      </c>
      <c r="Q605" s="499">
        <f t="shared" si="404"/>
        <v>17.600000000000001</v>
      </c>
      <c r="R605" s="499">
        <f t="shared" si="404"/>
        <v>10.399999999999999</v>
      </c>
      <c r="S605" s="499">
        <f t="shared" si="404"/>
        <v>22.1</v>
      </c>
      <c r="T605" s="499">
        <f t="shared" si="404"/>
        <v>27.4</v>
      </c>
      <c r="U605" s="499">
        <f t="shared" si="404"/>
        <v>35.700000000000003</v>
      </c>
      <c r="V605" s="499">
        <f t="shared" si="404"/>
        <v>35.399999999999991</v>
      </c>
      <c r="W605" s="499">
        <f t="shared" si="404"/>
        <v>53.806622169093551</v>
      </c>
      <c r="X605" s="499">
        <f t="shared" si="404"/>
        <v>35.903641853343856</v>
      </c>
      <c r="Y605" s="499">
        <f t="shared" si="404"/>
        <v>60.298586013679376</v>
      </c>
      <c r="Z605" s="499">
        <f t="shared" si="404"/>
        <v>49.789047721038912</v>
      </c>
      <c r="AA605" s="499">
        <f t="shared" si="404"/>
        <v>67.481102516836003</v>
      </c>
      <c r="AB605" s="499">
        <f t="shared" si="404"/>
        <v>53.17652627642525</v>
      </c>
      <c r="AC605" s="499">
        <f t="shared" si="404"/>
        <v>76.343837390427836</v>
      </c>
      <c r="AD605" s="499">
        <f t="shared" si="404"/>
        <v>61.147419506426196</v>
      </c>
      <c r="AE605" s="499">
        <f t="shared" si="404"/>
        <v>82.465210512982253</v>
      </c>
      <c r="AF605" s="499">
        <f t="shared" si="404"/>
        <v>66.576466025732145</v>
      </c>
      <c r="AG605" s="499">
        <f t="shared" si="404"/>
        <v>87.235700017335745</v>
      </c>
      <c r="AH605" s="499">
        <f t="shared" si="404"/>
        <v>71.125374062495212</v>
      </c>
      <c r="AI605" s="499">
        <f t="shared" si="404"/>
        <v>92.189228182089437</v>
      </c>
      <c r="AJ605" s="499">
        <f t="shared" si="404"/>
        <v>75.76722147796329</v>
      </c>
      <c r="AK605" s="499">
        <f t="shared" si="404"/>
        <v>109.44937046441444</v>
      </c>
      <c r="AL605" s="499">
        <f t="shared" si="404"/>
        <v>93.618213854589527</v>
      </c>
      <c r="AM605" s="499">
        <f t="shared" si="404"/>
        <v>114.97109136126227</v>
      </c>
      <c r="AN605" s="499">
        <f t="shared" si="404"/>
        <v>100.25350118735628</v>
      </c>
    </row>
    <row r="606" spans="1:40">
      <c r="B606" s="192" t="s">
        <v>990</v>
      </c>
      <c r="C606" s="82" t="s">
        <v>900</v>
      </c>
      <c r="D606" s="2"/>
      <c r="E606" s="6"/>
      <c r="F606" s="6"/>
      <c r="G606" s="7"/>
      <c r="H606" s="7"/>
      <c r="I606" s="7"/>
      <c r="J606" s="7"/>
      <c r="K606" s="7"/>
      <c r="L606" s="7"/>
      <c r="M606" s="135">
        <v>210.7</v>
      </c>
      <c r="N606" s="135">
        <f>380.5-M606</f>
        <v>169.8</v>
      </c>
      <c r="O606" s="208">
        <v>0</v>
      </c>
      <c r="P606" s="208">
        <v>0</v>
      </c>
      <c r="Q606" s="208">
        <v>0</v>
      </c>
      <c r="R606" s="208">
        <v>0</v>
      </c>
      <c r="S606" s="208">
        <v>0</v>
      </c>
      <c r="T606" s="208">
        <v>0</v>
      </c>
      <c r="U606" s="208">
        <v>0</v>
      </c>
      <c r="V606" s="208">
        <v>0</v>
      </c>
      <c r="W606" s="160">
        <v>0</v>
      </c>
      <c r="X606" s="160">
        <v>0</v>
      </c>
      <c r="Y606" s="160">
        <v>0</v>
      </c>
      <c r="Z606" s="160">
        <v>0</v>
      </c>
      <c r="AA606" s="160">
        <v>0</v>
      </c>
      <c r="AB606" s="160">
        <v>0</v>
      </c>
      <c r="AC606" s="160">
        <v>0</v>
      </c>
      <c r="AD606" s="160">
        <v>0</v>
      </c>
      <c r="AE606" s="160">
        <v>0</v>
      </c>
      <c r="AF606" s="160">
        <v>0</v>
      </c>
      <c r="AG606" s="160">
        <v>0</v>
      </c>
      <c r="AH606" s="160">
        <v>0</v>
      </c>
      <c r="AI606" s="160">
        <v>0</v>
      </c>
      <c r="AJ606" s="160">
        <v>0</v>
      </c>
      <c r="AK606" s="160">
        <v>0</v>
      </c>
      <c r="AL606" s="160">
        <v>0</v>
      </c>
      <c r="AM606" s="160">
        <v>0</v>
      </c>
      <c r="AN606" s="160">
        <v>0</v>
      </c>
    </row>
    <row r="607" spans="1:40">
      <c r="B607" s="224" t="s">
        <v>991</v>
      </c>
      <c r="C607" s="166"/>
      <c r="D607" s="5"/>
      <c r="E607" s="5"/>
      <c r="F607" s="5"/>
      <c r="G607" s="221"/>
      <c r="H607" s="221"/>
      <c r="I607" s="221"/>
      <c r="J607" s="221"/>
      <c r="K607" s="221"/>
      <c r="L607" s="221"/>
      <c r="M607" s="500" t="s">
        <v>991</v>
      </c>
      <c r="N607" s="500" t="s">
        <v>991</v>
      </c>
      <c r="O607" s="500" t="s">
        <v>991</v>
      </c>
      <c r="P607" s="500" t="s">
        <v>991</v>
      </c>
      <c r="Q607" s="500" t="s">
        <v>991</v>
      </c>
      <c r="R607" s="500" t="s">
        <v>991</v>
      </c>
      <c r="S607" s="500" t="s">
        <v>991</v>
      </c>
      <c r="T607" s="500" t="s">
        <v>991</v>
      </c>
      <c r="U607" s="500" t="s">
        <v>991</v>
      </c>
      <c r="V607" s="500" t="s">
        <v>991</v>
      </c>
      <c r="W607" s="500" t="s">
        <v>991</v>
      </c>
      <c r="X607" s="500" t="s">
        <v>991</v>
      </c>
      <c r="Y607" s="500" t="s">
        <v>991</v>
      </c>
      <c r="Z607" s="500" t="s">
        <v>991</v>
      </c>
      <c r="AA607" s="500" t="s">
        <v>991</v>
      </c>
      <c r="AB607" s="500" t="s">
        <v>991</v>
      </c>
      <c r="AC607" s="500" t="s">
        <v>991</v>
      </c>
      <c r="AD607" s="500" t="s">
        <v>991</v>
      </c>
      <c r="AE607" s="500" t="s">
        <v>991</v>
      </c>
      <c r="AF607" s="500" t="s">
        <v>991</v>
      </c>
      <c r="AG607" s="500" t="s">
        <v>991</v>
      </c>
      <c r="AH607" s="500" t="s">
        <v>991</v>
      </c>
      <c r="AI607" s="500" t="s">
        <v>991</v>
      </c>
      <c r="AJ607" s="500" t="s">
        <v>991</v>
      </c>
      <c r="AK607" s="500" t="s">
        <v>991</v>
      </c>
      <c r="AL607" s="500" t="s">
        <v>991</v>
      </c>
      <c r="AM607" s="500" t="s">
        <v>991</v>
      </c>
      <c r="AN607" s="500" t="s">
        <v>991</v>
      </c>
    </row>
    <row r="608" spans="1:40" s="3" customFormat="1">
      <c r="A608" s="1"/>
      <c r="B608" s="189" t="s">
        <v>1229</v>
      </c>
      <c r="C608" s="82" t="s">
        <v>900</v>
      </c>
      <c r="D608" s="4"/>
      <c r="E608" s="4"/>
      <c r="F608" s="4"/>
      <c r="G608" s="235"/>
      <c r="H608" s="235"/>
      <c r="I608" s="235"/>
      <c r="J608" s="235"/>
      <c r="K608" s="235"/>
      <c r="L608" s="235"/>
      <c r="M608" s="485">
        <v>186.5</v>
      </c>
      <c r="N608" s="485">
        <f>362.4-M608</f>
        <v>175.89999999999998</v>
      </c>
      <c r="O608" s="499">
        <f>SUM(O605:O607)</f>
        <v>47.3</v>
      </c>
      <c r="P608" s="499">
        <f t="shared" ref="P608:AL608" si="405">SUM(P605:P607)</f>
        <v>37</v>
      </c>
      <c r="Q608" s="499">
        <f t="shared" ref="Q608:V608" si="406">SUM(Q605:Q607)</f>
        <v>17.600000000000001</v>
      </c>
      <c r="R608" s="499">
        <f t="shared" si="406"/>
        <v>10.399999999999999</v>
      </c>
      <c r="S608" s="499">
        <f t="shared" si="406"/>
        <v>22.1</v>
      </c>
      <c r="T608" s="499">
        <f t="shared" si="406"/>
        <v>27.4</v>
      </c>
      <c r="U608" s="499">
        <f t="shared" si="406"/>
        <v>35.700000000000003</v>
      </c>
      <c r="V608" s="499">
        <f t="shared" si="406"/>
        <v>35.399999999999991</v>
      </c>
      <c r="W608" s="499">
        <f t="shared" si="405"/>
        <v>53.806622169093551</v>
      </c>
      <c r="X608" s="499">
        <f t="shared" si="405"/>
        <v>35.903641853343856</v>
      </c>
      <c r="Y608" s="499">
        <f t="shared" si="405"/>
        <v>60.298586013679376</v>
      </c>
      <c r="Z608" s="499">
        <f t="shared" si="405"/>
        <v>49.789047721038912</v>
      </c>
      <c r="AA608" s="499">
        <f t="shared" si="405"/>
        <v>67.481102516836003</v>
      </c>
      <c r="AB608" s="499">
        <f t="shared" si="405"/>
        <v>53.17652627642525</v>
      </c>
      <c r="AC608" s="499">
        <f t="shared" si="405"/>
        <v>76.343837390427836</v>
      </c>
      <c r="AD608" s="499">
        <f t="shared" si="405"/>
        <v>61.147419506426196</v>
      </c>
      <c r="AE608" s="499">
        <f t="shared" si="405"/>
        <v>82.465210512982253</v>
      </c>
      <c r="AF608" s="499">
        <f t="shared" si="405"/>
        <v>66.576466025732145</v>
      </c>
      <c r="AG608" s="499">
        <f t="shared" si="405"/>
        <v>87.235700017335745</v>
      </c>
      <c r="AH608" s="499">
        <f t="shared" si="405"/>
        <v>71.125374062495212</v>
      </c>
      <c r="AI608" s="499">
        <f t="shared" si="405"/>
        <v>92.189228182089437</v>
      </c>
      <c r="AJ608" s="499">
        <f t="shared" si="405"/>
        <v>75.76722147796329</v>
      </c>
      <c r="AK608" s="499">
        <f t="shared" si="405"/>
        <v>109.44937046441444</v>
      </c>
      <c r="AL608" s="499">
        <f t="shared" si="405"/>
        <v>93.618213854589527</v>
      </c>
      <c r="AM608" s="499">
        <f>SUM(AM605:AM607)</f>
        <v>114.97109136126227</v>
      </c>
      <c r="AN608" s="499">
        <f>SUM(AN605:AN607)</f>
        <v>100.25350118735628</v>
      </c>
    </row>
    <row r="609" spans="2:40">
      <c r="B609" s="192" t="s">
        <v>1230</v>
      </c>
      <c r="C609" s="82" t="s">
        <v>900</v>
      </c>
      <c r="D609" s="2"/>
      <c r="E609" s="6"/>
      <c r="F609" s="6"/>
      <c r="G609" s="7"/>
      <c r="H609" s="7"/>
      <c r="I609" s="7"/>
      <c r="J609" s="7"/>
      <c r="K609" s="7"/>
      <c r="L609" s="7"/>
      <c r="M609" s="135">
        <v>-12</v>
      </c>
      <c r="N609" s="135">
        <f>6413.5-M609</f>
        <v>6425.5</v>
      </c>
      <c r="O609" s="208">
        <v>4.4000000000000004</v>
      </c>
      <c r="P609" s="208">
        <f>-17.8-O609</f>
        <v>-22.200000000000003</v>
      </c>
      <c r="Q609" s="208">
        <v>-654.4</v>
      </c>
      <c r="R609" s="208">
        <f>-1387.7-Q609</f>
        <v>-733.30000000000007</v>
      </c>
      <c r="S609" s="208">
        <v>3.2</v>
      </c>
      <c r="T609" s="208">
        <f>-27.1-3.4+17.6-S609</f>
        <v>-16.099999999999998</v>
      </c>
      <c r="U609" s="208">
        <v>-14</v>
      </c>
      <c r="V609" s="208">
        <f>-12.1-7.6-5.1-U609</f>
        <v>-10.799999999999997</v>
      </c>
      <c r="W609" s="160">
        <v>-14</v>
      </c>
      <c r="X609" s="160">
        <v>-23</v>
      </c>
      <c r="Y609" s="160">
        <v>-5</v>
      </c>
      <c r="Z609" s="160">
        <v>0</v>
      </c>
      <c r="AA609" s="160">
        <v>0</v>
      </c>
      <c r="AB609" s="160">
        <v>0</v>
      </c>
      <c r="AC609" s="160">
        <v>0</v>
      </c>
      <c r="AD609" s="160">
        <v>0</v>
      </c>
      <c r="AE609" s="160">
        <v>0</v>
      </c>
      <c r="AF609" s="160">
        <v>0</v>
      </c>
      <c r="AG609" s="160">
        <v>0</v>
      </c>
      <c r="AH609" s="160">
        <v>0</v>
      </c>
      <c r="AI609" s="160">
        <v>0</v>
      </c>
      <c r="AJ609" s="160">
        <v>0</v>
      </c>
      <c r="AK609" s="160">
        <v>0</v>
      </c>
      <c r="AL609" s="160">
        <v>0</v>
      </c>
      <c r="AM609" s="160">
        <v>0</v>
      </c>
      <c r="AN609" s="160">
        <v>0</v>
      </c>
    </row>
    <row r="610" spans="2:40">
      <c r="B610" s="224" t="s">
        <v>991</v>
      </c>
      <c r="C610" s="166"/>
      <c r="D610" s="5"/>
      <c r="E610" s="5"/>
      <c r="F610" s="5"/>
      <c r="G610" s="221"/>
      <c r="H610" s="221"/>
      <c r="I610" s="221"/>
      <c r="J610" s="221"/>
      <c r="K610" s="221"/>
      <c r="L610" s="221"/>
      <c r="M610" s="500" t="s">
        <v>991</v>
      </c>
      <c r="N610" s="500" t="s">
        <v>991</v>
      </c>
      <c r="O610" s="500" t="s">
        <v>991</v>
      </c>
      <c r="P610" s="500" t="s">
        <v>991</v>
      </c>
      <c r="Q610" s="500" t="s">
        <v>991</v>
      </c>
      <c r="R610" s="500" t="s">
        <v>991</v>
      </c>
      <c r="S610" s="500" t="s">
        <v>991</v>
      </c>
      <c r="T610" s="500" t="s">
        <v>991</v>
      </c>
      <c r="U610" s="500" t="s">
        <v>991</v>
      </c>
      <c r="V610" s="500" t="s">
        <v>991</v>
      </c>
      <c r="W610" s="500" t="s">
        <v>991</v>
      </c>
      <c r="X610" s="500" t="s">
        <v>991</v>
      </c>
      <c r="Y610" s="500" t="s">
        <v>991</v>
      </c>
      <c r="Z610" s="500" t="s">
        <v>991</v>
      </c>
      <c r="AA610" s="500" t="s">
        <v>991</v>
      </c>
      <c r="AB610" s="500" t="s">
        <v>991</v>
      </c>
      <c r="AC610" s="500" t="s">
        <v>991</v>
      </c>
      <c r="AD610" s="500" t="s">
        <v>991</v>
      </c>
      <c r="AE610" s="500" t="s">
        <v>991</v>
      </c>
      <c r="AF610" s="500" t="s">
        <v>991</v>
      </c>
      <c r="AG610" s="500" t="s">
        <v>991</v>
      </c>
      <c r="AH610" s="500" t="s">
        <v>991</v>
      </c>
      <c r="AI610" s="500" t="s">
        <v>991</v>
      </c>
      <c r="AJ610" s="500" t="s">
        <v>991</v>
      </c>
      <c r="AK610" s="500" t="s">
        <v>991</v>
      </c>
      <c r="AL610" s="500" t="s">
        <v>991</v>
      </c>
      <c r="AM610" s="500" t="s">
        <v>991</v>
      </c>
      <c r="AN610" s="500" t="s">
        <v>991</v>
      </c>
    </row>
    <row r="611" spans="2:40" s="3" customFormat="1">
      <c r="B611" s="189" t="s">
        <v>1231</v>
      </c>
      <c r="C611" s="163" t="s">
        <v>900</v>
      </c>
      <c r="D611" s="4"/>
      <c r="E611" s="4"/>
      <c r="F611" s="4"/>
      <c r="G611" s="235"/>
      <c r="H611" s="235"/>
      <c r="I611" s="235"/>
      <c r="J611" s="235"/>
      <c r="K611" s="235"/>
      <c r="L611" s="235"/>
      <c r="M611" s="485">
        <v>174.5</v>
      </c>
      <c r="N611" s="485">
        <f>6775.9-M611</f>
        <v>6601.4</v>
      </c>
      <c r="O611" s="207">
        <v>51.7</v>
      </c>
      <c r="P611" s="207">
        <f>66.5-O611</f>
        <v>14.799999999999997</v>
      </c>
      <c r="Q611" s="207">
        <v>-636.79999999999995</v>
      </c>
      <c r="R611" s="207">
        <f>-1359.7-Q611</f>
        <v>-722.90000000000009</v>
      </c>
      <c r="S611" s="207">
        <v>25.3</v>
      </c>
      <c r="T611" s="207">
        <f>36.6-S611</f>
        <v>11.3</v>
      </c>
      <c r="U611" s="207">
        <v>21.7</v>
      </c>
      <c r="V611" s="207">
        <f>46.3 -U611</f>
        <v>24.599999999999998</v>
      </c>
      <c r="W611" s="499">
        <f t="shared" ref="W611:AL611" si="407">SUM(W608:W610)</f>
        <v>39.806622169093551</v>
      </c>
      <c r="X611" s="499">
        <f t="shared" si="407"/>
        <v>12.903641853343856</v>
      </c>
      <c r="Y611" s="499">
        <f t="shared" si="407"/>
        <v>55.298586013679376</v>
      </c>
      <c r="Z611" s="499">
        <f t="shared" si="407"/>
        <v>49.789047721038912</v>
      </c>
      <c r="AA611" s="499">
        <f t="shared" si="407"/>
        <v>67.481102516836003</v>
      </c>
      <c r="AB611" s="499">
        <f t="shared" si="407"/>
        <v>53.17652627642525</v>
      </c>
      <c r="AC611" s="499">
        <f t="shared" si="407"/>
        <v>76.343837390427836</v>
      </c>
      <c r="AD611" s="499">
        <f t="shared" si="407"/>
        <v>61.147419506426196</v>
      </c>
      <c r="AE611" s="499">
        <f t="shared" si="407"/>
        <v>82.465210512982253</v>
      </c>
      <c r="AF611" s="499">
        <f t="shared" si="407"/>
        <v>66.576466025732145</v>
      </c>
      <c r="AG611" s="499">
        <f t="shared" si="407"/>
        <v>87.235700017335745</v>
      </c>
      <c r="AH611" s="499">
        <f t="shared" si="407"/>
        <v>71.125374062495212</v>
      </c>
      <c r="AI611" s="499">
        <f t="shared" si="407"/>
        <v>92.189228182089437</v>
      </c>
      <c r="AJ611" s="499">
        <f t="shared" si="407"/>
        <v>75.76722147796329</v>
      </c>
      <c r="AK611" s="499">
        <f t="shared" si="407"/>
        <v>109.44937046441444</v>
      </c>
      <c r="AL611" s="499">
        <f t="shared" si="407"/>
        <v>93.618213854589527</v>
      </c>
      <c r="AM611" s="499">
        <f>SUM(AM608:AM610)</f>
        <v>114.97109136126227</v>
      </c>
      <c r="AN611" s="499">
        <f>SUM(AN608:AN610)</f>
        <v>100.25350118735628</v>
      </c>
    </row>
    <row r="612" spans="2:40">
      <c r="B612" s="192" t="s">
        <v>59</v>
      </c>
      <c r="C612" s="82" t="s">
        <v>900</v>
      </c>
      <c r="D612" s="2"/>
      <c r="E612" s="6"/>
      <c r="F612" s="6"/>
      <c r="G612" s="236"/>
      <c r="H612" s="236"/>
      <c r="I612" s="236"/>
      <c r="J612" s="236"/>
      <c r="K612" s="236"/>
      <c r="L612" s="236"/>
      <c r="M612" s="135">
        <v>0</v>
      </c>
      <c r="N612" s="135">
        <v>0</v>
      </c>
      <c r="O612" s="135">
        <v>0</v>
      </c>
      <c r="P612" s="135">
        <v>0</v>
      </c>
      <c r="Q612" s="135">
        <v>0</v>
      </c>
      <c r="R612" s="135">
        <v>0</v>
      </c>
      <c r="S612" s="135">
        <v>0</v>
      </c>
      <c r="T612" s="135">
        <v>0</v>
      </c>
      <c r="U612" s="135">
        <v>0</v>
      </c>
      <c r="V612" s="135">
        <v>0</v>
      </c>
      <c r="W612" s="160">
        <v>0</v>
      </c>
      <c r="X612" s="160">
        <v>0</v>
      </c>
      <c r="Y612" s="160">
        <v>0</v>
      </c>
      <c r="Z612" s="160">
        <v>0</v>
      </c>
      <c r="AA612" s="160">
        <v>0</v>
      </c>
      <c r="AB612" s="160">
        <v>0</v>
      </c>
      <c r="AC612" s="160">
        <v>0</v>
      </c>
      <c r="AD612" s="160">
        <v>0</v>
      </c>
      <c r="AE612" s="160">
        <v>0</v>
      </c>
      <c r="AF612" s="160">
        <v>0</v>
      </c>
      <c r="AG612" s="160">
        <v>0</v>
      </c>
      <c r="AH612" s="160">
        <v>0</v>
      </c>
      <c r="AI612" s="160">
        <v>0</v>
      </c>
      <c r="AJ612" s="160">
        <v>0</v>
      </c>
      <c r="AK612" s="160">
        <v>0</v>
      </c>
      <c r="AL612" s="160">
        <v>0</v>
      </c>
      <c r="AM612" s="160">
        <v>0</v>
      </c>
      <c r="AN612" s="160">
        <v>0</v>
      </c>
    </row>
    <row r="613" spans="2:40">
      <c r="B613" s="192" t="s">
        <v>60</v>
      </c>
      <c r="C613" s="82" t="s">
        <v>900</v>
      </c>
      <c r="D613" s="2"/>
      <c r="E613" s="2"/>
      <c r="F613" s="2"/>
      <c r="G613" s="7"/>
      <c r="H613" s="7"/>
      <c r="I613" s="7"/>
      <c r="J613" s="7"/>
      <c r="K613" s="7"/>
      <c r="L613" s="7"/>
      <c r="M613" s="132">
        <f>M608-M612</f>
        <v>186.5</v>
      </c>
      <c r="N613" s="132">
        <f>N608-N612</f>
        <v>175.89999999999998</v>
      </c>
      <c r="O613" s="132">
        <f t="shared" ref="O613:AL613" si="408">O608-O612</f>
        <v>47.3</v>
      </c>
      <c r="P613" s="132">
        <f t="shared" si="408"/>
        <v>37</v>
      </c>
      <c r="Q613" s="132">
        <f t="shared" ref="Q613:V613" si="409">Q608-Q612</f>
        <v>17.600000000000001</v>
      </c>
      <c r="R613" s="132">
        <f t="shared" si="409"/>
        <v>10.399999999999999</v>
      </c>
      <c r="S613" s="132">
        <f t="shared" si="409"/>
        <v>22.1</v>
      </c>
      <c r="T613" s="132">
        <f t="shared" si="409"/>
        <v>27.4</v>
      </c>
      <c r="U613" s="132">
        <f t="shared" si="409"/>
        <v>35.700000000000003</v>
      </c>
      <c r="V613" s="132">
        <f t="shared" si="409"/>
        <v>35.399999999999991</v>
      </c>
      <c r="W613" s="132">
        <f t="shared" si="408"/>
        <v>53.806622169093551</v>
      </c>
      <c r="X613" s="132">
        <f t="shared" si="408"/>
        <v>35.903641853343856</v>
      </c>
      <c r="Y613" s="132">
        <f t="shared" si="408"/>
        <v>60.298586013679376</v>
      </c>
      <c r="Z613" s="132">
        <f t="shared" si="408"/>
        <v>49.789047721038912</v>
      </c>
      <c r="AA613" s="132">
        <f t="shared" si="408"/>
        <v>67.481102516836003</v>
      </c>
      <c r="AB613" s="132">
        <f t="shared" si="408"/>
        <v>53.17652627642525</v>
      </c>
      <c r="AC613" s="132">
        <f t="shared" si="408"/>
        <v>76.343837390427836</v>
      </c>
      <c r="AD613" s="132">
        <f t="shared" si="408"/>
        <v>61.147419506426196</v>
      </c>
      <c r="AE613" s="132">
        <f t="shared" si="408"/>
        <v>82.465210512982253</v>
      </c>
      <c r="AF613" s="132">
        <f t="shared" si="408"/>
        <v>66.576466025732145</v>
      </c>
      <c r="AG613" s="132">
        <f t="shared" si="408"/>
        <v>87.235700017335745</v>
      </c>
      <c r="AH613" s="132">
        <f t="shared" si="408"/>
        <v>71.125374062495212</v>
      </c>
      <c r="AI613" s="132">
        <f t="shared" si="408"/>
        <v>92.189228182089437</v>
      </c>
      <c r="AJ613" s="132">
        <f t="shared" si="408"/>
        <v>75.76722147796329</v>
      </c>
      <c r="AK613" s="132">
        <f t="shared" si="408"/>
        <v>109.44937046441444</v>
      </c>
      <c r="AL613" s="132">
        <f t="shared" si="408"/>
        <v>93.618213854589527</v>
      </c>
      <c r="AM613" s="132">
        <f>AM608-AM612</f>
        <v>114.97109136126227</v>
      </c>
      <c r="AN613" s="132">
        <f>AN608-AN612</f>
        <v>100.25350118735628</v>
      </c>
    </row>
    <row r="614" spans="2:40">
      <c r="B614" s="192" t="s">
        <v>655</v>
      </c>
      <c r="C614" s="82" t="s">
        <v>1029</v>
      </c>
      <c r="D614" s="2"/>
      <c r="E614" s="2"/>
      <c r="F614" s="2"/>
      <c r="G614" s="7"/>
      <c r="H614" s="7"/>
      <c r="I614" s="7"/>
      <c r="J614" s="7"/>
      <c r="K614" s="7"/>
      <c r="L614" s="7"/>
      <c r="M614" s="132">
        <f t="shared" ref="M614:AN614" si="410">M613/M558*100</f>
        <v>8.3793862605023133</v>
      </c>
      <c r="N614" s="132">
        <f t="shared" si="410"/>
        <v>7.90313159904749</v>
      </c>
      <c r="O614" s="132">
        <f t="shared" si="410"/>
        <v>2.0751074844257258</v>
      </c>
      <c r="P614" s="132">
        <f t="shared" si="410"/>
        <v>1.6217400832785449</v>
      </c>
      <c r="Q614" s="132">
        <f t="shared" si="410"/>
        <v>0.77111440861538905</v>
      </c>
      <c r="R614" s="132">
        <f t="shared" si="410"/>
        <v>0.45542126466981953</v>
      </c>
      <c r="S614" s="132">
        <f t="shared" si="410"/>
        <v>0.96723234550134596</v>
      </c>
      <c r="T614" s="132">
        <f t="shared" si="410"/>
        <v>1.1984953197445545</v>
      </c>
      <c r="U614" s="132">
        <f t="shared" si="410"/>
        <v>1.55949676742967</v>
      </c>
      <c r="V614" s="132">
        <f t="shared" ref="V614" si="411">V613/V558*100</f>
        <v>1.5440984035592773</v>
      </c>
      <c r="W614" s="132">
        <f t="shared" si="410"/>
        <v>2.3469694743563445</v>
      </c>
      <c r="X614" s="132">
        <f t="shared" si="410"/>
        <v>1.5660665555850934</v>
      </c>
      <c r="Y614" s="132">
        <f t="shared" si="410"/>
        <v>2.6301398418249753</v>
      </c>
      <c r="Z614" s="132">
        <f t="shared" si="410"/>
        <v>2.1717285056721152</v>
      </c>
      <c r="AA614" s="132">
        <f t="shared" si="410"/>
        <v>2.943431148775888</v>
      </c>
      <c r="AB614" s="132">
        <f t="shared" si="410"/>
        <v>2.319485574301023</v>
      </c>
      <c r="AC614" s="132">
        <f t="shared" si="410"/>
        <v>3.3300112270098507</v>
      </c>
      <c r="AD614" s="132">
        <f t="shared" si="410"/>
        <v>2.667164769537913</v>
      </c>
      <c r="AE614" s="132">
        <f t="shared" si="410"/>
        <v>3.5970169463919675</v>
      </c>
      <c r="AF614" s="132">
        <f t="shared" si="410"/>
        <v>2.9039721724562573</v>
      </c>
      <c r="AG614" s="132">
        <f t="shared" si="410"/>
        <v>3.8050990149758239</v>
      </c>
      <c r="AH614" s="132">
        <f t="shared" si="410"/>
        <v>3.1023891678659692</v>
      </c>
      <c r="AI614" s="132">
        <f t="shared" si="410"/>
        <v>4.0211649734837929</v>
      </c>
      <c r="AJ614" s="132">
        <f t="shared" si="410"/>
        <v>3.3048600487639925</v>
      </c>
      <c r="AK614" s="132">
        <f t="shared" si="410"/>
        <v>4.7740281978720427</v>
      </c>
      <c r="AL614" s="132">
        <f t="shared" si="410"/>
        <v>4.0834953264673093</v>
      </c>
      <c r="AM614" s="132">
        <f t="shared" si="410"/>
        <v>5.0148779272992359</v>
      </c>
      <c r="AN614" s="132">
        <f t="shared" si="410"/>
        <v>4.3729172636899714</v>
      </c>
    </row>
    <row r="615" spans="2:40">
      <c r="B615" s="226" t="s">
        <v>886</v>
      </c>
      <c r="D615" s="2"/>
      <c r="E615" s="2"/>
      <c r="F615" s="2"/>
      <c r="G615" s="7"/>
      <c r="H615" s="7"/>
      <c r="I615" s="7"/>
      <c r="J615" s="7"/>
      <c r="K615" s="7"/>
      <c r="L615" s="7"/>
      <c r="M615" s="217">
        <f>M585+M586+M587+M590+M593+M594+M597+M598+M599+M600+M603+M606+M609-M611</f>
        <v>0</v>
      </c>
      <c r="N615" s="217">
        <f>N585+N586+N587+N590+N593+N594+N597+N598+N599+N600+N603+N606+N609-N611</f>
        <v>0</v>
      </c>
      <c r="O615" s="217">
        <f t="shared" ref="O615:AL615" si="412">O585+O586+O587+O590+O593+O594+O597+O598+O599+O600+O603+O606+O609-O611</f>
        <v>-7.815970093361102E-14</v>
      </c>
      <c r="P615" s="217">
        <f t="shared" si="412"/>
        <v>-0.19999999999997442</v>
      </c>
      <c r="Q615" s="217">
        <f t="shared" ref="Q615:V615" si="413">Q585+Q586+Q587+Q590+Q593+Q594+Q597+Q598+Q599+Q600+Q603+Q606+Q609-Q611</f>
        <v>0.89999999999997726</v>
      </c>
      <c r="R615" s="217">
        <f t="shared" si="413"/>
        <v>0</v>
      </c>
      <c r="S615" s="217">
        <f t="shared" si="413"/>
        <v>0</v>
      </c>
      <c r="T615" s="217">
        <f t="shared" si="413"/>
        <v>-3.3395508580724709E-13</v>
      </c>
      <c r="U615" s="217">
        <f t="shared" si="413"/>
        <v>0</v>
      </c>
      <c r="V615" s="217">
        <f t="shared" si="413"/>
        <v>3.4461322684364859E-13</v>
      </c>
      <c r="W615" s="217">
        <f t="shared" si="412"/>
        <v>7.1054273576010019E-14</v>
      </c>
      <c r="X615" s="217">
        <f t="shared" si="412"/>
        <v>5.6843418860808015E-14</v>
      </c>
      <c r="Y615" s="217">
        <f t="shared" si="412"/>
        <v>0</v>
      </c>
      <c r="Z615" s="217">
        <f t="shared" si="412"/>
        <v>1.7053025658242404E-13</v>
      </c>
      <c r="AA615" s="217">
        <f t="shared" si="412"/>
        <v>0</v>
      </c>
      <c r="AB615" s="217">
        <f t="shared" si="412"/>
        <v>1.7053025658242404E-13</v>
      </c>
      <c r="AC615" s="217">
        <f t="shared" si="412"/>
        <v>0</v>
      </c>
      <c r="AD615" s="217">
        <f t="shared" si="412"/>
        <v>1.8474111129762605E-13</v>
      </c>
      <c r="AE615" s="217">
        <f t="shared" si="412"/>
        <v>0</v>
      </c>
      <c r="AF615" s="217">
        <f t="shared" si="412"/>
        <v>0</v>
      </c>
      <c r="AG615" s="217">
        <f t="shared" si="412"/>
        <v>0</v>
      </c>
      <c r="AH615" s="217">
        <f t="shared" si="412"/>
        <v>0</v>
      </c>
      <c r="AI615" s="217">
        <f t="shared" si="412"/>
        <v>0</v>
      </c>
      <c r="AJ615" s="217">
        <f t="shared" si="412"/>
        <v>1.4210854715202004E-13</v>
      </c>
      <c r="AK615" s="217">
        <f t="shared" si="412"/>
        <v>1.1368683772161603E-13</v>
      </c>
      <c r="AL615" s="217">
        <f t="shared" si="412"/>
        <v>0</v>
      </c>
      <c r="AM615" s="217">
        <f>AM585+AM586+AM587+AM590+AM593+AM594+AM597+AM598+AM599+AM600+AM603+AM606+AM609-AM611</f>
        <v>0</v>
      </c>
      <c r="AN615" s="217">
        <f>AN585+AN586+AN587+AN590+AN593+AN594+AN597+AN598+AN599+AN600+AN603+AN606+AN609-AN611</f>
        <v>1.4210854715202004E-13</v>
      </c>
    </row>
    <row r="616" spans="2:40">
      <c r="B616" s="192"/>
      <c r="D616" s="2"/>
      <c r="E616" s="2"/>
      <c r="F616" s="2"/>
      <c r="G616" s="7"/>
      <c r="H616" s="7"/>
      <c r="I616" s="7"/>
      <c r="J616" s="7"/>
      <c r="K616" s="7"/>
      <c r="L616" s="7"/>
      <c r="M616" s="217"/>
      <c r="N616" s="132"/>
      <c r="O616" s="132"/>
      <c r="P616" s="132"/>
      <c r="Q616" s="132"/>
      <c r="R616" s="132"/>
      <c r="S616" s="132"/>
      <c r="T616" s="132"/>
      <c r="U616" s="132"/>
      <c r="V616" s="132"/>
      <c r="W616" s="132"/>
      <c r="X616" s="132"/>
      <c r="Y616" s="132"/>
      <c r="Z616" s="132"/>
      <c r="AA616" s="132"/>
      <c r="AB616" s="132"/>
      <c r="AC616" s="132"/>
      <c r="AD616" s="132"/>
      <c r="AE616" s="132"/>
      <c r="AF616" s="132"/>
      <c r="AG616" s="132"/>
      <c r="AH616" s="132"/>
      <c r="AI616" s="132"/>
      <c r="AJ616" s="132"/>
      <c r="AK616" s="132"/>
      <c r="AL616" s="132"/>
      <c r="AM616" s="132"/>
      <c r="AN616" s="132"/>
    </row>
    <row r="617" spans="2:40" s="199" customFormat="1">
      <c r="B617" s="234" t="s">
        <v>1247</v>
      </c>
      <c r="C617" s="82" t="s">
        <v>1029</v>
      </c>
      <c r="D617" s="207"/>
      <c r="E617" s="207"/>
      <c r="F617" s="207"/>
      <c r="G617" s="207"/>
      <c r="H617" s="207"/>
      <c r="I617" s="207"/>
      <c r="J617" s="207"/>
      <c r="K617" s="207"/>
      <c r="L617" s="207"/>
      <c r="M617" s="207"/>
      <c r="N617" s="207"/>
      <c r="O617" s="132">
        <f>O611/O$558*100</f>
        <v>2.2681407387909096</v>
      </c>
      <c r="P617" s="132">
        <f t="shared" ref="P617:U617" si="414">P611/P558*100</f>
        <v>0.64869603331141779</v>
      </c>
      <c r="Q617" s="132">
        <f t="shared" si="414"/>
        <v>-27.900321329902251</v>
      </c>
      <c r="R617" s="132">
        <f t="shared" si="414"/>
        <v>-31.656156945174292</v>
      </c>
      <c r="S617" s="132">
        <f t="shared" si="414"/>
        <v>1.1072840878363825</v>
      </c>
      <c r="T617" s="132">
        <f t="shared" si="414"/>
        <v>0.4942699676318783</v>
      </c>
      <c r="U617" s="132">
        <f t="shared" si="414"/>
        <v>0.94792940765332878</v>
      </c>
      <c r="V617" s="132">
        <f t="shared" ref="V617" si="415">V611/V558*100</f>
        <v>1.0730175346767861</v>
      </c>
    </row>
    <row r="618" spans="2:40" s="199" customFormat="1">
      <c r="B618" s="211" t="s">
        <v>1232</v>
      </c>
      <c r="C618" s="82" t="s">
        <v>1029</v>
      </c>
      <c r="D618" s="207"/>
      <c r="E618" s="207"/>
      <c r="F618" s="207"/>
      <c r="G618" s="207"/>
      <c r="H618" s="207"/>
      <c r="I618" s="207"/>
      <c r="J618" s="207"/>
      <c r="K618" s="207"/>
      <c r="L618" s="207"/>
      <c r="M618" s="207"/>
      <c r="N618" s="207"/>
      <c r="O618" s="208">
        <v>2.2999999999999998</v>
      </c>
      <c r="P618" s="208">
        <f>2.9-O618</f>
        <v>0.60000000000000009</v>
      </c>
      <c r="Q618" s="208">
        <v>-28.2</v>
      </c>
      <c r="R618" s="208">
        <f>-59.6-Q618</f>
        <v>-31.400000000000002</v>
      </c>
      <c r="S618" s="208">
        <v>1.1000000000000001</v>
      </c>
      <c r="T618" s="208">
        <f>1.6-S618</f>
        <v>0.5</v>
      </c>
      <c r="U618" s="208">
        <v>0.9</v>
      </c>
      <c r="V618" s="208">
        <f>2-U618</f>
        <v>1.1000000000000001</v>
      </c>
      <c r="W618" s="132">
        <f t="shared" ref="W618:AN618" si="416">W611/W558*100</f>
        <v>1.7363090887679296</v>
      </c>
      <c r="X618" s="132">
        <f t="shared" si="416"/>
        <v>0.56283877926126924</v>
      </c>
      <c r="Y618" s="132">
        <f t="shared" si="416"/>
        <v>2.4120468469719696</v>
      </c>
      <c r="Z618" s="132">
        <f t="shared" si="416"/>
        <v>2.1717285056721152</v>
      </c>
      <c r="AA618" s="132">
        <f t="shared" si="416"/>
        <v>2.943431148775888</v>
      </c>
      <c r="AB618" s="132">
        <f t="shared" si="416"/>
        <v>2.319485574301023</v>
      </c>
      <c r="AC618" s="132">
        <f t="shared" si="416"/>
        <v>3.3300112270098507</v>
      </c>
      <c r="AD618" s="132">
        <f t="shared" si="416"/>
        <v>2.667164769537913</v>
      </c>
      <c r="AE618" s="132">
        <f t="shared" si="416"/>
        <v>3.5970169463919675</v>
      </c>
      <c r="AF618" s="132">
        <f t="shared" si="416"/>
        <v>2.9039721724562573</v>
      </c>
      <c r="AG618" s="132">
        <f t="shared" si="416"/>
        <v>3.8050990149758239</v>
      </c>
      <c r="AH618" s="132">
        <f t="shared" si="416"/>
        <v>3.1023891678659692</v>
      </c>
      <c r="AI618" s="132">
        <f t="shared" si="416"/>
        <v>4.0211649734837929</v>
      </c>
      <c r="AJ618" s="132">
        <f t="shared" si="416"/>
        <v>3.3048600487639925</v>
      </c>
      <c r="AK618" s="132">
        <f t="shared" si="416"/>
        <v>4.7740281978720427</v>
      </c>
      <c r="AL618" s="132">
        <f t="shared" si="416"/>
        <v>4.0834953264673093</v>
      </c>
      <c r="AM618" s="132">
        <f t="shared" si="416"/>
        <v>5.0148779272992359</v>
      </c>
      <c r="AN618" s="132">
        <f t="shared" si="416"/>
        <v>4.3729172636899714</v>
      </c>
    </row>
    <row r="619" spans="2:40" s="199" customFormat="1">
      <c r="B619" s="211"/>
      <c r="C619" s="82"/>
      <c r="D619" s="207"/>
      <c r="E619" s="207"/>
      <c r="F619" s="207"/>
      <c r="G619" s="207"/>
      <c r="H619" s="207"/>
      <c r="I619" s="207"/>
      <c r="J619" s="207"/>
      <c r="K619" s="207"/>
      <c r="L619" s="207"/>
      <c r="M619" s="207"/>
      <c r="N619" s="207"/>
      <c r="O619" s="208"/>
      <c r="P619" s="208"/>
      <c r="Q619" s="208"/>
      <c r="R619" s="208"/>
      <c r="S619" s="208"/>
      <c r="T619" s="208"/>
      <c r="U619" s="208"/>
      <c r="V619" s="208"/>
      <c r="W619" s="132"/>
      <c r="X619" s="132"/>
      <c r="Y619" s="132"/>
      <c r="Z619" s="132"/>
      <c r="AA619" s="132"/>
      <c r="AB619" s="132"/>
      <c r="AC619" s="132"/>
      <c r="AD619" s="132"/>
      <c r="AE619" s="132"/>
      <c r="AF619" s="132"/>
      <c r="AG619" s="132"/>
      <c r="AH619" s="132"/>
      <c r="AI619" s="132"/>
      <c r="AJ619" s="132"/>
      <c r="AK619" s="132"/>
      <c r="AL619" s="132"/>
      <c r="AM619" s="132"/>
      <c r="AN619" s="132"/>
    </row>
    <row r="620" spans="2:40" s="199" customFormat="1">
      <c r="B620" s="234" t="s">
        <v>1643</v>
      </c>
      <c r="C620" s="82" t="s">
        <v>1029</v>
      </c>
      <c r="D620" s="207"/>
      <c r="E620" s="207"/>
      <c r="F620" s="207"/>
      <c r="G620" s="207"/>
      <c r="H620" s="207"/>
      <c r="I620" s="207"/>
      <c r="J620" s="207"/>
      <c r="K620" s="207"/>
      <c r="L620" s="207"/>
      <c r="M620" s="207"/>
      <c r="N620" s="207"/>
      <c r="O620" s="132">
        <f t="shared" ref="O620:V620" si="417">(O608-O600-O397)/O$558*100</f>
        <v>2.1277529174344125</v>
      </c>
      <c r="P620" s="132">
        <f t="shared" si="417"/>
        <v>1.6874863028709182</v>
      </c>
      <c r="Q620" s="132">
        <f t="shared" si="417"/>
        <v>0.89379170089511006</v>
      </c>
      <c r="R620" s="132">
        <f t="shared" si="417"/>
        <v>0.47293746715712026</v>
      </c>
      <c r="S620" s="132">
        <f t="shared" si="417"/>
        <v>1.9125816062628425</v>
      </c>
      <c r="T620" s="132">
        <f t="shared" si="417"/>
        <v>1.9727058000174962</v>
      </c>
      <c r="U620" s="132">
        <f t="shared" si="417"/>
        <v>2.7389481041411852</v>
      </c>
      <c r="V620" s="132">
        <f t="shared" si="417"/>
        <v>2.4295559626624788</v>
      </c>
    </row>
    <row r="621" spans="2:40" s="199" customFormat="1">
      <c r="B621" s="211" t="s">
        <v>1644</v>
      </c>
      <c r="C621" s="82" t="s">
        <v>1029</v>
      </c>
      <c r="D621" s="207"/>
      <c r="E621" s="207"/>
      <c r="F621" s="207"/>
      <c r="G621" s="207"/>
      <c r="H621" s="207"/>
      <c r="I621" s="207"/>
      <c r="J621" s="207"/>
      <c r="K621" s="207"/>
      <c r="L621" s="207"/>
      <c r="M621" s="207"/>
      <c r="N621" s="207"/>
      <c r="O621" s="208">
        <v>2.2000000000000002</v>
      </c>
      <c r="P621" s="208">
        <f>3.8-O621</f>
        <v>1.5999999999999996</v>
      </c>
      <c r="Q621" s="208">
        <v>0.9</v>
      </c>
      <c r="R621" s="208">
        <f>1.4-Q621</f>
        <v>0.49999999999999989</v>
      </c>
      <c r="S621" s="208">
        <v>1.9</v>
      </c>
      <c r="T621" s="208">
        <f>3.9-S621</f>
        <v>2</v>
      </c>
      <c r="U621" s="208">
        <v>2.7</v>
      </c>
      <c r="V621" s="208">
        <f>5.2-U621</f>
        <v>2.5</v>
      </c>
      <c r="W621" s="132">
        <f t="shared" ref="W621:AN621" si="418">(W608-W600-W397)/W$558*100</f>
        <v>3.3022167918125076</v>
      </c>
      <c r="X621" s="132">
        <f t="shared" si="418"/>
        <v>2.4776952740706562</v>
      </c>
      <c r="Y621" s="132">
        <f t="shared" si="418"/>
        <v>3.4109127633987337</v>
      </c>
      <c r="Z621" s="132">
        <f t="shared" si="418"/>
        <v>2.7780270313634703</v>
      </c>
      <c r="AA621" s="132">
        <f t="shared" si="418"/>
        <v>3.4624924765260405</v>
      </c>
      <c r="AB621" s="132">
        <f t="shared" si="418"/>
        <v>2.7513097041099734</v>
      </c>
      <c r="AC621" s="132">
        <f t="shared" si="418"/>
        <v>3.6745981588775996</v>
      </c>
      <c r="AD621" s="132">
        <f t="shared" si="418"/>
        <v>2.9245145034644593</v>
      </c>
      <c r="AE621" s="132">
        <f t="shared" si="418"/>
        <v>3.9232840666920636</v>
      </c>
      <c r="AF621" s="132">
        <f t="shared" si="418"/>
        <v>3.1403849788769147</v>
      </c>
      <c r="AG621" s="132">
        <f t="shared" si="418"/>
        <v>4.1124967293612391</v>
      </c>
      <c r="AH621" s="132">
        <f t="shared" si="418"/>
        <v>3.3172369389555625</v>
      </c>
      <c r="AI621" s="132">
        <f t="shared" si="418"/>
        <v>4.3091271997770848</v>
      </c>
      <c r="AJ621" s="132">
        <f t="shared" si="418"/>
        <v>3.4974958334625885</v>
      </c>
      <c r="AK621" s="132">
        <f t="shared" si="418"/>
        <v>5.0419718714304471</v>
      </c>
      <c r="AL621" s="132">
        <f t="shared" si="418"/>
        <v>4.2532527651831771</v>
      </c>
      <c r="AM621" s="132">
        <f t="shared" si="418"/>
        <v>5.262202491540708</v>
      </c>
      <c r="AN621" s="132">
        <f t="shared" si="418"/>
        <v>4.5191100060436309</v>
      </c>
    </row>
    <row r="622" spans="2:40" s="199" customFormat="1">
      <c r="B622" s="234"/>
      <c r="C622" s="82"/>
      <c r="D622" s="207"/>
      <c r="E622" s="207"/>
      <c r="F622" s="207"/>
      <c r="G622" s="207"/>
      <c r="H622" s="207"/>
      <c r="I622" s="207"/>
      <c r="J622" s="207"/>
      <c r="K622" s="207"/>
      <c r="L622" s="207"/>
      <c r="M622" s="207"/>
      <c r="N622" s="207"/>
      <c r="O622" s="208"/>
      <c r="P622" s="208"/>
      <c r="Q622" s="203"/>
      <c r="R622" s="203"/>
      <c r="S622" s="203"/>
      <c r="T622" s="203"/>
      <c r="U622" s="203"/>
      <c r="V622" s="203"/>
      <c r="W622" s="203"/>
      <c r="X622" s="203"/>
      <c r="Y622" s="203"/>
      <c r="Z622" s="203"/>
      <c r="AA622" s="203"/>
      <c r="AB622" s="203"/>
      <c r="AC622" s="203"/>
      <c r="AD622" s="203"/>
      <c r="AE622" s="203"/>
      <c r="AF622" s="203"/>
      <c r="AG622" s="203"/>
      <c r="AH622" s="203"/>
      <c r="AI622" s="203"/>
      <c r="AJ622" s="203"/>
      <c r="AK622" s="203"/>
      <c r="AL622" s="203"/>
      <c r="AM622" s="203"/>
      <c r="AN622" s="203"/>
    </row>
    <row r="623" spans="2:40">
      <c r="B623" s="185" t="s">
        <v>76</v>
      </c>
      <c r="C623" s="163"/>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row>
    <row r="624" spans="2:40">
      <c r="B624" s="209" t="s">
        <v>2</v>
      </c>
      <c r="C624" s="82" t="s">
        <v>900</v>
      </c>
      <c r="D624" s="2"/>
      <c r="E624" s="2"/>
      <c r="F624" s="2"/>
      <c r="G624" s="7"/>
      <c r="H624" s="7"/>
      <c r="I624" s="7"/>
      <c r="J624" s="7"/>
      <c r="K624" s="7"/>
      <c r="L624" s="132"/>
      <c r="M624" s="132"/>
      <c r="N624" s="132">
        <f t="shared" ref="N624:AN624" si="419">N592</f>
        <v>211.10000000000002</v>
      </c>
      <c r="O624" s="132">
        <f t="shared" si="419"/>
        <v>196.6</v>
      </c>
      <c r="P624" s="132">
        <f t="shared" si="419"/>
        <v>194.4</v>
      </c>
      <c r="Q624" s="132">
        <f t="shared" si="419"/>
        <v>169.8</v>
      </c>
      <c r="R624" s="132">
        <f t="shared" si="419"/>
        <v>147.89999999999998</v>
      </c>
      <c r="S624" s="132">
        <f t="shared" si="419"/>
        <v>190.2</v>
      </c>
      <c r="T624" s="132">
        <f t="shared" si="419"/>
        <v>201.3</v>
      </c>
      <c r="U624" s="132">
        <f t="shared" si="419"/>
        <v>217.4</v>
      </c>
      <c r="V624" s="132">
        <f t="shared" ref="V624" si="420">V592</f>
        <v>214.29999999999998</v>
      </c>
      <c r="W624" s="132">
        <f t="shared" si="419"/>
        <v>245.91365320419683</v>
      </c>
      <c r="X624" s="132">
        <f t="shared" si="419"/>
        <v>220.50641127075005</v>
      </c>
      <c r="Y624" s="132">
        <f t="shared" si="419"/>
        <v>252.5909362220219</v>
      </c>
      <c r="Z624" s="132">
        <f t="shared" si="419"/>
        <v>233.05483452447999</v>
      </c>
      <c r="AA624" s="132">
        <f t="shared" si="419"/>
        <v>260.32813375597885</v>
      </c>
      <c r="AB624" s="132">
        <f t="shared" si="419"/>
        <v>234.03557596429465</v>
      </c>
      <c r="AC624" s="132">
        <f t="shared" si="419"/>
        <v>263.98405265487986</v>
      </c>
      <c r="AD624" s="132">
        <f t="shared" si="419"/>
        <v>237.27680381304012</v>
      </c>
      <c r="AE624" s="132">
        <f t="shared" si="419"/>
        <v>266.91994186997368</v>
      </c>
      <c r="AF624" s="132">
        <f t="shared" si="419"/>
        <v>240.1555074920955</v>
      </c>
      <c r="AG624" s="132">
        <f t="shared" si="419"/>
        <v>270.09346120412431</v>
      </c>
      <c r="AH624" s="132">
        <f t="shared" si="419"/>
        <v>243.26233677028503</v>
      </c>
      <c r="AI624" s="132">
        <f t="shared" si="419"/>
        <v>273.51225069285624</v>
      </c>
      <c r="AJ624" s="132">
        <f t="shared" si="419"/>
        <v>246.60471746438341</v>
      </c>
      <c r="AK624" s="132">
        <f t="shared" si="419"/>
        <v>277.18421459476878</v>
      </c>
      <c r="AL624" s="132">
        <f t="shared" si="419"/>
        <v>250.19033233905387</v>
      </c>
      <c r="AM624" s="132">
        <f t="shared" si="419"/>
        <v>281.11752977067238</v>
      </c>
      <c r="AN624" s="132">
        <f t="shared" si="419"/>
        <v>254.02712927342938</v>
      </c>
    </row>
    <row r="625" spans="1:40">
      <c r="B625" s="209" t="s">
        <v>19</v>
      </c>
      <c r="C625" s="82" t="s">
        <v>900</v>
      </c>
      <c r="D625" s="2"/>
      <c r="E625" s="2"/>
      <c r="F625" s="2"/>
      <c r="G625" s="7"/>
      <c r="H625" s="7"/>
      <c r="I625" s="7"/>
      <c r="J625" s="7"/>
      <c r="K625" s="7"/>
      <c r="L625" s="132"/>
      <c r="M625" s="135"/>
      <c r="N625" s="135">
        <v>-0.2</v>
      </c>
      <c r="O625" s="135">
        <v>1.7</v>
      </c>
      <c r="P625" s="135">
        <f>4.6-O625</f>
        <v>2.8999999999999995</v>
      </c>
      <c r="Q625" s="135">
        <v>17.3</v>
      </c>
      <c r="R625" s="135">
        <f>22.7-Q625</f>
        <v>5.3999999999999986</v>
      </c>
      <c r="S625" s="135">
        <v>5.5</v>
      </c>
      <c r="T625" s="135">
        <f>9.4-S625</f>
        <v>3.9000000000000004</v>
      </c>
      <c r="U625" s="135">
        <v>3.3</v>
      </c>
      <c r="V625" s="135">
        <f>6.8-U625</f>
        <v>3.5</v>
      </c>
      <c r="W625" s="132">
        <f t="shared" ref="W625:AN625" si="421">W465</f>
        <v>4.1622312328767128</v>
      </c>
      <c r="X625" s="132">
        <f t="shared" si="421"/>
        <v>5.0523729355346338</v>
      </c>
      <c r="Y625" s="132">
        <f t="shared" si="421"/>
        <v>3.3918942463516406</v>
      </c>
      <c r="Z625" s="132">
        <f t="shared" si="421"/>
        <v>4.2732294854705373</v>
      </c>
      <c r="AA625" s="132">
        <f t="shared" si="421"/>
        <v>4.445283102685246</v>
      </c>
      <c r="AB625" s="132">
        <f t="shared" si="421"/>
        <v>5.3380127167279783</v>
      </c>
      <c r="AC625" s="132">
        <f t="shared" si="421"/>
        <v>5.7792673196342808</v>
      </c>
      <c r="AD625" s="132">
        <f t="shared" si="421"/>
        <v>6.845173844401427</v>
      </c>
      <c r="AE625" s="132">
        <f t="shared" si="421"/>
        <v>7.4050631888863556</v>
      </c>
      <c r="AF625" s="132">
        <f t="shared" si="421"/>
        <v>8.3790701600457052</v>
      </c>
      <c r="AG625" s="132">
        <f t="shared" si="421"/>
        <v>8.9488096447591072</v>
      </c>
      <c r="AH625" s="132">
        <f t="shared" si="421"/>
        <v>10.530641207992394</v>
      </c>
      <c r="AI625" s="132">
        <f t="shared" si="421"/>
        <v>11.512136166891009</v>
      </c>
      <c r="AJ625" s="132">
        <f t="shared" si="421"/>
        <v>13.062529335725856</v>
      </c>
      <c r="AK625" s="132">
        <f t="shared" si="421"/>
        <v>14.211514977231639</v>
      </c>
      <c r="AL625" s="132">
        <f t="shared" si="421"/>
        <v>15.874330768800062</v>
      </c>
      <c r="AM625" s="132">
        <f t="shared" si="421"/>
        <v>17.273292046383485</v>
      </c>
      <c r="AN625" s="132">
        <f t="shared" si="421"/>
        <v>18.96886942179102</v>
      </c>
    </row>
    <row r="626" spans="1:40">
      <c r="B626" s="209" t="s">
        <v>18</v>
      </c>
      <c r="C626" s="82" t="s">
        <v>900</v>
      </c>
      <c r="D626" s="2"/>
      <c r="E626" s="2"/>
      <c r="F626" s="2"/>
      <c r="G626" s="7"/>
      <c r="H626" s="7"/>
      <c r="I626" s="7"/>
      <c r="J626" s="7"/>
      <c r="K626" s="7"/>
      <c r="L626" s="132"/>
      <c r="M626" s="135"/>
      <c r="N626" s="135">
        <v>-64.900000000000006</v>
      </c>
      <c r="O626" s="135">
        <v>-14.6</v>
      </c>
      <c r="P626" s="135">
        <f>-28.1-O626</f>
        <v>-13.500000000000002</v>
      </c>
      <c r="Q626" s="135">
        <v>-22</v>
      </c>
      <c r="R626" s="135">
        <f>-49-Q626</f>
        <v>-27</v>
      </c>
      <c r="S626" s="135">
        <v>-38.4</v>
      </c>
      <c r="T626" s="135">
        <f>-74-S626</f>
        <v>-35.6</v>
      </c>
      <c r="U626" s="135">
        <v>-57.9</v>
      </c>
      <c r="V626" s="135">
        <f>-93.8-U626</f>
        <v>-35.9</v>
      </c>
      <c r="W626" s="132">
        <f t="shared" ref="W626:AN626" si="422">W471+W472</f>
        <v>-46.198180821917809</v>
      </c>
      <c r="X626" s="132">
        <f t="shared" si="422"/>
        <v>-50.455953424657537</v>
      </c>
      <c r="Y626" s="132">
        <f t="shared" si="422"/>
        <v>-51.027046575342467</v>
      </c>
      <c r="Z626" s="132">
        <f t="shared" si="422"/>
        <v>-50.64631780821918</v>
      </c>
      <c r="AA626" s="132">
        <f t="shared" si="422"/>
        <v>-52.027046575342467</v>
      </c>
      <c r="AB626" s="132">
        <f t="shared" si="422"/>
        <v>-51.455953424657537</v>
      </c>
      <c r="AC626" s="132">
        <f t="shared" si="422"/>
        <v>-52.027046575342467</v>
      </c>
      <c r="AD626" s="132">
        <f t="shared" si="422"/>
        <v>-51.455953424657537</v>
      </c>
      <c r="AE626" s="132">
        <f t="shared" si="422"/>
        <v>-51.011769863013704</v>
      </c>
      <c r="AF626" s="132">
        <f t="shared" si="422"/>
        <v>-50.457230136986304</v>
      </c>
      <c r="AG626" s="132">
        <f t="shared" si="422"/>
        <v>-51.011769863013704</v>
      </c>
      <c r="AH626" s="132">
        <f t="shared" si="422"/>
        <v>-50.642076712328773</v>
      </c>
      <c r="AI626" s="132">
        <f t="shared" si="422"/>
        <v>-51.011769863013704</v>
      </c>
      <c r="AJ626" s="132">
        <f t="shared" si="422"/>
        <v>-50.457230136986304</v>
      </c>
      <c r="AK626" s="132">
        <f t="shared" si="422"/>
        <v>-51.011769863013704</v>
      </c>
      <c r="AL626" s="132">
        <f t="shared" si="422"/>
        <v>-50.457230136986304</v>
      </c>
      <c r="AM626" s="132">
        <f t="shared" si="422"/>
        <v>-51.011769863013704</v>
      </c>
      <c r="AN626" s="132">
        <f t="shared" si="422"/>
        <v>-50.457230136986304</v>
      </c>
    </row>
    <row r="627" spans="1:40">
      <c r="B627" s="209" t="s">
        <v>17</v>
      </c>
      <c r="C627" s="82" t="s">
        <v>900</v>
      </c>
      <c r="D627" s="2"/>
      <c r="E627" s="237"/>
      <c r="F627" s="237"/>
      <c r="G627" s="236"/>
      <c r="H627" s="236"/>
      <c r="I627" s="236"/>
      <c r="J627" s="236"/>
      <c r="K627" s="236"/>
      <c r="L627" s="135"/>
      <c r="M627" s="135"/>
      <c r="N627" s="135">
        <v>-95.799999999999983</v>
      </c>
      <c r="O627" s="135">
        <v>-43.8</v>
      </c>
      <c r="P627" s="135">
        <f>-30.2-O627</f>
        <v>13.599999999999998</v>
      </c>
      <c r="Q627" s="135">
        <v>69.099999999999994</v>
      </c>
      <c r="R627" s="135">
        <f>113.3-Q627</f>
        <v>44.2</v>
      </c>
      <c r="S627" s="135">
        <v>-0.8</v>
      </c>
      <c r="T627" s="135">
        <f>1.3-S627</f>
        <v>2.1</v>
      </c>
      <c r="U627" s="135">
        <v>-2.1</v>
      </c>
      <c r="V627" s="135">
        <f>2.9-U627</f>
        <v>5</v>
      </c>
      <c r="W627" s="132">
        <f t="shared" ref="W627:AN627" si="423">W494</f>
        <v>-35.871081446062369</v>
      </c>
      <c r="X627" s="132">
        <f t="shared" si="423"/>
        <v>-25.99918892828348</v>
      </c>
      <c r="Y627" s="132">
        <f t="shared" si="423"/>
        <v>-36.957197879351874</v>
      </c>
      <c r="Z627" s="132">
        <f t="shared" si="423"/>
        <v>-33.192698480692606</v>
      </c>
      <c r="AA627" s="132">
        <f t="shared" si="423"/>
        <v>-41.359385413544636</v>
      </c>
      <c r="AB627" s="132">
        <f t="shared" si="423"/>
        <v>-35.45101751761684</v>
      </c>
      <c r="AC627" s="132">
        <f t="shared" si="423"/>
        <v>-46.791384207036423</v>
      </c>
      <c r="AD627" s="132">
        <f t="shared" si="423"/>
        <v>-40.764946337617467</v>
      </c>
      <c r="AE627" s="132">
        <f t="shared" si="423"/>
        <v>-50.543193540214936</v>
      </c>
      <c r="AF627" s="132">
        <f t="shared" si="423"/>
        <v>-44.384310683821433</v>
      </c>
      <c r="AG627" s="132">
        <f t="shared" si="423"/>
        <v>-53.467041946109013</v>
      </c>
      <c r="AH627" s="132">
        <f t="shared" si="423"/>
        <v>-47.416916041663491</v>
      </c>
      <c r="AI627" s="132">
        <f t="shared" si="423"/>
        <v>-56.503075337409662</v>
      </c>
      <c r="AJ627" s="132">
        <f t="shared" si="423"/>
        <v>-50.511480985308872</v>
      </c>
      <c r="AK627" s="132">
        <f t="shared" si="423"/>
        <v>-46.906873056177623</v>
      </c>
      <c r="AL627" s="132">
        <f t="shared" si="423"/>
        <v>-40.122091651966947</v>
      </c>
      <c r="AM627" s="132">
        <f t="shared" si="423"/>
        <v>-49.273324869112407</v>
      </c>
      <c r="AN627" s="132">
        <f t="shared" si="423"/>
        <v>-42.965786223152698</v>
      </c>
    </row>
    <row r="628" spans="1:40">
      <c r="B628" s="209" t="s">
        <v>3</v>
      </c>
      <c r="C628" s="82" t="s">
        <v>900</v>
      </c>
      <c r="D628" s="20"/>
      <c r="E628" s="237"/>
      <c r="F628" s="237"/>
      <c r="G628" s="240"/>
      <c r="H628" s="240"/>
      <c r="I628" s="240"/>
      <c r="J628" s="240"/>
      <c r="K628" s="240"/>
      <c r="L628" s="136"/>
      <c r="M628" s="136"/>
      <c r="N628" s="136">
        <f t="shared" ref="N628:U628" si="424">N633-SUM(N624:N627,N631)</f>
        <v>197.59999999999991</v>
      </c>
      <c r="O628" s="136">
        <f t="shared" si="424"/>
        <v>-123.69999999999993</v>
      </c>
      <c r="P628" s="136">
        <f t="shared" si="424"/>
        <v>-30.900000000000034</v>
      </c>
      <c r="Q628" s="136">
        <f t="shared" si="424"/>
        <v>-86.600000000000009</v>
      </c>
      <c r="R628" s="136">
        <f t="shared" si="424"/>
        <v>-61.700000000000031</v>
      </c>
      <c r="S628" s="136">
        <f t="shared" si="424"/>
        <v>-32.499999999999972</v>
      </c>
      <c r="T628" s="136">
        <f t="shared" si="424"/>
        <v>28.30000000000004</v>
      </c>
      <c r="U628" s="136">
        <f t="shared" si="424"/>
        <v>-50.100000000000065</v>
      </c>
      <c r="V628" s="136">
        <f t="shared" ref="V628" si="425">V633-SUM(V624:V627,V631)</f>
        <v>4.4999999999999432</v>
      </c>
      <c r="W628" s="160">
        <v>0</v>
      </c>
      <c r="X628" s="160">
        <v>0</v>
      </c>
      <c r="Y628" s="160">
        <v>0</v>
      </c>
      <c r="Z628" s="160">
        <v>0</v>
      </c>
      <c r="AA628" s="160">
        <v>0</v>
      </c>
      <c r="AB628" s="160">
        <v>0</v>
      </c>
      <c r="AC628" s="160">
        <v>0</v>
      </c>
      <c r="AD628" s="160">
        <v>0</v>
      </c>
      <c r="AE628" s="160">
        <v>0</v>
      </c>
      <c r="AF628" s="160">
        <v>0</v>
      </c>
      <c r="AG628" s="160">
        <v>0</v>
      </c>
      <c r="AH628" s="160">
        <v>0</v>
      </c>
      <c r="AI628" s="160">
        <v>0</v>
      </c>
      <c r="AJ628" s="160">
        <v>0</v>
      </c>
      <c r="AK628" s="160">
        <v>0</v>
      </c>
      <c r="AL628" s="160">
        <v>0</v>
      </c>
      <c r="AM628" s="160">
        <v>0</v>
      </c>
      <c r="AN628" s="160">
        <v>0</v>
      </c>
    </row>
    <row r="629" spans="1:40">
      <c r="B629" s="224" t="s">
        <v>991</v>
      </c>
      <c r="C629" s="166"/>
      <c r="D629" s="22"/>
      <c r="E629" s="5"/>
      <c r="F629" s="5"/>
      <c r="G629" s="221"/>
      <c r="H629" s="221"/>
      <c r="I629" s="221"/>
      <c r="J629" s="221"/>
      <c r="K629" s="221"/>
      <c r="L629" s="500"/>
      <c r="M629" s="500"/>
      <c r="N629" s="500" t="s">
        <v>991</v>
      </c>
      <c r="O629" s="500" t="s">
        <v>991</v>
      </c>
      <c r="P629" s="500" t="s">
        <v>991</v>
      </c>
      <c r="Q629" s="500" t="s">
        <v>991</v>
      </c>
      <c r="R629" s="500" t="s">
        <v>991</v>
      </c>
      <c r="S629" s="500" t="s">
        <v>991</v>
      </c>
      <c r="T629" s="500" t="s">
        <v>991</v>
      </c>
      <c r="U629" s="500" t="s">
        <v>991</v>
      </c>
      <c r="V629" s="500" t="s">
        <v>991</v>
      </c>
      <c r="W629" s="500" t="s">
        <v>991</v>
      </c>
      <c r="X629" s="500" t="s">
        <v>991</v>
      </c>
      <c r="Y629" s="500" t="s">
        <v>991</v>
      </c>
      <c r="Z629" s="500" t="s">
        <v>991</v>
      </c>
      <c r="AA629" s="500" t="s">
        <v>991</v>
      </c>
      <c r="AB629" s="500" t="s">
        <v>991</v>
      </c>
      <c r="AC629" s="500" t="s">
        <v>991</v>
      </c>
      <c r="AD629" s="500" t="s">
        <v>991</v>
      </c>
      <c r="AE629" s="500" t="s">
        <v>991</v>
      </c>
      <c r="AF629" s="500" t="s">
        <v>991</v>
      </c>
      <c r="AG629" s="500" t="s">
        <v>991</v>
      </c>
      <c r="AH629" s="500" t="s">
        <v>991</v>
      </c>
      <c r="AI629" s="500" t="s">
        <v>991</v>
      </c>
      <c r="AJ629" s="500" t="s">
        <v>991</v>
      </c>
      <c r="AK629" s="500" t="s">
        <v>991</v>
      </c>
      <c r="AL629" s="500" t="s">
        <v>991</v>
      </c>
      <c r="AM629" s="500" t="s">
        <v>991</v>
      </c>
      <c r="AN629" s="500" t="s">
        <v>991</v>
      </c>
    </row>
    <row r="630" spans="1:40">
      <c r="B630" s="192" t="s">
        <v>57</v>
      </c>
      <c r="C630" s="82" t="s">
        <v>900</v>
      </c>
      <c r="D630" s="2"/>
      <c r="E630" s="2"/>
      <c r="F630" s="2"/>
      <c r="G630" s="7"/>
      <c r="H630" s="7"/>
      <c r="I630" s="7"/>
      <c r="J630" s="7"/>
      <c r="K630" s="7"/>
      <c r="L630" s="132"/>
      <c r="M630" s="132"/>
      <c r="N630" s="132">
        <f t="shared" ref="N630:AL630" si="426">SUM(N624:N629)</f>
        <v>247.79999999999995</v>
      </c>
      <c r="O630" s="132">
        <f t="shared" si="426"/>
        <v>16.200000000000045</v>
      </c>
      <c r="P630" s="132">
        <f t="shared" si="426"/>
        <v>166.49999999999997</v>
      </c>
      <c r="Q630" s="132">
        <f t="shared" ref="Q630:V630" si="427">SUM(Q624:Q629)</f>
        <v>147.60000000000002</v>
      </c>
      <c r="R630" s="132">
        <f t="shared" si="427"/>
        <v>108.79999999999997</v>
      </c>
      <c r="S630" s="132">
        <f t="shared" si="427"/>
        <v>124</v>
      </c>
      <c r="T630" s="132">
        <f t="shared" si="427"/>
        <v>200.00000000000006</v>
      </c>
      <c r="U630" s="132">
        <f t="shared" si="427"/>
        <v>110.59999999999995</v>
      </c>
      <c r="V630" s="132">
        <f t="shared" si="427"/>
        <v>191.39999999999992</v>
      </c>
      <c r="W630" s="132">
        <f t="shared" si="426"/>
        <v>168.00662216909336</v>
      </c>
      <c r="X630" s="132">
        <f t="shared" si="426"/>
        <v>149.10364185334367</v>
      </c>
      <c r="Y630" s="132">
        <f t="shared" si="426"/>
        <v>167.99858601367922</v>
      </c>
      <c r="Z630" s="132">
        <f t="shared" si="426"/>
        <v>153.48904772103876</v>
      </c>
      <c r="AA630" s="132">
        <f t="shared" si="426"/>
        <v>171.38698486977702</v>
      </c>
      <c r="AB630" s="132">
        <f t="shared" si="426"/>
        <v>152.46661773874825</v>
      </c>
      <c r="AC630" s="132">
        <f t="shared" si="426"/>
        <v>170.94488919213526</v>
      </c>
      <c r="AD630" s="132">
        <f t="shared" si="426"/>
        <v>151.90107789516654</v>
      </c>
      <c r="AE630" s="132">
        <f t="shared" si="426"/>
        <v>172.77004165563139</v>
      </c>
      <c r="AF630" s="132">
        <f t="shared" si="426"/>
        <v>153.69303683133344</v>
      </c>
      <c r="AG630" s="132">
        <f t="shared" si="426"/>
        <v>174.56345903976066</v>
      </c>
      <c r="AH630" s="132">
        <f t="shared" si="426"/>
        <v>155.73398522428519</v>
      </c>
      <c r="AI630" s="132">
        <f t="shared" si="426"/>
        <v>177.5095416593239</v>
      </c>
      <c r="AJ630" s="132">
        <f t="shared" si="426"/>
        <v>158.69853567781411</v>
      </c>
      <c r="AK630" s="132">
        <f t="shared" si="426"/>
        <v>193.47708665280905</v>
      </c>
      <c r="AL630" s="132">
        <f t="shared" si="426"/>
        <v>175.48534131890065</v>
      </c>
      <c r="AM630" s="132">
        <f>SUM(AM624:AM629)</f>
        <v>198.10572708492973</v>
      </c>
      <c r="AN630" s="132">
        <f>SUM(AN624:AN629)</f>
        <v>179.57298233508141</v>
      </c>
    </row>
    <row r="631" spans="1:40">
      <c r="B631" s="192" t="s">
        <v>58</v>
      </c>
      <c r="C631" s="82" t="s">
        <v>900</v>
      </c>
      <c r="D631" s="2"/>
      <c r="E631" s="2"/>
      <c r="F631" s="2"/>
      <c r="G631" s="7"/>
      <c r="H631" s="7"/>
      <c r="I631" s="7"/>
      <c r="J631" s="7"/>
      <c r="K631" s="7"/>
      <c r="L631" s="132"/>
      <c r="M631" s="132"/>
      <c r="N631" s="132">
        <f t="shared" ref="N631:AN631" si="428">N521</f>
        <v>55.600000000000023</v>
      </c>
      <c r="O631" s="132">
        <f t="shared" si="428"/>
        <v>-141.20000000000005</v>
      </c>
      <c r="P631" s="132">
        <f t="shared" si="428"/>
        <v>77.800000000000011</v>
      </c>
      <c r="Q631" s="132">
        <f t="shared" si="428"/>
        <v>-26.300000000000011</v>
      </c>
      <c r="R631" s="132">
        <f t="shared" si="428"/>
        <v>15.100000000000023</v>
      </c>
      <c r="S631" s="132">
        <f t="shared" si="428"/>
        <v>48</v>
      </c>
      <c r="T631" s="132">
        <f t="shared" si="428"/>
        <v>34.499999999999943</v>
      </c>
      <c r="U631" s="132">
        <f t="shared" si="428"/>
        <v>-15.299999999999955</v>
      </c>
      <c r="V631" s="132">
        <f t="shared" ref="V631" si="429">V521</f>
        <v>22.60000000000008</v>
      </c>
      <c r="W631" s="132">
        <f t="shared" si="428"/>
        <v>35.226342977242098</v>
      </c>
      <c r="X631" s="132">
        <f t="shared" si="428"/>
        <v>-18.63397223482076</v>
      </c>
      <c r="Y631" s="132">
        <f t="shared" si="428"/>
        <v>28.341109374593373</v>
      </c>
      <c r="Z631" s="132">
        <f t="shared" si="428"/>
        <v>-24.881427335014394</v>
      </c>
      <c r="AA631" s="132">
        <f t="shared" si="428"/>
        <v>25.471759933897658</v>
      </c>
      <c r="AB631" s="132">
        <f t="shared" si="428"/>
        <v>-20.491737364749213</v>
      </c>
      <c r="AC631" s="132">
        <f t="shared" si="428"/>
        <v>32.139752562007573</v>
      </c>
      <c r="AD631" s="132">
        <f t="shared" si="428"/>
        <v>-20.789222040705226</v>
      </c>
      <c r="AE631" s="132">
        <f t="shared" si="428"/>
        <v>28.534373713438754</v>
      </c>
      <c r="AF631" s="132">
        <f t="shared" si="428"/>
        <v>-20.770957205803143</v>
      </c>
      <c r="AG631" s="132">
        <f t="shared" si="428"/>
        <v>28.832675723233251</v>
      </c>
      <c r="AH631" s="132">
        <f t="shared" si="428"/>
        <v>-23.703739761001316</v>
      </c>
      <c r="AI631" s="132">
        <f t="shared" si="428"/>
        <v>32.090680005523609</v>
      </c>
      <c r="AJ631" s="132">
        <f t="shared" si="428"/>
        <v>-20.752185317226918</v>
      </c>
      <c r="AK631" s="132">
        <f t="shared" si="428"/>
        <v>29.473270238938881</v>
      </c>
      <c r="AL631" s="132">
        <f t="shared" si="428"/>
        <v>-20.7519065873513</v>
      </c>
      <c r="AM631" s="132">
        <f t="shared" si="428"/>
        <v>29.816335161870143</v>
      </c>
      <c r="AN631" s="132">
        <f t="shared" si="428"/>
        <v>-20.757858342956297</v>
      </c>
    </row>
    <row r="632" spans="1:40">
      <c r="B632" s="224" t="s">
        <v>991</v>
      </c>
      <c r="C632" s="166"/>
      <c r="D632" s="22"/>
      <c r="E632" s="239"/>
      <c r="F632" s="239"/>
      <c r="G632" s="221"/>
      <c r="H632" s="221"/>
      <c r="I632" s="221"/>
      <c r="J632" s="221"/>
      <c r="K632" s="221"/>
      <c r="L632" s="500"/>
      <c r="M632" s="500"/>
      <c r="N632" s="500" t="s">
        <v>991</v>
      </c>
      <c r="O632" s="500" t="s">
        <v>991</v>
      </c>
      <c r="P632" s="500" t="s">
        <v>991</v>
      </c>
      <c r="Q632" s="500" t="s">
        <v>991</v>
      </c>
      <c r="R632" s="500" t="s">
        <v>991</v>
      </c>
      <c r="S632" s="500" t="s">
        <v>991</v>
      </c>
      <c r="T632" s="500" t="s">
        <v>991</v>
      </c>
      <c r="U632" s="500" t="s">
        <v>991</v>
      </c>
      <c r="V632" s="500" t="s">
        <v>991</v>
      </c>
      <c r="W632" s="500" t="s">
        <v>991</v>
      </c>
      <c r="X632" s="500" t="s">
        <v>991</v>
      </c>
      <c r="Y632" s="500" t="s">
        <v>991</v>
      </c>
      <c r="Z632" s="500" t="s">
        <v>991</v>
      </c>
      <c r="AA632" s="500" t="s">
        <v>991</v>
      </c>
      <c r="AB632" s="500" t="s">
        <v>991</v>
      </c>
      <c r="AC632" s="500" t="s">
        <v>991</v>
      </c>
      <c r="AD632" s="500" t="s">
        <v>991</v>
      </c>
      <c r="AE632" s="500" t="s">
        <v>991</v>
      </c>
      <c r="AF632" s="500" t="s">
        <v>991</v>
      </c>
      <c r="AG632" s="500" t="s">
        <v>991</v>
      </c>
      <c r="AH632" s="500" t="s">
        <v>991</v>
      </c>
      <c r="AI632" s="500" t="s">
        <v>991</v>
      </c>
      <c r="AJ632" s="500" t="s">
        <v>991</v>
      </c>
      <c r="AK632" s="500" t="s">
        <v>991</v>
      </c>
      <c r="AL632" s="500" t="s">
        <v>991</v>
      </c>
      <c r="AM632" s="500" t="s">
        <v>991</v>
      </c>
      <c r="AN632" s="500" t="s">
        <v>991</v>
      </c>
    </row>
    <row r="633" spans="1:40" s="3" customFormat="1">
      <c r="A633" s="1"/>
      <c r="B633" s="189" t="s">
        <v>20</v>
      </c>
      <c r="C633" s="82" t="s">
        <v>900</v>
      </c>
      <c r="D633" s="4"/>
      <c r="E633" s="4"/>
      <c r="F633" s="4"/>
      <c r="G633" s="238"/>
      <c r="H633" s="238"/>
      <c r="I633" s="238"/>
      <c r="J633" s="238"/>
      <c r="K633" s="238"/>
      <c r="L633" s="485"/>
      <c r="M633" s="485"/>
      <c r="N633" s="485">
        <v>303.39999999999998</v>
      </c>
      <c r="O633" s="485">
        <v>-125</v>
      </c>
      <c r="P633" s="485">
        <f>119.3-O633</f>
        <v>244.3</v>
      </c>
      <c r="Q633" s="485">
        <v>121.3</v>
      </c>
      <c r="R633" s="485">
        <f>245.2-Q633</f>
        <v>123.89999999999999</v>
      </c>
      <c r="S633" s="485">
        <v>172</v>
      </c>
      <c r="T633" s="485">
        <f>406.5-S633</f>
        <v>234.5</v>
      </c>
      <c r="U633" s="485">
        <v>95.3</v>
      </c>
      <c r="V633" s="485">
        <f>309.3-U633</f>
        <v>214</v>
      </c>
      <c r="W633" s="499">
        <f>SUM(W630:W632)</f>
        <v>203.23296514633546</v>
      </c>
      <c r="X633" s="499">
        <f t="shared" ref="X633:AD633" si="430">SUM(X630:X632)</f>
        <v>130.46966961852291</v>
      </c>
      <c r="Y633" s="499">
        <f t="shared" si="430"/>
        <v>196.33969538827259</v>
      </c>
      <c r="Z633" s="499">
        <f t="shared" si="430"/>
        <v>128.60762038602437</v>
      </c>
      <c r="AA633" s="499">
        <f t="shared" si="430"/>
        <v>196.85874480367468</v>
      </c>
      <c r="AB633" s="499">
        <f t="shared" si="430"/>
        <v>131.97488037399904</v>
      </c>
      <c r="AC633" s="499">
        <f t="shared" si="430"/>
        <v>203.08464175414284</v>
      </c>
      <c r="AD633" s="499">
        <f t="shared" si="430"/>
        <v>131.11185585446131</v>
      </c>
      <c r="AE633" s="499">
        <f t="shared" ref="AE633:AL633" si="431">SUM(AE630:AE632)</f>
        <v>201.30441536907014</v>
      </c>
      <c r="AF633" s="499">
        <f t="shared" si="431"/>
        <v>132.9220796255303</v>
      </c>
      <c r="AG633" s="499">
        <f t="shared" si="431"/>
        <v>203.39613476299391</v>
      </c>
      <c r="AH633" s="499">
        <f t="shared" si="431"/>
        <v>132.03024546328388</v>
      </c>
      <c r="AI633" s="499">
        <f t="shared" si="431"/>
        <v>209.60022166484751</v>
      </c>
      <c r="AJ633" s="499">
        <f t="shared" si="431"/>
        <v>137.94635036058719</v>
      </c>
      <c r="AK633" s="499">
        <f t="shared" si="431"/>
        <v>222.95035689174793</v>
      </c>
      <c r="AL633" s="499">
        <f t="shared" si="431"/>
        <v>154.73343473154935</v>
      </c>
      <c r="AM633" s="499">
        <f>SUM(AM630:AM632)</f>
        <v>227.92206224679987</v>
      </c>
      <c r="AN633" s="499">
        <f>SUM(AN630:AN632)</f>
        <v>158.81512399212511</v>
      </c>
    </row>
    <row r="634" spans="1:40">
      <c r="B634" s="138"/>
      <c r="D634" s="20"/>
      <c r="E634" s="2"/>
      <c r="F634" s="2"/>
      <c r="G634" s="2"/>
      <c r="H634" s="2"/>
      <c r="I634" s="2"/>
      <c r="J634" s="2"/>
      <c r="K634" s="2"/>
      <c r="L634" s="132"/>
      <c r="M634" s="132"/>
      <c r="N634" s="132"/>
      <c r="O634" s="132"/>
      <c r="P634" s="132"/>
      <c r="Q634" s="132"/>
      <c r="R634" s="132"/>
      <c r="S634" s="132"/>
      <c r="T634" s="132"/>
      <c r="U634" s="132"/>
      <c r="V634" s="132"/>
      <c r="W634" s="132"/>
      <c r="X634" s="132"/>
      <c r="Y634" s="132"/>
      <c r="Z634" s="132"/>
      <c r="AA634" s="132"/>
      <c r="AB634" s="132"/>
      <c r="AC634" s="132"/>
      <c r="AD634" s="132"/>
      <c r="AE634" s="132"/>
      <c r="AF634" s="132"/>
      <c r="AG634" s="132"/>
      <c r="AH634" s="132"/>
      <c r="AI634" s="132"/>
      <c r="AJ634" s="132"/>
      <c r="AK634" s="132"/>
      <c r="AL634" s="132"/>
      <c r="AM634" s="132"/>
      <c r="AN634" s="132"/>
    </row>
    <row r="635" spans="1:40">
      <c r="B635" s="192" t="s">
        <v>21</v>
      </c>
      <c r="C635" s="82" t="s">
        <v>900</v>
      </c>
      <c r="D635" s="20"/>
      <c r="E635" s="2"/>
      <c r="F635" s="2"/>
      <c r="G635" s="7"/>
      <c r="H635" s="7"/>
      <c r="I635" s="7"/>
      <c r="J635" s="7"/>
      <c r="K635" s="7"/>
      <c r="L635" s="132"/>
      <c r="M635" s="135"/>
      <c r="N635" s="135">
        <v>0</v>
      </c>
      <c r="O635" s="135">
        <v>0</v>
      </c>
      <c r="P635" s="135">
        <v>0</v>
      </c>
      <c r="Q635" s="135">
        <v>0</v>
      </c>
      <c r="R635" s="135">
        <v>0</v>
      </c>
      <c r="S635" s="135">
        <v>0</v>
      </c>
      <c r="T635" s="135">
        <v>0</v>
      </c>
      <c r="U635" s="135">
        <v>0</v>
      </c>
      <c r="V635" s="135">
        <v>0</v>
      </c>
      <c r="W635" s="136">
        <f t="shared" ref="W635:AN635" si="432">-W429</f>
        <v>-35</v>
      </c>
      <c r="X635" s="136">
        <f t="shared" si="432"/>
        <v>-35</v>
      </c>
      <c r="Y635" s="136">
        <f t="shared" si="432"/>
        <v>-35</v>
      </c>
      <c r="Z635" s="136">
        <f t="shared" si="432"/>
        <v>-35</v>
      </c>
      <c r="AA635" s="136">
        <f t="shared" si="432"/>
        <v>-29.499378906065992</v>
      </c>
      <c r="AB635" s="136">
        <f t="shared" si="432"/>
        <v>-28.060754539489604</v>
      </c>
      <c r="AC635" s="136">
        <f t="shared" si="432"/>
        <v>-30.174034951031341</v>
      </c>
      <c r="AD635" s="136">
        <f t="shared" si="432"/>
        <v>-28.711192900728296</v>
      </c>
      <c r="AE635" s="136">
        <f t="shared" si="432"/>
        <v>-30.657581248684682</v>
      </c>
      <c r="AF635" s="136">
        <f t="shared" si="432"/>
        <v>-29.189114852359218</v>
      </c>
      <c r="AG635" s="136">
        <f t="shared" si="432"/>
        <v>-31.159819482776403</v>
      </c>
      <c r="AH635" s="136">
        <f t="shared" si="432"/>
        <v>-29.685177400892982</v>
      </c>
      <c r="AI635" s="136">
        <f t="shared" si="432"/>
        <v>-31.681268555924554</v>
      </c>
      <c r="AJ635" s="136">
        <f t="shared" si="432"/>
        <v>-30.199886734853141</v>
      </c>
      <c r="AK635" s="136">
        <f t="shared" si="432"/>
        <v>-32.222463356380516</v>
      </c>
      <c r="AL635" s="136">
        <f t="shared" si="432"/>
        <v>-30.733764608712754</v>
      </c>
      <c r="AM635" s="136">
        <f t="shared" si="432"/>
        <v>-32.783955233412364</v>
      </c>
      <c r="AN635" s="136">
        <f t="shared" si="432"/>
        <v>-31.287348806070021</v>
      </c>
    </row>
    <row r="636" spans="1:40">
      <c r="B636" s="192" t="s">
        <v>22</v>
      </c>
      <c r="C636" s="82" t="s">
        <v>900</v>
      </c>
      <c r="D636" s="20"/>
      <c r="E636" s="2"/>
      <c r="F636" s="2"/>
      <c r="G636" s="7"/>
      <c r="H636" s="7"/>
      <c r="I636" s="7"/>
      <c r="J636" s="7"/>
      <c r="K636" s="7"/>
      <c r="L636" s="132"/>
      <c r="M636" s="135"/>
      <c r="N636" s="135">
        <v>-116.7</v>
      </c>
      <c r="O636" s="135">
        <v>-117</v>
      </c>
      <c r="P636" s="135">
        <f>-196.9-O636</f>
        <v>-79.900000000000006</v>
      </c>
      <c r="Q636" s="135">
        <v>-73.900000000000006</v>
      </c>
      <c r="R636" s="135">
        <f>-160.4-600-Q636</f>
        <v>-686.5</v>
      </c>
      <c r="S636" s="135">
        <v>-66.3</v>
      </c>
      <c r="T636" s="135">
        <f>-117.8-S636</f>
        <v>-51.5</v>
      </c>
      <c r="U636" s="135">
        <v>-71</v>
      </c>
      <c r="V636" s="135">
        <f>-150.7-U636</f>
        <v>-79.699999999999989</v>
      </c>
      <c r="W636" s="136">
        <f>-W417-W390</f>
        <v>-45</v>
      </c>
      <c r="X636" s="136">
        <f t="shared" ref="X636:AN636" si="433">-X417-X390</f>
        <v>-45</v>
      </c>
      <c r="Y636" s="136">
        <f t="shared" si="433"/>
        <v>-40</v>
      </c>
      <c r="Z636" s="136">
        <f t="shared" si="433"/>
        <v>-40</v>
      </c>
      <c r="AA636" s="136">
        <f t="shared" si="433"/>
        <v>-36.874223632582492</v>
      </c>
      <c r="AB636" s="136">
        <f t="shared" si="433"/>
        <v>-35.075943174362003</v>
      </c>
      <c r="AC636" s="136">
        <f t="shared" si="433"/>
        <v>-36.208841941237608</v>
      </c>
      <c r="AD636" s="136">
        <f t="shared" si="433"/>
        <v>-34.453431480873959</v>
      </c>
      <c r="AE636" s="136">
        <f t="shared" si="433"/>
        <v>-36.789097498421619</v>
      </c>
      <c r="AF636" s="136">
        <f t="shared" si="433"/>
        <v>-35.026937822831059</v>
      </c>
      <c r="AG636" s="136">
        <f t="shared" si="433"/>
        <v>-37.391783379331685</v>
      </c>
      <c r="AH636" s="136">
        <f t="shared" si="433"/>
        <v>-35.622212881071576</v>
      </c>
      <c r="AI636" s="136">
        <f t="shared" si="433"/>
        <v>-38.017522267109463</v>
      </c>
      <c r="AJ636" s="136">
        <f t="shared" si="433"/>
        <v>-36.239864081823768</v>
      </c>
      <c r="AK636" s="136">
        <f t="shared" si="433"/>
        <v>-38.666956027656624</v>
      </c>
      <c r="AL636" s="136">
        <f t="shared" si="433"/>
        <v>-36.880517530455307</v>
      </c>
      <c r="AM636" s="136">
        <f t="shared" si="433"/>
        <v>-36.880517530455307</v>
      </c>
      <c r="AN636" s="136">
        <f t="shared" si="433"/>
        <v>-36.880517530455307</v>
      </c>
    </row>
    <row r="637" spans="1:40">
      <c r="B637" s="192" t="s">
        <v>1241</v>
      </c>
      <c r="C637" s="82" t="s">
        <v>900</v>
      </c>
      <c r="D637" s="2"/>
      <c r="E637" s="2"/>
      <c r="F637" s="2"/>
      <c r="G637" s="7"/>
      <c r="H637" s="7"/>
      <c r="I637" s="7"/>
      <c r="J637" s="7"/>
      <c r="K637" s="7"/>
      <c r="L637" s="132"/>
      <c r="M637" s="135"/>
      <c r="N637" s="135">
        <v>1.7999999999999998</v>
      </c>
      <c r="O637" s="135">
        <v>37.6</v>
      </c>
      <c r="P637" s="135">
        <f>41.2-O637</f>
        <v>3.6000000000000014</v>
      </c>
      <c r="Q637" s="135">
        <v>1.2</v>
      </c>
      <c r="R637" s="135">
        <f>1.4-Q637</f>
        <v>0.19999999999999996</v>
      </c>
      <c r="S637" s="135">
        <v>0</v>
      </c>
      <c r="T637" s="135">
        <f>0.8-S637</f>
        <v>0.8</v>
      </c>
      <c r="U637" s="135">
        <v>0</v>
      </c>
      <c r="V637" s="135">
        <f>0-U637</f>
        <v>0</v>
      </c>
      <c r="W637" s="160">
        <v>0</v>
      </c>
      <c r="X637" s="160">
        <v>0</v>
      </c>
      <c r="Y637" s="160">
        <v>0</v>
      </c>
      <c r="Z637" s="160">
        <v>0</v>
      </c>
      <c r="AA637" s="160">
        <v>0</v>
      </c>
      <c r="AB637" s="160">
        <v>0</v>
      </c>
      <c r="AC637" s="160">
        <v>0</v>
      </c>
      <c r="AD637" s="160">
        <v>0</v>
      </c>
      <c r="AE637" s="160">
        <v>0</v>
      </c>
      <c r="AF637" s="160">
        <v>0</v>
      </c>
      <c r="AG637" s="160">
        <v>0</v>
      </c>
      <c r="AH637" s="160">
        <v>0</v>
      </c>
      <c r="AI637" s="160">
        <v>0</v>
      </c>
      <c r="AJ637" s="160">
        <v>0</v>
      </c>
      <c r="AK637" s="160">
        <v>0</v>
      </c>
      <c r="AL637" s="160">
        <v>0</v>
      </c>
      <c r="AM637" s="160">
        <v>0</v>
      </c>
      <c r="AN637" s="160">
        <v>0</v>
      </c>
    </row>
    <row r="638" spans="1:40">
      <c r="B638" s="192" t="s">
        <v>1053</v>
      </c>
      <c r="C638" s="82" t="s">
        <v>900</v>
      </c>
      <c r="D638" s="2"/>
      <c r="E638" s="2"/>
      <c r="F638" s="2"/>
      <c r="G638" s="7"/>
      <c r="H638" s="7"/>
      <c r="I638" s="7"/>
      <c r="J638" s="7"/>
      <c r="K638" s="7"/>
      <c r="L638" s="132"/>
      <c r="M638" s="135"/>
      <c r="N638" s="135">
        <v>0</v>
      </c>
      <c r="O638" s="135">
        <v>0</v>
      </c>
      <c r="P638" s="135">
        <v>59</v>
      </c>
      <c r="Q638" s="135">
        <v>21</v>
      </c>
      <c r="R638" s="135">
        <f>21-Q638</f>
        <v>0</v>
      </c>
      <c r="S638" s="135">
        <v>0</v>
      </c>
      <c r="T638" s="135">
        <v>0</v>
      </c>
      <c r="U638" s="135">
        <v>0</v>
      </c>
      <c r="V638" s="135">
        <v>0</v>
      </c>
      <c r="W638" s="160">
        <v>0</v>
      </c>
      <c r="X638" s="501">
        <v>-283</v>
      </c>
      <c r="Y638" s="160">
        <v>0</v>
      </c>
      <c r="Z638" s="160">
        <v>0</v>
      </c>
      <c r="AA638" s="160">
        <v>0</v>
      </c>
      <c r="AB638" s="160">
        <v>0</v>
      </c>
      <c r="AC638" s="160">
        <v>0</v>
      </c>
      <c r="AD638" s="160">
        <v>0</v>
      </c>
      <c r="AE638" s="160">
        <v>0</v>
      </c>
      <c r="AF638" s="160">
        <v>0</v>
      </c>
      <c r="AG638" s="160">
        <v>0</v>
      </c>
      <c r="AH638" s="160">
        <v>0</v>
      </c>
      <c r="AI638" s="160">
        <v>0</v>
      </c>
      <c r="AJ638" s="160">
        <v>0</v>
      </c>
      <c r="AK638" s="160">
        <v>0</v>
      </c>
      <c r="AL638" s="160">
        <v>0</v>
      </c>
      <c r="AM638" s="160">
        <v>0</v>
      </c>
      <c r="AN638" s="160">
        <v>0</v>
      </c>
    </row>
    <row r="639" spans="1:40">
      <c r="B639" s="192" t="s">
        <v>1240</v>
      </c>
      <c r="C639" s="82" t="s">
        <v>900</v>
      </c>
      <c r="D639" s="20"/>
      <c r="E639" s="2"/>
      <c r="F639" s="2"/>
      <c r="G639" s="236"/>
      <c r="H639" s="236"/>
      <c r="I639" s="236"/>
      <c r="J639" s="236"/>
      <c r="K639" s="236"/>
      <c r="L639" s="135"/>
      <c r="M639" s="135"/>
      <c r="N639" s="135">
        <v>0</v>
      </c>
      <c r="O639" s="135">
        <v>-32.799999999999997</v>
      </c>
      <c r="P639" s="135">
        <f>-33.3-O639</f>
        <v>-0.5</v>
      </c>
      <c r="Q639" s="135">
        <v>-2.6</v>
      </c>
      <c r="R639" s="135">
        <f>-2.8-Q639</f>
        <v>-0.19999999999999973</v>
      </c>
      <c r="S639" s="135">
        <v>0</v>
      </c>
      <c r="T639" s="135">
        <v>0</v>
      </c>
      <c r="U639" s="135">
        <v>0</v>
      </c>
      <c r="V639" s="135">
        <v>0</v>
      </c>
      <c r="W639" s="160">
        <v>0</v>
      </c>
      <c r="X639" s="160">
        <v>0</v>
      </c>
      <c r="Y639" s="160">
        <v>0</v>
      </c>
      <c r="Z639" s="160">
        <v>0</v>
      </c>
      <c r="AA639" s="160">
        <v>0</v>
      </c>
      <c r="AB639" s="160">
        <v>0</v>
      </c>
      <c r="AC639" s="160">
        <v>0</v>
      </c>
      <c r="AD639" s="160">
        <v>0</v>
      </c>
      <c r="AE639" s="160">
        <v>0</v>
      </c>
      <c r="AF639" s="160">
        <v>0</v>
      </c>
      <c r="AG639" s="160">
        <v>0</v>
      </c>
      <c r="AH639" s="160">
        <v>0</v>
      </c>
      <c r="AI639" s="160">
        <v>0</v>
      </c>
      <c r="AJ639" s="160">
        <v>0</v>
      </c>
      <c r="AK639" s="160">
        <v>0</v>
      </c>
      <c r="AL639" s="160">
        <v>0</v>
      </c>
      <c r="AM639" s="160">
        <v>0</v>
      </c>
      <c r="AN639" s="160">
        <v>0</v>
      </c>
    </row>
    <row r="640" spans="1:40">
      <c r="B640" s="192" t="s">
        <v>3</v>
      </c>
      <c r="C640" s="82" t="s">
        <v>900</v>
      </c>
      <c r="D640" s="20"/>
      <c r="E640" s="6"/>
      <c r="F640" s="6"/>
      <c r="G640" s="236"/>
      <c r="H640" s="236"/>
      <c r="I640" s="236"/>
      <c r="J640" s="236"/>
      <c r="K640" s="236"/>
      <c r="L640" s="135"/>
      <c r="M640" s="135"/>
      <c r="N640" s="135">
        <v>-243.4</v>
      </c>
      <c r="O640" s="135">
        <v>0</v>
      </c>
      <c r="P640" s="135">
        <v>0</v>
      </c>
      <c r="Q640" s="135">
        <v>1.1000000000000001</v>
      </c>
      <c r="R640" s="135">
        <f>1.1-Q640</f>
        <v>0</v>
      </c>
      <c r="S640" s="135">
        <v>0</v>
      </c>
      <c r="T640" s="135">
        <v>0</v>
      </c>
      <c r="U640" s="135">
        <v>0</v>
      </c>
      <c r="V640" s="135">
        <v>0</v>
      </c>
      <c r="W640" s="136">
        <f>W600+W403+W404</f>
        <v>-15</v>
      </c>
      <c r="X640" s="136">
        <f t="shared" ref="X640:AN640" si="434">X600+X403+X404</f>
        <v>-14</v>
      </c>
      <c r="Y640" s="136">
        <f t="shared" si="434"/>
        <v>-11</v>
      </c>
      <c r="Z640" s="136">
        <f t="shared" si="434"/>
        <v>-7</v>
      </c>
      <c r="AA640" s="136">
        <f t="shared" si="434"/>
        <v>-5</v>
      </c>
      <c r="AB640" s="136">
        <f t="shared" si="434"/>
        <v>-3</v>
      </c>
      <c r="AC640" s="136">
        <f t="shared" si="434"/>
        <v>-1</v>
      </c>
      <c r="AD640" s="136">
        <f t="shared" si="434"/>
        <v>1</v>
      </c>
      <c r="AE640" s="136">
        <f t="shared" si="434"/>
        <v>-0.58000000000000007</v>
      </c>
      <c r="AF640" s="136">
        <f t="shared" si="434"/>
        <v>1.4800000000000004</v>
      </c>
      <c r="AG640" s="136">
        <f t="shared" si="434"/>
        <v>-0.14739999999999931</v>
      </c>
      <c r="AH640" s="136">
        <f t="shared" si="434"/>
        <v>1.9743999999999993</v>
      </c>
      <c r="AI640" s="136">
        <f t="shared" si="434"/>
        <v>0.29817800000000183</v>
      </c>
      <c r="AJ640" s="136">
        <f t="shared" si="434"/>
        <v>2.4836320000000001</v>
      </c>
      <c r="AK640" s="136">
        <f t="shared" si="434"/>
        <v>0.75712334000000148</v>
      </c>
      <c r="AL640" s="136">
        <f t="shared" si="434"/>
        <v>3.0081409600000022</v>
      </c>
      <c r="AM640" s="136">
        <f t="shared" si="434"/>
        <v>1.2298370402000032</v>
      </c>
      <c r="AN640" s="136">
        <f t="shared" si="434"/>
        <v>3.5483851888000011</v>
      </c>
    </row>
    <row r="641" spans="1:40">
      <c r="B641" s="224" t="s">
        <v>991</v>
      </c>
      <c r="C641" s="166"/>
      <c r="D641" s="22"/>
      <c r="E641" s="5"/>
      <c r="F641" s="5"/>
      <c r="G641" s="221"/>
      <c r="H641" s="221"/>
      <c r="I641" s="221"/>
      <c r="J641" s="221"/>
      <c r="K641" s="221"/>
      <c r="L641" s="500"/>
      <c r="M641" s="500"/>
      <c r="N641" s="500" t="s">
        <v>991</v>
      </c>
      <c r="O641" s="500" t="s">
        <v>991</v>
      </c>
      <c r="P641" s="500" t="s">
        <v>991</v>
      </c>
      <c r="Q641" s="500" t="s">
        <v>991</v>
      </c>
      <c r="R641" s="500" t="s">
        <v>991</v>
      </c>
      <c r="S641" s="500" t="s">
        <v>991</v>
      </c>
      <c r="T641" s="500" t="s">
        <v>991</v>
      </c>
      <c r="U641" s="500" t="s">
        <v>991</v>
      </c>
      <c r="V641" s="500" t="s">
        <v>991</v>
      </c>
      <c r="W641" s="500" t="s">
        <v>991</v>
      </c>
      <c r="X641" s="500" t="s">
        <v>991</v>
      </c>
      <c r="Y641" s="500" t="s">
        <v>991</v>
      </c>
      <c r="Z641" s="500" t="s">
        <v>991</v>
      </c>
      <c r="AA641" s="500" t="s">
        <v>991</v>
      </c>
      <c r="AB641" s="500" t="s">
        <v>991</v>
      </c>
      <c r="AC641" s="500" t="s">
        <v>991</v>
      </c>
      <c r="AD641" s="500" t="s">
        <v>991</v>
      </c>
      <c r="AE641" s="500" t="s">
        <v>991</v>
      </c>
      <c r="AF641" s="500" t="s">
        <v>991</v>
      </c>
      <c r="AG641" s="500" t="s">
        <v>991</v>
      </c>
      <c r="AH641" s="500" t="s">
        <v>991</v>
      </c>
      <c r="AI641" s="500" t="s">
        <v>991</v>
      </c>
      <c r="AJ641" s="500" t="s">
        <v>991</v>
      </c>
      <c r="AK641" s="500" t="s">
        <v>991</v>
      </c>
      <c r="AL641" s="500" t="s">
        <v>991</v>
      </c>
      <c r="AM641" s="500" t="s">
        <v>991</v>
      </c>
      <c r="AN641" s="500" t="s">
        <v>991</v>
      </c>
    </row>
    <row r="642" spans="1:40" s="3" customFormat="1">
      <c r="A642" s="1"/>
      <c r="B642" s="189" t="s">
        <v>23</v>
      </c>
      <c r="C642" s="82" t="s">
        <v>900</v>
      </c>
      <c r="D642" s="4"/>
      <c r="E642" s="4"/>
      <c r="F642" s="4"/>
      <c r="G642" s="235"/>
      <c r="H642" s="235"/>
      <c r="I642" s="235"/>
      <c r="J642" s="235"/>
      <c r="K642" s="235"/>
      <c r="L642" s="499"/>
      <c r="M642" s="499"/>
      <c r="N642" s="499">
        <f t="shared" ref="N642:AL642" si="435">SUM(N635:N641)</f>
        <v>-358.3</v>
      </c>
      <c r="O642" s="499">
        <f t="shared" si="435"/>
        <v>-112.2</v>
      </c>
      <c r="P642" s="499">
        <f t="shared" si="435"/>
        <v>-17.800000000000011</v>
      </c>
      <c r="Q642" s="499">
        <f t="shared" ref="Q642:V642" si="436">SUM(Q635:Q641)</f>
        <v>-53.2</v>
      </c>
      <c r="R642" s="499">
        <f t="shared" si="436"/>
        <v>-686.5</v>
      </c>
      <c r="S642" s="499">
        <f t="shared" si="436"/>
        <v>-66.3</v>
      </c>
      <c r="T642" s="499">
        <f t="shared" si="436"/>
        <v>-50.7</v>
      </c>
      <c r="U642" s="499">
        <f t="shared" si="436"/>
        <v>-71</v>
      </c>
      <c r="V642" s="499">
        <f t="shared" si="436"/>
        <v>-79.699999999999989</v>
      </c>
      <c r="W642" s="499">
        <f t="shared" si="435"/>
        <v>-95</v>
      </c>
      <c r="X642" s="499">
        <f t="shared" si="435"/>
        <v>-377</v>
      </c>
      <c r="Y642" s="499">
        <f t="shared" si="435"/>
        <v>-86</v>
      </c>
      <c r="Z642" s="499">
        <f t="shared" si="435"/>
        <v>-82</v>
      </c>
      <c r="AA642" s="499">
        <f t="shared" si="435"/>
        <v>-71.373602538648484</v>
      </c>
      <c r="AB642" s="499">
        <f t="shared" si="435"/>
        <v>-66.136697713851603</v>
      </c>
      <c r="AC642" s="499">
        <f t="shared" si="435"/>
        <v>-67.382876892268953</v>
      </c>
      <c r="AD642" s="499">
        <f t="shared" si="435"/>
        <v>-62.164624381602252</v>
      </c>
      <c r="AE642" s="499">
        <f t="shared" si="435"/>
        <v>-68.026678747106303</v>
      </c>
      <c r="AF642" s="499">
        <f t="shared" si="435"/>
        <v>-62.736052675190265</v>
      </c>
      <c r="AG642" s="499">
        <f t="shared" si="435"/>
        <v>-68.699002862108088</v>
      </c>
      <c r="AH642" s="499">
        <f t="shared" si="435"/>
        <v>-63.332990281964555</v>
      </c>
      <c r="AI642" s="499">
        <f t="shared" si="435"/>
        <v>-69.40061282303401</v>
      </c>
      <c r="AJ642" s="499">
        <f t="shared" si="435"/>
        <v>-63.956118816676906</v>
      </c>
      <c r="AK642" s="499">
        <f t="shared" si="435"/>
        <v>-70.132296044037133</v>
      </c>
      <c r="AL642" s="499">
        <f t="shared" si="435"/>
        <v>-64.606141179168063</v>
      </c>
      <c r="AM642" s="499">
        <f>SUM(AM635:AM641)</f>
        <v>-68.434635723667668</v>
      </c>
      <c r="AN642" s="499">
        <f>SUM(AN635:AN641)</f>
        <v>-64.619481147725324</v>
      </c>
    </row>
    <row r="643" spans="1:40">
      <c r="B643" s="138"/>
      <c r="D643" s="20"/>
      <c r="E643" s="2"/>
      <c r="F643" s="2"/>
      <c r="G643" s="2"/>
      <c r="H643" s="2"/>
      <c r="I643" s="2"/>
      <c r="J643" s="2"/>
      <c r="K643" s="2"/>
      <c r="L643" s="132"/>
      <c r="M643" s="132"/>
      <c r="N643" s="132"/>
      <c r="O643" s="132"/>
      <c r="P643" s="132"/>
      <c r="Q643" s="132"/>
      <c r="R643" s="132"/>
      <c r="S643" s="132"/>
      <c r="T643" s="132"/>
      <c r="U643" s="132"/>
      <c r="V643" s="132"/>
      <c r="W643" s="132"/>
      <c r="X643" s="132"/>
      <c r="Y643" s="132"/>
      <c r="Z643" s="132"/>
      <c r="AA643" s="132"/>
      <c r="AB643" s="132"/>
      <c r="AC643" s="132"/>
      <c r="AD643" s="132"/>
      <c r="AE643" s="132"/>
      <c r="AF643" s="132"/>
      <c r="AG643" s="132"/>
      <c r="AH643" s="132"/>
      <c r="AI643" s="132"/>
      <c r="AJ643" s="132"/>
      <c r="AK643" s="132"/>
      <c r="AL643" s="132"/>
      <c r="AM643" s="132"/>
      <c r="AN643" s="132"/>
    </row>
    <row r="644" spans="1:40">
      <c r="B644" s="192" t="s">
        <v>1021</v>
      </c>
      <c r="C644" s="82" t="s">
        <v>900</v>
      </c>
      <c r="D644" s="2"/>
      <c r="E644" s="2"/>
      <c r="F644" s="2"/>
      <c r="G644" s="7"/>
      <c r="H644" s="7"/>
      <c r="I644" s="7"/>
      <c r="J644" s="7"/>
      <c r="K644" s="7"/>
      <c r="L644" s="132"/>
      <c r="M644" s="132"/>
      <c r="N644" s="132">
        <f t="shared" ref="N644:AN644" si="437">N538</f>
        <v>0</v>
      </c>
      <c r="O644" s="132">
        <f t="shared" si="437"/>
        <v>0</v>
      </c>
      <c r="P644" s="132">
        <f t="shared" si="437"/>
        <v>0</v>
      </c>
      <c r="Q644" s="132">
        <f t="shared" si="437"/>
        <v>0</v>
      </c>
      <c r="R644" s="132">
        <f t="shared" si="437"/>
        <v>0</v>
      </c>
      <c r="S644" s="132">
        <f t="shared" si="437"/>
        <v>0</v>
      </c>
      <c r="T644" s="132">
        <f t="shared" si="437"/>
        <v>0</v>
      </c>
      <c r="U644" s="132">
        <f t="shared" si="437"/>
        <v>0</v>
      </c>
      <c r="V644" s="132">
        <f t="shared" ref="V644" si="438">V538</f>
        <v>0</v>
      </c>
      <c r="W644" s="132">
        <f t="shared" si="437"/>
        <v>0</v>
      </c>
      <c r="X644" s="132">
        <f t="shared" si="437"/>
        <v>0</v>
      </c>
      <c r="Y644" s="132">
        <f t="shared" si="437"/>
        <v>0</v>
      </c>
      <c r="Z644" s="132">
        <f t="shared" si="437"/>
        <v>0</v>
      </c>
      <c r="AA644" s="132">
        <f t="shared" si="437"/>
        <v>0</v>
      </c>
      <c r="AB644" s="132">
        <f t="shared" si="437"/>
        <v>0</v>
      </c>
      <c r="AC644" s="132">
        <f t="shared" si="437"/>
        <v>0</v>
      </c>
      <c r="AD644" s="132">
        <f t="shared" si="437"/>
        <v>0</v>
      </c>
      <c r="AE644" s="132">
        <f t="shared" si="437"/>
        <v>0</v>
      </c>
      <c r="AF644" s="132">
        <f t="shared" si="437"/>
        <v>0</v>
      </c>
      <c r="AG644" s="132">
        <f t="shared" si="437"/>
        <v>0</v>
      </c>
      <c r="AH644" s="132">
        <f t="shared" si="437"/>
        <v>0</v>
      </c>
      <c r="AI644" s="132">
        <f t="shared" si="437"/>
        <v>0</v>
      </c>
      <c r="AJ644" s="132">
        <f t="shared" si="437"/>
        <v>0</v>
      </c>
      <c r="AK644" s="132">
        <f t="shared" si="437"/>
        <v>0</v>
      </c>
      <c r="AL644" s="132">
        <f t="shared" si="437"/>
        <v>0</v>
      </c>
      <c r="AM644" s="132">
        <f t="shared" si="437"/>
        <v>0</v>
      </c>
      <c r="AN644" s="132">
        <f t="shared" si="437"/>
        <v>0</v>
      </c>
    </row>
    <row r="645" spans="1:40">
      <c r="B645" s="192" t="s">
        <v>970</v>
      </c>
      <c r="C645" s="82" t="s">
        <v>900</v>
      </c>
      <c r="D645" s="2"/>
      <c r="E645" s="2"/>
      <c r="F645" s="2"/>
      <c r="G645" s="7"/>
      <c r="H645" s="7"/>
      <c r="I645" s="7"/>
      <c r="J645" s="7"/>
      <c r="K645" s="7"/>
      <c r="L645" s="132"/>
      <c r="M645" s="135"/>
      <c r="N645" s="135">
        <v>-11.8</v>
      </c>
      <c r="O645" s="135">
        <v>-2.2999999999999998</v>
      </c>
      <c r="P645" s="135">
        <f>-2.5-O645</f>
        <v>-0.20000000000000018</v>
      </c>
      <c r="Q645" s="135">
        <v>-1.9</v>
      </c>
      <c r="R645" s="135">
        <f>-2.2-Q645</f>
        <v>-0.30000000000000027</v>
      </c>
      <c r="S645" s="135">
        <v>-5.2</v>
      </c>
      <c r="T645" s="135">
        <f>-5-S645</f>
        <v>0.20000000000000018</v>
      </c>
      <c r="U645" s="135">
        <v>0</v>
      </c>
      <c r="V645" s="135">
        <f>0-U645</f>
        <v>0</v>
      </c>
      <c r="W645" s="132">
        <f t="shared" ref="W645:AN645" si="439">W549</f>
        <v>0</v>
      </c>
      <c r="X645" s="132">
        <f t="shared" si="439"/>
        <v>0</v>
      </c>
      <c r="Y645" s="132">
        <f t="shared" si="439"/>
        <v>0</v>
      </c>
      <c r="Z645" s="132">
        <f t="shared" si="439"/>
        <v>0</v>
      </c>
      <c r="AA645" s="132">
        <f t="shared" si="439"/>
        <v>0</v>
      </c>
      <c r="AB645" s="132">
        <f t="shared" si="439"/>
        <v>0</v>
      </c>
      <c r="AC645" s="132">
        <f t="shared" si="439"/>
        <v>0</v>
      </c>
      <c r="AD645" s="132">
        <f t="shared" si="439"/>
        <v>0</v>
      </c>
      <c r="AE645" s="132">
        <f t="shared" si="439"/>
        <v>0</v>
      </c>
      <c r="AF645" s="132">
        <f t="shared" si="439"/>
        <v>0</v>
      </c>
      <c r="AG645" s="132">
        <f t="shared" si="439"/>
        <v>0</v>
      </c>
      <c r="AH645" s="132">
        <f t="shared" si="439"/>
        <v>0</v>
      </c>
      <c r="AI645" s="132">
        <f t="shared" si="439"/>
        <v>0</v>
      </c>
      <c r="AJ645" s="132">
        <f t="shared" si="439"/>
        <v>0</v>
      </c>
      <c r="AK645" s="132">
        <f t="shared" si="439"/>
        <v>0</v>
      </c>
      <c r="AL645" s="132">
        <f t="shared" si="439"/>
        <v>0</v>
      </c>
      <c r="AM645" s="132">
        <f t="shared" si="439"/>
        <v>0</v>
      </c>
      <c r="AN645" s="132">
        <f t="shared" si="439"/>
        <v>0</v>
      </c>
    </row>
    <row r="646" spans="1:40">
      <c r="B646" s="192" t="s">
        <v>24</v>
      </c>
      <c r="C646" s="82" t="s">
        <v>900</v>
      </c>
      <c r="D646" s="2"/>
      <c r="E646" s="2"/>
      <c r="F646" s="2"/>
      <c r="G646" s="236"/>
      <c r="H646" s="236"/>
      <c r="I646" s="236"/>
      <c r="J646" s="236"/>
      <c r="K646" s="236"/>
      <c r="L646" s="135"/>
      <c r="M646" s="135"/>
      <c r="N646" s="135">
        <v>-144.70000000000002</v>
      </c>
      <c r="O646" s="135">
        <v>-95.4</v>
      </c>
      <c r="P646" s="135">
        <f>-122.9-O646</f>
        <v>-27.5</v>
      </c>
      <c r="Q646" s="135">
        <v>-21.9</v>
      </c>
      <c r="R646" s="135">
        <f>-43.8-Q646</f>
        <v>-21.9</v>
      </c>
      <c r="S646" s="135">
        <v>-6.4</v>
      </c>
      <c r="T646" s="135">
        <f>-28.3-S646</f>
        <v>-21.9</v>
      </c>
      <c r="U646" s="135">
        <v>-19.899999999999999</v>
      </c>
      <c r="V646" s="135">
        <f>-50.8-U646</f>
        <v>-30.9</v>
      </c>
      <c r="W646" s="132">
        <f t="shared" ref="W646:AN646" si="440">W528+W543</f>
        <v>-36.681599999999996</v>
      </c>
      <c r="X646" s="132">
        <f t="shared" si="440"/>
        <v>-36.681599999999996</v>
      </c>
      <c r="Y646" s="132">
        <f t="shared" si="440"/>
        <v>-36.681599999999996</v>
      </c>
      <c r="Z646" s="132">
        <f t="shared" si="440"/>
        <v>-36.681599999999996</v>
      </c>
      <c r="AA646" s="132">
        <f t="shared" si="440"/>
        <v>-47.628661510101594</v>
      </c>
      <c r="AB646" s="132">
        <f t="shared" si="440"/>
        <v>-37.845915765855146</v>
      </c>
      <c r="AC646" s="132">
        <f t="shared" si="440"/>
        <v>-42.121918695213928</v>
      </c>
      <c r="AD646" s="132">
        <f t="shared" si="440"/>
        <v>-33.523709753213097</v>
      </c>
      <c r="AE646" s="132">
        <f t="shared" si="440"/>
        <v>-44.972605256491121</v>
      </c>
      <c r="AF646" s="132">
        <f t="shared" si="440"/>
        <v>-35.998233012866073</v>
      </c>
      <c r="AG646" s="132">
        <f t="shared" si="440"/>
        <v>0</v>
      </c>
      <c r="AH646" s="132">
        <f t="shared" si="440"/>
        <v>0</v>
      </c>
      <c r="AI646" s="132">
        <f t="shared" si="440"/>
        <v>0</v>
      </c>
      <c r="AJ646" s="132">
        <f t="shared" si="440"/>
        <v>0</v>
      </c>
      <c r="AK646" s="132">
        <f t="shared" si="440"/>
        <v>0</v>
      </c>
      <c r="AL646" s="132">
        <f t="shared" si="440"/>
        <v>0</v>
      </c>
      <c r="AM646" s="132">
        <f t="shared" si="440"/>
        <v>0</v>
      </c>
      <c r="AN646" s="132">
        <f t="shared" si="440"/>
        <v>0</v>
      </c>
    </row>
    <row r="647" spans="1:40">
      <c r="B647" s="192" t="s">
        <v>51</v>
      </c>
      <c r="C647" s="82" t="s">
        <v>900</v>
      </c>
      <c r="D647" s="2"/>
      <c r="E647" s="6"/>
      <c r="F647" s="6"/>
      <c r="G647" s="236"/>
      <c r="H647" s="236"/>
      <c r="I647" s="236"/>
      <c r="J647" s="236"/>
      <c r="K647" s="236"/>
      <c r="L647" s="135"/>
      <c r="M647" s="135"/>
      <c r="N647" s="135">
        <v>0</v>
      </c>
      <c r="O647" s="135">
        <v>0</v>
      </c>
      <c r="P647" s="135">
        <v>0</v>
      </c>
      <c r="Q647" s="135">
        <v>0</v>
      </c>
      <c r="R647" s="135">
        <v>0</v>
      </c>
      <c r="S647" s="135">
        <v>0</v>
      </c>
      <c r="T647" s="135">
        <v>0</v>
      </c>
      <c r="U647" s="135">
        <v>0</v>
      </c>
      <c r="V647" s="135">
        <v>0</v>
      </c>
      <c r="W647" s="160">
        <v>0</v>
      </c>
      <c r="X647" s="160">
        <v>0</v>
      </c>
      <c r="Y647" s="160">
        <v>0</v>
      </c>
      <c r="Z647" s="160">
        <v>0</v>
      </c>
      <c r="AA647" s="160">
        <v>0</v>
      </c>
      <c r="AB647" s="160">
        <v>0</v>
      </c>
      <c r="AC647" s="160">
        <v>0</v>
      </c>
      <c r="AD647" s="160">
        <v>0</v>
      </c>
      <c r="AE647" s="160">
        <v>0</v>
      </c>
      <c r="AF647" s="160">
        <v>0</v>
      </c>
      <c r="AG647" s="160">
        <v>0</v>
      </c>
      <c r="AH647" s="160">
        <v>0</v>
      </c>
      <c r="AI647" s="160">
        <v>0</v>
      </c>
      <c r="AJ647" s="160">
        <v>0</v>
      </c>
      <c r="AK647" s="160">
        <v>0</v>
      </c>
      <c r="AL647" s="160">
        <v>0</v>
      </c>
      <c r="AM647" s="160">
        <v>0</v>
      </c>
      <c r="AN647" s="160">
        <v>0</v>
      </c>
    </row>
    <row r="648" spans="1:40">
      <c r="B648" s="192" t="s">
        <v>25</v>
      </c>
      <c r="C648" s="82" t="s">
        <v>900</v>
      </c>
      <c r="D648" s="2"/>
      <c r="E648" s="2"/>
      <c r="F648" s="2"/>
      <c r="G648" s="7"/>
      <c r="H648" s="7"/>
      <c r="I648" s="7"/>
      <c r="J648" s="7"/>
      <c r="K648" s="7"/>
      <c r="L648" s="132"/>
      <c r="M648" s="135"/>
      <c r="N648" s="135">
        <v>-127</v>
      </c>
      <c r="O648" s="135">
        <v>0</v>
      </c>
      <c r="P648" s="135">
        <f>424.9-O648</f>
        <v>424.9</v>
      </c>
      <c r="Q648" s="135">
        <v>0</v>
      </c>
      <c r="R648" s="135">
        <v>0</v>
      </c>
      <c r="S648" s="135">
        <v>0</v>
      </c>
      <c r="T648" s="135">
        <v>0</v>
      </c>
      <c r="U648" s="135">
        <v>300</v>
      </c>
      <c r="V648" s="135">
        <f>300-U648</f>
        <v>0</v>
      </c>
      <c r="W648" s="132">
        <f t="shared" ref="W648:AN648" si="441">W457</f>
        <v>0</v>
      </c>
      <c r="X648" s="132">
        <f t="shared" si="441"/>
        <v>175</v>
      </c>
      <c r="Y648" s="132">
        <f t="shared" si="441"/>
        <v>0</v>
      </c>
      <c r="Z648" s="132">
        <f t="shared" si="441"/>
        <v>0</v>
      </c>
      <c r="AA648" s="132">
        <f t="shared" si="441"/>
        <v>0</v>
      </c>
      <c r="AB648" s="132">
        <f t="shared" si="441"/>
        <v>0</v>
      </c>
      <c r="AC648" s="132">
        <f t="shared" si="441"/>
        <v>0</v>
      </c>
      <c r="AD648" s="132">
        <f t="shared" si="441"/>
        <v>0</v>
      </c>
      <c r="AE648" s="132">
        <f t="shared" si="441"/>
        <v>0</v>
      </c>
      <c r="AF648" s="132">
        <f t="shared" si="441"/>
        <v>0</v>
      </c>
      <c r="AG648" s="132">
        <f t="shared" si="441"/>
        <v>0</v>
      </c>
      <c r="AH648" s="132">
        <f t="shared" si="441"/>
        <v>0</v>
      </c>
      <c r="AI648" s="132">
        <f t="shared" si="441"/>
        <v>0</v>
      </c>
      <c r="AJ648" s="132">
        <f t="shared" si="441"/>
        <v>0</v>
      </c>
      <c r="AK648" s="132">
        <f t="shared" si="441"/>
        <v>0</v>
      </c>
      <c r="AL648" s="132">
        <f t="shared" si="441"/>
        <v>0</v>
      </c>
      <c r="AM648" s="132">
        <f t="shared" si="441"/>
        <v>0</v>
      </c>
      <c r="AN648" s="132">
        <f t="shared" si="441"/>
        <v>0</v>
      </c>
    </row>
    <row r="649" spans="1:40">
      <c r="B649" s="192" t="s">
        <v>1242</v>
      </c>
      <c r="C649" s="82" t="s">
        <v>900</v>
      </c>
      <c r="D649" s="2"/>
      <c r="E649" s="2"/>
      <c r="F649" s="2"/>
      <c r="G649" s="236"/>
      <c r="H649" s="236"/>
      <c r="I649" s="236"/>
      <c r="J649" s="236"/>
      <c r="K649" s="236"/>
      <c r="L649" s="135"/>
      <c r="M649" s="135"/>
      <c r="N649" s="135">
        <v>-22.9</v>
      </c>
      <c r="O649" s="135">
        <v>-23.1</v>
      </c>
      <c r="P649" s="135">
        <f>-45-O649</f>
        <v>-21.9</v>
      </c>
      <c r="Q649" s="135">
        <v>-21.6</v>
      </c>
      <c r="R649" s="135">
        <f>-36.5-Q649</f>
        <v>-14.899999999999999</v>
      </c>
      <c r="S649" s="135">
        <v>-17.5</v>
      </c>
      <c r="T649" s="135">
        <f>-33.4-S649</f>
        <v>-15.899999999999999</v>
      </c>
      <c r="U649" s="135">
        <v>-17.5</v>
      </c>
      <c r="V649" s="135">
        <f>-33.4-U649</f>
        <v>-15.899999999999999</v>
      </c>
      <c r="W649" s="160">
        <v>0</v>
      </c>
      <c r="X649" s="160">
        <v>0</v>
      </c>
      <c r="Y649" s="160">
        <v>0</v>
      </c>
      <c r="Z649" s="160">
        <v>0</v>
      </c>
      <c r="AA649" s="160">
        <v>0</v>
      </c>
      <c r="AB649" s="160">
        <v>0</v>
      </c>
      <c r="AC649" s="160">
        <v>0</v>
      </c>
      <c r="AD649" s="160">
        <v>0</v>
      </c>
      <c r="AE649" s="160">
        <v>0</v>
      </c>
      <c r="AF649" s="160">
        <v>0</v>
      </c>
      <c r="AG649" s="160">
        <v>0</v>
      </c>
      <c r="AH649" s="160">
        <v>0</v>
      </c>
      <c r="AI649" s="160">
        <v>0</v>
      </c>
      <c r="AJ649" s="160">
        <v>0</v>
      </c>
      <c r="AK649" s="160">
        <v>0</v>
      </c>
      <c r="AL649" s="160">
        <v>0</v>
      </c>
      <c r="AM649" s="160">
        <v>0</v>
      </c>
      <c r="AN649" s="160">
        <v>0</v>
      </c>
    </row>
    <row r="650" spans="1:40">
      <c r="B650" s="192" t="s">
        <v>1243</v>
      </c>
      <c r="D650" s="2"/>
      <c r="E650" s="2"/>
      <c r="F650" s="2"/>
      <c r="G650" s="236"/>
      <c r="H650" s="236"/>
      <c r="I650" s="236"/>
      <c r="J650" s="236"/>
      <c r="K650" s="236"/>
      <c r="L650" s="135"/>
      <c r="M650" s="135"/>
      <c r="N650" s="135">
        <v>96.1</v>
      </c>
      <c r="O650" s="135">
        <v>415</v>
      </c>
      <c r="P650" s="135">
        <f>-140-O650</f>
        <v>-555</v>
      </c>
      <c r="Q650" s="135">
        <v>0</v>
      </c>
      <c r="R650" s="135">
        <f>-750-Q650</f>
        <v>-750</v>
      </c>
      <c r="S650" s="135">
        <v>-130</v>
      </c>
      <c r="T650" s="135">
        <f>190-490-S650</f>
        <v>-170</v>
      </c>
      <c r="U650" s="135">
        <v>-300</v>
      </c>
      <c r="V650" s="135">
        <f>190-490-U650</f>
        <v>0</v>
      </c>
      <c r="W650" s="160">
        <v>0</v>
      </c>
      <c r="X650" s="160">
        <v>0</v>
      </c>
      <c r="Y650" s="160">
        <v>0</v>
      </c>
      <c r="Z650" s="160">
        <v>0</v>
      </c>
      <c r="AA650" s="160">
        <v>0</v>
      </c>
      <c r="AB650" s="160">
        <v>0</v>
      </c>
      <c r="AC650" s="160">
        <v>0</v>
      </c>
      <c r="AD650" s="160">
        <v>0</v>
      </c>
      <c r="AE650" s="160">
        <v>0</v>
      </c>
      <c r="AF650" s="160">
        <v>0</v>
      </c>
      <c r="AG650" s="160">
        <v>0</v>
      </c>
      <c r="AH650" s="160">
        <v>0</v>
      </c>
      <c r="AI650" s="160">
        <v>0</v>
      </c>
      <c r="AJ650" s="160">
        <v>0</v>
      </c>
      <c r="AK650" s="160">
        <v>0</v>
      </c>
      <c r="AL650" s="160">
        <v>0</v>
      </c>
      <c r="AM650" s="160">
        <v>0</v>
      </c>
      <c r="AN650" s="160">
        <v>0</v>
      </c>
    </row>
    <row r="651" spans="1:40">
      <c r="B651" s="192" t="s">
        <v>3</v>
      </c>
      <c r="C651" s="82" t="s">
        <v>900</v>
      </c>
      <c r="D651" s="2"/>
      <c r="E651" s="2"/>
      <c r="F651" s="2"/>
      <c r="G651" s="7"/>
      <c r="H651" s="7"/>
      <c r="I651" s="7"/>
      <c r="J651" s="7"/>
      <c r="K651" s="7"/>
      <c r="L651" s="132"/>
      <c r="M651" s="132"/>
      <c r="N651" s="132">
        <f t="shared" ref="N651:S651" si="442">N652-SUM(N644:N650)</f>
        <v>-95.000000000000028</v>
      </c>
      <c r="O651" s="132">
        <f t="shared" si="442"/>
        <v>0</v>
      </c>
      <c r="P651" s="132">
        <f t="shared" si="442"/>
        <v>-12.5</v>
      </c>
      <c r="Q651" s="132">
        <f t="shared" si="442"/>
        <v>0</v>
      </c>
      <c r="R651" s="132">
        <f t="shared" si="442"/>
        <v>1350</v>
      </c>
      <c r="S651" s="132">
        <f t="shared" si="442"/>
        <v>0</v>
      </c>
      <c r="T651" s="132">
        <f>T652-SUM(T644:T650)</f>
        <v>0</v>
      </c>
      <c r="U651" s="132">
        <f>U652-SUM(U644:U650)</f>
        <v>-5.1000000000000227</v>
      </c>
      <c r="V651" s="132">
        <f>V652-SUM(V644:V650)</f>
        <v>0</v>
      </c>
      <c r="W651" s="160">
        <v>0</v>
      </c>
      <c r="X651" s="160">
        <v>0</v>
      </c>
      <c r="Y651" s="160">
        <v>0</v>
      </c>
      <c r="Z651" s="160">
        <v>0</v>
      </c>
      <c r="AA651" s="160">
        <v>0</v>
      </c>
      <c r="AB651" s="160">
        <v>0</v>
      </c>
      <c r="AC651" s="160">
        <v>0</v>
      </c>
      <c r="AD651" s="160">
        <v>0</v>
      </c>
      <c r="AE651" s="160">
        <v>0</v>
      </c>
      <c r="AF651" s="160">
        <v>0</v>
      </c>
      <c r="AG651" s="160">
        <v>0</v>
      </c>
      <c r="AH651" s="160">
        <v>0</v>
      </c>
      <c r="AI651" s="160">
        <v>0</v>
      </c>
      <c r="AJ651" s="160">
        <v>0</v>
      </c>
      <c r="AK651" s="160">
        <v>0</v>
      </c>
      <c r="AL651" s="160">
        <v>0</v>
      </c>
      <c r="AM651" s="160">
        <v>0</v>
      </c>
      <c r="AN651" s="160">
        <v>0</v>
      </c>
    </row>
    <row r="652" spans="1:40" s="3" customFormat="1">
      <c r="A652" s="1"/>
      <c r="B652" s="189" t="s">
        <v>26</v>
      </c>
      <c r="C652" s="82" t="s">
        <v>900</v>
      </c>
      <c r="D652" s="2"/>
      <c r="E652" s="4"/>
      <c r="F652" s="4"/>
      <c r="G652" s="238"/>
      <c r="H652" s="238"/>
      <c r="I652" s="238"/>
      <c r="J652" s="238"/>
      <c r="K652" s="238"/>
      <c r="L652" s="485"/>
      <c r="M652" s="485"/>
      <c r="N652" s="485">
        <v>-305.3</v>
      </c>
      <c r="O652" s="485">
        <v>294.2</v>
      </c>
      <c r="P652" s="485">
        <f>102-O652</f>
        <v>-192.2</v>
      </c>
      <c r="Q652" s="485">
        <v>-45.4</v>
      </c>
      <c r="R652" s="485">
        <f>517.5-Q652</f>
        <v>562.9</v>
      </c>
      <c r="S652" s="485">
        <v>-159.1</v>
      </c>
      <c r="T652" s="485">
        <f>-366.7-S652</f>
        <v>-207.6</v>
      </c>
      <c r="U652" s="485">
        <v>-42.5</v>
      </c>
      <c r="V652" s="485">
        <f>-89.3-U652</f>
        <v>-46.8</v>
      </c>
      <c r="W652" s="499">
        <f t="shared" ref="W652:AL652" si="443">SUM(W644:W651)</f>
        <v>-36.681599999999996</v>
      </c>
      <c r="X652" s="499">
        <f t="shared" si="443"/>
        <v>138.3184</v>
      </c>
      <c r="Y652" s="499">
        <f t="shared" si="443"/>
        <v>-36.681599999999996</v>
      </c>
      <c r="Z652" s="499">
        <f t="shared" si="443"/>
        <v>-36.681599999999996</v>
      </c>
      <c r="AA652" s="499">
        <f t="shared" si="443"/>
        <v>-47.628661510101594</v>
      </c>
      <c r="AB652" s="499">
        <f t="shared" si="443"/>
        <v>-37.845915765855146</v>
      </c>
      <c r="AC652" s="499">
        <f t="shared" si="443"/>
        <v>-42.121918695213928</v>
      </c>
      <c r="AD652" s="499">
        <f t="shared" si="443"/>
        <v>-33.523709753213097</v>
      </c>
      <c r="AE652" s="499">
        <f t="shared" si="443"/>
        <v>-44.972605256491121</v>
      </c>
      <c r="AF652" s="499">
        <f t="shared" si="443"/>
        <v>-35.998233012866073</v>
      </c>
      <c r="AG652" s="499">
        <f t="shared" si="443"/>
        <v>0</v>
      </c>
      <c r="AH652" s="499">
        <f t="shared" si="443"/>
        <v>0</v>
      </c>
      <c r="AI652" s="499">
        <f t="shared" si="443"/>
        <v>0</v>
      </c>
      <c r="AJ652" s="499">
        <f t="shared" si="443"/>
        <v>0</v>
      </c>
      <c r="AK652" s="499">
        <f t="shared" si="443"/>
        <v>0</v>
      </c>
      <c r="AL652" s="499">
        <f t="shared" si="443"/>
        <v>0</v>
      </c>
      <c r="AM652" s="499">
        <f>SUM(AM644:AM651)</f>
        <v>0</v>
      </c>
      <c r="AN652" s="499">
        <f>SUM(AN644:AN651)</f>
        <v>0</v>
      </c>
    </row>
    <row r="653" spans="1:40">
      <c r="B653" s="138"/>
      <c r="D653" s="2"/>
      <c r="E653" s="2"/>
      <c r="F653" s="2"/>
      <c r="G653" s="2"/>
      <c r="H653" s="2"/>
      <c r="I653" s="2"/>
      <c r="J653" s="2"/>
      <c r="K653" s="2"/>
      <c r="L653" s="132"/>
      <c r="M653" s="132"/>
      <c r="N653" s="132"/>
      <c r="O653" s="132"/>
      <c r="P653" s="132"/>
      <c r="Q653" s="132"/>
      <c r="R653" s="132"/>
      <c r="S653" s="132"/>
      <c r="T653" s="132"/>
      <c r="U653" s="132"/>
      <c r="V653" s="132"/>
      <c r="W653" s="132"/>
      <c r="X653" s="132"/>
      <c r="Y653" s="132"/>
      <c r="Z653" s="132"/>
      <c r="AA653" s="132"/>
      <c r="AB653" s="132"/>
      <c r="AC653" s="132"/>
      <c r="AD653" s="132"/>
      <c r="AE653" s="132"/>
      <c r="AF653" s="132"/>
      <c r="AG653" s="132"/>
      <c r="AH653" s="132"/>
      <c r="AI653" s="132"/>
      <c r="AJ653" s="132"/>
      <c r="AK653" s="132"/>
      <c r="AL653" s="132"/>
      <c r="AM653" s="132"/>
      <c r="AN653" s="132"/>
    </row>
    <row r="654" spans="1:40">
      <c r="B654" s="192" t="s">
        <v>28</v>
      </c>
      <c r="C654" s="82" t="s">
        <v>900</v>
      </c>
      <c r="D654" s="2"/>
      <c r="E654" s="2"/>
      <c r="F654" s="2"/>
      <c r="G654" s="7"/>
      <c r="H654" s="7"/>
      <c r="I654" s="7"/>
      <c r="J654" s="7"/>
      <c r="K654" s="7"/>
      <c r="L654" s="132"/>
      <c r="M654" s="132"/>
      <c r="N654" s="503">
        <v>559.6</v>
      </c>
      <c r="O654" s="132">
        <f t="shared" ref="O654:AK654" si="444">N658</f>
        <v>199.4</v>
      </c>
      <c r="P654" s="132">
        <f t="shared" si="444"/>
        <v>256.39999999999998</v>
      </c>
      <c r="Q654" s="132">
        <f t="shared" si="444"/>
        <v>290.7</v>
      </c>
      <c r="R654" s="132">
        <f t="shared" si="444"/>
        <v>313.39999999999998</v>
      </c>
      <c r="S654" s="132">
        <f t="shared" si="444"/>
        <v>313.7</v>
      </c>
      <c r="T654" s="132">
        <f t="shared" si="444"/>
        <v>260.3</v>
      </c>
      <c r="U654" s="132">
        <f t="shared" si="444"/>
        <v>236.5</v>
      </c>
      <c r="V654" s="132">
        <f t="shared" si="444"/>
        <v>218.3</v>
      </c>
      <c r="W654" s="132">
        <f t="shared" si="444"/>
        <v>305.8</v>
      </c>
      <c r="X654" s="132">
        <f t="shared" si="444"/>
        <v>377.35136514633547</v>
      </c>
      <c r="Y654" s="132">
        <f t="shared" si="444"/>
        <v>269.13943476485838</v>
      </c>
      <c r="Z654" s="132">
        <f t="shared" si="444"/>
        <v>342.79753015313099</v>
      </c>
      <c r="AA654" s="132">
        <f t="shared" si="444"/>
        <v>352.72355053915533</v>
      </c>
      <c r="AB654" s="132">
        <f t="shared" si="444"/>
        <v>430.58003129407996</v>
      </c>
      <c r="AC654" s="132">
        <f t="shared" si="444"/>
        <v>458.57229818837226</v>
      </c>
      <c r="AD654" s="132">
        <f t="shared" si="444"/>
        <v>552.15214435503219</v>
      </c>
      <c r="AE654" s="132">
        <f t="shared" si="444"/>
        <v>587.57566607467811</v>
      </c>
      <c r="AF654" s="132">
        <f t="shared" si="444"/>
        <v>675.88079744015079</v>
      </c>
      <c r="AG654" s="132">
        <f t="shared" si="444"/>
        <v>710.06859137762478</v>
      </c>
      <c r="AH654" s="132">
        <f t="shared" si="444"/>
        <v>844.76572327851068</v>
      </c>
      <c r="AI654" s="132">
        <f t="shared" si="444"/>
        <v>913.46297845982997</v>
      </c>
      <c r="AJ654" s="132">
        <f t="shared" si="444"/>
        <v>1053.6625873016435</v>
      </c>
      <c r="AK654" s="132">
        <f t="shared" si="444"/>
        <v>1127.6528188455538</v>
      </c>
      <c r="AL654" s="132">
        <f>AK658</f>
        <v>1280.4708796932646</v>
      </c>
      <c r="AM654" s="132">
        <f>AL658</f>
        <v>1370.598173245646</v>
      </c>
      <c r="AN654" s="132">
        <f>AM658</f>
        <v>1530.0855997687781</v>
      </c>
    </row>
    <row r="655" spans="1:40">
      <c r="B655" s="192" t="s">
        <v>27</v>
      </c>
      <c r="C655" s="82" t="s">
        <v>900</v>
      </c>
      <c r="D655" s="2"/>
      <c r="E655" s="2"/>
      <c r="F655" s="2"/>
      <c r="G655" s="7"/>
      <c r="H655" s="7"/>
      <c r="I655" s="7"/>
      <c r="J655" s="7"/>
      <c r="K655" s="7"/>
      <c r="L655" s="132"/>
      <c r="M655" s="132"/>
      <c r="N655" s="132">
        <f t="shared" ref="N655:AL655" si="445">N652+N642+N633</f>
        <v>-360.20000000000005</v>
      </c>
      <c r="O655" s="132">
        <f t="shared" si="445"/>
        <v>57</v>
      </c>
      <c r="P655" s="132">
        <f t="shared" si="445"/>
        <v>34.300000000000011</v>
      </c>
      <c r="Q655" s="132">
        <f t="shared" ref="Q655:V655" si="446">Q652+Q642+Q633</f>
        <v>22.700000000000003</v>
      </c>
      <c r="R655" s="132">
        <f t="shared" si="446"/>
        <v>0.29999999999996874</v>
      </c>
      <c r="S655" s="132">
        <f t="shared" si="446"/>
        <v>-53.399999999999977</v>
      </c>
      <c r="T655" s="132">
        <f t="shared" si="446"/>
        <v>-23.800000000000011</v>
      </c>
      <c r="U655" s="132">
        <f t="shared" si="446"/>
        <v>-18.200000000000003</v>
      </c>
      <c r="V655" s="132">
        <f t="shared" si="446"/>
        <v>87.500000000000014</v>
      </c>
      <c r="W655" s="132">
        <f t="shared" si="445"/>
        <v>71.551365146335456</v>
      </c>
      <c r="X655" s="132">
        <f t="shared" si="445"/>
        <v>-108.21193038147709</v>
      </c>
      <c r="Y655" s="132">
        <f t="shared" si="445"/>
        <v>73.658095388272585</v>
      </c>
      <c r="Z655" s="132">
        <f t="shared" si="445"/>
        <v>9.9260203860243621</v>
      </c>
      <c r="AA655" s="132">
        <f t="shared" si="445"/>
        <v>77.856480754924604</v>
      </c>
      <c r="AB655" s="132">
        <f t="shared" si="445"/>
        <v>27.9922668942923</v>
      </c>
      <c r="AC655" s="132">
        <f t="shared" si="445"/>
        <v>93.579846166659962</v>
      </c>
      <c r="AD655" s="132">
        <f t="shared" si="445"/>
        <v>35.423521719645962</v>
      </c>
      <c r="AE655" s="132">
        <f t="shared" si="445"/>
        <v>88.305131365472718</v>
      </c>
      <c r="AF655" s="132">
        <f t="shared" si="445"/>
        <v>34.18779393747397</v>
      </c>
      <c r="AG655" s="132">
        <f t="shared" si="445"/>
        <v>134.69713190088584</v>
      </c>
      <c r="AH655" s="132">
        <f t="shared" si="445"/>
        <v>68.697255181319321</v>
      </c>
      <c r="AI655" s="132">
        <f t="shared" si="445"/>
        <v>140.1996088418135</v>
      </c>
      <c r="AJ655" s="132">
        <f t="shared" si="445"/>
        <v>73.990231543910284</v>
      </c>
      <c r="AK655" s="132">
        <f t="shared" si="445"/>
        <v>152.8180608477108</v>
      </c>
      <c r="AL655" s="132">
        <f t="shared" si="445"/>
        <v>90.127293552381289</v>
      </c>
      <c r="AM655" s="132">
        <f>AM652+AM642+AM633</f>
        <v>159.4874265231322</v>
      </c>
      <c r="AN655" s="132">
        <f>AN652+AN642+AN633</f>
        <v>94.195642844399785</v>
      </c>
    </row>
    <row r="656" spans="1:40">
      <c r="B656" s="192" t="s">
        <v>29</v>
      </c>
      <c r="C656" s="82" t="s">
        <v>900</v>
      </c>
      <c r="D656" s="2"/>
      <c r="E656" s="2"/>
      <c r="F656" s="2"/>
      <c r="G656" s="236"/>
      <c r="H656" s="236"/>
      <c r="I656" s="236"/>
      <c r="J656" s="236"/>
      <c r="K656" s="236"/>
      <c r="L656" s="135"/>
      <c r="M656" s="135"/>
      <c r="N656" s="135">
        <v>0</v>
      </c>
      <c r="O656" s="135">
        <v>0</v>
      </c>
      <c r="P656" s="135">
        <v>0</v>
      </c>
      <c r="Q656" s="135">
        <v>0</v>
      </c>
      <c r="R656" s="135">
        <v>0</v>
      </c>
      <c r="S656" s="135">
        <v>0</v>
      </c>
      <c r="T656" s="135">
        <v>0</v>
      </c>
      <c r="U656" s="135">
        <v>0</v>
      </c>
      <c r="V656" s="135">
        <v>0</v>
      </c>
      <c r="W656" s="160">
        <v>0</v>
      </c>
      <c r="X656" s="160">
        <v>0</v>
      </c>
      <c r="Y656" s="160">
        <v>0</v>
      </c>
      <c r="Z656" s="160">
        <v>0</v>
      </c>
      <c r="AA656" s="160">
        <v>0</v>
      </c>
      <c r="AB656" s="160">
        <v>0</v>
      </c>
      <c r="AC656" s="160">
        <v>0</v>
      </c>
      <c r="AD656" s="160">
        <v>0</v>
      </c>
      <c r="AE656" s="160">
        <v>0</v>
      </c>
      <c r="AF656" s="160">
        <v>0</v>
      </c>
      <c r="AG656" s="160">
        <v>0</v>
      </c>
      <c r="AH656" s="160">
        <v>0</v>
      </c>
      <c r="AI656" s="160">
        <v>0</v>
      </c>
      <c r="AJ656" s="160">
        <v>0</v>
      </c>
      <c r="AK656" s="160">
        <v>0</v>
      </c>
      <c r="AL656" s="160">
        <v>0</v>
      </c>
      <c r="AM656" s="160">
        <v>0</v>
      </c>
      <c r="AN656" s="160">
        <v>0</v>
      </c>
    </row>
    <row r="657" spans="1:40">
      <c r="B657" s="224" t="s">
        <v>991</v>
      </c>
      <c r="C657" s="166"/>
      <c r="D657" s="2"/>
      <c r="E657" s="5"/>
      <c r="F657" s="5"/>
      <c r="G657" s="221"/>
      <c r="H657" s="221"/>
      <c r="I657" s="221"/>
      <c r="J657" s="221"/>
      <c r="K657" s="221"/>
      <c r="L657" s="500"/>
      <c r="M657" s="500" t="s">
        <v>991</v>
      </c>
      <c r="N657" s="500" t="s">
        <v>991</v>
      </c>
      <c r="O657" s="500" t="s">
        <v>991</v>
      </c>
      <c r="P657" s="500" t="s">
        <v>991</v>
      </c>
      <c r="Q657" s="500" t="s">
        <v>991</v>
      </c>
      <c r="R657" s="500" t="s">
        <v>991</v>
      </c>
      <c r="S657" s="500" t="s">
        <v>991</v>
      </c>
      <c r="T657" s="500" t="s">
        <v>991</v>
      </c>
      <c r="U657" s="500" t="s">
        <v>991</v>
      </c>
      <c r="V657" s="500" t="s">
        <v>991</v>
      </c>
      <c r="W657" s="500" t="s">
        <v>991</v>
      </c>
      <c r="X657" s="500" t="s">
        <v>991</v>
      </c>
      <c r="Y657" s="500" t="s">
        <v>991</v>
      </c>
      <c r="Z657" s="500" t="s">
        <v>991</v>
      </c>
      <c r="AA657" s="500" t="s">
        <v>991</v>
      </c>
      <c r="AB657" s="500" t="s">
        <v>991</v>
      </c>
      <c r="AC657" s="500" t="s">
        <v>991</v>
      </c>
      <c r="AD657" s="500" t="s">
        <v>991</v>
      </c>
      <c r="AE657" s="500" t="s">
        <v>991</v>
      </c>
      <c r="AF657" s="500" t="s">
        <v>991</v>
      </c>
      <c r="AG657" s="500" t="s">
        <v>991</v>
      </c>
      <c r="AH657" s="500" t="s">
        <v>991</v>
      </c>
      <c r="AI657" s="500" t="s">
        <v>991</v>
      </c>
      <c r="AJ657" s="500" t="s">
        <v>991</v>
      </c>
      <c r="AK657" s="500" t="s">
        <v>991</v>
      </c>
      <c r="AL657" s="500" t="s">
        <v>991</v>
      </c>
      <c r="AM657" s="500" t="s">
        <v>991</v>
      </c>
      <c r="AN657" s="500" t="s">
        <v>991</v>
      </c>
    </row>
    <row r="658" spans="1:40" s="3" customFormat="1">
      <c r="B658" s="189" t="s">
        <v>30</v>
      </c>
      <c r="C658" s="163" t="s">
        <v>900</v>
      </c>
      <c r="D658" s="4"/>
      <c r="E658" s="4"/>
      <c r="F658" s="238"/>
      <c r="G658" s="238"/>
      <c r="H658" s="238"/>
      <c r="I658" s="238"/>
      <c r="J658" s="238"/>
      <c r="K658" s="238"/>
      <c r="L658" s="485">
        <v>424.4</v>
      </c>
      <c r="M658" s="485">
        <v>171</v>
      </c>
      <c r="N658" s="485">
        <v>199.4</v>
      </c>
      <c r="O658" s="485">
        <v>256.39999999999998</v>
      </c>
      <c r="P658" s="485">
        <v>290.7</v>
      </c>
      <c r="Q658" s="485">
        <v>313.39999999999998</v>
      </c>
      <c r="R658" s="485">
        <v>313.7</v>
      </c>
      <c r="S658" s="485">
        <v>260.3</v>
      </c>
      <c r="T658" s="485">
        <v>236.5</v>
      </c>
      <c r="U658" s="485">
        <v>218.3</v>
      </c>
      <c r="V658" s="485">
        <v>305.8</v>
      </c>
      <c r="W658" s="499">
        <f>SUM(W654:W657)</f>
        <v>377.35136514633547</v>
      </c>
      <c r="X658" s="499">
        <f t="shared" ref="X658:AL658" si="447">SUM(X654:X657)</f>
        <v>269.13943476485838</v>
      </c>
      <c r="Y658" s="499">
        <f t="shared" si="447"/>
        <v>342.79753015313099</v>
      </c>
      <c r="Z658" s="499">
        <f t="shared" si="447"/>
        <v>352.72355053915533</v>
      </c>
      <c r="AA658" s="499">
        <f t="shared" si="447"/>
        <v>430.58003129407996</v>
      </c>
      <c r="AB658" s="499">
        <f t="shared" si="447"/>
        <v>458.57229818837226</v>
      </c>
      <c r="AC658" s="499">
        <f t="shared" si="447"/>
        <v>552.15214435503219</v>
      </c>
      <c r="AD658" s="499">
        <f t="shared" si="447"/>
        <v>587.57566607467811</v>
      </c>
      <c r="AE658" s="499">
        <f t="shared" si="447"/>
        <v>675.88079744015079</v>
      </c>
      <c r="AF658" s="499">
        <f t="shared" si="447"/>
        <v>710.06859137762478</v>
      </c>
      <c r="AG658" s="499">
        <f t="shared" si="447"/>
        <v>844.76572327851068</v>
      </c>
      <c r="AH658" s="499">
        <f t="shared" si="447"/>
        <v>913.46297845982997</v>
      </c>
      <c r="AI658" s="499">
        <f t="shared" si="447"/>
        <v>1053.6625873016435</v>
      </c>
      <c r="AJ658" s="499">
        <f t="shared" si="447"/>
        <v>1127.6528188455538</v>
      </c>
      <c r="AK658" s="499">
        <f t="shared" si="447"/>
        <v>1280.4708796932646</v>
      </c>
      <c r="AL658" s="499">
        <f t="shared" si="447"/>
        <v>1370.598173245646</v>
      </c>
      <c r="AM658" s="499">
        <f>SUM(AM654:AM657)</f>
        <v>1530.0855997687781</v>
      </c>
      <c r="AN658" s="499">
        <f>SUM(AN654:AN657)</f>
        <v>1624.2812426131779</v>
      </c>
    </row>
    <row r="659" spans="1:40" s="3" customFormat="1">
      <c r="A659" s="1"/>
      <c r="B659" s="226" t="s">
        <v>886</v>
      </c>
      <c r="C659" s="163"/>
      <c r="D659" s="4"/>
      <c r="E659" s="4"/>
      <c r="F659" s="238"/>
      <c r="G659" s="228"/>
      <c r="H659" s="228"/>
      <c r="I659" s="228"/>
      <c r="J659" s="228"/>
      <c r="K659" s="228"/>
      <c r="L659" s="496"/>
      <c r="M659" s="496"/>
      <c r="N659" s="496">
        <f t="shared" ref="N659:AL659" si="448">N658-SUM(N654:N656)</f>
        <v>0</v>
      </c>
      <c r="O659" s="496">
        <f t="shared" si="448"/>
        <v>0</v>
      </c>
      <c r="P659" s="496">
        <f t="shared" si="448"/>
        <v>0</v>
      </c>
      <c r="Q659" s="496">
        <f t="shared" si="448"/>
        <v>0</v>
      </c>
      <c r="R659" s="496">
        <f>R658-SUM(R654:R656)</f>
        <v>0</v>
      </c>
      <c r="S659" s="496">
        <f>S658-SUM(S654:S656)</f>
        <v>0</v>
      </c>
      <c r="T659" s="496">
        <f>T658-SUM(T654:T656)</f>
        <v>0</v>
      </c>
      <c r="U659" s="496">
        <f>U658-SUM(U654:U656)</f>
        <v>0</v>
      </c>
      <c r="V659" s="496">
        <f>V658-SUM(V654:V656)</f>
        <v>0</v>
      </c>
      <c r="W659" s="496">
        <f t="shared" si="448"/>
        <v>0</v>
      </c>
      <c r="X659" s="496">
        <f t="shared" si="448"/>
        <v>0</v>
      </c>
      <c r="Y659" s="496">
        <f t="shared" si="448"/>
        <v>0</v>
      </c>
      <c r="Z659" s="496">
        <f t="shared" si="448"/>
        <v>0</v>
      </c>
      <c r="AA659" s="496">
        <f t="shared" si="448"/>
        <v>0</v>
      </c>
      <c r="AB659" s="496">
        <f t="shared" si="448"/>
        <v>0</v>
      </c>
      <c r="AC659" s="496">
        <f t="shared" si="448"/>
        <v>0</v>
      </c>
      <c r="AD659" s="496">
        <f t="shared" si="448"/>
        <v>0</v>
      </c>
      <c r="AE659" s="496">
        <f t="shared" si="448"/>
        <v>0</v>
      </c>
      <c r="AF659" s="496">
        <f t="shared" si="448"/>
        <v>0</v>
      </c>
      <c r="AG659" s="496">
        <f t="shared" si="448"/>
        <v>0</v>
      </c>
      <c r="AH659" s="496">
        <f t="shared" si="448"/>
        <v>0</v>
      </c>
      <c r="AI659" s="496">
        <f t="shared" si="448"/>
        <v>0</v>
      </c>
      <c r="AJ659" s="496">
        <f t="shared" si="448"/>
        <v>0</v>
      </c>
      <c r="AK659" s="496">
        <f t="shared" si="448"/>
        <v>0</v>
      </c>
      <c r="AL659" s="496">
        <f t="shared" si="448"/>
        <v>0</v>
      </c>
      <c r="AM659" s="496">
        <f>AM658-SUM(AM654:AM656)</f>
        <v>0</v>
      </c>
      <c r="AN659" s="496">
        <f>AN658-SUM(AN654:AN656)</f>
        <v>0</v>
      </c>
    </row>
    <row r="660" spans="1:40">
      <c r="D660" s="20"/>
      <c r="E660" s="2"/>
      <c r="F660" s="2"/>
      <c r="G660" s="2"/>
      <c r="H660" s="2"/>
      <c r="I660" s="2"/>
      <c r="J660" s="2"/>
      <c r="K660" s="2"/>
      <c r="L660" s="132"/>
      <c r="M660" s="132"/>
      <c r="N660" s="132"/>
      <c r="O660" s="132"/>
      <c r="P660" s="132"/>
      <c r="Q660" s="132"/>
      <c r="R660" s="132"/>
      <c r="S660" s="132"/>
      <c r="T660" s="132"/>
      <c r="U660" s="132"/>
      <c r="V660" s="132"/>
      <c r="W660" s="132"/>
      <c r="X660" s="132"/>
      <c r="Y660" s="132"/>
      <c r="Z660" s="132"/>
      <c r="AA660" s="132"/>
      <c r="AB660" s="132"/>
      <c r="AC660" s="132"/>
      <c r="AD660" s="132"/>
      <c r="AE660" s="132"/>
      <c r="AF660" s="132"/>
      <c r="AG660" s="132"/>
      <c r="AH660" s="132"/>
      <c r="AI660" s="132"/>
      <c r="AJ660" s="132"/>
      <c r="AK660" s="132"/>
      <c r="AL660" s="132"/>
      <c r="AM660" s="132"/>
      <c r="AN660" s="132"/>
    </row>
    <row r="661" spans="1:40">
      <c r="B661" s="185" t="s">
        <v>88</v>
      </c>
      <c r="C661" s="163"/>
      <c r="D661" s="20"/>
      <c r="E661" s="2"/>
      <c r="F661" s="2"/>
      <c r="G661" s="2"/>
      <c r="H661" s="2"/>
      <c r="I661" s="2"/>
      <c r="J661" s="2"/>
      <c r="K661" s="2"/>
      <c r="L661" s="132"/>
      <c r="M661" s="132"/>
      <c r="N661" s="132"/>
      <c r="O661" s="132"/>
      <c r="P661" s="132"/>
      <c r="Q661" s="132"/>
      <c r="R661" s="132"/>
      <c r="S661" s="132"/>
      <c r="T661" s="132"/>
      <c r="U661" s="132"/>
      <c r="V661" s="132"/>
      <c r="W661" s="132"/>
      <c r="X661" s="132"/>
      <c r="Y661" s="132"/>
      <c r="Z661" s="132"/>
      <c r="AA661" s="132"/>
      <c r="AB661" s="132"/>
      <c r="AC661" s="132"/>
      <c r="AD661" s="132"/>
      <c r="AE661" s="132"/>
      <c r="AF661" s="132"/>
      <c r="AG661" s="132"/>
      <c r="AH661" s="132"/>
      <c r="AI661" s="132"/>
      <c r="AJ661" s="132"/>
      <c r="AK661" s="132"/>
      <c r="AL661" s="132"/>
      <c r="AM661" s="132"/>
      <c r="AN661" s="132"/>
    </row>
    <row r="662" spans="1:40">
      <c r="B662" s="209" t="s">
        <v>31</v>
      </c>
      <c r="C662" s="82" t="s">
        <v>900</v>
      </c>
      <c r="D662" s="2"/>
      <c r="E662" s="2"/>
      <c r="F662" s="2"/>
      <c r="G662" s="7"/>
      <c r="H662" s="7"/>
      <c r="I662" s="7"/>
      <c r="J662" s="7"/>
      <c r="K662" s="7"/>
      <c r="L662" s="132">
        <f t="shared" ref="L662:AL662" si="449">MAX(0,L658)</f>
        <v>424.4</v>
      </c>
      <c r="M662" s="132">
        <f t="shared" si="449"/>
        <v>171</v>
      </c>
      <c r="N662" s="132">
        <f t="shared" si="449"/>
        <v>199.4</v>
      </c>
      <c r="O662" s="132">
        <f t="shared" si="449"/>
        <v>256.39999999999998</v>
      </c>
      <c r="P662" s="132">
        <f t="shared" si="449"/>
        <v>290.7</v>
      </c>
      <c r="Q662" s="132">
        <f t="shared" ref="Q662:V662" si="450">MAX(0,Q658)</f>
        <v>313.39999999999998</v>
      </c>
      <c r="R662" s="132">
        <f t="shared" si="450"/>
        <v>313.7</v>
      </c>
      <c r="S662" s="132">
        <f t="shared" si="450"/>
        <v>260.3</v>
      </c>
      <c r="T662" s="132">
        <f t="shared" si="450"/>
        <v>236.5</v>
      </c>
      <c r="U662" s="132">
        <f t="shared" si="450"/>
        <v>218.3</v>
      </c>
      <c r="V662" s="132">
        <f t="shared" si="450"/>
        <v>305.8</v>
      </c>
      <c r="W662" s="132">
        <f t="shared" si="449"/>
        <v>377.35136514633547</v>
      </c>
      <c r="X662" s="132">
        <f t="shared" si="449"/>
        <v>269.13943476485838</v>
      </c>
      <c r="Y662" s="132">
        <f t="shared" si="449"/>
        <v>342.79753015313099</v>
      </c>
      <c r="Z662" s="132">
        <f t="shared" si="449"/>
        <v>352.72355053915533</v>
      </c>
      <c r="AA662" s="132">
        <f t="shared" si="449"/>
        <v>430.58003129407996</v>
      </c>
      <c r="AB662" s="132">
        <f t="shared" si="449"/>
        <v>458.57229818837226</v>
      </c>
      <c r="AC662" s="132">
        <f t="shared" si="449"/>
        <v>552.15214435503219</v>
      </c>
      <c r="AD662" s="132">
        <f t="shared" si="449"/>
        <v>587.57566607467811</v>
      </c>
      <c r="AE662" s="132">
        <f t="shared" si="449"/>
        <v>675.88079744015079</v>
      </c>
      <c r="AF662" s="132">
        <f t="shared" si="449"/>
        <v>710.06859137762478</v>
      </c>
      <c r="AG662" s="132">
        <f t="shared" si="449"/>
        <v>844.76572327851068</v>
      </c>
      <c r="AH662" s="132">
        <f t="shared" si="449"/>
        <v>913.46297845982997</v>
      </c>
      <c r="AI662" s="132">
        <f t="shared" si="449"/>
        <v>1053.6625873016435</v>
      </c>
      <c r="AJ662" s="132">
        <f t="shared" si="449"/>
        <v>1127.6528188455538</v>
      </c>
      <c r="AK662" s="132">
        <f t="shared" si="449"/>
        <v>1280.4708796932646</v>
      </c>
      <c r="AL662" s="132">
        <f t="shared" si="449"/>
        <v>1370.598173245646</v>
      </c>
      <c r="AM662" s="132">
        <f>MAX(0,AM658)</f>
        <v>1530.0855997687781</v>
      </c>
      <c r="AN662" s="132">
        <f>MAX(0,AN658)</f>
        <v>1624.2812426131779</v>
      </c>
    </row>
    <row r="663" spans="1:40">
      <c r="B663" s="209" t="s">
        <v>32</v>
      </c>
      <c r="C663" s="82" t="s">
        <v>900</v>
      </c>
      <c r="D663" s="20"/>
      <c r="E663" s="2"/>
      <c r="F663" s="2"/>
      <c r="G663" s="7"/>
      <c r="H663" s="7"/>
      <c r="I663" s="7"/>
      <c r="J663" s="7"/>
      <c r="K663" s="7"/>
      <c r="L663" s="132">
        <f t="shared" ref="L663:AN663" si="451">L503</f>
        <v>116.9</v>
      </c>
      <c r="M663" s="132">
        <f t="shared" si="451"/>
        <v>127</v>
      </c>
      <c r="N663" s="132">
        <f t="shared" si="451"/>
        <v>129.9</v>
      </c>
      <c r="O663" s="132">
        <f t="shared" si="451"/>
        <v>233.5</v>
      </c>
      <c r="P663" s="132">
        <f t="shared" si="451"/>
        <v>165.8</v>
      </c>
      <c r="Q663" s="132">
        <f t="shared" si="451"/>
        <v>149.1</v>
      </c>
      <c r="R663" s="132">
        <f t="shared" si="451"/>
        <v>160.9</v>
      </c>
      <c r="S663" s="132">
        <f t="shared" si="451"/>
        <v>128.4</v>
      </c>
      <c r="T663" s="132">
        <f t="shared" si="451"/>
        <v>87.8</v>
      </c>
      <c r="U663" s="132">
        <f t="shared" si="451"/>
        <v>102.2</v>
      </c>
      <c r="V663" s="132">
        <f t="shared" ref="V663" si="452">V503</f>
        <v>106.9</v>
      </c>
      <c r="W663" s="132">
        <f t="shared" si="451"/>
        <v>114.08033211416638</v>
      </c>
      <c r="X663" s="132">
        <f t="shared" si="451"/>
        <v>111.41842094359997</v>
      </c>
      <c r="Y663" s="132">
        <f t="shared" si="451"/>
        <v>118.75230592126489</v>
      </c>
      <c r="Z663" s="132">
        <f t="shared" si="451"/>
        <v>114.30616960306696</v>
      </c>
      <c r="AA663" s="132">
        <f t="shared" si="451"/>
        <v>120.10485176930922</v>
      </c>
      <c r="AB663" s="132">
        <f t="shared" si="451"/>
        <v>116.14119019170816</v>
      </c>
      <c r="AC663" s="132">
        <f t="shared" si="451"/>
        <v>122.85167110180606</v>
      </c>
      <c r="AD663" s="132">
        <f t="shared" si="451"/>
        <v>118.83330188508033</v>
      </c>
      <c r="AE663" s="132">
        <f t="shared" si="451"/>
        <v>124.82039920920737</v>
      </c>
      <c r="AF663" s="132">
        <f t="shared" si="451"/>
        <v>120.81138213246091</v>
      </c>
      <c r="AG663" s="132">
        <f t="shared" si="451"/>
        <v>126.86523035126446</v>
      </c>
      <c r="AH663" s="132">
        <f t="shared" si="451"/>
        <v>122.18946492437252</v>
      </c>
      <c r="AI663" s="132">
        <f t="shared" si="451"/>
        <v>128.98827720710261</v>
      </c>
      <c r="AJ663" s="132">
        <f t="shared" si="451"/>
        <v>124.99488508424193</v>
      </c>
      <c r="AK663" s="132">
        <f t="shared" si="451"/>
        <v>131.19171754034022</v>
      </c>
      <c r="AL663" s="132">
        <f t="shared" si="451"/>
        <v>127.20456236144469</v>
      </c>
      <c r="AM663" s="132">
        <f t="shared" si="451"/>
        <v>133.47779613458189</v>
      </c>
      <c r="AN663" s="132">
        <f t="shared" si="451"/>
        <v>129.4958025154439</v>
      </c>
    </row>
    <row r="664" spans="1:40">
      <c r="B664" s="209" t="s">
        <v>1041</v>
      </c>
      <c r="C664" s="82" t="s">
        <v>900</v>
      </c>
      <c r="D664" s="20"/>
      <c r="E664" s="2"/>
      <c r="F664" s="2"/>
      <c r="G664" s="7"/>
      <c r="H664" s="7"/>
      <c r="I664" s="7"/>
      <c r="J664" s="7"/>
      <c r="K664" s="7"/>
      <c r="L664" s="132">
        <f t="shared" ref="L664:AN664" si="453">L508</f>
        <v>0</v>
      </c>
      <c r="M664" s="132">
        <f t="shared" si="453"/>
        <v>0</v>
      </c>
      <c r="N664" s="132">
        <f t="shared" si="453"/>
        <v>0</v>
      </c>
      <c r="O664" s="132">
        <f t="shared" si="453"/>
        <v>0</v>
      </c>
      <c r="P664" s="132">
        <f t="shared" si="453"/>
        <v>0</v>
      </c>
      <c r="Q664" s="132">
        <f t="shared" si="453"/>
        <v>0</v>
      </c>
      <c r="R664" s="132">
        <f t="shared" si="453"/>
        <v>0</v>
      </c>
      <c r="S664" s="132">
        <f t="shared" si="453"/>
        <v>0</v>
      </c>
      <c r="T664" s="132">
        <f t="shared" si="453"/>
        <v>0</v>
      </c>
      <c r="U664" s="132">
        <f t="shared" si="453"/>
        <v>0</v>
      </c>
      <c r="V664" s="132">
        <f t="shared" ref="V664" si="454">V508</f>
        <v>0</v>
      </c>
      <c r="W664" s="132">
        <f t="shared" si="453"/>
        <v>0</v>
      </c>
      <c r="X664" s="132">
        <f t="shared" si="453"/>
        <v>0</v>
      </c>
      <c r="Y664" s="132">
        <f t="shared" si="453"/>
        <v>0</v>
      </c>
      <c r="Z664" s="132">
        <f t="shared" si="453"/>
        <v>0</v>
      </c>
      <c r="AA664" s="132">
        <f t="shared" si="453"/>
        <v>0</v>
      </c>
      <c r="AB664" s="132">
        <f t="shared" si="453"/>
        <v>0</v>
      </c>
      <c r="AC664" s="132">
        <f t="shared" si="453"/>
        <v>0</v>
      </c>
      <c r="AD664" s="132">
        <f t="shared" si="453"/>
        <v>0</v>
      </c>
      <c r="AE664" s="132">
        <f t="shared" si="453"/>
        <v>0</v>
      </c>
      <c r="AF664" s="132">
        <f t="shared" si="453"/>
        <v>0</v>
      </c>
      <c r="AG664" s="132">
        <f t="shared" si="453"/>
        <v>0</v>
      </c>
      <c r="AH664" s="132">
        <f t="shared" si="453"/>
        <v>0</v>
      </c>
      <c r="AI664" s="132">
        <f t="shared" si="453"/>
        <v>0</v>
      </c>
      <c r="AJ664" s="132">
        <f t="shared" si="453"/>
        <v>0</v>
      </c>
      <c r="AK664" s="132">
        <f t="shared" si="453"/>
        <v>0</v>
      </c>
      <c r="AL664" s="132">
        <f t="shared" si="453"/>
        <v>0</v>
      </c>
      <c r="AM664" s="132">
        <f t="shared" si="453"/>
        <v>0</v>
      </c>
      <c r="AN664" s="132">
        <f t="shared" si="453"/>
        <v>0</v>
      </c>
    </row>
    <row r="665" spans="1:40">
      <c r="B665" s="209" t="s">
        <v>56</v>
      </c>
      <c r="C665" s="82" t="s">
        <v>900</v>
      </c>
      <c r="D665" s="20"/>
      <c r="E665" s="2"/>
      <c r="F665" s="2"/>
      <c r="G665" s="7"/>
      <c r="H665" s="7"/>
      <c r="I665" s="7"/>
      <c r="J665" s="7"/>
      <c r="K665" s="7"/>
      <c r="L665" s="132">
        <f t="shared" ref="L665:AN665" si="455">L479</f>
        <v>0</v>
      </c>
      <c r="M665" s="132">
        <f t="shared" si="455"/>
        <v>0</v>
      </c>
      <c r="N665" s="132">
        <f t="shared" si="455"/>
        <v>0</v>
      </c>
      <c r="O665" s="132">
        <f t="shared" si="455"/>
        <v>31.7</v>
      </c>
      <c r="P665" s="132">
        <f t="shared" si="455"/>
        <v>10.8</v>
      </c>
      <c r="Q665" s="132">
        <f t="shared" si="455"/>
        <v>56.5</v>
      </c>
      <c r="R665" s="132">
        <f t="shared" si="455"/>
        <v>13</v>
      </c>
      <c r="S665" s="132">
        <f t="shared" si="455"/>
        <v>7.4</v>
      </c>
      <c r="T665" s="132">
        <f t="shared" si="455"/>
        <v>0</v>
      </c>
      <c r="U665" s="132">
        <f t="shared" si="455"/>
        <v>0</v>
      </c>
      <c r="V665" s="132">
        <f t="shared" si="455"/>
        <v>0</v>
      </c>
      <c r="W665" s="132">
        <f t="shared" si="455"/>
        <v>0</v>
      </c>
      <c r="X665" s="132">
        <f t="shared" si="455"/>
        <v>0</v>
      </c>
      <c r="Y665" s="132">
        <f t="shared" si="455"/>
        <v>0</v>
      </c>
      <c r="Z665" s="132">
        <f t="shared" si="455"/>
        <v>0</v>
      </c>
      <c r="AA665" s="132">
        <f t="shared" si="455"/>
        <v>0</v>
      </c>
      <c r="AB665" s="132">
        <f t="shared" si="455"/>
        <v>0</v>
      </c>
      <c r="AC665" s="132">
        <f t="shared" si="455"/>
        <v>0</v>
      </c>
      <c r="AD665" s="132">
        <f t="shared" si="455"/>
        <v>0</v>
      </c>
      <c r="AE665" s="132">
        <f t="shared" si="455"/>
        <v>0</v>
      </c>
      <c r="AF665" s="132">
        <f t="shared" si="455"/>
        <v>0</v>
      </c>
      <c r="AG665" s="132">
        <f t="shared" si="455"/>
        <v>0</v>
      </c>
      <c r="AH665" s="132">
        <f t="shared" si="455"/>
        <v>0</v>
      </c>
      <c r="AI665" s="132">
        <f t="shared" si="455"/>
        <v>0</v>
      </c>
      <c r="AJ665" s="132">
        <f t="shared" si="455"/>
        <v>0</v>
      </c>
      <c r="AK665" s="132">
        <f t="shared" si="455"/>
        <v>0</v>
      </c>
      <c r="AL665" s="132">
        <f t="shared" si="455"/>
        <v>0</v>
      </c>
      <c r="AM665" s="132">
        <f t="shared" si="455"/>
        <v>0</v>
      </c>
      <c r="AN665" s="132">
        <f t="shared" si="455"/>
        <v>0</v>
      </c>
    </row>
    <row r="666" spans="1:40">
      <c r="B666" s="209" t="s">
        <v>1235</v>
      </c>
      <c r="C666" s="82" t="s">
        <v>900</v>
      </c>
      <c r="D666" s="20"/>
      <c r="E666" s="2"/>
      <c r="F666" s="236"/>
      <c r="G666" s="236"/>
      <c r="H666" s="236"/>
      <c r="I666" s="236"/>
      <c r="J666" s="236"/>
      <c r="K666" s="236"/>
      <c r="L666" s="135">
        <v>45</v>
      </c>
      <c r="M666" s="135">
        <v>53</v>
      </c>
      <c r="N666" s="135">
        <v>52.4</v>
      </c>
      <c r="O666" s="135">
        <v>50.3</v>
      </c>
      <c r="P666" s="135">
        <v>51</v>
      </c>
      <c r="Q666" s="135">
        <v>64.400000000000006</v>
      </c>
      <c r="R666" s="135">
        <v>70.3</v>
      </c>
      <c r="S666" s="135">
        <v>74.900000000000006</v>
      </c>
      <c r="T666" s="135">
        <v>55.5</v>
      </c>
      <c r="U666" s="135">
        <v>76.5</v>
      </c>
      <c r="V666" s="135">
        <v>61.4</v>
      </c>
      <c r="W666" s="256">
        <f t="shared" ref="W666:AK666" si="456">V666</f>
        <v>61.4</v>
      </c>
      <c r="X666" s="256">
        <f t="shared" si="456"/>
        <v>61.4</v>
      </c>
      <c r="Y666" s="256">
        <f t="shared" si="456"/>
        <v>61.4</v>
      </c>
      <c r="Z666" s="256">
        <f t="shared" si="456"/>
        <v>61.4</v>
      </c>
      <c r="AA666" s="256">
        <f t="shared" si="456"/>
        <v>61.4</v>
      </c>
      <c r="AB666" s="256">
        <f t="shared" si="456"/>
        <v>61.4</v>
      </c>
      <c r="AC666" s="256">
        <f t="shared" si="456"/>
        <v>61.4</v>
      </c>
      <c r="AD666" s="256">
        <f t="shared" si="456"/>
        <v>61.4</v>
      </c>
      <c r="AE666" s="256">
        <f t="shared" si="456"/>
        <v>61.4</v>
      </c>
      <c r="AF666" s="256">
        <f t="shared" si="456"/>
        <v>61.4</v>
      </c>
      <c r="AG666" s="256">
        <f t="shared" si="456"/>
        <v>61.4</v>
      </c>
      <c r="AH666" s="256">
        <f t="shared" si="456"/>
        <v>61.4</v>
      </c>
      <c r="AI666" s="256">
        <f t="shared" si="456"/>
        <v>61.4</v>
      </c>
      <c r="AJ666" s="256">
        <f t="shared" si="456"/>
        <v>61.4</v>
      </c>
      <c r="AK666" s="256">
        <f t="shared" si="456"/>
        <v>61.4</v>
      </c>
      <c r="AL666" s="256">
        <f t="shared" ref="AL666:AN668" si="457">AK666</f>
        <v>61.4</v>
      </c>
      <c r="AM666" s="256">
        <f t="shared" si="457"/>
        <v>61.4</v>
      </c>
      <c r="AN666" s="256">
        <f t="shared" si="457"/>
        <v>61.4</v>
      </c>
    </row>
    <row r="667" spans="1:40">
      <c r="B667" s="209" t="s">
        <v>1054</v>
      </c>
      <c r="C667" s="82" t="s">
        <v>900</v>
      </c>
      <c r="D667" s="20"/>
      <c r="E667" s="2"/>
      <c r="F667" s="236"/>
      <c r="G667" s="236"/>
      <c r="H667" s="236"/>
      <c r="I667" s="236"/>
      <c r="J667" s="236"/>
      <c r="K667" s="236"/>
      <c r="L667" s="135">
        <v>0</v>
      </c>
      <c r="M667" s="135">
        <v>0</v>
      </c>
      <c r="N667" s="135">
        <v>34.200000000000003</v>
      </c>
      <c r="O667" s="135">
        <v>28.2</v>
      </c>
      <c r="P667" s="135">
        <v>22.9</v>
      </c>
      <c r="Q667" s="135">
        <v>0</v>
      </c>
      <c r="R667" s="135">
        <v>0</v>
      </c>
      <c r="S667" s="135">
        <v>0</v>
      </c>
      <c r="T667" s="135">
        <v>0</v>
      </c>
      <c r="U667" s="135">
        <v>0</v>
      </c>
      <c r="V667" s="135">
        <v>0</v>
      </c>
      <c r="W667" s="256">
        <f t="shared" ref="W667:AK667" si="458">V667</f>
        <v>0</v>
      </c>
      <c r="X667" s="256">
        <f t="shared" si="458"/>
        <v>0</v>
      </c>
      <c r="Y667" s="256">
        <f t="shared" si="458"/>
        <v>0</v>
      </c>
      <c r="Z667" s="256">
        <f t="shared" si="458"/>
        <v>0</v>
      </c>
      <c r="AA667" s="256">
        <f t="shared" si="458"/>
        <v>0</v>
      </c>
      <c r="AB667" s="256">
        <f t="shared" si="458"/>
        <v>0</v>
      </c>
      <c r="AC667" s="256">
        <f t="shared" si="458"/>
        <v>0</v>
      </c>
      <c r="AD667" s="256">
        <f t="shared" si="458"/>
        <v>0</v>
      </c>
      <c r="AE667" s="256">
        <f t="shared" si="458"/>
        <v>0</v>
      </c>
      <c r="AF667" s="256">
        <f t="shared" si="458"/>
        <v>0</v>
      </c>
      <c r="AG667" s="256">
        <f t="shared" si="458"/>
        <v>0</v>
      </c>
      <c r="AH667" s="256">
        <f t="shared" si="458"/>
        <v>0</v>
      </c>
      <c r="AI667" s="256">
        <f t="shared" si="458"/>
        <v>0</v>
      </c>
      <c r="AJ667" s="256">
        <f t="shared" si="458"/>
        <v>0</v>
      </c>
      <c r="AK667" s="256">
        <f t="shared" si="458"/>
        <v>0</v>
      </c>
      <c r="AL667" s="256">
        <f t="shared" si="457"/>
        <v>0</v>
      </c>
      <c r="AM667" s="256">
        <f t="shared" si="457"/>
        <v>0</v>
      </c>
      <c r="AN667" s="256">
        <f t="shared" si="457"/>
        <v>0</v>
      </c>
    </row>
    <row r="668" spans="1:40">
      <c r="B668" s="209" t="s">
        <v>3</v>
      </c>
      <c r="C668" s="82" t="s">
        <v>900</v>
      </c>
      <c r="D668" s="20"/>
      <c r="E668" s="6"/>
      <c r="F668" s="6"/>
      <c r="G668" s="236"/>
      <c r="H668" s="236"/>
      <c r="I668" s="236"/>
      <c r="J668" s="236"/>
      <c r="K668" s="236"/>
      <c r="L668" s="135">
        <f>128.9+113.4+69.6</f>
        <v>311.89999999999998</v>
      </c>
      <c r="M668" s="135">
        <v>14</v>
      </c>
      <c r="N668" s="135">
        <f>15.1+0.4</f>
        <v>15.5</v>
      </c>
      <c r="O668" s="135">
        <f>10.6+0.6</f>
        <v>11.2</v>
      </c>
      <c r="P668" s="135">
        <f>9.8+0.8</f>
        <v>10.600000000000001</v>
      </c>
      <c r="Q668" s="135">
        <f>7.5+0.5</f>
        <v>8</v>
      </c>
      <c r="R668" s="135">
        <f>12.4+0.8</f>
        <v>13.200000000000001</v>
      </c>
      <c r="S668" s="135">
        <f>12.5+2.3</f>
        <v>14.8</v>
      </c>
      <c r="T668" s="135">
        <f>2.8+1</f>
        <v>3.8</v>
      </c>
      <c r="U668" s="135">
        <v>2.9</v>
      </c>
      <c r="V668" s="135">
        <f>2.4+0.5</f>
        <v>2.9</v>
      </c>
      <c r="W668" s="256">
        <f t="shared" ref="W668:AK668" si="459">V668</f>
        <v>2.9</v>
      </c>
      <c r="X668" s="256">
        <f t="shared" si="459"/>
        <v>2.9</v>
      </c>
      <c r="Y668" s="256">
        <f t="shared" si="459"/>
        <v>2.9</v>
      </c>
      <c r="Z668" s="256">
        <f t="shared" si="459"/>
        <v>2.9</v>
      </c>
      <c r="AA668" s="256">
        <f t="shared" si="459"/>
        <v>2.9</v>
      </c>
      <c r="AB668" s="256">
        <f t="shared" si="459"/>
        <v>2.9</v>
      </c>
      <c r="AC668" s="256">
        <f t="shared" si="459"/>
        <v>2.9</v>
      </c>
      <c r="AD668" s="256">
        <f t="shared" si="459"/>
        <v>2.9</v>
      </c>
      <c r="AE668" s="256">
        <f t="shared" si="459"/>
        <v>2.9</v>
      </c>
      <c r="AF668" s="256">
        <f t="shared" si="459"/>
        <v>2.9</v>
      </c>
      <c r="AG668" s="256">
        <f t="shared" si="459"/>
        <v>2.9</v>
      </c>
      <c r="AH668" s="256">
        <f t="shared" si="459"/>
        <v>2.9</v>
      </c>
      <c r="AI668" s="256">
        <f t="shared" si="459"/>
        <v>2.9</v>
      </c>
      <c r="AJ668" s="256">
        <f t="shared" si="459"/>
        <v>2.9</v>
      </c>
      <c r="AK668" s="256">
        <f t="shared" si="459"/>
        <v>2.9</v>
      </c>
      <c r="AL668" s="256">
        <f t="shared" si="457"/>
        <v>2.9</v>
      </c>
      <c r="AM668" s="256">
        <f t="shared" si="457"/>
        <v>2.9</v>
      </c>
      <c r="AN668" s="256">
        <f t="shared" si="457"/>
        <v>2.9</v>
      </c>
    </row>
    <row r="669" spans="1:40">
      <c r="B669" s="224" t="s">
        <v>991</v>
      </c>
      <c r="C669" s="166"/>
      <c r="D669" s="22"/>
      <c r="E669" s="5"/>
      <c r="F669" s="5"/>
      <c r="G669" s="221"/>
      <c r="H669" s="221"/>
      <c r="I669" s="221"/>
      <c r="J669" s="221"/>
      <c r="K669" s="221"/>
      <c r="L669" s="500" t="s">
        <v>991</v>
      </c>
      <c r="M669" s="500" t="s">
        <v>991</v>
      </c>
      <c r="N669" s="500" t="s">
        <v>991</v>
      </c>
      <c r="O669" s="500" t="s">
        <v>991</v>
      </c>
      <c r="P669" s="500" t="s">
        <v>991</v>
      </c>
      <c r="Q669" s="500" t="s">
        <v>991</v>
      </c>
      <c r="R669" s="500" t="s">
        <v>991</v>
      </c>
      <c r="S669" s="500" t="s">
        <v>991</v>
      </c>
      <c r="T669" s="500" t="s">
        <v>991</v>
      </c>
      <c r="U669" s="500" t="s">
        <v>991</v>
      </c>
      <c r="V669" s="500" t="s">
        <v>991</v>
      </c>
      <c r="W669" s="500" t="s">
        <v>991</v>
      </c>
      <c r="X669" s="500" t="s">
        <v>991</v>
      </c>
      <c r="Y669" s="500" t="s">
        <v>991</v>
      </c>
      <c r="Z669" s="500" t="s">
        <v>991</v>
      </c>
      <c r="AA669" s="500" t="s">
        <v>991</v>
      </c>
      <c r="AB669" s="500" t="s">
        <v>991</v>
      </c>
      <c r="AC669" s="500" t="s">
        <v>991</v>
      </c>
      <c r="AD669" s="500" t="s">
        <v>991</v>
      </c>
      <c r="AE669" s="500" t="s">
        <v>991</v>
      </c>
      <c r="AF669" s="500" t="s">
        <v>991</v>
      </c>
      <c r="AG669" s="500" t="s">
        <v>991</v>
      </c>
      <c r="AH669" s="500" t="s">
        <v>991</v>
      </c>
      <c r="AI669" s="500" t="s">
        <v>991</v>
      </c>
      <c r="AJ669" s="500" t="s">
        <v>991</v>
      </c>
      <c r="AK669" s="500" t="s">
        <v>991</v>
      </c>
      <c r="AL669" s="500" t="s">
        <v>991</v>
      </c>
      <c r="AM669" s="500" t="s">
        <v>991</v>
      </c>
      <c r="AN669" s="500" t="s">
        <v>991</v>
      </c>
    </row>
    <row r="670" spans="1:40" s="3" customFormat="1">
      <c r="B670" s="225" t="s">
        <v>33</v>
      </c>
      <c r="C670" s="82" t="s">
        <v>900</v>
      </c>
      <c r="D670" s="21"/>
      <c r="E670" s="4"/>
      <c r="F670" s="4"/>
      <c r="G670" s="235"/>
      <c r="H670" s="235"/>
      <c r="I670" s="235"/>
      <c r="J670" s="235"/>
      <c r="K670" s="235"/>
      <c r="L670" s="499">
        <f>SUM(L662:L669)</f>
        <v>898.19999999999993</v>
      </c>
      <c r="M670" s="499">
        <f>SUM(M662:M669)</f>
        <v>365</v>
      </c>
      <c r="N670" s="499">
        <f t="shared" ref="N670:AF670" si="460">SUM(N662:N669)</f>
        <v>431.4</v>
      </c>
      <c r="O670" s="499">
        <f t="shared" si="460"/>
        <v>611.30000000000007</v>
      </c>
      <c r="P670" s="499">
        <f t="shared" si="460"/>
        <v>551.79999999999995</v>
      </c>
      <c r="Q670" s="499">
        <f t="shared" ref="Q670:V670" si="461">SUM(Q662:Q669)</f>
        <v>591.4</v>
      </c>
      <c r="R670" s="499">
        <f t="shared" si="461"/>
        <v>571.1</v>
      </c>
      <c r="S670" s="499">
        <f t="shared" si="461"/>
        <v>485.8</v>
      </c>
      <c r="T670" s="499">
        <f t="shared" si="461"/>
        <v>383.6</v>
      </c>
      <c r="U670" s="499">
        <f t="shared" si="461"/>
        <v>399.9</v>
      </c>
      <c r="V670" s="499">
        <f t="shared" si="461"/>
        <v>477</v>
      </c>
      <c r="W670" s="499">
        <f t="shared" si="460"/>
        <v>555.73169726050185</v>
      </c>
      <c r="X670" s="499">
        <f t="shared" si="460"/>
        <v>444.85785570845832</v>
      </c>
      <c r="Y670" s="499">
        <f t="shared" si="460"/>
        <v>525.84983607439585</v>
      </c>
      <c r="Z670" s="499">
        <f t="shared" si="460"/>
        <v>531.3297201422223</v>
      </c>
      <c r="AA670" s="499">
        <f t="shared" si="460"/>
        <v>614.98488306338913</v>
      </c>
      <c r="AB670" s="499">
        <f t="shared" si="460"/>
        <v>639.01348838008039</v>
      </c>
      <c r="AC670" s="499">
        <f t="shared" si="460"/>
        <v>739.30381545683827</v>
      </c>
      <c r="AD670" s="499">
        <f t="shared" si="460"/>
        <v>770.70896795975841</v>
      </c>
      <c r="AE670" s="499">
        <f t="shared" si="460"/>
        <v>865.00119664935812</v>
      </c>
      <c r="AF670" s="499">
        <f t="shared" si="460"/>
        <v>895.17997351008569</v>
      </c>
      <c r="AG670" s="499">
        <f t="shared" ref="AG670:AL670" si="462">SUM(AG662:AG669)</f>
        <v>1035.9309536297753</v>
      </c>
      <c r="AH670" s="499">
        <f t="shared" si="462"/>
        <v>1099.9524433842028</v>
      </c>
      <c r="AI670" s="499">
        <f t="shared" si="462"/>
        <v>1246.9508645087462</v>
      </c>
      <c r="AJ670" s="499">
        <f t="shared" si="462"/>
        <v>1316.947703929796</v>
      </c>
      <c r="AK670" s="499">
        <f t="shared" si="462"/>
        <v>1475.962597233605</v>
      </c>
      <c r="AL670" s="499">
        <f t="shared" si="462"/>
        <v>1562.1027356070908</v>
      </c>
      <c r="AM670" s="499">
        <f>SUM(AM662:AM669)</f>
        <v>1727.8633959033602</v>
      </c>
      <c r="AN670" s="499">
        <f>SUM(AN662:AN669)</f>
        <v>1818.0770451286221</v>
      </c>
    </row>
    <row r="671" spans="1:40">
      <c r="B671" s="192"/>
      <c r="D671" s="20"/>
      <c r="E671" s="2"/>
      <c r="F671" s="2"/>
      <c r="G671" s="2"/>
      <c r="H671" s="2"/>
      <c r="I671" s="2"/>
      <c r="J671" s="2"/>
      <c r="K671" s="2"/>
      <c r="L671" s="132"/>
      <c r="M671" s="132"/>
      <c r="N671" s="132"/>
      <c r="O671" s="132"/>
      <c r="P671" s="132"/>
      <c r="Q671" s="132"/>
      <c r="R671" s="132"/>
      <c r="S671" s="132"/>
      <c r="T671" s="132"/>
      <c r="U671" s="132"/>
      <c r="V671" s="132"/>
      <c r="W671" s="132"/>
      <c r="X671" s="132"/>
      <c r="Y671" s="132"/>
      <c r="Z671" s="132"/>
      <c r="AA671" s="132"/>
      <c r="AB671" s="132"/>
      <c r="AC671" s="132"/>
      <c r="AD671" s="132"/>
      <c r="AE671" s="132"/>
      <c r="AF671" s="132"/>
      <c r="AG671" s="132"/>
      <c r="AH671" s="132"/>
      <c r="AI671" s="132"/>
      <c r="AJ671" s="132"/>
      <c r="AK671" s="132"/>
      <c r="AL671" s="132"/>
      <c r="AM671" s="132"/>
      <c r="AN671" s="132"/>
    </row>
    <row r="672" spans="1:40">
      <c r="B672" s="209" t="s">
        <v>52</v>
      </c>
      <c r="C672" s="82" t="s">
        <v>900</v>
      </c>
      <c r="D672" s="2"/>
      <c r="E672" s="2"/>
      <c r="F672" s="2"/>
      <c r="G672" s="7"/>
      <c r="H672" s="7"/>
      <c r="I672" s="7"/>
      <c r="J672" s="7"/>
      <c r="K672" s="7"/>
      <c r="L672" s="132">
        <f t="shared" ref="L672:AN672" si="463">L422</f>
        <v>7038.1</v>
      </c>
      <c r="M672" s="132">
        <f t="shared" si="463"/>
        <v>1734</v>
      </c>
      <c r="N672" s="132">
        <f t="shared" si="463"/>
        <v>1734</v>
      </c>
      <c r="O672" s="132">
        <f t="shared" si="463"/>
        <v>1734</v>
      </c>
      <c r="P672" s="132">
        <f t="shared" si="463"/>
        <v>1734</v>
      </c>
      <c r="Q672" s="132">
        <f t="shared" si="463"/>
        <v>1521.2</v>
      </c>
      <c r="R672" s="132">
        <f t="shared" si="463"/>
        <v>988</v>
      </c>
      <c r="S672" s="132">
        <f t="shared" si="463"/>
        <v>988</v>
      </c>
      <c r="T672" s="132">
        <f t="shared" si="463"/>
        <v>988</v>
      </c>
      <c r="U672" s="132">
        <f t="shared" si="463"/>
        <v>988</v>
      </c>
      <c r="V672" s="132">
        <f t="shared" si="463"/>
        <v>988</v>
      </c>
      <c r="W672" s="132">
        <f t="shared" si="463"/>
        <v>988</v>
      </c>
      <c r="X672" s="132">
        <f t="shared" si="463"/>
        <v>1271</v>
      </c>
      <c r="Y672" s="132">
        <f t="shared" si="463"/>
        <v>1271</v>
      </c>
      <c r="Z672" s="132">
        <f t="shared" si="463"/>
        <v>1271</v>
      </c>
      <c r="AA672" s="132">
        <f t="shared" si="463"/>
        <v>1271</v>
      </c>
      <c r="AB672" s="132">
        <f t="shared" si="463"/>
        <v>1271</v>
      </c>
      <c r="AC672" s="132">
        <f t="shared" si="463"/>
        <v>1271</v>
      </c>
      <c r="AD672" s="132">
        <f t="shared" si="463"/>
        <v>1271</v>
      </c>
      <c r="AE672" s="132">
        <f t="shared" si="463"/>
        <v>1271</v>
      </c>
      <c r="AF672" s="132">
        <f t="shared" si="463"/>
        <v>1271</v>
      </c>
      <c r="AG672" s="132">
        <f t="shared" si="463"/>
        <v>1271</v>
      </c>
      <c r="AH672" s="132">
        <f t="shared" si="463"/>
        <v>1271</v>
      </c>
      <c r="AI672" s="132">
        <f t="shared" si="463"/>
        <v>1271</v>
      </c>
      <c r="AJ672" s="132">
        <f t="shared" si="463"/>
        <v>1271</v>
      </c>
      <c r="AK672" s="132">
        <f t="shared" si="463"/>
        <v>1271</v>
      </c>
      <c r="AL672" s="132">
        <f t="shared" si="463"/>
        <v>1271</v>
      </c>
      <c r="AM672" s="132">
        <f t="shared" si="463"/>
        <v>1271</v>
      </c>
      <c r="AN672" s="132">
        <f t="shared" si="463"/>
        <v>1271</v>
      </c>
    </row>
    <row r="673" spans="1:40">
      <c r="B673" s="209" t="s">
        <v>1564</v>
      </c>
      <c r="C673" s="82" t="s">
        <v>900</v>
      </c>
      <c r="D673" s="2"/>
      <c r="E673" s="2"/>
      <c r="F673" s="2"/>
      <c r="G673" s="7"/>
      <c r="H673" s="7"/>
      <c r="I673" s="7"/>
      <c r="J673" s="7"/>
      <c r="K673" s="7"/>
      <c r="L673" s="132">
        <f>L423</f>
        <v>0</v>
      </c>
      <c r="M673" s="132">
        <f t="shared" ref="M673:AN673" si="464">M394</f>
        <v>0</v>
      </c>
      <c r="N673" s="132">
        <f t="shared" si="464"/>
        <v>0</v>
      </c>
      <c r="O673" s="132">
        <f t="shared" si="464"/>
        <v>0</v>
      </c>
      <c r="P673" s="132">
        <f t="shared" si="464"/>
        <v>640.6</v>
      </c>
      <c r="Q673" s="132">
        <f t="shared" si="464"/>
        <v>346.9</v>
      </c>
      <c r="R673" s="132">
        <f t="shared" si="464"/>
        <v>1151.9000000000001</v>
      </c>
      <c r="S673" s="132">
        <f t="shared" si="464"/>
        <v>1122.9000000000001</v>
      </c>
      <c r="T673" s="132">
        <f t="shared" si="464"/>
        <v>1093.3</v>
      </c>
      <c r="U673" s="132">
        <f t="shared" si="464"/>
        <v>1063.0999999999999</v>
      </c>
      <c r="V673" s="132">
        <f t="shared" si="464"/>
        <v>1033.4000000000001</v>
      </c>
      <c r="W673" s="132">
        <f t="shared" si="464"/>
        <v>1003.7000000000003</v>
      </c>
      <c r="X673" s="132">
        <f t="shared" si="464"/>
        <v>974.00000000000045</v>
      </c>
      <c r="Y673" s="132">
        <f t="shared" si="464"/>
        <v>944.30000000000064</v>
      </c>
      <c r="Z673" s="132">
        <f t="shared" si="464"/>
        <v>914.60000000000082</v>
      </c>
      <c r="AA673" s="132">
        <f t="shared" si="464"/>
        <v>884.900000000001</v>
      </c>
      <c r="AB673" s="132">
        <f t="shared" si="464"/>
        <v>855.20000000000118</v>
      </c>
      <c r="AC673" s="132">
        <f t="shared" si="464"/>
        <v>825.50000000000136</v>
      </c>
      <c r="AD673" s="132">
        <f t="shared" si="464"/>
        <v>795.80000000000155</v>
      </c>
      <c r="AE673" s="132">
        <f t="shared" si="464"/>
        <v>766.10000000000173</v>
      </c>
      <c r="AF673" s="132">
        <f t="shared" si="464"/>
        <v>736.40000000000191</v>
      </c>
      <c r="AG673" s="132">
        <f t="shared" si="464"/>
        <v>706.70000000000209</v>
      </c>
      <c r="AH673" s="132">
        <f t="shared" si="464"/>
        <v>677.00000000000227</v>
      </c>
      <c r="AI673" s="132">
        <f t="shared" si="464"/>
        <v>647.30000000000246</v>
      </c>
      <c r="AJ673" s="132">
        <f t="shared" si="464"/>
        <v>617.60000000000264</v>
      </c>
      <c r="AK673" s="132">
        <f t="shared" si="464"/>
        <v>587.90000000000282</v>
      </c>
      <c r="AL673" s="132">
        <f t="shared" si="464"/>
        <v>558.200000000003</v>
      </c>
      <c r="AM673" s="132">
        <f t="shared" si="464"/>
        <v>528.50000000000318</v>
      </c>
      <c r="AN673" s="132">
        <f t="shared" si="464"/>
        <v>498.80000000000337</v>
      </c>
    </row>
    <row r="674" spans="1:40">
      <c r="B674" s="209" t="s">
        <v>1239</v>
      </c>
      <c r="C674" s="82" t="s">
        <v>900</v>
      </c>
      <c r="D674" s="2"/>
      <c r="E674" s="2"/>
      <c r="F674" s="2"/>
      <c r="G674" s="7"/>
      <c r="H674" s="7"/>
      <c r="I674" s="7"/>
      <c r="J674" s="7"/>
      <c r="K674" s="7"/>
      <c r="L674" s="132">
        <f t="shared" ref="L674:AN674" si="465">L421</f>
        <v>3059.8999999999996</v>
      </c>
      <c r="M674" s="132">
        <f t="shared" si="465"/>
        <v>1515</v>
      </c>
      <c r="N674" s="132">
        <f t="shared" si="465"/>
        <v>1474.4</v>
      </c>
      <c r="O674" s="132">
        <f t="shared" si="465"/>
        <v>1432.6999999999998</v>
      </c>
      <c r="P674" s="132">
        <f t="shared" si="465"/>
        <v>769.59999999999991</v>
      </c>
      <c r="Q674" s="132">
        <f t="shared" si="465"/>
        <v>467.70000000000005</v>
      </c>
      <c r="R674" s="132">
        <f t="shared" si="465"/>
        <v>402.5</v>
      </c>
      <c r="S674" s="132">
        <f t="shared" si="465"/>
        <v>411.20000000000005</v>
      </c>
      <c r="T674" s="132">
        <f t="shared" si="465"/>
        <v>402.09999999999991</v>
      </c>
      <c r="U674" s="132">
        <f t="shared" si="465"/>
        <v>392</v>
      </c>
      <c r="V674" s="132">
        <f t="shared" si="465"/>
        <v>400.59999999999991</v>
      </c>
      <c r="W674" s="132">
        <f>W421</f>
        <v>396.59999999999991</v>
      </c>
      <c r="X674" s="132">
        <f t="shared" si="465"/>
        <v>392.59999999999991</v>
      </c>
      <c r="Y674" s="132">
        <f t="shared" si="465"/>
        <v>380.59999999999991</v>
      </c>
      <c r="Z674" s="132">
        <f t="shared" si="465"/>
        <v>368.59999999999991</v>
      </c>
      <c r="AA674" s="132">
        <f t="shared" si="465"/>
        <v>351.26834127964122</v>
      </c>
      <c r="AB674" s="132">
        <f t="shared" si="465"/>
        <v>334.68717544229128</v>
      </c>
      <c r="AC674" s="132">
        <f t="shared" si="465"/>
        <v>321.67731511260371</v>
      </c>
      <c r="AD674" s="132">
        <f t="shared" si="465"/>
        <v>308.82525907691831</v>
      </c>
      <c r="AE674" s="132">
        <f t="shared" si="465"/>
        <v>300.19887729932253</v>
      </c>
      <c r="AF674" s="132">
        <f t="shared" si="465"/>
        <v>291.07892140166496</v>
      </c>
      <c r="AG674" s="132">
        <f t="shared" si="465"/>
        <v>285.66498104545769</v>
      </c>
      <c r="AH674" s="132">
        <f t="shared" si="465"/>
        <v>279.27763789043257</v>
      </c>
      <c r="AI674" s="132">
        <f t="shared" si="465"/>
        <v>276.22491929130194</v>
      </c>
      <c r="AJ674" s="132">
        <f t="shared" si="465"/>
        <v>271.84347171264011</v>
      </c>
      <c r="AK674" s="132">
        <f t="shared" si="465"/>
        <v>270.53344660608496</v>
      </c>
      <c r="AL674" s="132">
        <f t="shared" si="465"/>
        <v>267.62963375329252</v>
      </c>
      <c r="AM674" s="132">
        <f t="shared" si="465"/>
        <v>267.62963375329252</v>
      </c>
      <c r="AN674" s="132">
        <f t="shared" si="465"/>
        <v>267.62963375329252</v>
      </c>
    </row>
    <row r="675" spans="1:40">
      <c r="B675" s="209" t="s">
        <v>34</v>
      </c>
      <c r="C675" s="82" t="s">
        <v>900</v>
      </c>
      <c r="D675" s="20"/>
      <c r="E675" s="2"/>
      <c r="F675" s="2"/>
      <c r="G675" s="7"/>
      <c r="H675" s="7"/>
      <c r="I675" s="7"/>
      <c r="J675" s="7"/>
      <c r="K675" s="7"/>
      <c r="L675" s="132">
        <f t="shared" ref="L675:AN675" si="466">L432</f>
        <v>608.6</v>
      </c>
      <c r="M675" s="132">
        <f t="shared" si="466"/>
        <v>420</v>
      </c>
      <c r="N675" s="132">
        <f t="shared" si="466"/>
        <v>349.4</v>
      </c>
      <c r="O675" s="132">
        <f t="shared" si="466"/>
        <v>322.39999999999998</v>
      </c>
      <c r="P675" s="132">
        <f t="shared" si="466"/>
        <v>271.7</v>
      </c>
      <c r="Q675" s="132">
        <f t="shared" si="466"/>
        <v>201.39999999999998</v>
      </c>
      <c r="R675" s="132">
        <f t="shared" si="466"/>
        <v>184</v>
      </c>
      <c r="S675" s="132">
        <f t="shared" si="466"/>
        <v>205.7</v>
      </c>
      <c r="T675" s="132">
        <f t="shared" si="466"/>
        <v>204.7</v>
      </c>
      <c r="U675" s="132">
        <f t="shared" si="466"/>
        <v>206.6</v>
      </c>
      <c r="V675" s="132">
        <f t="shared" si="466"/>
        <v>215.1</v>
      </c>
      <c r="W675" s="132">
        <f t="shared" si="466"/>
        <v>214.6</v>
      </c>
      <c r="X675" s="132">
        <f t="shared" si="466"/>
        <v>214.1</v>
      </c>
      <c r="Y675" s="132">
        <f t="shared" si="466"/>
        <v>219.1</v>
      </c>
      <c r="Z675" s="132">
        <f t="shared" si="466"/>
        <v>224.1</v>
      </c>
      <c r="AA675" s="132">
        <f t="shared" si="466"/>
        <v>223.59937890606599</v>
      </c>
      <c r="AB675" s="132">
        <f t="shared" si="466"/>
        <v>221.72715099494437</v>
      </c>
      <c r="AC675" s="132">
        <f t="shared" si="466"/>
        <v>222.21883641519332</v>
      </c>
      <c r="AD675" s="132">
        <f t="shared" si="466"/>
        <v>221.18185844374045</v>
      </c>
      <c r="AE675" s="132">
        <f t="shared" si="466"/>
        <v>222.23008782579322</v>
      </c>
      <c r="AF675" s="132">
        <f t="shared" si="466"/>
        <v>221.66952559303954</v>
      </c>
      <c r="AG675" s="132">
        <f t="shared" si="466"/>
        <v>223.15470978892981</v>
      </c>
      <c r="AH675" s="132">
        <f t="shared" si="466"/>
        <v>222.96643206412938</v>
      </c>
      <c r="AI675" s="132">
        <f t="shared" si="466"/>
        <v>224.79945000905937</v>
      </c>
      <c r="AJ675" s="132">
        <f t="shared" si="466"/>
        <v>224.90570220454714</v>
      </c>
      <c r="AK675" s="132">
        <f t="shared" si="466"/>
        <v>227.02030716674466</v>
      </c>
      <c r="AL675" s="132">
        <f t="shared" si="466"/>
        <v>227.36313373439387</v>
      </c>
      <c r="AM675" s="132">
        <f t="shared" si="466"/>
        <v>227.36313373439387</v>
      </c>
      <c r="AN675" s="132">
        <f t="shared" si="466"/>
        <v>227.36313373439387</v>
      </c>
    </row>
    <row r="676" spans="1:40">
      <c r="B676" s="209" t="s">
        <v>32</v>
      </c>
      <c r="C676" s="82" t="s">
        <v>900</v>
      </c>
      <c r="D676" s="20"/>
      <c r="E676" s="6"/>
      <c r="F676" s="6"/>
      <c r="G676" s="236"/>
      <c r="H676" s="236"/>
      <c r="I676" s="236"/>
      <c r="J676" s="236"/>
      <c r="K676" s="236"/>
      <c r="L676" s="135">
        <v>1.6</v>
      </c>
      <c r="M676" s="135">
        <v>2</v>
      </c>
      <c r="N676" s="135">
        <v>10.8</v>
      </c>
      <c r="O676" s="135">
        <v>11.3</v>
      </c>
      <c r="P676" s="135">
        <v>6.8</v>
      </c>
      <c r="Q676" s="135">
        <v>4.5</v>
      </c>
      <c r="R676" s="135">
        <v>3.7</v>
      </c>
      <c r="S676" s="135">
        <v>2.8</v>
      </c>
      <c r="T676" s="135">
        <v>1.9</v>
      </c>
      <c r="U676" s="135">
        <v>1</v>
      </c>
      <c r="V676" s="135">
        <v>0</v>
      </c>
      <c r="W676" s="256">
        <f t="shared" ref="W676:AK676" si="467">V676</f>
        <v>0</v>
      </c>
      <c r="X676" s="256">
        <f t="shared" si="467"/>
        <v>0</v>
      </c>
      <c r="Y676" s="256">
        <f t="shared" si="467"/>
        <v>0</v>
      </c>
      <c r="Z676" s="256">
        <f t="shared" si="467"/>
        <v>0</v>
      </c>
      <c r="AA676" s="256">
        <f t="shared" si="467"/>
        <v>0</v>
      </c>
      <c r="AB676" s="256">
        <f t="shared" si="467"/>
        <v>0</v>
      </c>
      <c r="AC676" s="256">
        <f t="shared" si="467"/>
        <v>0</v>
      </c>
      <c r="AD676" s="256">
        <f t="shared" si="467"/>
        <v>0</v>
      </c>
      <c r="AE676" s="256">
        <f t="shared" si="467"/>
        <v>0</v>
      </c>
      <c r="AF676" s="256">
        <f t="shared" si="467"/>
        <v>0</v>
      </c>
      <c r="AG676" s="256">
        <f t="shared" si="467"/>
        <v>0</v>
      </c>
      <c r="AH676" s="256">
        <f t="shared" si="467"/>
        <v>0</v>
      </c>
      <c r="AI676" s="256">
        <f t="shared" si="467"/>
        <v>0</v>
      </c>
      <c r="AJ676" s="256">
        <f t="shared" si="467"/>
        <v>0</v>
      </c>
      <c r="AK676" s="256">
        <f t="shared" si="467"/>
        <v>0</v>
      </c>
      <c r="AL676" s="256">
        <f>AK676</f>
        <v>0</v>
      </c>
      <c r="AM676" s="256">
        <f>AL676</f>
        <v>0</v>
      </c>
      <c r="AN676" s="256">
        <f>AM676</f>
        <v>0</v>
      </c>
    </row>
    <row r="677" spans="1:40">
      <c r="B677" s="209" t="s">
        <v>1257</v>
      </c>
      <c r="C677" s="82" t="s">
        <v>900</v>
      </c>
      <c r="D677" s="868" t="s">
        <v>1679</v>
      </c>
      <c r="E677" s="6"/>
      <c r="F677" s="6"/>
      <c r="G677" s="236"/>
      <c r="H677" s="236"/>
      <c r="I677" s="236"/>
      <c r="J677" s="236"/>
      <c r="K677" s="236"/>
      <c r="L677" s="135"/>
      <c r="M677" s="135"/>
      <c r="N677" s="135">
        <v>0</v>
      </c>
      <c r="O677" s="135">
        <v>31.6</v>
      </c>
      <c r="P677" s="135">
        <v>30.6</v>
      </c>
      <c r="Q677" s="135">
        <v>30.4</v>
      </c>
      <c r="R677" s="135">
        <v>30.1</v>
      </c>
      <c r="S677" s="135">
        <v>29.6</v>
      </c>
      <c r="T677" s="135">
        <v>33.9</v>
      </c>
      <c r="U677" s="135">
        <v>29.3</v>
      </c>
      <c r="V677" s="135">
        <v>30.9</v>
      </c>
      <c r="W677" s="136">
        <f>V677+W600-W640+(W403+W404)</f>
        <v>30.9</v>
      </c>
      <c r="X677" s="136">
        <f t="shared" ref="X677:AN677" si="468">W677+X600-X640+(X403+X404)</f>
        <v>30.9</v>
      </c>
      <c r="Y677" s="136">
        <f t="shared" si="468"/>
        <v>30.9</v>
      </c>
      <c r="Z677" s="136">
        <f t="shared" si="468"/>
        <v>30.9</v>
      </c>
      <c r="AA677" s="136">
        <f t="shared" si="468"/>
        <v>30.9</v>
      </c>
      <c r="AB677" s="136">
        <f t="shared" si="468"/>
        <v>30.9</v>
      </c>
      <c r="AC677" s="136">
        <f t="shared" si="468"/>
        <v>30.9</v>
      </c>
      <c r="AD677" s="136">
        <f t="shared" si="468"/>
        <v>30.9</v>
      </c>
      <c r="AE677" s="136">
        <f t="shared" si="468"/>
        <v>30.9</v>
      </c>
      <c r="AF677" s="136">
        <f t="shared" si="468"/>
        <v>30.899999999999991</v>
      </c>
      <c r="AG677" s="136">
        <f t="shared" si="468"/>
        <v>30.899999999999991</v>
      </c>
      <c r="AH677" s="136">
        <f t="shared" si="468"/>
        <v>30.899999999999991</v>
      </c>
      <c r="AI677" s="136">
        <f t="shared" si="468"/>
        <v>30.899999999999991</v>
      </c>
      <c r="AJ677" s="136">
        <f t="shared" si="468"/>
        <v>30.899999999999991</v>
      </c>
      <c r="AK677" s="136">
        <f t="shared" si="468"/>
        <v>30.899999999999991</v>
      </c>
      <c r="AL677" s="136">
        <f t="shared" si="468"/>
        <v>30.899999999999991</v>
      </c>
      <c r="AM677" s="136">
        <f t="shared" si="468"/>
        <v>30.899999999999991</v>
      </c>
      <c r="AN677" s="136">
        <f t="shared" si="468"/>
        <v>30.899999999999991</v>
      </c>
    </row>
    <row r="678" spans="1:40">
      <c r="B678" s="209" t="s">
        <v>1235</v>
      </c>
      <c r="C678" s="82" t="s">
        <v>900</v>
      </c>
      <c r="D678" s="20"/>
      <c r="E678" s="6"/>
      <c r="F678" s="6"/>
      <c r="G678" s="236"/>
      <c r="H678" s="236"/>
      <c r="I678" s="236"/>
      <c r="J678" s="236"/>
      <c r="K678" s="236"/>
      <c r="L678" s="135">
        <v>25.5</v>
      </c>
      <c r="M678" s="135">
        <v>36</v>
      </c>
      <c r="N678" s="135">
        <v>31.2</v>
      </c>
      <c r="O678" s="135">
        <v>38.9</v>
      </c>
      <c r="P678" s="135">
        <v>33.6</v>
      </c>
      <c r="Q678" s="135">
        <v>34.1</v>
      </c>
      <c r="R678" s="135">
        <v>31</v>
      </c>
      <c r="S678" s="135">
        <v>26.7</v>
      </c>
      <c r="T678" s="135">
        <v>23.7</v>
      </c>
      <c r="U678" s="135">
        <v>46.4</v>
      </c>
      <c r="V678" s="135">
        <v>44.4</v>
      </c>
      <c r="W678" s="256">
        <f t="shared" ref="W678:AK678" si="469">V678</f>
        <v>44.4</v>
      </c>
      <c r="X678" s="256">
        <f t="shared" si="469"/>
        <v>44.4</v>
      </c>
      <c r="Y678" s="256">
        <f t="shared" si="469"/>
        <v>44.4</v>
      </c>
      <c r="Z678" s="256">
        <f t="shared" si="469"/>
        <v>44.4</v>
      </c>
      <c r="AA678" s="256">
        <f t="shared" si="469"/>
        <v>44.4</v>
      </c>
      <c r="AB678" s="256">
        <f t="shared" si="469"/>
        <v>44.4</v>
      </c>
      <c r="AC678" s="256">
        <f t="shared" si="469"/>
        <v>44.4</v>
      </c>
      <c r="AD678" s="256">
        <f t="shared" si="469"/>
        <v>44.4</v>
      </c>
      <c r="AE678" s="256">
        <f t="shared" si="469"/>
        <v>44.4</v>
      </c>
      <c r="AF678" s="256">
        <f t="shared" si="469"/>
        <v>44.4</v>
      </c>
      <c r="AG678" s="256">
        <f t="shared" si="469"/>
        <v>44.4</v>
      </c>
      <c r="AH678" s="256">
        <f t="shared" si="469"/>
        <v>44.4</v>
      </c>
      <c r="AI678" s="256">
        <f t="shared" si="469"/>
        <v>44.4</v>
      </c>
      <c r="AJ678" s="256">
        <f t="shared" si="469"/>
        <v>44.4</v>
      </c>
      <c r="AK678" s="256">
        <f t="shared" si="469"/>
        <v>44.4</v>
      </c>
      <c r="AL678" s="256">
        <f t="shared" ref="AL678:AN679" si="470">AK678</f>
        <v>44.4</v>
      </c>
      <c r="AM678" s="256">
        <f t="shared" si="470"/>
        <v>44.4</v>
      </c>
      <c r="AN678" s="256">
        <f t="shared" si="470"/>
        <v>44.4</v>
      </c>
    </row>
    <row r="679" spans="1:40">
      <c r="B679" s="209" t="s">
        <v>3</v>
      </c>
      <c r="C679" s="82" t="s">
        <v>900</v>
      </c>
      <c r="D679" s="20"/>
      <c r="E679" s="6"/>
      <c r="F679" s="6"/>
      <c r="G679" s="236"/>
      <c r="H679" s="236"/>
      <c r="I679" s="236"/>
      <c r="J679" s="236"/>
      <c r="K679" s="236"/>
      <c r="L679" s="135">
        <f>19.2+128.7+88</f>
        <v>235.89999999999998</v>
      </c>
      <c r="M679" s="135">
        <v>18</v>
      </c>
      <c r="N679" s="135">
        <f>15.7+1.8</f>
        <v>17.5</v>
      </c>
      <c r="O679" s="135">
        <f>18.5+1.4</f>
        <v>19.899999999999999</v>
      </c>
      <c r="P679" s="135">
        <f>9.5+4.2</f>
        <v>13.7</v>
      </c>
      <c r="Q679" s="135">
        <f>9.3+0.6</f>
        <v>9.9</v>
      </c>
      <c r="R679" s="135">
        <f>10.8+0.8+11.4</f>
        <v>23</v>
      </c>
      <c r="S679" s="135">
        <f>7.9+20.5+5.9</f>
        <v>34.299999999999997</v>
      </c>
      <c r="T679" s="135">
        <f>8.5+0.5</f>
        <v>9</v>
      </c>
      <c r="U679" s="135">
        <f>7.4+4.7</f>
        <v>12.100000000000001</v>
      </c>
      <c r="V679" s="135">
        <v>8.3000000000000007</v>
      </c>
      <c r="W679" s="256">
        <f t="shared" ref="W679:AK679" si="471">V679</f>
        <v>8.3000000000000007</v>
      </c>
      <c r="X679" s="256">
        <f t="shared" si="471"/>
        <v>8.3000000000000007</v>
      </c>
      <c r="Y679" s="256">
        <f t="shared" si="471"/>
        <v>8.3000000000000007</v>
      </c>
      <c r="Z679" s="256">
        <f t="shared" si="471"/>
        <v>8.3000000000000007</v>
      </c>
      <c r="AA679" s="256">
        <f t="shared" si="471"/>
        <v>8.3000000000000007</v>
      </c>
      <c r="AB679" s="256">
        <f t="shared" si="471"/>
        <v>8.3000000000000007</v>
      </c>
      <c r="AC679" s="256">
        <f t="shared" si="471"/>
        <v>8.3000000000000007</v>
      </c>
      <c r="AD679" s="256">
        <f t="shared" si="471"/>
        <v>8.3000000000000007</v>
      </c>
      <c r="AE679" s="256">
        <f t="shared" si="471"/>
        <v>8.3000000000000007</v>
      </c>
      <c r="AF679" s="256">
        <f t="shared" si="471"/>
        <v>8.3000000000000007</v>
      </c>
      <c r="AG679" s="256">
        <f t="shared" si="471"/>
        <v>8.3000000000000007</v>
      </c>
      <c r="AH679" s="256">
        <f t="shared" si="471"/>
        <v>8.3000000000000007</v>
      </c>
      <c r="AI679" s="256">
        <f t="shared" si="471"/>
        <v>8.3000000000000007</v>
      </c>
      <c r="AJ679" s="256">
        <f t="shared" si="471"/>
        <v>8.3000000000000007</v>
      </c>
      <c r="AK679" s="256">
        <f t="shared" si="471"/>
        <v>8.3000000000000007</v>
      </c>
      <c r="AL679" s="256">
        <f t="shared" si="470"/>
        <v>8.3000000000000007</v>
      </c>
      <c r="AM679" s="256">
        <f t="shared" si="470"/>
        <v>8.3000000000000007</v>
      </c>
      <c r="AN679" s="256">
        <f t="shared" si="470"/>
        <v>8.3000000000000007</v>
      </c>
    </row>
    <row r="680" spans="1:40">
      <c r="B680" s="224" t="s">
        <v>991</v>
      </c>
      <c r="C680" s="166"/>
      <c r="D680" s="22"/>
      <c r="E680" s="5"/>
      <c r="F680" s="5"/>
      <c r="G680" s="221"/>
      <c r="H680" s="221"/>
      <c r="I680" s="221"/>
      <c r="J680" s="221"/>
      <c r="K680" s="221"/>
      <c r="L680" s="500" t="s">
        <v>991</v>
      </c>
      <c r="M680" s="500" t="s">
        <v>991</v>
      </c>
      <c r="N680" s="500" t="s">
        <v>991</v>
      </c>
      <c r="O680" s="500" t="s">
        <v>991</v>
      </c>
      <c r="P680" s="500" t="s">
        <v>991</v>
      </c>
      <c r="Q680" s="500" t="s">
        <v>991</v>
      </c>
      <c r="R680" s="500" t="s">
        <v>991</v>
      </c>
      <c r="S680" s="500" t="s">
        <v>991</v>
      </c>
      <c r="T680" s="500" t="s">
        <v>991</v>
      </c>
      <c r="U680" s="500" t="s">
        <v>991</v>
      </c>
      <c r="V680" s="500" t="s">
        <v>991</v>
      </c>
      <c r="W680" s="500" t="s">
        <v>991</v>
      </c>
      <c r="X680" s="500" t="s">
        <v>991</v>
      </c>
      <c r="Y680" s="500" t="s">
        <v>991</v>
      </c>
      <c r="Z680" s="500" t="s">
        <v>991</v>
      </c>
      <c r="AA680" s="500" t="s">
        <v>991</v>
      </c>
      <c r="AB680" s="500" t="s">
        <v>991</v>
      </c>
      <c r="AC680" s="500" t="s">
        <v>991</v>
      </c>
      <c r="AD680" s="500" t="s">
        <v>991</v>
      </c>
      <c r="AE680" s="500" t="s">
        <v>991</v>
      </c>
      <c r="AF680" s="500" t="s">
        <v>991</v>
      </c>
      <c r="AG680" s="500" t="s">
        <v>991</v>
      </c>
      <c r="AH680" s="500" t="s">
        <v>991</v>
      </c>
      <c r="AI680" s="500" t="s">
        <v>991</v>
      </c>
      <c r="AJ680" s="500" t="s">
        <v>991</v>
      </c>
      <c r="AK680" s="500" t="s">
        <v>991</v>
      </c>
      <c r="AL680" s="500" t="s">
        <v>991</v>
      </c>
      <c r="AM680" s="500" t="s">
        <v>991</v>
      </c>
      <c r="AN680" s="500" t="s">
        <v>991</v>
      </c>
    </row>
    <row r="681" spans="1:40">
      <c r="B681" s="225" t="s">
        <v>36</v>
      </c>
      <c r="C681" s="82" t="s">
        <v>900</v>
      </c>
      <c r="D681" s="20"/>
      <c r="E681" s="2"/>
      <c r="F681" s="2"/>
      <c r="G681" s="235"/>
      <c r="H681" s="235"/>
      <c r="I681" s="235"/>
      <c r="J681" s="235"/>
      <c r="K681" s="235"/>
      <c r="L681" s="499">
        <f t="shared" ref="L681:AL681" si="472">SUM(L672:L680)</f>
        <v>10969.6</v>
      </c>
      <c r="M681" s="499">
        <f t="shared" si="472"/>
        <v>3725</v>
      </c>
      <c r="N681" s="499">
        <f t="shared" si="472"/>
        <v>3617.3</v>
      </c>
      <c r="O681" s="499">
        <f t="shared" si="472"/>
        <v>3590.8</v>
      </c>
      <c r="P681" s="499">
        <f t="shared" si="472"/>
        <v>3500.5999999999995</v>
      </c>
      <c r="Q681" s="499">
        <f t="shared" ref="Q681:V681" si="473">SUM(Q672:Q680)</f>
        <v>2616.1000000000004</v>
      </c>
      <c r="R681" s="499">
        <f t="shared" si="473"/>
        <v>2814.2</v>
      </c>
      <c r="S681" s="499">
        <f t="shared" si="473"/>
        <v>2821.2000000000003</v>
      </c>
      <c r="T681" s="499">
        <f t="shared" si="473"/>
        <v>2756.6</v>
      </c>
      <c r="U681" s="499">
        <f t="shared" si="473"/>
        <v>2738.5</v>
      </c>
      <c r="V681" s="499">
        <f t="shared" si="473"/>
        <v>2720.7000000000003</v>
      </c>
      <c r="W681" s="499">
        <f t="shared" si="472"/>
        <v>2686.5000000000005</v>
      </c>
      <c r="X681" s="499">
        <f t="shared" si="472"/>
        <v>2935.3000000000006</v>
      </c>
      <c r="Y681" s="499">
        <f t="shared" si="472"/>
        <v>2898.6000000000008</v>
      </c>
      <c r="Z681" s="499">
        <f t="shared" si="472"/>
        <v>2861.900000000001</v>
      </c>
      <c r="AA681" s="499">
        <f t="shared" si="472"/>
        <v>2814.3677201857085</v>
      </c>
      <c r="AB681" s="499">
        <f t="shared" si="472"/>
        <v>2766.2143264372371</v>
      </c>
      <c r="AC681" s="499">
        <f t="shared" si="472"/>
        <v>2723.9961515277987</v>
      </c>
      <c r="AD681" s="499">
        <f t="shared" si="472"/>
        <v>2680.4071175206609</v>
      </c>
      <c r="AE681" s="499">
        <f t="shared" si="472"/>
        <v>2643.1289651251182</v>
      </c>
      <c r="AF681" s="499">
        <f t="shared" si="472"/>
        <v>2603.7484469947067</v>
      </c>
      <c r="AG681" s="499">
        <f t="shared" si="472"/>
        <v>2570.11969083439</v>
      </c>
      <c r="AH681" s="499">
        <f t="shared" si="472"/>
        <v>2533.8440699545649</v>
      </c>
      <c r="AI681" s="499">
        <f t="shared" si="472"/>
        <v>2502.9243693003641</v>
      </c>
      <c r="AJ681" s="499">
        <f t="shared" si="472"/>
        <v>2468.9491739171904</v>
      </c>
      <c r="AK681" s="499">
        <f t="shared" si="472"/>
        <v>2440.0537537728328</v>
      </c>
      <c r="AL681" s="499">
        <f t="shared" si="472"/>
        <v>2407.7927674876901</v>
      </c>
      <c r="AM681" s="499">
        <f>SUM(AM672:AM680)</f>
        <v>2378.0927674876903</v>
      </c>
      <c r="AN681" s="499">
        <f>SUM(AN672:AN680)</f>
        <v>2348.3927674876904</v>
      </c>
    </row>
    <row r="682" spans="1:40" s="3" customFormat="1">
      <c r="B682" s="189" t="s">
        <v>37</v>
      </c>
      <c r="C682" s="163"/>
      <c r="D682" s="21"/>
      <c r="E682" s="4"/>
      <c r="F682" s="4"/>
      <c r="G682" s="235"/>
      <c r="H682" s="235"/>
      <c r="I682" s="235"/>
      <c r="J682" s="235"/>
      <c r="K682" s="235"/>
      <c r="L682" s="499">
        <f t="shared" ref="L682:AL682" si="474">L681+L670</f>
        <v>11867.800000000001</v>
      </c>
      <c r="M682" s="499">
        <f t="shared" si="474"/>
        <v>4090</v>
      </c>
      <c r="N682" s="499">
        <f t="shared" si="474"/>
        <v>4048.7000000000003</v>
      </c>
      <c r="O682" s="499">
        <f t="shared" si="474"/>
        <v>4202.1000000000004</v>
      </c>
      <c r="P682" s="499">
        <f t="shared" si="474"/>
        <v>4052.3999999999996</v>
      </c>
      <c r="Q682" s="499">
        <f t="shared" ref="Q682:V682" si="475">Q681+Q670</f>
        <v>3207.5000000000005</v>
      </c>
      <c r="R682" s="499">
        <f t="shared" si="475"/>
        <v>3385.2999999999997</v>
      </c>
      <c r="S682" s="499">
        <f t="shared" si="475"/>
        <v>3307.0000000000005</v>
      </c>
      <c r="T682" s="499">
        <f t="shared" si="475"/>
        <v>3140.2</v>
      </c>
      <c r="U682" s="499">
        <f t="shared" si="475"/>
        <v>3138.4</v>
      </c>
      <c r="V682" s="499">
        <f t="shared" si="475"/>
        <v>3197.7000000000003</v>
      </c>
      <c r="W682" s="499">
        <f t="shared" si="474"/>
        <v>3242.2316972605022</v>
      </c>
      <c r="X682" s="499">
        <f t="shared" si="474"/>
        <v>3380.157855708459</v>
      </c>
      <c r="Y682" s="499">
        <f t="shared" si="474"/>
        <v>3424.4498360743964</v>
      </c>
      <c r="Z682" s="499">
        <f t="shared" si="474"/>
        <v>3393.2297201422234</v>
      </c>
      <c r="AA682" s="499">
        <f t="shared" si="474"/>
        <v>3429.3526032490977</v>
      </c>
      <c r="AB682" s="499">
        <f t="shared" si="474"/>
        <v>3405.2278148173173</v>
      </c>
      <c r="AC682" s="499">
        <f t="shared" si="474"/>
        <v>3463.2999669846367</v>
      </c>
      <c r="AD682" s="499">
        <f t="shared" si="474"/>
        <v>3451.1160854804193</v>
      </c>
      <c r="AE682" s="499">
        <f t="shared" si="474"/>
        <v>3508.1301617744762</v>
      </c>
      <c r="AF682" s="499">
        <f t="shared" si="474"/>
        <v>3498.9284205047925</v>
      </c>
      <c r="AG682" s="499">
        <f t="shared" si="474"/>
        <v>3606.0506444641651</v>
      </c>
      <c r="AH682" s="499">
        <f t="shared" si="474"/>
        <v>3633.7965133387679</v>
      </c>
      <c r="AI682" s="499">
        <f t="shared" si="474"/>
        <v>3749.8752338091103</v>
      </c>
      <c r="AJ682" s="499">
        <f t="shared" si="474"/>
        <v>3785.8968778469862</v>
      </c>
      <c r="AK682" s="499">
        <f t="shared" si="474"/>
        <v>3916.0163510064376</v>
      </c>
      <c r="AL682" s="499">
        <f t="shared" si="474"/>
        <v>3969.8955030947809</v>
      </c>
      <c r="AM682" s="499">
        <f>AM681+AM670</f>
        <v>4105.9561633910507</v>
      </c>
      <c r="AN682" s="499">
        <f>AN681+AN670</f>
        <v>4166.469812616313</v>
      </c>
    </row>
    <row r="683" spans="1:40" s="3" customFormat="1">
      <c r="B683" s="189"/>
      <c r="C683" s="163"/>
      <c r="D683" s="21"/>
      <c r="E683" s="4"/>
      <c r="F683" s="4"/>
      <c r="G683" s="235"/>
      <c r="H683" s="235"/>
      <c r="I683" s="235"/>
      <c r="J683" s="235"/>
      <c r="K683" s="235"/>
      <c r="L683" s="499"/>
      <c r="M683" s="499"/>
      <c r="N683" s="499"/>
      <c r="O683" s="499"/>
      <c r="P683" s="499"/>
      <c r="Q683" s="499"/>
      <c r="R683" s="499"/>
      <c r="S683" s="499"/>
      <c r="T683" s="499"/>
      <c r="U683" s="499"/>
      <c r="V683" s="499"/>
      <c r="W683" s="499"/>
      <c r="X683" s="499"/>
      <c r="Y683" s="499"/>
      <c r="Z683" s="499"/>
      <c r="AA683" s="499"/>
      <c r="AB683" s="499"/>
      <c r="AC683" s="499"/>
      <c r="AD683" s="499"/>
      <c r="AE683" s="499"/>
      <c r="AF683" s="499"/>
      <c r="AG683" s="499"/>
      <c r="AH683" s="499"/>
      <c r="AI683" s="499"/>
      <c r="AJ683" s="499"/>
      <c r="AK683" s="499"/>
      <c r="AL683" s="499"/>
      <c r="AM683" s="499"/>
      <c r="AN683" s="499"/>
    </row>
    <row r="684" spans="1:40">
      <c r="A684" s="3"/>
      <c r="B684" s="192" t="s">
        <v>38</v>
      </c>
      <c r="C684" s="82" t="s">
        <v>900</v>
      </c>
      <c r="D684" s="20"/>
      <c r="E684" s="2"/>
      <c r="F684" s="2"/>
      <c r="G684" s="7"/>
      <c r="H684" s="7"/>
      <c r="I684" s="7"/>
      <c r="J684" s="7"/>
      <c r="K684" s="7"/>
      <c r="L684" s="132">
        <f t="shared" ref="L684:AL684" si="476">-MIN(0,L658)</f>
        <v>0</v>
      </c>
      <c r="M684" s="132">
        <f t="shared" si="476"/>
        <v>0</v>
      </c>
      <c r="N684" s="132">
        <f t="shared" si="476"/>
        <v>0</v>
      </c>
      <c r="O684" s="132">
        <f t="shared" si="476"/>
        <v>0</v>
      </c>
      <c r="P684" s="132">
        <f t="shared" si="476"/>
        <v>0</v>
      </c>
      <c r="Q684" s="132">
        <f t="shared" ref="Q684:V684" si="477">-MIN(0,Q658)</f>
        <v>0</v>
      </c>
      <c r="R684" s="132">
        <f t="shared" si="477"/>
        <v>0</v>
      </c>
      <c r="S684" s="132">
        <f t="shared" si="477"/>
        <v>0</v>
      </c>
      <c r="T684" s="132">
        <f t="shared" si="477"/>
        <v>0</v>
      </c>
      <c r="U684" s="132">
        <f t="shared" si="477"/>
        <v>0</v>
      </c>
      <c r="V684" s="132">
        <f t="shared" si="477"/>
        <v>0</v>
      </c>
      <c r="W684" s="132">
        <f t="shared" si="476"/>
        <v>0</v>
      </c>
      <c r="X684" s="132">
        <f t="shared" si="476"/>
        <v>0</v>
      </c>
      <c r="Y684" s="132">
        <f t="shared" si="476"/>
        <v>0</v>
      </c>
      <c r="Z684" s="132">
        <f t="shared" si="476"/>
        <v>0</v>
      </c>
      <c r="AA684" s="132">
        <f t="shared" si="476"/>
        <v>0</v>
      </c>
      <c r="AB684" s="132">
        <f t="shared" si="476"/>
        <v>0</v>
      </c>
      <c r="AC684" s="132">
        <f t="shared" si="476"/>
        <v>0</v>
      </c>
      <c r="AD684" s="132">
        <f t="shared" si="476"/>
        <v>0</v>
      </c>
      <c r="AE684" s="132">
        <f t="shared" si="476"/>
        <v>0</v>
      </c>
      <c r="AF684" s="132">
        <f t="shared" si="476"/>
        <v>0</v>
      </c>
      <c r="AG684" s="132">
        <f t="shared" si="476"/>
        <v>0</v>
      </c>
      <c r="AH684" s="132">
        <f t="shared" si="476"/>
        <v>0</v>
      </c>
      <c r="AI684" s="132">
        <f t="shared" si="476"/>
        <v>0</v>
      </c>
      <c r="AJ684" s="132">
        <f t="shared" si="476"/>
        <v>0</v>
      </c>
      <c r="AK684" s="132">
        <f t="shared" si="476"/>
        <v>0</v>
      </c>
      <c r="AL684" s="132">
        <f t="shared" si="476"/>
        <v>0</v>
      </c>
      <c r="AM684" s="132">
        <f>-MIN(0,AM658)</f>
        <v>0</v>
      </c>
      <c r="AN684" s="132">
        <f>-MIN(0,AN658)</f>
        <v>0</v>
      </c>
    </row>
    <row r="685" spans="1:40">
      <c r="B685" s="192" t="s">
        <v>39</v>
      </c>
      <c r="C685" s="82" t="s">
        <v>900</v>
      </c>
      <c r="D685" s="20"/>
      <c r="E685" s="2"/>
      <c r="F685" s="2"/>
      <c r="G685" s="7"/>
      <c r="H685" s="7"/>
      <c r="I685" s="7"/>
      <c r="J685" s="7"/>
      <c r="K685" s="7"/>
      <c r="L685" s="132">
        <f t="shared" ref="L685:AN685" si="478">L514</f>
        <v>1236.5999999999999</v>
      </c>
      <c r="M685" s="132">
        <f t="shared" si="478"/>
        <v>540</v>
      </c>
      <c r="N685" s="132">
        <f t="shared" si="478"/>
        <v>598.5</v>
      </c>
      <c r="O685" s="132">
        <f t="shared" si="478"/>
        <v>560.9</v>
      </c>
      <c r="P685" s="132">
        <f t="shared" si="478"/>
        <v>571</v>
      </c>
      <c r="Q685" s="132">
        <f t="shared" si="478"/>
        <v>528</v>
      </c>
      <c r="R685" s="132">
        <f t="shared" si="478"/>
        <v>554.9</v>
      </c>
      <c r="S685" s="132">
        <f t="shared" si="478"/>
        <v>570.4</v>
      </c>
      <c r="T685" s="132">
        <f t="shared" si="478"/>
        <v>564.29999999999995</v>
      </c>
      <c r="U685" s="132">
        <f t="shared" si="478"/>
        <v>563.4</v>
      </c>
      <c r="V685" s="132">
        <f t="shared" ref="V685" si="479">V514</f>
        <v>590.70000000000005</v>
      </c>
      <c r="W685" s="132">
        <f t="shared" si="478"/>
        <v>633.10667509140853</v>
      </c>
      <c r="X685" s="132">
        <f t="shared" si="478"/>
        <v>611.81079168602139</v>
      </c>
      <c r="Y685" s="132">
        <f t="shared" si="478"/>
        <v>647.48578603827968</v>
      </c>
      <c r="Z685" s="132">
        <f t="shared" si="478"/>
        <v>618.15822238506735</v>
      </c>
      <c r="AA685" s="132">
        <f t="shared" si="478"/>
        <v>649.42866448520726</v>
      </c>
      <c r="AB685" s="132">
        <f t="shared" si="478"/>
        <v>624.97326554285701</v>
      </c>
      <c r="AC685" s="132">
        <f t="shared" si="478"/>
        <v>663.82349901496252</v>
      </c>
      <c r="AD685" s="132">
        <f t="shared" si="478"/>
        <v>639.01590775753152</v>
      </c>
      <c r="AE685" s="132">
        <f t="shared" si="478"/>
        <v>673.53737879509731</v>
      </c>
      <c r="AF685" s="132">
        <f t="shared" si="478"/>
        <v>648.75740451254774</v>
      </c>
      <c r="AG685" s="132">
        <f t="shared" si="478"/>
        <v>683.64392845458451</v>
      </c>
      <c r="AH685" s="132">
        <f t="shared" si="478"/>
        <v>655.26442326669121</v>
      </c>
      <c r="AI685" s="132">
        <f t="shared" si="478"/>
        <v>694.153915554945</v>
      </c>
      <c r="AJ685" s="132">
        <f t="shared" si="478"/>
        <v>669.40833811485732</v>
      </c>
      <c r="AK685" s="132">
        <f t="shared" si="478"/>
        <v>705.07844080989457</v>
      </c>
      <c r="AL685" s="132">
        <f t="shared" si="478"/>
        <v>680.33937904364768</v>
      </c>
      <c r="AM685" s="132">
        <f t="shared" si="478"/>
        <v>716.42894797865506</v>
      </c>
      <c r="AN685" s="132">
        <f t="shared" si="478"/>
        <v>691.68909601656071</v>
      </c>
    </row>
    <row r="686" spans="1:40">
      <c r="B686" s="192" t="s">
        <v>1055</v>
      </c>
      <c r="C686" s="82" t="s">
        <v>900</v>
      </c>
      <c r="D686" s="20"/>
      <c r="E686" s="2"/>
      <c r="F686" s="2"/>
      <c r="G686" s="7"/>
      <c r="H686" s="7"/>
      <c r="I686" s="7"/>
      <c r="J686" s="7"/>
      <c r="K686" s="7"/>
      <c r="L686" s="132">
        <f t="shared" ref="L686:AN686" si="480">L482</f>
        <v>54.9</v>
      </c>
      <c r="M686" s="132">
        <f t="shared" si="480"/>
        <v>32</v>
      </c>
      <c r="N686" s="132">
        <f t="shared" si="480"/>
        <v>8.5</v>
      </c>
      <c r="O686" s="132">
        <f t="shared" si="480"/>
        <v>0</v>
      </c>
      <c r="P686" s="132">
        <f t="shared" si="480"/>
        <v>0</v>
      </c>
      <c r="Q686" s="132">
        <f t="shared" si="480"/>
        <v>0</v>
      </c>
      <c r="R686" s="132">
        <f t="shared" si="480"/>
        <v>0</v>
      </c>
      <c r="S686" s="132">
        <f t="shared" si="480"/>
        <v>0</v>
      </c>
      <c r="T686" s="132">
        <f t="shared" si="480"/>
        <v>12.1</v>
      </c>
      <c r="U686" s="132">
        <f t="shared" si="480"/>
        <v>18.3</v>
      </c>
      <c r="V686" s="132">
        <f t="shared" si="480"/>
        <v>24</v>
      </c>
      <c r="W686" s="132">
        <f t="shared" si="480"/>
        <v>24</v>
      </c>
      <c r="X686" s="132">
        <f t="shared" si="480"/>
        <v>24</v>
      </c>
      <c r="Y686" s="132">
        <f t="shared" si="480"/>
        <v>24</v>
      </c>
      <c r="Z686" s="132">
        <f t="shared" si="480"/>
        <v>24</v>
      </c>
      <c r="AA686" s="132">
        <f t="shared" si="480"/>
        <v>24</v>
      </c>
      <c r="AB686" s="132">
        <f t="shared" si="480"/>
        <v>24</v>
      </c>
      <c r="AC686" s="132">
        <f t="shared" si="480"/>
        <v>24</v>
      </c>
      <c r="AD686" s="132">
        <f t="shared" si="480"/>
        <v>24</v>
      </c>
      <c r="AE686" s="132">
        <f t="shared" si="480"/>
        <v>24</v>
      </c>
      <c r="AF686" s="132">
        <f t="shared" si="480"/>
        <v>24</v>
      </c>
      <c r="AG686" s="132">
        <f t="shared" si="480"/>
        <v>24</v>
      </c>
      <c r="AH686" s="132">
        <f t="shared" si="480"/>
        <v>24</v>
      </c>
      <c r="AI686" s="132">
        <f t="shared" si="480"/>
        <v>24</v>
      </c>
      <c r="AJ686" s="132">
        <f t="shared" si="480"/>
        <v>24</v>
      </c>
      <c r="AK686" s="132">
        <f t="shared" si="480"/>
        <v>24</v>
      </c>
      <c r="AL686" s="132">
        <f t="shared" si="480"/>
        <v>24</v>
      </c>
      <c r="AM686" s="132">
        <f t="shared" si="480"/>
        <v>24</v>
      </c>
      <c r="AN686" s="132">
        <f t="shared" si="480"/>
        <v>24</v>
      </c>
    </row>
    <row r="687" spans="1:40">
      <c r="B687" s="192" t="s">
        <v>1236</v>
      </c>
      <c r="C687" s="82" t="s">
        <v>900</v>
      </c>
      <c r="D687" s="20"/>
      <c r="E687" s="6"/>
      <c r="F687" s="6"/>
      <c r="G687" s="236"/>
      <c r="H687" s="236"/>
      <c r="I687" s="236"/>
      <c r="J687" s="236"/>
      <c r="K687" s="236"/>
      <c r="L687" s="135">
        <v>60.5</v>
      </c>
      <c r="M687" s="135">
        <v>41</v>
      </c>
      <c r="N687" s="135">
        <v>200</v>
      </c>
      <c r="O687" s="135">
        <v>45.7</v>
      </c>
      <c r="P687" s="135">
        <v>40</v>
      </c>
      <c r="Q687" s="135">
        <v>49.4</v>
      </c>
      <c r="R687" s="135">
        <v>58.7</v>
      </c>
      <c r="S687" s="135">
        <v>53.2</v>
      </c>
      <c r="T687" s="135">
        <v>56.6</v>
      </c>
      <c r="U687" s="135">
        <v>59.8</v>
      </c>
      <c r="V687" s="135">
        <v>57</v>
      </c>
      <c r="W687" s="256">
        <f t="shared" ref="W687:AK687" si="481">V687</f>
        <v>57</v>
      </c>
      <c r="X687" s="256">
        <f t="shared" si="481"/>
        <v>57</v>
      </c>
      <c r="Y687" s="256">
        <f t="shared" si="481"/>
        <v>57</v>
      </c>
      <c r="Z687" s="256">
        <f t="shared" si="481"/>
        <v>57</v>
      </c>
      <c r="AA687" s="256">
        <f t="shared" si="481"/>
        <v>57</v>
      </c>
      <c r="AB687" s="256">
        <f t="shared" si="481"/>
        <v>57</v>
      </c>
      <c r="AC687" s="256">
        <f t="shared" si="481"/>
        <v>57</v>
      </c>
      <c r="AD687" s="256">
        <f t="shared" si="481"/>
        <v>57</v>
      </c>
      <c r="AE687" s="256">
        <f t="shared" si="481"/>
        <v>57</v>
      </c>
      <c r="AF687" s="256">
        <f t="shared" si="481"/>
        <v>57</v>
      </c>
      <c r="AG687" s="256">
        <f t="shared" si="481"/>
        <v>57</v>
      </c>
      <c r="AH687" s="256">
        <f t="shared" si="481"/>
        <v>57</v>
      </c>
      <c r="AI687" s="256">
        <f t="shared" si="481"/>
        <v>57</v>
      </c>
      <c r="AJ687" s="256">
        <f t="shared" si="481"/>
        <v>57</v>
      </c>
      <c r="AK687" s="256">
        <f t="shared" si="481"/>
        <v>57</v>
      </c>
      <c r="AL687" s="256">
        <f t="shared" ref="AL687:AN689" si="482">AK687</f>
        <v>57</v>
      </c>
      <c r="AM687" s="256">
        <f t="shared" si="482"/>
        <v>57</v>
      </c>
      <c r="AN687" s="256">
        <f t="shared" si="482"/>
        <v>57</v>
      </c>
    </row>
    <row r="688" spans="1:40">
      <c r="B688" s="192" t="s">
        <v>1237</v>
      </c>
      <c r="C688" s="82" t="s">
        <v>900</v>
      </c>
      <c r="D688" s="20"/>
      <c r="E688" s="6"/>
      <c r="F688" s="6"/>
      <c r="G688" s="236"/>
      <c r="H688" s="236"/>
      <c r="I688" s="236"/>
      <c r="J688" s="236"/>
      <c r="K688" s="236"/>
      <c r="L688" s="135">
        <v>0</v>
      </c>
      <c r="M688" s="135">
        <v>0</v>
      </c>
      <c r="N688" s="135">
        <v>0</v>
      </c>
      <c r="O688" s="135">
        <v>4.4000000000000004</v>
      </c>
      <c r="P688" s="135">
        <v>1.9</v>
      </c>
      <c r="Q688" s="135">
        <v>0</v>
      </c>
      <c r="R688" s="135">
        <v>0</v>
      </c>
      <c r="S688" s="135">
        <v>0</v>
      </c>
      <c r="T688" s="135">
        <v>0</v>
      </c>
      <c r="U688" s="135">
        <v>0</v>
      </c>
      <c r="V688" s="135">
        <v>0</v>
      </c>
      <c r="W688" s="256">
        <f t="shared" ref="W688:AK688" si="483">V688</f>
        <v>0</v>
      </c>
      <c r="X688" s="256">
        <f t="shared" si="483"/>
        <v>0</v>
      </c>
      <c r="Y688" s="256">
        <f t="shared" si="483"/>
        <v>0</v>
      </c>
      <c r="Z688" s="256">
        <f t="shared" si="483"/>
        <v>0</v>
      </c>
      <c r="AA688" s="256">
        <f t="shared" si="483"/>
        <v>0</v>
      </c>
      <c r="AB688" s="256">
        <f t="shared" si="483"/>
        <v>0</v>
      </c>
      <c r="AC688" s="256">
        <f t="shared" si="483"/>
        <v>0</v>
      </c>
      <c r="AD688" s="256">
        <f t="shared" si="483"/>
        <v>0</v>
      </c>
      <c r="AE688" s="256">
        <f t="shared" si="483"/>
        <v>0</v>
      </c>
      <c r="AF688" s="256">
        <f t="shared" si="483"/>
        <v>0</v>
      </c>
      <c r="AG688" s="256">
        <f t="shared" si="483"/>
        <v>0</v>
      </c>
      <c r="AH688" s="256">
        <f t="shared" si="483"/>
        <v>0</v>
      </c>
      <c r="AI688" s="256">
        <f t="shared" si="483"/>
        <v>0</v>
      </c>
      <c r="AJ688" s="256">
        <f t="shared" si="483"/>
        <v>0</v>
      </c>
      <c r="AK688" s="256">
        <f t="shared" si="483"/>
        <v>0</v>
      </c>
      <c r="AL688" s="256">
        <f t="shared" si="482"/>
        <v>0</v>
      </c>
      <c r="AM688" s="256">
        <f t="shared" si="482"/>
        <v>0</v>
      </c>
      <c r="AN688" s="256">
        <f t="shared" si="482"/>
        <v>0</v>
      </c>
    </row>
    <row r="689" spans="1:40">
      <c r="B689" s="192" t="s">
        <v>3</v>
      </c>
      <c r="C689" s="82" t="s">
        <v>900</v>
      </c>
      <c r="D689" s="20"/>
      <c r="E689" s="6"/>
      <c r="F689" s="6"/>
      <c r="G689" s="236"/>
      <c r="H689" s="236"/>
      <c r="I689" s="236"/>
      <c r="J689" s="236"/>
      <c r="K689" s="236"/>
      <c r="L689" s="135">
        <v>140.19999999999999</v>
      </c>
      <c r="M689" s="135">
        <v>14</v>
      </c>
      <c r="N689" s="135">
        <v>14.7</v>
      </c>
      <c r="O689" s="135">
        <v>10</v>
      </c>
      <c r="P689" s="135">
        <v>17.2</v>
      </c>
      <c r="Q689" s="135">
        <f>14.9+4.5</f>
        <v>19.399999999999999</v>
      </c>
      <c r="R689" s="135">
        <f>18+3.6</f>
        <v>21.6</v>
      </c>
      <c r="S689" s="135">
        <f>10.6+2.5</f>
        <v>13.1</v>
      </c>
      <c r="T689" s="135">
        <f>18.3+3.7+38.1</f>
        <v>60.1</v>
      </c>
      <c r="U689" s="135">
        <f>12.3+4.4+36.7</f>
        <v>53.400000000000006</v>
      </c>
      <c r="V689" s="135">
        <f>30+4.8+38.7</f>
        <v>73.5</v>
      </c>
      <c r="W689" s="256">
        <f t="shared" ref="W689:AK689" si="484">V689</f>
        <v>73.5</v>
      </c>
      <c r="X689" s="256">
        <f t="shared" si="484"/>
        <v>73.5</v>
      </c>
      <c r="Y689" s="256">
        <f t="shared" si="484"/>
        <v>73.5</v>
      </c>
      <c r="Z689" s="256">
        <f t="shared" si="484"/>
        <v>73.5</v>
      </c>
      <c r="AA689" s="256">
        <f t="shared" si="484"/>
        <v>73.5</v>
      </c>
      <c r="AB689" s="256">
        <f t="shared" si="484"/>
        <v>73.5</v>
      </c>
      <c r="AC689" s="256">
        <f t="shared" si="484"/>
        <v>73.5</v>
      </c>
      <c r="AD689" s="256">
        <f t="shared" si="484"/>
        <v>73.5</v>
      </c>
      <c r="AE689" s="256">
        <f t="shared" si="484"/>
        <v>73.5</v>
      </c>
      <c r="AF689" s="256">
        <f t="shared" si="484"/>
        <v>73.5</v>
      </c>
      <c r="AG689" s="256">
        <f t="shared" si="484"/>
        <v>73.5</v>
      </c>
      <c r="AH689" s="256">
        <f t="shared" si="484"/>
        <v>73.5</v>
      </c>
      <c r="AI689" s="256">
        <f t="shared" si="484"/>
        <v>73.5</v>
      </c>
      <c r="AJ689" s="256">
        <f t="shared" si="484"/>
        <v>73.5</v>
      </c>
      <c r="AK689" s="256">
        <f t="shared" si="484"/>
        <v>73.5</v>
      </c>
      <c r="AL689" s="256">
        <f t="shared" si="482"/>
        <v>73.5</v>
      </c>
      <c r="AM689" s="256">
        <f t="shared" si="482"/>
        <v>73.5</v>
      </c>
      <c r="AN689" s="256">
        <f t="shared" si="482"/>
        <v>73.5</v>
      </c>
    </row>
    <row r="690" spans="1:40">
      <c r="B690" s="224" t="s">
        <v>991</v>
      </c>
      <c r="C690" s="166"/>
      <c r="D690" s="22"/>
      <c r="E690" s="5"/>
      <c r="F690" s="5"/>
      <c r="G690" s="221"/>
      <c r="H690" s="221"/>
      <c r="I690" s="221"/>
      <c r="J690" s="221"/>
      <c r="K690" s="221"/>
      <c r="L690" s="500" t="s">
        <v>991</v>
      </c>
      <c r="M690" s="500" t="s">
        <v>991</v>
      </c>
      <c r="N690" s="500" t="s">
        <v>991</v>
      </c>
      <c r="O690" s="500" t="s">
        <v>991</v>
      </c>
      <c r="P690" s="500" t="s">
        <v>991</v>
      </c>
      <c r="Q690" s="500" t="s">
        <v>991</v>
      </c>
      <c r="R690" s="500" t="s">
        <v>991</v>
      </c>
      <c r="S690" s="500" t="s">
        <v>991</v>
      </c>
      <c r="T690" s="500" t="s">
        <v>991</v>
      </c>
      <c r="U690" s="500" t="s">
        <v>991</v>
      </c>
      <c r="V690" s="500" t="s">
        <v>991</v>
      </c>
      <c r="W690" s="500" t="s">
        <v>991</v>
      </c>
      <c r="X690" s="500" t="s">
        <v>991</v>
      </c>
      <c r="Y690" s="500" t="s">
        <v>991</v>
      </c>
      <c r="Z690" s="500" t="s">
        <v>991</v>
      </c>
      <c r="AA690" s="500" t="s">
        <v>991</v>
      </c>
      <c r="AB690" s="500" t="s">
        <v>991</v>
      </c>
      <c r="AC690" s="500" t="s">
        <v>991</v>
      </c>
      <c r="AD690" s="500" t="s">
        <v>991</v>
      </c>
      <c r="AE690" s="500" t="s">
        <v>991</v>
      </c>
      <c r="AF690" s="500" t="s">
        <v>991</v>
      </c>
      <c r="AG690" s="500" t="s">
        <v>991</v>
      </c>
      <c r="AH690" s="500" t="s">
        <v>991</v>
      </c>
      <c r="AI690" s="500" t="s">
        <v>991</v>
      </c>
      <c r="AJ690" s="500" t="s">
        <v>991</v>
      </c>
      <c r="AK690" s="500" t="s">
        <v>991</v>
      </c>
      <c r="AL690" s="500" t="s">
        <v>991</v>
      </c>
      <c r="AM690" s="500" t="s">
        <v>991</v>
      </c>
      <c r="AN690" s="500" t="s">
        <v>991</v>
      </c>
    </row>
    <row r="691" spans="1:40" s="3" customFormat="1">
      <c r="B691" s="189" t="s">
        <v>41</v>
      </c>
      <c r="C691" s="82" t="s">
        <v>900</v>
      </c>
      <c r="D691" s="21"/>
      <c r="E691" s="4"/>
      <c r="F691" s="4"/>
      <c r="G691" s="235"/>
      <c r="H691" s="235"/>
      <c r="I691" s="235"/>
      <c r="J691" s="235"/>
      <c r="K691" s="235"/>
      <c r="L691" s="499">
        <f t="shared" ref="L691:AL691" si="485">SUM(L684:L690)</f>
        <v>1492.2</v>
      </c>
      <c r="M691" s="499">
        <f t="shared" si="485"/>
        <v>627</v>
      </c>
      <c r="N691" s="499">
        <f t="shared" si="485"/>
        <v>821.7</v>
      </c>
      <c r="O691" s="499">
        <f t="shared" si="485"/>
        <v>621</v>
      </c>
      <c r="P691" s="499">
        <f t="shared" si="485"/>
        <v>630.1</v>
      </c>
      <c r="Q691" s="499">
        <f t="shared" ref="Q691:V691" si="486">SUM(Q684:Q690)</f>
        <v>596.79999999999995</v>
      </c>
      <c r="R691" s="499">
        <f t="shared" si="486"/>
        <v>635.20000000000005</v>
      </c>
      <c r="S691" s="499">
        <f t="shared" si="486"/>
        <v>636.70000000000005</v>
      </c>
      <c r="T691" s="499">
        <f t="shared" si="486"/>
        <v>693.1</v>
      </c>
      <c r="U691" s="499">
        <f t="shared" si="486"/>
        <v>694.89999999999986</v>
      </c>
      <c r="V691" s="499">
        <f t="shared" si="486"/>
        <v>745.2</v>
      </c>
      <c r="W691" s="499">
        <f t="shared" si="485"/>
        <v>787.60667509140853</v>
      </c>
      <c r="X691" s="499">
        <f t="shared" si="485"/>
        <v>766.31079168602139</v>
      </c>
      <c r="Y691" s="499">
        <f t="shared" si="485"/>
        <v>801.98578603827968</v>
      </c>
      <c r="Z691" s="499">
        <f t="shared" si="485"/>
        <v>772.65822238506735</v>
      </c>
      <c r="AA691" s="499">
        <f t="shared" si="485"/>
        <v>803.92866448520726</v>
      </c>
      <c r="AB691" s="499">
        <f t="shared" si="485"/>
        <v>779.47326554285701</v>
      </c>
      <c r="AC691" s="499">
        <f t="shared" si="485"/>
        <v>818.32349901496252</v>
      </c>
      <c r="AD691" s="499">
        <f t="shared" si="485"/>
        <v>793.51590775753152</v>
      </c>
      <c r="AE691" s="499">
        <f t="shared" si="485"/>
        <v>828.03737879509731</v>
      </c>
      <c r="AF691" s="499">
        <f t="shared" si="485"/>
        <v>803.25740451254774</v>
      </c>
      <c r="AG691" s="499">
        <f t="shared" si="485"/>
        <v>838.14392845458451</v>
      </c>
      <c r="AH691" s="499">
        <f t="shared" si="485"/>
        <v>809.76442326669121</v>
      </c>
      <c r="AI691" s="499">
        <f t="shared" si="485"/>
        <v>848.653915554945</v>
      </c>
      <c r="AJ691" s="499">
        <f t="shared" si="485"/>
        <v>823.90833811485732</v>
      </c>
      <c r="AK691" s="499">
        <f t="shared" si="485"/>
        <v>859.57844080989457</v>
      </c>
      <c r="AL691" s="499">
        <f t="shared" si="485"/>
        <v>834.83937904364768</v>
      </c>
      <c r="AM691" s="499">
        <f>SUM(AM684:AM690)</f>
        <v>870.92894797865506</v>
      </c>
      <c r="AN691" s="499">
        <f>SUM(AN684:AN690)</f>
        <v>846.18909601656071</v>
      </c>
    </row>
    <row r="692" spans="1:40">
      <c r="A692" s="3"/>
      <c r="B692" s="138"/>
      <c r="D692" s="20"/>
      <c r="E692" s="2"/>
      <c r="F692" s="2"/>
      <c r="G692" s="2"/>
      <c r="H692" s="2"/>
      <c r="I692" s="2"/>
      <c r="J692" s="2"/>
      <c r="K692" s="2"/>
      <c r="L692" s="132"/>
      <c r="M692" s="132"/>
      <c r="N692" s="132"/>
      <c r="O692" s="132"/>
      <c r="P692" s="132"/>
      <c r="Q692" s="132"/>
      <c r="R692" s="132"/>
      <c r="S692" s="132"/>
      <c r="T692" s="132"/>
      <c r="U692" s="132"/>
      <c r="V692" s="132"/>
      <c r="W692" s="132"/>
      <c r="X692" s="132"/>
      <c r="Y692" s="132"/>
      <c r="Z692" s="132"/>
      <c r="AA692" s="132"/>
      <c r="AB692" s="132"/>
      <c r="AC692" s="132"/>
      <c r="AD692" s="132"/>
      <c r="AE692" s="132"/>
      <c r="AF692" s="132"/>
      <c r="AG692" s="132"/>
      <c r="AH692" s="132"/>
      <c r="AI692" s="132"/>
      <c r="AJ692" s="132"/>
      <c r="AK692" s="132"/>
      <c r="AL692" s="132"/>
      <c r="AM692" s="132"/>
      <c r="AN692" s="132"/>
    </row>
    <row r="693" spans="1:40">
      <c r="A693" s="3"/>
      <c r="B693" s="192" t="s">
        <v>1265</v>
      </c>
      <c r="C693" s="82" t="s">
        <v>900</v>
      </c>
      <c r="D693" s="20"/>
      <c r="E693" s="2"/>
      <c r="F693" s="2"/>
      <c r="G693" s="7"/>
      <c r="H693" s="7"/>
      <c r="I693" s="7"/>
      <c r="J693" s="7"/>
      <c r="K693" s="7"/>
      <c r="L693" s="132">
        <f t="shared" ref="L693:AN693" si="487">L454</f>
        <v>2475.5</v>
      </c>
      <c r="M693" s="132">
        <f t="shared" si="487"/>
        <v>140</v>
      </c>
      <c r="N693" s="132">
        <f t="shared" si="487"/>
        <v>135.30000000000001</v>
      </c>
      <c r="O693" s="132">
        <f t="shared" si="487"/>
        <v>550.79999999999995</v>
      </c>
      <c r="P693" s="132">
        <f t="shared" si="487"/>
        <v>431.9</v>
      </c>
      <c r="Q693" s="132">
        <f t="shared" si="487"/>
        <v>418.7</v>
      </c>
      <c r="R693" s="132">
        <f t="shared" si="487"/>
        <v>1032.5999999999999</v>
      </c>
      <c r="S693" s="132">
        <f t="shared" si="487"/>
        <v>931.4</v>
      </c>
      <c r="T693" s="132">
        <f t="shared" si="487"/>
        <v>738.1</v>
      </c>
      <c r="U693" s="132">
        <f t="shared" si="487"/>
        <v>727.3</v>
      </c>
      <c r="V693" s="132">
        <f t="shared" si="487"/>
        <v>716.3</v>
      </c>
      <c r="W693" s="132">
        <f t="shared" si="487"/>
        <v>716.3</v>
      </c>
      <c r="X693" s="132">
        <f t="shared" si="487"/>
        <v>891.3</v>
      </c>
      <c r="Y693" s="132">
        <f t="shared" si="487"/>
        <v>891.3</v>
      </c>
      <c r="Z693" s="132">
        <f t="shared" si="487"/>
        <v>891.3</v>
      </c>
      <c r="AA693" s="132">
        <f t="shared" si="487"/>
        <v>891.3</v>
      </c>
      <c r="AB693" s="132">
        <f t="shared" si="487"/>
        <v>891.3</v>
      </c>
      <c r="AC693" s="132">
        <f t="shared" si="487"/>
        <v>891.3</v>
      </c>
      <c r="AD693" s="132">
        <f t="shared" si="487"/>
        <v>891.3</v>
      </c>
      <c r="AE693" s="132">
        <f t="shared" si="487"/>
        <v>891.3</v>
      </c>
      <c r="AF693" s="132">
        <f t="shared" si="487"/>
        <v>891.3</v>
      </c>
      <c r="AG693" s="132">
        <f t="shared" si="487"/>
        <v>891.3</v>
      </c>
      <c r="AH693" s="132">
        <f t="shared" si="487"/>
        <v>891.3</v>
      </c>
      <c r="AI693" s="132">
        <f t="shared" si="487"/>
        <v>891.3</v>
      </c>
      <c r="AJ693" s="132">
        <f t="shared" si="487"/>
        <v>891.3</v>
      </c>
      <c r="AK693" s="132">
        <f t="shared" si="487"/>
        <v>891.3</v>
      </c>
      <c r="AL693" s="132">
        <f t="shared" si="487"/>
        <v>891.3</v>
      </c>
      <c r="AM693" s="132">
        <f t="shared" si="487"/>
        <v>891.3</v>
      </c>
      <c r="AN693" s="132">
        <f t="shared" si="487"/>
        <v>891.3</v>
      </c>
    </row>
    <row r="694" spans="1:40">
      <c r="A694" s="3"/>
      <c r="B694" s="192" t="s">
        <v>1077</v>
      </c>
      <c r="C694" s="82" t="s">
        <v>900</v>
      </c>
      <c r="D694" s="20"/>
      <c r="E694" s="2"/>
      <c r="F694" s="2"/>
      <c r="G694" s="7"/>
      <c r="H694" s="7"/>
      <c r="I694" s="7"/>
      <c r="J694" s="7"/>
      <c r="K694" s="7"/>
      <c r="L694" s="132">
        <f t="shared" ref="L694:AN694" si="488">L453</f>
        <v>308.90000000000003</v>
      </c>
      <c r="M694" s="132">
        <f t="shared" si="488"/>
        <v>200</v>
      </c>
      <c r="N694" s="132">
        <f t="shared" si="488"/>
        <v>181.7</v>
      </c>
      <c r="O694" s="132">
        <f t="shared" si="488"/>
        <v>158.80000000000001</v>
      </c>
      <c r="P694" s="132">
        <f t="shared" si="488"/>
        <v>140.5</v>
      </c>
      <c r="Q694" s="132">
        <f t="shared" si="488"/>
        <v>124</v>
      </c>
      <c r="R694" s="132">
        <f t="shared" si="488"/>
        <v>111.80000000000001</v>
      </c>
      <c r="S694" s="132">
        <f t="shared" si="488"/>
        <v>125.80000000000001</v>
      </c>
      <c r="T694" s="132">
        <f t="shared" si="488"/>
        <v>124.5</v>
      </c>
      <c r="U694" s="132">
        <f t="shared" si="488"/>
        <v>126.2</v>
      </c>
      <c r="V694" s="132">
        <f t="shared" si="488"/>
        <v>115.69999999999999</v>
      </c>
      <c r="W694" s="132">
        <f t="shared" si="488"/>
        <v>115.69999999999999</v>
      </c>
      <c r="X694" s="132">
        <f t="shared" si="488"/>
        <v>115.69999999999999</v>
      </c>
      <c r="Y694" s="132">
        <f t="shared" si="488"/>
        <v>115.69999999999999</v>
      </c>
      <c r="Z694" s="132">
        <f t="shared" si="488"/>
        <v>115.69999999999999</v>
      </c>
      <c r="AA694" s="132">
        <f t="shared" si="488"/>
        <v>115.69999999999999</v>
      </c>
      <c r="AB694" s="132">
        <f t="shared" si="488"/>
        <v>115.69999999999999</v>
      </c>
      <c r="AC694" s="132">
        <f t="shared" si="488"/>
        <v>115.69999999999999</v>
      </c>
      <c r="AD694" s="132">
        <f t="shared" si="488"/>
        <v>115.69999999999999</v>
      </c>
      <c r="AE694" s="132">
        <f t="shared" si="488"/>
        <v>115.69999999999999</v>
      </c>
      <c r="AF694" s="132">
        <f t="shared" si="488"/>
        <v>115.69999999999999</v>
      </c>
      <c r="AG694" s="132">
        <f t="shared" si="488"/>
        <v>115.69999999999999</v>
      </c>
      <c r="AH694" s="132">
        <f t="shared" si="488"/>
        <v>115.69999999999999</v>
      </c>
      <c r="AI694" s="132">
        <f t="shared" si="488"/>
        <v>115.69999999999999</v>
      </c>
      <c r="AJ694" s="132">
        <f t="shared" si="488"/>
        <v>115.69999999999999</v>
      </c>
      <c r="AK694" s="132">
        <f t="shared" si="488"/>
        <v>115.69999999999999</v>
      </c>
      <c r="AL694" s="132">
        <f t="shared" si="488"/>
        <v>115.69999999999999</v>
      </c>
      <c r="AM694" s="132">
        <f t="shared" si="488"/>
        <v>115.69999999999999</v>
      </c>
      <c r="AN694" s="132">
        <f t="shared" si="488"/>
        <v>115.69999999999999</v>
      </c>
    </row>
    <row r="695" spans="1:40">
      <c r="A695" s="3"/>
      <c r="B695" s="192" t="s">
        <v>1056</v>
      </c>
      <c r="C695" s="82" t="s">
        <v>900</v>
      </c>
      <c r="D695" s="20"/>
      <c r="E695" s="2"/>
      <c r="F695" s="2"/>
      <c r="G695" s="7"/>
      <c r="H695" s="7"/>
      <c r="I695" s="7"/>
      <c r="J695" s="7"/>
      <c r="K695" s="7"/>
      <c r="L695" s="132">
        <f t="shared" ref="L695:AN695" si="489">L483</f>
        <v>525.6</v>
      </c>
      <c r="M695" s="132">
        <f t="shared" si="489"/>
        <v>184</v>
      </c>
      <c r="N695" s="132">
        <f t="shared" si="489"/>
        <v>179.5</v>
      </c>
      <c r="O695" s="132">
        <f t="shared" si="489"/>
        <v>184.9</v>
      </c>
      <c r="P695" s="132">
        <f t="shared" si="489"/>
        <v>180.1</v>
      </c>
      <c r="Q695" s="132">
        <f t="shared" si="489"/>
        <v>34.1</v>
      </c>
      <c r="R695" s="132">
        <f t="shared" si="489"/>
        <v>0</v>
      </c>
      <c r="S695" s="132">
        <f t="shared" si="489"/>
        <v>0</v>
      </c>
      <c r="T695" s="132">
        <f t="shared" si="489"/>
        <v>3</v>
      </c>
      <c r="U695" s="132">
        <f t="shared" si="489"/>
        <v>20.8</v>
      </c>
      <c r="V695" s="132">
        <f t="shared" si="489"/>
        <v>39.9</v>
      </c>
      <c r="W695" s="132">
        <f t="shared" si="489"/>
        <v>39.9</v>
      </c>
      <c r="X695" s="132">
        <f t="shared" si="489"/>
        <v>39.9</v>
      </c>
      <c r="Y695" s="132">
        <f t="shared" si="489"/>
        <v>39.9</v>
      </c>
      <c r="Z695" s="132">
        <f t="shared" si="489"/>
        <v>39.9</v>
      </c>
      <c r="AA695" s="132">
        <f t="shared" si="489"/>
        <v>39.9</v>
      </c>
      <c r="AB695" s="132">
        <f t="shared" si="489"/>
        <v>39.9</v>
      </c>
      <c r="AC695" s="132">
        <f t="shared" si="489"/>
        <v>39.9</v>
      </c>
      <c r="AD695" s="132">
        <f t="shared" si="489"/>
        <v>39.9</v>
      </c>
      <c r="AE695" s="132">
        <f t="shared" si="489"/>
        <v>39.9</v>
      </c>
      <c r="AF695" s="132">
        <f t="shared" si="489"/>
        <v>39.9</v>
      </c>
      <c r="AG695" s="132">
        <f t="shared" si="489"/>
        <v>39.9</v>
      </c>
      <c r="AH695" s="132">
        <f t="shared" si="489"/>
        <v>39.9</v>
      </c>
      <c r="AI695" s="132">
        <f t="shared" si="489"/>
        <v>39.9</v>
      </c>
      <c r="AJ695" s="132">
        <f t="shared" si="489"/>
        <v>39.9</v>
      </c>
      <c r="AK695" s="132">
        <f t="shared" si="489"/>
        <v>39.9</v>
      </c>
      <c r="AL695" s="132">
        <f t="shared" si="489"/>
        <v>39.9</v>
      </c>
      <c r="AM695" s="132">
        <f t="shared" si="489"/>
        <v>39.9</v>
      </c>
      <c r="AN695" s="132">
        <f t="shared" si="489"/>
        <v>39.9</v>
      </c>
    </row>
    <row r="696" spans="1:40">
      <c r="B696" s="192" t="s">
        <v>39</v>
      </c>
      <c r="C696" s="82" t="s">
        <v>900</v>
      </c>
      <c r="E696" s="6"/>
      <c r="F696" s="6"/>
      <c r="G696" s="236"/>
      <c r="H696" s="236"/>
      <c r="I696" s="236"/>
      <c r="J696" s="236"/>
      <c r="K696" s="236"/>
      <c r="L696" s="135">
        <v>270.8</v>
      </c>
      <c r="M696" s="135">
        <v>38</v>
      </c>
      <c r="N696" s="135">
        <v>1.3</v>
      </c>
      <c r="O696" s="135">
        <v>0</v>
      </c>
      <c r="P696" s="135">
        <v>0</v>
      </c>
      <c r="Q696" s="135">
        <v>0</v>
      </c>
      <c r="R696" s="135">
        <v>0</v>
      </c>
      <c r="S696" s="135">
        <v>0</v>
      </c>
      <c r="T696" s="135">
        <v>0</v>
      </c>
      <c r="U696" s="135">
        <v>0</v>
      </c>
      <c r="V696" s="135">
        <v>0</v>
      </c>
      <c r="W696" s="256">
        <f t="shared" ref="W696:AK696" si="490">V696</f>
        <v>0</v>
      </c>
      <c r="X696" s="256">
        <f t="shared" si="490"/>
        <v>0</v>
      </c>
      <c r="Y696" s="256">
        <f t="shared" si="490"/>
        <v>0</v>
      </c>
      <c r="Z696" s="256">
        <f t="shared" si="490"/>
        <v>0</v>
      </c>
      <c r="AA696" s="256">
        <f t="shared" si="490"/>
        <v>0</v>
      </c>
      <c r="AB696" s="256">
        <f t="shared" si="490"/>
        <v>0</v>
      </c>
      <c r="AC696" s="256">
        <f t="shared" si="490"/>
        <v>0</v>
      </c>
      <c r="AD696" s="256">
        <f t="shared" si="490"/>
        <v>0</v>
      </c>
      <c r="AE696" s="256">
        <f t="shared" si="490"/>
        <v>0</v>
      </c>
      <c r="AF696" s="256">
        <f t="shared" si="490"/>
        <v>0</v>
      </c>
      <c r="AG696" s="256">
        <f t="shared" si="490"/>
        <v>0</v>
      </c>
      <c r="AH696" s="256">
        <f t="shared" si="490"/>
        <v>0</v>
      </c>
      <c r="AI696" s="256">
        <f t="shared" si="490"/>
        <v>0</v>
      </c>
      <c r="AJ696" s="256">
        <f t="shared" si="490"/>
        <v>0</v>
      </c>
      <c r="AK696" s="256">
        <f t="shared" si="490"/>
        <v>0</v>
      </c>
      <c r="AL696" s="256">
        <f t="shared" ref="AL696:AN698" si="491">AK696</f>
        <v>0</v>
      </c>
      <c r="AM696" s="256">
        <f t="shared" si="491"/>
        <v>0</v>
      </c>
      <c r="AN696" s="256">
        <f t="shared" si="491"/>
        <v>0</v>
      </c>
    </row>
    <row r="697" spans="1:40">
      <c r="A697" s="3"/>
      <c r="B697" s="192" t="s">
        <v>1236</v>
      </c>
      <c r="C697" s="82" t="s">
        <v>900</v>
      </c>
      <c r="E697" s="6"/>
      <c r="F697" s="6"/>
      <c r="G697" s="236"/>
      <c r="H697" s="236"/>
      <c r="I697" s="236"/>
      <c r="J697" s="236"/>
      <c r="K697" s="236"/>
      <c r="L697" s="135">
        <v>25</v>
      </c>
      <c r="M697" s="135">
        <v>13</v>
      </c>
      <c r="N697" s="135">
        <v>18.100000000000001</v>
      </c>
      <c r="O697" s="135">
        <v>17.100000000000001</v>
      </c>
      <c r="P697" s="135">
        <v>10.1</v>
      </c>
      <c r="Q697" s="135">
        <v>13.7</v>
      </c>
      <c r="R697" s="135">
        <v>11.8</v>
      </c>
      <c r="S697" s="135">
        <v>13.3</v>
      </c>
      <c r="T697" s="135">
        <v>14.7</v>
      </c>
      <c r="U697" s="135">
        <v>13.9</v>
      </c>
      <c r="V697" s="135">
        <v>12.4</v>
      </c>
      <c r="W697" s="256">
        <f t="shared" ref="W697:AK697" si="492">V697</f>
        <v>12.4</v>
      </c>
      <c r="X697" s="256">
        <f t="shared" si="492"/>
        <v>12.4</v>
      </c>
      <c r="Y697" s="256">
        <f t="shared" si="492"/>
        <v>12.4</v>
      </c>
      <c r="Z697" s="256">
        <f t="shared" si="492"/>
        <v>12.4</v>
      </c>
      <c r="AA697" s="256">
        <f t="shared" si="492"/>
        <v>12.4</v>
      </c>
      <c r="AB697" s="256">
        <f t="shared" si="492"/>
        <v>12.4</v>
      </c>
      <c r="AC697" s="256">
        <f t="shared" si="492"/>
        <v>12.4</v>
      </c>
      <c r="AD697" s="256">
        <f t="shared" si="492"/>
        <v>12.4</v>
      </c>
      <c r="AE697" s="256">
        <f t="shared" si="492"/>
        <v>12.4</v>
      </c>
      <c r="AF697" s="256">
        <f t="shared" si="492"/>
        <v>12.4</v>
      </c>
      <c r="AG697" s="256">
        <f t="shared" si="492"/>
        <v>12.4</v>
      </c>
      <c r="AH697" s="256">
        <f t="shared" si="492"/>
        <v>12.4</v>
      </c>
      <c r="AI697" s="256">
        <f t="shared" si="492"/>
        <v>12.4</v>
      </c>
      <c r="AJ697" s="256">
        <f t="shared" si="492"/>
        <v>12.4</v>
      </c>
      <c r="AK697" s="256">
        <f t="shared" si="492"/>
        <v>12.4</v>
      </c>
      <c r="AL697" s="256">
        <f t="shared" si="491"/>
        <v>12.4</v>
      </c>
      <c r="AM697" s="256">
        <f t="shared" si="491"/>
        <v>12.4</v>
      </c>
      <c r="AN697" s="256">
        <f t="shared" si="491"/>
        <v>12.4</v>
      </c>
    </row>
    <row r="698" spans="1:40">
      <c r="A698" s="3"/>
      <c r="B698" s="192" t="s">
        <v>3</v>
      </c>
      <c r="C698" s="82" t="s">
        <v>900</v>
      </c>
      <c r="D698" s="20"/>
      <c r="E698" s="6"/>
      <c r="F698" s="6"/>
      <c r="G698" s="236"/>
      <c r="H698" s="236"/>
      <c r="I698" s="236"/>
      <c r="J698" s="236"/>
      <c r="K698" s="236"/>
      <c r="L698" s="135">
        <v>73.699999999999989</v>
      </c>
      <c r="M698" s="135">
        <v>0</v>
      </c>
      <c r="N698" s="135">
        <v>0</v>
      </c>
      <c r="O698" s="135">
        <v>0</v>
      </c>
      <c r="P698" s="135">
        <v>0.6</v>
      </c>
      <c r="Q698" s="135">
        <f>15.2+9.6</f>
        <v>24.799999999999997</v>
      </c>
      <c r="R698" s="135">
        <f>5.2+0.6</f>
        <v>5.8</v>
      </c>
      <c r="S698" s="135">
        <f>3.4</f>
        <v>3.4</v>
      </c>
      <c r="T698" s="135">
        <f>2.2+11.4</f>
        <v>13.600000000000001</v>
      </c>
      <c r="U698" s="135">
        <v>10.3</v>
      </c>
      <c r="V698" s="135">
        <f>6.7+9.5</f>
        <v>16.2</v>
      </c>
      <c r="W698" s="256">
        <f t="shared" ref="W698:AK698" si="493">V698</f>
        <v>16.2</v>
      </c>
      <c r="X698" s="256">
        <f t="shared" si="493"/>
        <v>16.2</v>
      </c>
      <c r="Y698" s="256">
        <f t="shared" si="493"/>
        <v>16.2</v>
      </c>
      <c r="Z698" s="256">
        <f t="shared" si="493"/>
        <v>16.2</v>
      </c>
      <c r="AA698" s="256">
        <f t="shared" si="493"/>
        <v>16.2</v>
      </c>
      <c r="AB698" s="256">
        <f t="shared" si="493"/>
        <v>16.2</v>
      </c>
      <c r="AC698" s="256">
        <f t="shared" si="493"/>
        <v>16.2</v>
      </c>
      <c r="AD698" s="256">
        <f t="shared" si="493"/>
        <v>16.2</v>
      </c>
      <c r="AE698" s="256">
        <f t="shared" si="493"/>
        <v>16.2</v>
      </c>
      <c r="AF698" s="256">
        <f t="shared" si="493"/>
        <v>16.2</v>
      </c>
      <c r="AG698" s="256">
        <f t="shared" si="493"/>
        <v>16.2</v>
      </c>
      <c r="AH698" s="256">
        <f t="shared" si="493"/>
        <v>16.2</v>
      </c>
      <c r="AI698" s="256">
        <f t="shared" si="493"/>
        <v>16.2</v>
      </c>
      <c r="AJ698" s="256">
        <f t="shared" si="493"/>
        <v>16.2</v>
      </c>
      <c r="AK698" s="256">
        <f t="shared" si="493"/>
        <v>16.2</v>
      </c>
      <c r="AL698" s="256">
        <f t="shared" si="491"/>
        <v>16.2</v>
      </c>
      <c r="AM698" s="256">
        <f t="shared" si="491"/>
        <v>16.2</v>
      </c>
      <c r="AN698" s="256">
        <f t="shared" si="491"/>
        <v>16.2</v>
      </c>
    </row>
    <row r="699" spans="1:40">
      <c r="A699" s="3"/>
      <c r="B699" s="192" t="s">
        <v>1526</v>
      </c>
      <c r="C699" s="82" t="s">
        <v>900</v>
      </c>
      <c r="D699" s="20"/>
      <c r="E699" s="6"/>
      <c r="F699" s="6"/>
      <c r="G699" s="236"/>
      <c r="H699" s="236"/>
      <c r="I699" s="236"/>
      <c r="J699" s="236"/>
      <c r="K699" s="236"/>
      <c r="L699" s="135">
        <v>73.699999999999989</v>
      </c>
      <c r="M699" s="136">
        <f t="shared" ref="M699:AN699" si="494">M406</f>
        <v>0</v>
      </c>
      <c r="N699" s="136">
        <f t="shared" si="494"/>
        <v>0</v>
      </c>
      <c r="O699" s="136">
        <f t="shared" si="494"/>
        <v>0</v>
      </c>
      <c r="P699" s="136">
        <f t="shared" si="494"/>
        <v>0</v>
      </c>
      <c r="Q699" s="136">
        <f t="shared" si="494"/>
        <v>0</v>
      </c>
      <c r="R699" s="136">
        <f t="shared" si="494"/>
        <v>341.2</v>
      </c>
      <c r="S699" s="136">
        <f t="shared" si="494"/>
        <v>326.39999999999998</v>
      </c>
      <c r="T699" s="136">
        <f t="shared" si="494"/>
        <v>299.2</v>
      </c>
      <c r="U699" s="136">
        <f t="shared" si="494"/>
        <v>277.7</v>
      </c>
      <c r="V699" s="136">
        <f t="shared" si="494"/>
        <v>290.8</v>
      </c>
      <c r="W699" s="136">
        <f t="shared" si="494"/>
        <v>275.8</v>
      </c>
      <c r="X699" s="136">
        <f t="shared" si="494"/>
        <v>260.8</v>
      </c>
      <c r="Y699" s="136">
        <f t="shared" si="494"/>
        <v>245.8</v>
      </c>
      <c r="Z699" s="136">
        <f t="shared" si="494"/>
        <v>230.8</v>
      </c>
      <c r="AA699" s="136">
        <f t="shared" si="494"/>
        <v>215.8</v>
      </c>
      <c r="AB699" s="136">
        <f t="shared" si="494"/>
        <v>200.8</v>
      </c>
      <c r="AC699" s="136">
        <f t="shared" si="494"/>
        <v>185.8</v>
      </c>
      <c r="AD699" s="136">
        <f t="shared" si="494"/>
        <v>170.8</v>
      </c>
      <c r="AE699" s="136">
        <f t="shared" si="494"/>
        <v>155.80000000000001</v>
      </c>
      <c r="AF699" s="136">
        <f t="shared" si="494"/>
        <v>140.80000000000001</v>
      </c>
      <c r="AG699" s="136">
        <f t="shared" si="494"/>
        <v>125.80000000000001</v>
      </c>
      <c r="AH699" s="136">
        <f t="shared" si="494"/>
        <v>110.80000000000001</v>
      </c>
      <c r="AI699" s="136">
        <f t="shared" si="494"/>
        <v>95.800000000000011</v>
      </c>
      <c r="AJ699" s="136">
        <f t="shared" si="494"/>
        <v>80.800000000000011</v>
      </c>
      <c r="AK699" s="136">
        <f t="shared" si="494"/>
        <v>65.800000000000011</v>
      </c>
      <c r="AL699" s="136">
        <f t="shared" si="494"/>
        <v>50.800000000000011</v>
      </c>
      <c r="AM699" s="136">
        <f t="shared" si="494"/>
        <v>35.800000000000011</v>
      </c>
      <c r="AN699" s="136">
        <f t="shared" si="494"/>
        <v>20.800000000000011</v>
      </c>
    </row>
    <row r="700" spans="1:40">
      <c r="A700" s="3"/>
      <c r="B700" s="224" t="s">
        <v>991</v>
      </c>
      <c r="C700" s="166"/>
      <c r="D700" s="22"/>
      <c r="E700" s="5"/>
      <c r="F700" s="5"/>
      <c r="G700" s="221"/>
      <c r="H700" s="221"/>
      <c r="I700" s="221"/>
      <c r="J700" s="221"/>
      <c r="K700" s="221"/>
      <c r="L700" s="500" t="s">
        <v>991</v>
      </c>
      <c r="M700" s="500" t="s">
        <v>991</v>
      </c>
      <c r="N700" s="500" t="s">
        <v>991</v>
      </c>
      <c r="O700" s="500" t="s">
        <v>991</v>
      </c>
      <c r="P700" s="500" t="s">
        <v>991</v>
      </c>
      <c r="Q700" s="500" t="s">
        <v>991</v>
      </c>
      <c r="R700" s="500" t="s">
        <v>991</v>
      </c>
      <c r="S700" s="500" t="s">
        <v>991</v>
      </c>
      <c r="T700" s="500" t="s">
        <v>991</v>
      </c>
      <c r="U700" s="500" t="s">
        <v>991</v>
      </c>
      <c r="V700" s="500" t="s">
        <v>991</v>
      </c>
      <c r="W700" s="500" t="s">
        <v>991</v>
      </c>
      <c r="X700" s="500" t="s">
        <v>991</v>
      </c>
      <c r="Y700" s="500" t="s">
        <v>991</v>
      </c>
      <c r="Z700" s="500" t="s">
        <v>991</v>
      </c>
      <c r="AA700" s="500" t="s">
        <v>991</v>
      </c>
      <c r="AB700" s="500" t="s">
        <v>991</v>
      </c>
      <c r="AC700" s="500" t="s">
        <v>991</v>
      </c>
      <c r="AD700" s="500" t="s">
        <v>991</v>
      </c>
      <c r="AE700" s="500" t="s">
        <v>991</v>
      </c>
      <c r="AF700" s="500" t="s">
        <v>991</v>
      </c>
      <c r="AG700" s="500" t="s">
        <v>991</v>
      </c>
      <c r="AH700" s="500" t="s">
        <v>991</v>
      </c>
      <c r="AI700" s="500" t="s">
        <v>991</v>
      </c>
      <c r="AJ700" s="500" t="s">
        <v>991</v>
      </c>
      <c r="AK700" s="500" t="s">
        <v>991</v>
      </c>
      <c r="AL700" s="500" t="s">
        <v>991</v>
      </c>
      <c r="AM700" s="500" t="s">
        <v>991</v>
      </c>
      <c r="AN700" s="500" t="s">
        <v>991</v>
      </c>
    </row>
    <row r="701" spans="1:40" s="3" customFormat="1">
      <c r="B701" s="189" t="s">
        <v>43</v>
      </c>
      <c r="C701" s="82" t="s">
        <v>900</v>
      </c>
      <c r="D701" s="21"/>
      <c r="E701" s="4"/>
      <c r="F701" s="4"/>
      <c r="G701" s="235"/>
      <c r="H701" s="235"/>
      <c r="I701" s="235"/>
      <c r="J701" s="235"/>
      <c r="K701" s="235"/>
      <c r="L701" s="499">
        <f t="shared" ref="L701:AL701" si="495">SUM(L693:L700)</f>
        <v>3753.2</v>
      </c>
      <c r="M701" s="499">
        <f t="shared" si="495"/>
        <v>575</v>
      </c>
      <c r="N701" s="499">
        <f t="shared" si="495"/>
        <v>515.9</v>
      </c>
      <c r="O701" s="499">
        <f t="shared" si="495"/>
        <v>911.59999999999991</v>
      </c>
      <c r="P701" s="499">
        <f t="shared" si="495"/>
        <v>763.2</v>
      </c>
      <c r="Q701" s="499">
        <f t="shared" si="495"/>
        <v>615.30000000000007</v>
      </c>
      <c r="R701" s="499">
        <f t="shared" si="495"/>
        <v>1503.1999999999998</v>
      </c>
      <c r="S701" s="499">
        <f>SUM(S693:S700)</f>
        <v>1400.3000000000002</v>
      </c>
      <c r="T701" s="499">
        <f>SUM(T693:T700)</f>
        <v>1193.1000000000001</v>
      </c>
      <c r="U701" s="499">
        <f>SUM(U693:U700)</f>
        <v>1176.1999999999998</v>
      </c>
      <c r="V701" s="499">
        <f>SUM(V693:V700)</f>
        <v>1191.3</v>
      </c>
      <c r="W701" s="499">
        <f t="shared" si="495"/>
        <v>1176.3</v>
      </c>
      <c r="X701" s="499">
        <f t="shared" si="495"/>
        <v>1336.3000000000002</v>
      </c>
      <c r="Y701" s="499">
        <f t="shared" si="495"/>
        <v>1321.3000000000002</v>
      </c>
      <c r="Z701" s="499">
        <f t="shared" si="495"/>
        <v>1306.3000000000002</v>
      </c>
      <c r="AA701" s="499">
        <f t="shared" si="495"/>
        <v>1291.3000000000002</v>
      </c>
      <c r="AB701" s="499">
        <f t="shared" si="495"/>
        <v>1276.3000000000002</v>
      </c>
      <c r="AC701" s="499">
        <f t="shared" si="495"/>
        <v>1261.3000000000002</v>
      </c>
      <c r="AD701" s="499">
        <f t="shared" si="495"/>
        <v>1246.3000000000002</v>
      </c>
      <c r="AE701" s="499">
        <f t="shared" si="495"/>
        <v>1231.3000000000002</v>
      </c>
      <c r="AF701" s="499">
        <f t="shared" si="495"/>
        <v>1216.3000000000002</v>
      </c>
      <c r="AG701" s="499">
        <f t="shared" si="495"/>
        <v>1201.3000000000002</v>
      </c>
      <c r="AH701" s="499">
        <f t="shared" si="495"/>
        <v>1186.3000000000002</v>
      </c>
      <c r="AI701" s="499">
        <f t="shared" si="495"/>
        <v>1171.3000000000002</v>
      </c>
      <c r="AJ701" s="499">
        <f t="shared" si="495"/>
        <v>1156.3000000000002</v>
      </c>
      <c r="AK701" s="499">
        <f t="shared" si="495"/>
        <v>1141.3000000000002</v>
      </c>
      <c r="AL701" s="499">
        <f t="shared" si="495"/>
        <v>1126.3000000000002</v>
      </c>
      <c r="AM701" s="499">
        <f>SUM(AM693:AM700)</f>
        <v>1111.3000000000002</v>
      </c>
      <c r="AN701" s="499">
        <f>SUM(AN693:AN700)</f>
        <v>1096.3000000000002</v>
      </c>
    </row>
    <row r="702" spans="1:40" s="3" customFormat="1">
      <c r="B702" s="189" t="s">
        <v>44</v>
      </c>
      <c r="C702" s="82" t="s">
        <v>900</v>
      </c>
      <c r="D702" s="21"/>
      <c r="E702" s="4"/>
      <c r="F702" s="4"/>
      <c r="G702" s="235"/>
      <c r="H702" s="235"/>
      <c r="I702" s="235"/>
      <c r="J702" s="235"/>
      <c r="K702" s="235"/>
      <c r="L702" s="499">
        <f t="shared" ref="L702:AL702" si="496">L701+L691</f>
        <v>5245.4</v>
      </c>
      <c r="M702" s="499">
        <f t="shared" si="496"/>
        <v>1202</v>
      </c>
      <c r="N702" s="499">
        <f t="shared" si="496"/>
        <v>1337.6</v>
      </c>
      <c r="O702" s="499">
        <f t="shared" si="496"/>
        <v>1532.6</v>
      </c>
      <c r="P702" s="499">
        <f t="shared" si="496"/>
        <v>1393.3000000000002</v>
      </c>
      <c r="Q702" s="499">
        <f t="shared" si="496"/>
        <v>1212.0999999999999</v>
      </c>
      <c r="R702" s="499">
        <f t="shared" si="496"/>
        <v>2138.3999999999996</v>
      </c>
      <c r="S702" s="499">
        <f>S701+S691</f>
        <v>2037.0000000000002</v>
      </c>
      <c r="T702" s="499">
        <f>T701+T691</f>
        <v>1886.2000000000003</v>
      </c>
      <c r="U702" s="499">
        <f>U701+U691</f>
        <v>1871.0999999999997</v>
      </c>
      <c r="V702" s="499">
        <f>V701+V691</f>
        <v>1936.5</v>
      </c>
      <c r="W702" s="499">
        <f t="shared" si="496"/>
        <v>1963.9066750914085</v>
      </c>
      <c r="X702" s="499">
        <f t="shared" si="496"/>
        <v>2102.6107916860215</v>
      </c>
      <c r="Y702" s="499">
        <f t="shared" si="496"/>
        <v>2123.2857860382801</v>
      </c>
      <c r="Z702" s="499">
        <f t="shared" si="496"/>
        <v>2078.9582223850675</v>
      </c>
      <c r="AA702" s="499">
        <f t="shared" si="496"/>
        <v>2095.2286644852074</v>
      </c>
      <c r="AB702" s="499">
        <f t="shared" si="496"/>
        <v>2055.7732655428572</v>
      </c>
      <c r="AC702" s="499">
        <f t="shared" si="496"/>
        <v>2079.6234990149628</v>
      </c>
      <c r="AD702" s="499">
        <f t="shared" si="496"/>
        <v>2039.8159077575317</v>
      </c>
      <c r="AE702" s="499">
        <f t="shared" si="496"/>
        <v>2059.3373787950977</v>
      </c>
      <c r="AF702" s="499">
        <f t="shared" si="496"/>
        <v>2019.5574045125479</v>
      </c>
      <c r="AG702" s="499">
        <f t="shared" si="496"/>
        <v>2039.4439284545847</v>
      </c>
      <c r="AH702" s="499">
        <f t="shared" si="496"/>
        <v>1996.0644232666914</v>
      </c>
      <c r="AI702" s="499">
        <f t="shared" si="496"/>
        <v>2019.9539155549451</v>
      </c>
      <c r="AJ702" s="499">
        <f t="shared" si="496"/>
        <v>1980.2083381148575</v>
      </c>
      <c r="AK702" s="499">
        <f t="shared" si="496"/>
        <v>2000.8784408098948</v>
      </c>
      <c r="AL702" s="499">
        <f t="shared" si="496"/>
        <v>1961.1393790436478</v>
      </c>
      <c r="AM702" s="499">
        <f>AM701+AM691</f>
        <v>1982.2289479786552</v>
      </c>
      <c r="AN702" s="499">
        <f>AN701+AN691</f>
        <v>1942.4890960165608</v>
      </c>
    </row>
    <row r="703" spans="1:40">
      <c r="B703" s="138"/>
      <c r="D703" s="20"/>
      <c r="E703" s="2"/>
      <c r="F703" s="2"/>
      <c r="G703" s="2"/>
      <c r="H703" s="2"/>
      <c r="I703" s="2"/>
      <c r="J703" s="2"/>
      <c r="K703" s="2"/>
      <c r="L703" s="132"/>
      <c r="M703" s="132"/>
      <c r="N703" s="132"/>
      <c r="O703" s="132"/>
      <c r="P703" s="132"/>
      <c r="Q703" s="132"/>
      <c r="R703" s="132"/>
      <c r="S703" s="132"/>
      <c r="T703" s="132"/>
      <c r="U703" s="132"/>
      <c r="V703" s="132"/>
      <c r="W703" s="132"/>
      <c r="X703" s="132"/>
      <c r="Y703" s="132"/>
      <c r="Z703" s="132"/>
      <c r="AA703" s="132"/>
      <c r="AB703" s="132"/>
      <c r="AC703" s="132"/>
      <c r="AD703" s="132"/>
      <c r="AE703" s="132"/>
      <c r="AF703" s="132"/>
      <c r="AG703" s="132"/>
      <c r="AH703" s="132"/>
      <c r="AI703" s="132"/>
      <c r="AJ703" s="132"/>
      <c r="AK703" s="132"/>
      <c r="AL703" s="132"/>
      <c r="AM703" s="132"/>
      <c r="AN703" s="132"/>
    </row>
    <row r="704" spans="1:40">
      <c r="B704" s="192" t="s">
        <v>1071</v>
      </c>
      <c r="C704" s="82" t="s">
        <v>900</v>
      </c>
      <c r="D704" s="20"/>
      <c r="E704" s="2"/>
      <c r="F704" s="2"/>
      <c r="G704" s="236"/>
      <c r="H704" s="236"/>
      <c r="I704" s="236"/>
      <c r="J704" s="236"/>
      <c r="K704" s="236"/>
      <c r="L704" s="135">
        <v>9230</v>
      </c>
      <c r="M704" s="160">
        <v>1812.7999999999997</v>
      </c>
      <c r="N704" s="135">
        <v>1635.9</v>
      </c>
      <c r="O704" s="135">
        <v>1684.3</v>
      </c>
      <c r="P704" s="135">
        <v>1687.1</v>
      </c>
      <c r="Q704" s="135">
        <v>1687.6</v>
      </c>
      <c r="R704" s="135">
        <v>1688.5</v>
      </c>
      <c r="S704" s="135">
        <v>1686.3</v>
      </c>
      <c r="T704" s="135">
        <v>1689</v>
      </c>
      <c r="U704" s="135">
        <v>1693.3</v>
      </c>
      <c r="V704" s="135">
        <v>1697.5</v>
      </c>
      <c r="W704" s="132">
        <f t="shared" ref="W704:AN704" si="497">V704+W538+W549</f>
        <v>1697.5</v>
      </c>
      <c r="X704" s="132">
        <f t="shared" si="497"/>
        <v>1697.5</v>
      </c>
      <c r="Y704" s="132">
        <f t="shared" si="497"/>
        <v>1697.5</v>
      </c>
      <c r="Z704" s="132">
        <f t="shared" si="497"/>
        <v>1697.5</v>
      </c>
      <c r="AA704" s="132">
        <f t="shared" si="497"/>
        <v>1697.5</v>
      </c>
      <c r="AB704" s="132">
        <f t="shared" si="497"/>
        <v>1697.5</v>
      </c>
      <c r="AC704" s="132">
        <f t="shared" si="497"/>
        <v>1697.5</v>
      </c>
      <c r="AD704" s="132">
        <f t="shared" si="497"/>
        <v>1697.5</v>
      </c>
      <c r="AE704" s="132">
        <f t="shared" si="497"/>
        <v>1697.5</v>
      </c>
      <c r="AF704" s="132">
        <f t="shared" si="497"/>
        <v>1697.5</v>
      </c>
      <c r="AG704" s="132">
        <f t="shared" si="497"/>
        <v>1697.5</v>
      </c>
      <c r="AH704" s="132">
        <f t="shared" si="497"/>
        <v>1697.5</v>
      </c>
      <c r="AI704" s="132">
        <f t="shared" si="497"/>
        <v>1697.5</v>
      </c>
      <c r="AJ704" s="132">
        <f t="shared" si="497"/>
        <v>1697.5</v>
      </c>
      <c r="AK704" s="132">
        <f t="shared" si="497"/>
        <v>1697.5</v>
      </c>
      <c r="AL704" s="132">
        <f t="shared" si="497"/>
        <v>1697.5</v>
      </c>
      <c r="AM704" s="132">
        <f t="shared" si="497"/>
        <v>1697.5</v>
      </c>
      <c r="AN704" s="132">
        <f t="shared" si="497"/>
        <v>1697.5</v>
      </c>
    </row>
    <row r="705" spans="1:40">
      <c r="B705" s="192" t="s">
        <v>46</v>
      </c>
      <c r="C705" s="82" t="s">
        <v>900</v>
      </c>
      <c r="D705" s="20"/>
      <c r="E705" s="2"/>
      <c r="F705" s="2"/>
      <c r="G705" s="236"/>
      <c r="H705" s="236"/>
      <c r="I705" s="236"/>
      <c r="J705" s="236"/>
      <c r="K705" s="236"/>
      <c r="L705" s="135">
        <v>-1863.5</v>
      </c>
      <c r="M705" s="160">
        <v>1074.2</v>
      </c>
      <c r="N705" s="135">
        <v>1074.2</v>
      </c>
      <c r="O705" s="135">
        <v>981.2</v>
      </c>
      <c r="P705" s="135">
        <v>966.4</v>
      </c>
      <c r="Q705" s="135">
        <v>306.8</v>
      </c>
      <c r="R705" s="135">
        <v>-438.8</v>
      </c>
      <c r="S705" s="135">
        <v>-420.4</v>
      </c>
      <c r="T705" s="135">
        <v>-439.6</v>
      </c>
      <c r="U705" s="135">
        <v>-440.8</v>
      </c>
      <c r="V705" s="135">
        <v>-450</v>
      </c>
      <c r="W705" s="132">
        <f t="shared" ref="W705:AN705" si="498">V705+W646+W613</f>
        <v>-432.87497783090646</v>
      </c>
      <c r="X705" s="132">
        <f t="shared" si="498"/>
        <v>-433.65293597756261</v>
      </c>
      <c r="Y705" s="132">
        <f t="shared" si="498"/>
        <v>-410.03594996388324</v>
      </c>
      <c r="Z705" s="132">
        <f t="shared" si="498"/>
        <v>-396.92850224284433</v>
      </c>
      <c r="AA705" s="132">
        <f t="shared" si="498"/>
        <v>-377.07606123610992</v>
      </c>
      <c r="AB705" s="132">
        <f t="shared" si="498"/>
        <v>-361.7454507255398</v>
      </c>
      <c r="AC705" s="132">
        <f t="shared" si="498"/>
        <v>-327.5235320303259</v>
      </c>
      <c r="AD705" s="132">
        <f t="shared" si="498"/>
        <v>-299.89982227711278</v>
      </c>
      <c r="AE705" s="132">
        <f t="shared" si="498"/>
        <v>-262.40721702062166</v>
      </c>
      <c r="AF705" s="132">
        <f t="shared" si="498"/>
        <v>-231.82898400775559</v>
      </c>
      <c r="AG705" s="132">
        <f t="shared" si="498"/>
        <v>-144.59328399041985</v>
      </c>
      <c r="AH705" s="132">
        <f t="shared" si="498"/>
        <v>-73.467909927924637</v>
      </c>
      <c r="AI705" s="132">
        <f t="shared" si="498"/>
        <v>18.7213182541648</v>
      </c>
      <c r="AJ705" s="132">
        <f t="shared" si="498"/>
        <v>94.488539732128089</v>
      </c>
      <c r="AK705" s="132">
        <f t="shared" si="498"/>
        <v>203.93791019654253</v>
      </c>
      <c r="AL705" s="132">
        <f t="shared" si="498"/>
        <v>297.55612405113209</v>
      </c>
      <c r="AM705" s="132">
        <f t="shared" si="498"/>
        <v>412.52721541239436</v>
      </c>
      <c r="AN705" s="132">
        <f t="shared" si="498"/>
        <v>512.78071659975058</v>
      </c>
    </row>
    <row r="706" spans="1:40">
      <c r="B706" s="192" t="s">
        <v>45</v>
      </c>
      <c r="C706" s="82" t="s">
        <v>900</v>
      </c>
      <c r="D706" s="20"/>
      <c r="E706" s="6"/>
      <c r="F706" s="6"/>
      <c r="G706" s="236"/>
      <c r="H706" s="236"/>
      <c r="I706" s="236"/>
      <c r="J706" s="236"/>
      <c r="K706" s="236"/>
      <c r="L706" s="135">
        <v>-670.4</v>
      </c>
      <c r="M706" s="160">
        <v>1</v>
      </c>
      <c r="N706" s="135">
        <v>1</v>
      </c>
      <c r="O706" s="135">
        <v>4</v>
      </c>
      <c r="P706" s="135">
        <v>5.6</v>
      </c>
      <c r="Q706" s="135">
        <v>1</v>
      </c>
      <c r="R706" s="135">
        <v>-2.8</v>
      </c>
      <c r="S706" s="135">
        <v>4.0999999999999996</v>
      </c>
      <c r="T706" s="135">
        <v>4.5999999999999996</v>
      </c>
      <c r="U706" s="135">
        <v>14.8</v>
      </c>
      <c r="V706" s="135">
        <v>13.7</v>
      </c>
      <c r="W706" s="132">
        <f t="shared" ref="W706:AK706" si="499">V706</f>
        <v>13.7</v>
      </c>
      <c r="X706" s="132">
        <f t="shared" si="499"/>
        <v>13.7</v>
      </c>
      <c r="Y706" s="132">
        <f t="shared" si="499"/>
        <v>13.7</v>
      </c>
      <c r="Z706" s="132">
        <f t="shared" si="499"/>
        <v>13.7</v>
      </c>
      <c r="AA706" s="132">
        <f t="shared" si="499"/>
        <v>13.7</v>
      </c>
      <c r="AB706" s="132">
        <f t="shared" si="499"/>
        <v>13.7</v>
      </c>
      <c r="AC706" s="132">
        <f t="shared" si="499"/>
        <v>13.7</v>
      </c>
      <c r="AD706" s="132">
        <f t="shared" si="499"/>
        <v>13.7</v>
      </c>
      <c r="AE706" s="132">
        <f t="shared" si="499"/>
        <v>13.7</v>
      </c>
      <c r="AF706" s="132">
        <f t="shared" si="499"/>
        <v>13.7</v>
      </c>
      <c r="AG706" s="132">
        <f t="shared" si="499"/>
        <v>13.7</v>
      </c>
      <c r="AH706" s="132">
        <f t="shared" si="499"/>
        <v>13.7</v>
      </c>
      <c r="AI706" s="132">
        <f t="shared" si="499"/>
        <v>13.7</v>
      </c>
      <c r="AJ706" s="132">
        <f t="shared" si="499"/>
        <v>13.7</v>
      </c>
      <c r="AK706" s="132">
        <f t="shared" si="499"/>
        <v>13.7</v>
      </c>
      <c r="AL706" s="132">
        <f>AK706</f>
        <v>13.7</v>
      </c>
      <c r="AM706" s="132">
        <f>AL706</f>
        <v>13.7</v>
      </c>
      <c r="AN706" s="132">
        <f>AM706</f>
        <v>13.7</v>
      </c>
    </row>
    <row r="707" spans="1:40">
      <c r="B707" s="192" t="s">
        <v>50</v>
      </c>
      <c r="C707" s="82" t="s">
        <v>900</v>
      </c>
      <c r="D707" s="2"/>
      <c r="E707" s="2"/>
      <c r="F707" s="2"/>
      <c r="G707" s="236"/>
      <c r="H707" s="236"/>
      <c r="I707" s="236"/>
      <c r="J707" s="236"/>
      <c r="K707" s="236"/>
      <c r="L707" s="135">
        <v>0</v>
      </c>
      <c r="M707" s="135">
        <v>0</v>
      </c>
      <c r="N707" s="135">
        <v>0</v>
      </c>
      <c r="O707" s="135">
        <v>0</v>
      </c>
      <c r="P707" s="135">
        <v>0</v>
      </c>
      <c r="Q707" s="135">
        <v>0</v>
      </c>
      <c r="R707" s="135">
        <v>0</v>
      </c>
      <c r="S707" s="135">
        <v>0</v>
      </c>
      <c r="T707" s="135">
        <v>0</v>
      </c>
      <c r="U707" s="135">
        <v>0</v>
      </c>
      <c r="V707" s="135">
        <v>0</v>
      </c>
      <c r="W707" s="160">
        <v>0</v>
      </c>
      <c r="X707" s="160">
        <v>0</v>
      </c>
      <c r="Y707" s="160">
        <v>0</v>
      </c>
      <c r="Z707" s="160">
        <v>0</v>
      </c>
      <c r="AA707" s="160">
        <v>0</v>
      </c>
      <c r="AB707" s="160">
        <v>0</v>
      </c>
      <c r="AC707" s="160">
        <v>0</v>
      </c>
      <c r="AD707" s="160">
        <v>0</v>
      </c>
      <c r="AE707" s="160">
        <v>0</v>
      </c>
      <c r="AF707" s="160">
        <v>0</v>
      </c>
      <c r="AG707" s="160">
        <v>0</v>
      </c>
      <c r="AH707" s="160">
        <v>0</v>
      </c>
      <c r="AI707" s="160">
        <v>0</v>
      </c>
      <c r="AJ707" s="160">
        <v>0</v>
      </c>
      <c r="AK707" s="160">
        <v>0</v>
      </c>
      <c r="AL707" s="160">
        <v>0</v>
      </c>
      <c r="AM707" s="160">
        <v>0</v>
      </c>
      <c r="AN707" s="160">
        <v>0</v>
      </c>
    </row>
    <row r="708" spans="1:40">
      <c r="B708" s="224" t="s">
        <v>991</v>
      </c>
      <c r="C708" s="166"/>
      <c r="D708" s="22"/>
      <c r="E708" s="5"/>
      <c r="F708" s="5"/>
      <c r="G708" s="221"/>
      <c r="H708" s="221"/>
      <c r="I708" s="221"/>
      <c r="J708" s="221"/>
      <c r="K708" s="221"/>
      <c r="L708" s="500" t="s">
        <v>991</v>
      </c>
      <c r="M708" s="500" t="s">
        <v>991</v>
      </c>
      <c r="N708" s="500" t="s">
        <v>991</v>
      </c>
      <c r="O708" s="500" t="s">
        <v>991</v>
      </c>
      <c r="P708" s="500" t="s">
        <v>991</v>
      </c>
      <c r="Q708" s="500" t="s">
        <v>991</v>
      </c>
      <c r="R708" s="500" t="s">
        <v>991</v>
      </c>
      <c r="S708" s="500" t="s">
        <v>991</v>
      </c>
      <c r="T708" s="500" t="s">
        <v>991</v>
      </c>
      <c r="U708" s="500" t="s">
        <v>991</v>
      </c>
      <c r="V708" s="500" t="s">
        <v>991</v>
      </c>
      <c r="W708" s="500" t="s">
        <v>991</v>
      </c>
      <c r="X708" s="500" t="s">
        <v>991</v>
      </c>
      <c r="Y708" s="500" t="s">
        <v>991</v>
      </c>
      <c r="Z708" s="500" t="s">
        <v>991</v>
      </c>
      <c r="AA708" s="500" t="s">
        <v>991</v>
      </c>
      <c r="AB708" s="500" t="s">
        <v>991</v>
      </c>
      <c r="AC708" s="500" t="s">
        <v>991</v>
      </c>
      <c r="AD708" s="500" t="s">
        <v>991</v>
      </c>
      <c r="AE708" s="500" t="s">
        <v>991</v>
      </c>
      <c r="AF708" s="500" t="s">
        <v>991</v>
      </c>
      <c r="AG708" s="500" t="s">
        <v>991</v>
      </c>
      <c r="AH708" s="500" t="s">
        <v>991</v>
      </c>
      <c r="AI708" s="500" t="s">
        <v>991</v>
      </c>
      <c r="AJ708" s="500" t="s">
        <v>991</v>
      </c>
      <c r="AK708" s="500" t="s">
        <v>991</v>
      </c>
      <c r="AL708" s="500" t="s">
        <v>991</v>
      </c>
      <c r="AM708" s="500" t="s">
        <v>991</v>
      </c>
      <c r="AN708" s="500" t="s">
        <v>991</v>
      </c>
    </row>
    <row r="709" spans="1:40" s="3" customFormat="1">
      <c r="B709" s="189" t="s">
        <v>47</v>
      </c>
      <c r="C709" s="82" t="s">
        <v>900</v>
      </c>
      <c r="D709" s="21"/>
      <c r="E709" s="4"/>
      <c r="F709" s="4"/>
      <c r="G709" s="235"/>
      <c r="H709" s="235"/>
      <c r="I709" s="235"/>
      <c r="J709" s="235"/>
      <c r="K709" s="235"/>
      <c r="L709" s="222">
        <f t="shared" ref="L709:U709" si="500">SUM(L704:L708)</f>
        <v>6696.1</v>
      </c>
      <c r="M709" s="222">
        <f t="shared" si="500"/>
        <v>2888</v>
      </c>
      <c r="N709" s="222">
        <f t="shared" si="500"/>
        <v>2711.1000000000004</v>
      </c>
      <c r="O709" s="222">
        <f t="shared" si="500"/>
        <v>2669.5</v>
      </c>
      <c r="P709" s="222">
        <f t="shared" si="500"/>
        <v>2659.1</v>
      </c>
      <c r="Q709" s="222">
        <f t="shared" si="500"/>
        <v>1995.3999999999999</v>
      </c>
      <c r="R709" s="222">
        <f t="shared" si="500"/>
        <v>1246.9000000000001</v>
      </c>
      <c r="S709" s="222">
        <f t="shared" si="500"/>
        <v>1270</v>
      </c>
      <c r="T709" s="222">
        <f t="shared" si="500"/>
        <v>1254</v>
      </c>
      <c r="U709" s="222">
        <f t="shared" si="500"/>
        <v>1267.3</v>
      </c>
      <c r="V709" s="222">
        <f t="shared" ref="V709" si="501">SUM(V704:V708)</f>
        <v>1261.2</v>
      </c>
      <c r="W709" s="499">
        <f t="shared" ref="W709:AL709" si="502">SUM(W704:W708)</f>
        <v>1278.3250221690935</v>
      </c>
      <c r="X709" s="499">
        <f t="shared" si="502"/>
        <v>1277.5470640224373</v>
      </c>
      <c r="Y709" s="499">
        <f t="shared" si="502"/>
        <v>1301.1640500361168</v>
      </c>
      <c r="Z709" s="499">
        <f t="shared" si="502"/>
        <v>1314.2714977571557</v>
      </c>
      <c r="AA709" s="499">
        <f t="shared" si="502"/>
        <v>1334.12393876389</v>
      </c>
      <c r="AB709" s="499">
        <f t="shared" si="502"/>
        <v>1349.4545492744603</v>
      </c>
      <c r="AC709" s="499">
        <f t="shared" si="502"/>
        <v>1383.6764679696741</v>
      </c>
      <c r="AD709" s="499">
        <f t="shared" si="502"/>
        <v>1411.3001777228872</v>
      </c>
      <c r="AE709" s="499">
        <f t="shared" si="502"/>
        <v>1448.7927829793784</v>
      </c>
      <c r="AF709" s="499">
        <f t="shared" si="502"/>
        <v>1479.3710159922446</v>
      </c>
      <c r="AG709" s="499">
        <f t="shared" si="502"/>
        <v>1566.6067160095802</v>
      </c>
      <c r="AH709" s="499">
        <f t="shared" si="502"/>
        <v>1637.7320900720754</v>
      </c>
      <c r="AI709" s="499">
        <f t="shared" si="502"/>
        <v>1729.9213182541648</v>
      </c>
      <c r="AJ709" s="499">
        <f t="shared" si="502"/>
        <v>1805.6885397321282</v>
      </c>
      <c r="AK709" s="499">
        <f t="shared" si="502"/>
        <v>1915.1379101965426</v>
      </c>
      <c r="AL709" s="499">
        <f t="shared" si="502"/>
        <v>2008.756124051132</v>
      </c>
      <c r="AM709" s="499">
        <f>SUM(AM704:AM708)</f>
        <v>2123.7272154123943</v>
      </c>
      <c r="AN709" s="499">
        <f>SUM(AN704:AN708)</f>
        <v>2223.9807165997504</v>
      </c>
    </row>
    <row r="710" spans="1:40">
      <c r="B710" s="226" t="s">
        <v>886</v>
      </c>
      <c r="C710" s="168"/>
      <c r="D710" s="227"/>
      <c r="E710" s="228"/>
      <c r="F710" s="228"/>
      <c r="G710" s="228"/>
      <c r="H710" s="228"/>
      <c r="I710" s="228"/>
      <c r="J710" s="228"/>
      <c r="K710" s="228"/>
      <c r="L710" s="228">
        <f t="shared" ref="L710:AL710" si="503">L709+L702-L682</f>
        <v>73.699999999998909</v>
      </c>
      <c r="M710" s="228">
        <f>M709+M702-M682</f>
        <v>0</v>
      </c>
      <c r="N710" s="228">
        <f t="shared" si="503"/>
        <v>0</v>
      </c>
      <c r="O710" s="228">
        <f t="shared" si="503"/>
        <v>0</v>
      </c>
      <c r="P710" s="228">
        <f t="shared" si="503"/>
        <v>0</v>
      </c>
      <c r="Q710" s="228">
        <f t="shared" si="503"/>
        <v>0</v>
      </c>
      <c r="R710" s="228">
        <f t="shared" si="503"/>
        <v>0</v>
      </c>
      <c r="S710" s="228">
        <f>S709+S702-S682</f>
        <v>0</v>
      </c>
      <c r="T710" s="228">
        <f>T709+T702-T682</f>
        <v>0</v>
      </c>
      <c r="U710" s="228">
        <f>U709+U702-U682</f>
        <v>0</v>
      </c>
      <c r="V710" s="228">
        <f>V709+V702-V682</f>
        <v>0</v>
      </c>
      <c r="W710" s="228">
        <f t="shared" si="503"/>
        <v>0</v>
      </c>
      <c r="X710" s="228">
        <f t="shared" si="503"/>
        <v>0</v>
      </c>
      <c r="Y710" s="228">
        <f t="shared" si="503"/>
        <v>0</v>
      </c>
      <c r="Z710" s="228">
        <f t="shared" si="503"/>
        <v>0</v>
      </c>
      <c r="AA710" s="228">
        <f t="shared" si="503"/>
        <v>0</v>
      </c>
      <c r="AB710" s="228">
        <f t="shared" si="503"/>
        <v>0</v>
      </c>
      <c r="AC710" s="228">
        <f t="shared" si="503"/>
        <v>0</v>
      </c>
      <c r="AD710" s="228">
        <f t="shared" si="503"/>
        <v>0</v>
      </c>
      <c r="AE710" s="228">
        <f t="shared" si="503"/>
        <v>0</v>
      </c>
      <c r="AF710" s="228">
        <f t="shared" si="503"/>
        <v>0</v>
      </c>
      <c r="AG710" s="228">
        <f t="shared" si="503"/>
        <v>0</v>
      </c>
      <c r="AH710" s="228">
        <f t="shared" si="503"/>
        <v>0</v>
      </c>
      <c r="AI710" s="228">
        <f t="shared" si="503"/>
        <v>0</v>
      </c>
      <c r="AJ710" s="228">
        <f t="shared" si="503"/>
        <v>0</v>
      </c>
      <c r="AK710" s="228">
        <f t="shared" si="503"/>
        <v>0</v>
      </c>
      <c r="AL710" s="228">
        <f t="shared" si="503"/>
        <v>0</v>
      </c>
      <c r="AM710" s="228">
        <f>AM709+AM702-AM682</f>
        <v>0</v>
      </c>
      <c r="AN710" s="228">
        <f>AN709+AN702-AN682</f>
        <v>0</v>
      </c>
    </row>
    <row r="712" spans="1:40" s="195" customFormat="1">
      <c r="A712" s="195" t="s">
        <v>971</v>
      </c>
      <c r="B712" s="196" t="s">
        <v>997</v>
      </c>
      <c r="C712" s="197"/>
      <c r="E712" s="198"/>
      <c r="F712" s="198"/>
      <c r="G712" s="198"/>
      <c r="H712" s="198"/>
      <c r="I712" s="198"/>
      <c r="J712" s="198"/>
      <c r="K712" s="198"/>
      <c r="L712" s="198"/>
      <c r="M712" s="198"/>
      <c r="N712" s="198"/>
      <c r="O712" s="198"/>
      <c r="P712" s="198"/>
      <c r="Q712" s="198"/>
      <c r="R712" s="198"/>
      <c r="S712" s="198"/>
      <c r="T712" s="198"/>
      <c r="U712" s="198"/>
      <c r="V712" s="198"/>
      <c r="W712" s="198"/>
      <c r="X712" s="198"/>
      <c r="Y712" s="198"/>
      <c r="Z712" s="198"/>
      <c r="AA712" s="198"/>
      <c r="AB712" s="198"/>
      <c r="AC712" s="198"/>
      <c r="AD712" s="198"/>
      <c r="AE712" s="198"/>
      <c r="AF712" s="198"/>
      <c r="AG712" s="198"/>
      <c r="AH712" s="198"/>
      <c r="AI712" s="198"/>
      <c r="AJ712" s="198"/>
      <c r="AK712" s="198"/>
      <c r="AL712" s="198"/>
      <c r="AM712" s="198"/>
      <c r="AN712" s="198"/>
    </row>
    <row r="714" spans="1:40">
      <c r="B714" s="138" t="s">
        <v>63</v>
      </c>
      <c r="C714" s="82" t="s">
        <v>0</v>
      </c>
      <c r="D714" s="8">
        <f>EOMONTH(D742,6)</f>
        <v>46387</v>
      </c>
    </row>
    <row r="716" spans="1:40">
      <c r="B716" s="185" t="s">
        <v>1033</v>
      </c>
    </row>
    <row r="717" spans="1:40">
      <c r="B717" s="185"/>
    </row>
    <row r="718" spans="1:40">
      <c r="B718" s="232" t="s">
        <v>1034</v>
      </c>
    </row>
    <row r="719" spans="1:40">
      <c r="B719" s="192" t="s">
        <v>1035</v>
      </c>
      <c r="C719" s="82" t="s">
        <v>842</v>
      </c>
      <c r="D719" s="265"/>
    </row>
    <row r="720" spans="1:40">
      <c r="B720" s="192" t="s">
        <v>986</v>
      </c>
      <c r="C720" s="82" t="s">
        <v>842</v>
      </c>
      <c r="D720" s="265">
        <v>0.3</v>
      </c>
    </row>
    <row r="721" spans="2:40">
      <c r="B721" s="189" t="s">
        <v>1036</v>
      </c>
      <c r="C721" s="82" t="s">
        <v>842</v>
      </c>
      <c r="D721" s="266">
        <f>D719*(1-D720)</f>
        <v>0</v>
      </c>
    </row>
    <row r="722" spans="2:40">
      <c r="B722" s="138"/>
      <c r="D722" s="82"/>
    </row>
    <row r="723" spans="2:40">
      <c r="B723" s="232" t="s">
        <v>840</v>
      </c>
      <c r="D723" s="82"/>
    </row>
    <row r="724" spans="2:40">
      <c r="B724" s="192" t="s">
        <v>1037</v>
      </c>
      <c r="C724" s="82" t="s">
        <v>842</v>
      </c>
      <c r="D724" s="265">
        <v>0.05</v>
      </c>
    </row>
    <row r="725" spans="2:40">
      <c r="B725" s="192" t="s">
        <v>999</v>
      </c>
      <c r="C725" s="82" t="s">
        <v>842</v>
      </c>
      <c r="D725" s="264">
        <v>1.7</v>
      </c>
    </row>
    <row r="726" spans="2:40">
      <c r="B726" s="192" t="s">
        <v>1038</v>
      </c>
      <c r="C726" s="82" t="s">
        <v>842</v>
      </c>
      <c r="D726" s="265">
        <v>0.06</v>
      </c>
    </row>
    <row r="727" spans="2:40">
      <c r="B727" s="189" t="s">
        <v>1039</v>
      </c>
      <c r="C727" s="82" t="s">
        <v>842</v>
      </c>
      <c r="D727" s="266">
        <f>D724+D725*D726</f>
        <v>0.152</v>
      </c>
    </row>
    <row r="728" spans="2:40">
      <c r="B728" s="138"/>
      <c r="D728" s="82"/>
    </row>
    <row r="729" spans="2:40">
      <c r="B729" s="232" t="s">
        <v>62</v>
      </c>
      <c r="D729" s="82"/>
    </row>
    <row r="730" spans="2:40">
      <c r="B730" s="192" t="s">
        <v>1040</v>
      </c>
      <c r="C730" s="82" t="s">
        <v>842</v>
      </c>
      <c r="D730" s="82"/>
    </row>
    <row r="731" spans="2:40">
      <c r="B731" s="189" t="s">
        <v>1032</v>
      </c>
      <c r="C731" s="82" t="s">
        <v>842</v>
      </c>
      <c r="D731" s="82"/>
    </row>
    <row r="732" spans="2:40">
      <c r="B732" s="185"/>
      <c r="D732" s="82"/>
    </row>
    <row r="733" spans="2:40">
      <c r="B733" s="185" t="s">
        <v>61</v>
      </c>
      <c r="D733" s="82"/>
    </row>
    <row r="734" spans="2:40">
      <c r="B734" s="185"/>
      <c r="D734" s="82"/>
    </row>
    <row r="735" spans="2:40">
      <c r="B735" s="192" t="s">
        <v>64</v>
      </c>
      <c r="C735" s="82" t="s">
        <v>977</v>
      </c>
      <c r="D735" s="82"/>
      <c r="E735" s="2"/>
      <c r="F735" s="2"/>
      <c r="G735" s="2"/>
      <c r="H735" s="2"/>
      <c r="I735" s="2"/>
      <c r="J735" s="2"/>
      <c r="K735" s="2"/>
      <c r="L735" s="2"/>
      <c r="M735" s="2"/>
      <c r="N735" s="2"/>
      <c r="O735" s="2"/>
      <c r="P735" s="2"/>
      <c r="Q735" s="2">
        <f t="shared" ref="Q735:AN735" si="504">IF(Q10&lt;$D$714,0,1/(1+$D$727)^((Q10-$D$714)/365.5))</f>
        <v>0</v>
      </c>
      <c r="R735" s="2">
        <f t="shared" si="504"/>
        <v>0</v>
      </c>
      <c r="S735" s="2">
        <f t="shared" si="504"/>
        <v>0</v>
      </c>
      <c r="T735" s="2">
        <f t="shared" si="504"/>
        <v>0</v>
      </c>
      <c r="U735" s="2">
        <f t="shared" si="504"/>
        <v>0</v>
      </c>
      <c r="V735" s="2">
        <f t="shared" si="504"/>
        <v>0</v>
      </c>
      <c r="W735" s="2">
        <f t="shared" si="504"/>
        <v>1</v>
      </c>
      <c r="X735" s="2">
        <f t="shared" si="504"/>
        <v>0.93232642271375377</v>
      </c>
      <c r="Y735" s="2">
        <f t="shared" si="504"/>
        <v>0.86822360120528164</v>
      </c>
      <c r="Z735" s="2">
        <f t="shared" si="504"/>
        <v>0.80915448775276155</v>
      </c>
      <c r="AA735" s="2">
        <f t="shared" si="504"/>
        <v>0.75352044753086433</v>
      </c>
      <c r="AB735" s="2">
        <f t="shared" si="504"/>
        <v>0.70252702328811767</v>
      </c>
      <c r="AC735" s="2">
        <f t="shared" si="504"/>
        <v>0.65422423653706252</v>
      </c>
      <c r="AD735" s="2">
        <f t="shared" si="504"/>
        <v>0.60995054210323618</v>
      </c>
      <c r="AE735" s="2">
        <f t="shared" si="504"/>
        <v>0.56801292264198444</v>
      </c>
      <c r="AF735" s="2">
        <f t="shared" si="504"/>
        <v>0.52957345622198548</v>
      </c>
      <c r="AG735" s="2">
        <f t="shared" si="504"/>
        <v>0.49316222522736081</v>
      </c>
      <c r="AH735" s="2">
        <f t="shared" si="504"/>
        <v>0.45961020545732378</v>
      </c>
      <c r="AI735" s="2">
        <f t="shared" si="504"/>
        <v>0.42800935167250231</v>
      </c>
      <c r="AJ735" s="2">
        <f t="shared" si="504"/>
        <v>0.39904442773285714</v>
      </c>
      <c r="AK735" s="2">
        <f t="shared" si="504"/>
        <v>0.37160782065863784</v>
      </c>
      <c r="AL735" s="2">
        <f t="shared" si="504"/>
        <v>0.34645979008712202</v>
      </c>
      <c r="AM735" s="2">
        <f t="shared" si="504"/>
        <v>0.32263868028828896</v>
      </c>
      <c r="AN735" s="2">
        <f t="shared" si="504"/>
        <v>0.30080456662226701</v>
      </c>
    </row>
    <row r="736" spans="2:40">
      <c r="B736" s="192" t="s">
        <v>65</v>
      </c>
      <c r="C736" s="82" t="s">
        <v>848</v>
      </c>
      <c r="D736" s="82"/>
      <c r="E736" s="2"/>
      <c r="F736" s="2"/>
      <c r="G736" s="2"/>
      <c r="H736" s="2"/>
      <c r="I736" s="2"/>
      <c r="J736" s="2"/>
      <c r="K736" s="2"/>
      <c r="L736" s="2"/>
      <c r="M736" s="2"/>
      <c r="N736" s="2"/>
      <c r="O736" s="2"/>
      <c r="P736" s="2"/>
      <c r="Q736" s="2">
        <f t="shared" ref="Q736:AN736" si="505">(Q633+Q642-Q612+Q648+Q651)/Q558</f>
        <v>2.9836870015174991E-2</v>
      </c>
      <c r="R736" s="2">
        <f t="shared" si="505"/>
        <v>0.34480644596251531</v>
      </c>
      <c r="S736" s="2">
        <f t="shared" si="505"/>
        <v>4.6260841140041753E-2</v>
      </c>
      <c r="T736" s="2">
        <f t="shared" si="505"/>
        <v>8.0395415974105516E-2</v>
      </c>
      <c r="U736" s="2">
        <f t="shared" si="505"/>
        <v>0.13943735802900578</v>
      </c>
      <c r="V736" s="2">
        <f t="shared" si="505"/>
        <v>5.8579778417517235E-2</v>
      </c>
      <c r="W736" s="2">
        <f t="shared" si="505"/>
        <v>4.7209703021170488E-2</v>
      </c>
      <c r="X736" s="2">
        <f t="shared" si="505"/>
        <v>-3.1200527951442507E-2</v>
      </c>
      <c r="Y736" s="2">
        <f t="shared" si="505"/>
        <v>4.8128629236793417E-2</v>
      </c>
      <c r="Z736" s="2">
        <f t="shared" si="505"/>
        <v>2.0329591025920076E-2</v>
      </c>
      <c r="AA736" s="2">
        <f t="shared" si="505"/>
        <v>5.4734860972270004E-2</v>
      </c>
      <c r="AB736" s="2">
        <f t="shared" si="505"/>
        <v>2.871769286406152E-2</v>
      </c>
      <c r="AC736" s="2">
        <f t="shared" si="505"/>
        <v>5.9191208611128796E-2</v>
      </c>
      <c r="AD736" s="2">
        <f t="shared" si="505"/>
        <v>3.0073816397478435E-2</v>
      </c>
      <c r="AE736" s="2">
        <f t="shared" si="505"/>
        <v>5.813388145422832E-2</v>
      </c>
      <c r="AF736" s="2">
        <f t="shared" si="505"/>
        <v>3.0614161628866807E-2</v>
      </c>
      <c r="AG736" s="2">
        <f t="shared" si="505"/>
        <v>5.8753001788748947E-2</v>
      </c>
      <c r="AH736" s="2">
        <f t="shared" si="505"/>
        <v>2.9964780241350138E-2</v>
      </c>
      <c r="AI736" s="2">
        <f t="shared" si="505"/>
        <v>6.1153105139061983E-2</v>
      </c>
      <c r="AJ736" s="2">
        <f t="shared" si="505"/>
        <v>3.2273502374557395E-2</v>
      </c>
      <c r="AK736" s="2">
        <f t="shared" si="505"/>
        <v>6.6657097115812095E-2</v>
      </c>
      <c r="AL736" s="2">
        <f t="shared" si="505"/>
        <v>3.9312262737669586E-2</v>
      </c>
      <c r="AM736" s="2">
        <f t="shared" si="505"/>
        <v>6.9566180983657078E-2</v>
      </c>
      <c r="AN736" s="2">
        <f t="shared" si="505"/>
        <v>4.1086819700078422E-2</v>
      </c>
    </row>
    <row r="737" spans="2:40">
      <c r="B737" s="192" t="s">
        <v>66</v>
      </c>
      <c r="C737" s="82" t="s">
        <v>848</v>
      </c>
      <c r="D737" s="267">
        <f>SUM(I737:XFD737)</f>
        <v>0.39907052018774619</v>
      </c>
      <c r="E737" s="2"/>
      <c r="F737" s="2"/>
      <c r="G737" s="2"/>
      <c r="H737" s="2"/>
      <c r="I737" s="2"/>
      <c r="J737" s="2"/>
      <c r="K737" s="2"/>
      <c r="L737" s="2"/>
      <c r="M737" s="2"/>
      <c r="N737" s="2"/>
      <c r="O737" s="2"/>
      <c r="P737" s="2"/>
      <c r="Q737" s="2">
        <f t="shared" ref="Q737:AD737" si="506">Q735*Q736</f>
        <v>0</v>
      </c>
      <c r="R737" s="2">
        <f t="shared" si="506"/>
        <v>0</v>
      </c>
      <c r="S737" s="2">
        <f t="shared" si="506"/>
        <v>0</v>
      </c>
      <c r="T737" s="2">
        <f t="shared" si="506"/>
        <v>0</v>
      </c>
      <c r="U737" s="2">
        <f t="shared" si="506"/>
        <v>0</v>
      </c>
      <c r="V737" s="2">
        <f>V735*V736</f>
        <v>0</v>
      </c>
      <c r="W737" s="2">
        <f t="shared" si="506"/>
        <v>4.7209703021170488E-2</v>
      </c>
      <c r="X737" s="2">
        <f t="shared" si="506"/>
        <v>-2.9089076611748876E-2</v>
      </c>
      <c r="Y737" s="2">
        <f t="shared" si="506"/>
        <v>4.1786411797042587E-2</v>
      </c>
      <c r="Z737" s="2">
        <f t="shared" si="506"/>
        <v>1.6449779812801497E-2</v>
      </c>
      <c r="AA737" s="2">
        <f t="shared" si="506"/>
        <v>4.1243836935364535E-2</v>
      </c>
      <c r="AB737" s="2">
        <f t="shared" si="506"/>
        <v>2.0174955283491558E-2</v>
      </c>
      <c r="AC737" s="2">
        <f t="shared" si="506"/>
        <v>3.8724323263321737E-2</v>
      </c>
      <c r="AD737" s="2">
        <f t="shared" si="506"/>
        <v>1.8343540614755165E-2</v>
      </c>
      <c r="AE737" s="2">
        <f t="shared" ref="AE737:AL737" si="507">AE735*AE736</f>
        <v>3.3020795909338888E-2</v>
      </c>
      <c r="AF737" s="2">
        <f t="shared" si="507"/>
        <v>1.6212447383137485E-2</v>
      </c>
      <c r="AG737" s="2">
        <f t="shared" si="507"/>
        <v>2.897476110092654E-2</v>
      </c>
      <c r="AH737" s="2">
        <f t="shared" si="507"/>
        <v>1.3772118803210493E-2</v>
      </c>
      <c r="AI737" s="2">
        <f t="shared" si="507"/>
        <v>2.617410088333029E-2</v>
      </c>
      <c r="AJ737" s="2">
        <f t="shared" si="507"/>
        <v>1.2878561285990261E-2</v>
      </c>
      <c r="AK737" s="2">
        <f t="shared" si="507"/>
        <v>2.4770298590638107E-2</v>
      </c>
      <c r="AL737" s="2">
        <f t="shared" si="507"/>
        <v>1.3620118295942793E-2</v>
      </c>
      <c r="AM737" s="2">
        <f>AM735*AM736</f>
        <v>2.2444740825263383E-2</v>
      </c>
      <c r="AN737" s="2">
        <f>AN735*AN736</f>
        <v>1.2359102993769312E-2</v>
      </c>
    </row>
    <row r="738" spans="2:40">
      <c r="B738" s="192" t="s">
        <v>955</v>
      </c>
      <c r="C738" s="82" t="s">
        <v>1079</v>
      </c>
      <c r="D738" s="268">
        <v>10</v>
      </c>
    </row>
    <row r="739" spans="2:40" ht="12" thickBot="1">
      <c r="B739" s="192" t="s">
        <v>67</v>
      </c>
      <c r="C739" s="82" t="s">
        <v>848</v>
      </c>
      <c r="D739" s="267">
        <f>(D738*(AM613+AN613)+AN662-AN684)*AN735/AN558</f>
        <v>0.49550580918491949</v>
      </c>
    </row>
    <row r="740" spans="2:40" ht="12" thickBot="1">
      <c r="B740" s="189" t="s">
        <v>68</v>
      </c>
      <c r="C740" s="82" t="s">
        <v>848</v>
      </c>
      <c r="D740" s="443">
        <f>D739+D737</f>
        <v>0.89457632937266562</v>
      </c>
    </row>
    <row r="741" spans="2:40">
      <c r="B741" s="189"/>
      <c r="D741" s="444"/>
    </row>
    <row r="742" spans="2:40">
      <c r="B742" s="192" t="s">
        <v>1283</v>
      </c>
      <c r="D742" s="248">
        <f>_xlfn.XLOOKUP("A",$16:$16,$10:$10,,,-1)</f>
        <v>46203</v>
      </c>
    </row>
    <row r="743" spans="2:40">
      <c r="B743" s="192"/>
      <c r="D743" s="248"/>
    </row>
    <row r="744" spans="2:40">
      <c r="B744" s="209" t="s">
        <v>1282</v>
      </c>
      <c r="C744" s="82" t="s">
        <v>1342</v>
      </c>
      <c r="D744" s="576">
        <f>_xlfn.XLOOKUP($D$742,$10:$10,$558:$558)</f>
        <v>2292.6</v>
      </c>
    </row>
    <row r="745" spans="2:40">
      <c r="B745" s="192" t="s">
        <v>1340</v>
      </c>
      <c r="C745" s="82" t="s">
        <v>900</v>
      </c>
      <c r="D745" s="576">
        <f>D740*D744</f>
        <v>2050.905692719773</v>
      </c>
    </row>
    <row r="746" spans="2:40">
      <c r="B746" s="209" t="s">
        <v>522</v>
      </c>
      <c r="C746" s="82" t="s">
        <v>900</v>
      </c>
      <c r="D746" s="576">
        <f>_xlfn.XLOOKUP($D$742,$10:$10,$577:$577)</f>
        <v>533</v>
      </c>
    </row>
    <row r="747" spans="2:40">
      <c r="B747" s="192" t="s">
        <v>1341</v>
      </c>
      <c r="C747" s="82" t="s">
        <v>900</v>
      </c>
      <c r="D747" s="576">
        <f>D745+D746</f>
        <v>2583.905692719773</v>
      </c>
    </row>
    <row r="748" spans="2:40">
      <c r="C748" s="1"/>
    </row>
    <row r="749" spans="2:40">
      <c r="B749" s="192" t="s">
        <v>132</v>
      </c>
      <c r="C749" s="82" t="s">
        <v>848</v>
      </c>
      <c r="D749" s="842">
        <v>0.91</v>
      </c>
    </row>
    <row r="750" spans="2:40">
      <c r="B750" s="192" t="s">
        <v>1135</v>
      </c>
      <c r="C750" s="82" t="s">
        <v>842</v>
      </c>
      <c r="D750" s="314">
        <f>D740/D749-1</f>
        <v>-1.6949088601466378E-2</v>
      </c>
    </row>
    <row r="751" spans="2:40">
      <c r="C751" s="1"/>
      <c r="D751" s="827"/>
    </row>
  </sheetData>
  <phoneticPr fontId="42" type="noConversion"/>
  <pageMargins left="0.7" right="0.7" top="0.75" bottom="0.75" header="0.3" footer="0.3"/>
  <pageSetup paperSize="9" orientation="portrait" r:id="rId1"/>
  <ignoredErrors>
    <ignoredError sqref="O93" formula="1"/>
  </ignoredError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tabColor theme="3" tint="0.79998168889431442"/>
  </sheetPr>
  <dimension ref="A1:XFC296"/>
  <sheetViews>
    <sheetView showGridLines="0" zoomScale="115" zoomScaleNormal="115" zoomScalePageLayoutView="75" workbookViewId="0">
      <pane xSplit="2" ySplit="5" topLeftCell="C151" activePane="bottomRight" state="frozen"/>
      <selection activeCell="C43" sqref="C43"/>
      <selection pane="topRight" activeCell="C43" sqref="C43"/>
      <selection pane="bottomLeft" activeCell="C43" sqref="C43"/>
      <selection pane="bottomRight" activeCell="J186" sqref="J186"/>
    </sheetView>
  </sheetViews>
  <sheetFormatPr defaultColWidth="0" defaultRowHeight="11.25" outlineLevelRow="1" outlineLevelCol="1"/>
  <cols>
    <col min="1" max="1" width="5.140625" style="9" customWidth="1"/>
    <col min="2" max="2" width="25.5703125" style="9" customWidth="1"/>
    <col min="3" max="8" width="8.140625" style="10" bestFit="1" customWidth="1"/>
    <col min="9" max="14" width="8.140625" style="10" customWidth="1"/>
    <col min="15" max="15" width="7" style="10" bestFit="1" customWidth="1"/>
    <col min="16" max="16" width="9.140625" style="9" hidden="1" customWidth="1" outlineLevel="1"/>
    <col min="17" max="17" width="9.140625" style="9" hidden="1" customWidth="1" collapsed="1"/>
    <col min="18" max="46" width="0" style="9" hidden="1" customWidth="1"/>
    <col min="47" max="16383" width="9.140625" style="9" hidden="1"/>
    <col min="16384" max="16384" width="7" style="9" hidden="1"/>
  </cols>
  <sheetData>
    <row r="1" spans="1:16">
      <c r="C1" s="11"/>
      <c r="D1" s="11"/>
      <c r="E1" s="11"/>
      <c r="F1" s="11"/>
      <c r="G1" s="11"/>
      <c r="H1" s="11"/>
      <c r="I1" s="11"/>
      <c r="J1" s="11"/>
      <c r="K1" s="11"/>
      <c r="L1" s="11"/>
      <c r="M1" s="11"/>
      <c r="N1" s="11"/>
      <c r="O1" s="11"/>
    </row>
    <row r="2" spans="1:16">
      <c r="B2" s="12" t="s">
        <v>1270</v>
      </c>
      <c r="C2" s="534">
        <v>2022</v>
      </c>
      <c r="D2" s="534">
        <f t="shared" ref="D2:O2" si="0">C2+1</f>
        <v>2023</v>
      </c>
      <c r="E2" s="534">
        <f t="shared" si="0"/>
        <v>2024</v>
      </c>
      <c r="F2" s="534">
        <f t="shared" si="0"/>
        <v>2025</v>
      </c>
      <c r="G2" s="534">
        <f t="shared" si="0"/>
        <v>2026</v>
      </c>
      <c r="H2" s="534">
        <f t="shared" si="0"/>
        <v>2027</v>
      </c>
      <c r="I2" s="534">
        <f t="shared" si="0"/>
        <v>2028</v>
      </c>
      <c r="J2" s="534">
        <f t="shared" si="0"/>
        <v>2029</v>
      </c>
      <c r="K2" s="534">
        <f t="shared" si="0"/>
        <v>2030</v>
      </c>
      <c r="L2" s="534">
        <f t="shared" si="0"/>
        <v>2031</v>
      </c>
      <c r="M2" s="534">
        <f t="shared" si="0"/>
        <v>2032</v>
      </c>
      <c r="N2" s="534">
        <f t="shared" si="0"/>
        <v>2033</v>
      </c>
      <c r="O2" s="534">
        <f t="shared" si="0"/>
        <v>2034</v>
      </c>
    </row>
    <row r="3" spans="1:16">
      <c r="B3" s="12"/>
      <c r="C3" s="535" t="s">
        <v>277</v>
      </c>
      <c r="D3" s="535" t="s">
        <v>277</v>
      </c>
      <c r="E3" s="535" t="s">
        <v>1271</v>
      </c>
      <c r="F3" s="535" t="s">
        <v>1271</v>
      </c>
      <c r="G3" s="535" t="s">
        <v>1271</v>
      </c>
      <c r="H3" s="535" t="s">
        <v>1271</v>
      </c>
      <c r="I3" s="535" t="s">
        <v>1271</v>
      </c>
      <c r="J3" s="535" t="s">
        <v>1271</v>
      </c>
      <c r="K3" s="535" t="s">
        <v>1271</v>
      </c>
      <c r="L3" s="535" t="s">
        <v>1271</v>
      </c>
      <c r="M3" s="535" t="s">
        <v>1271</v>
      </c>
      <c r="N3" s="535" t="s">
        <v>1271</v>
      </c>
      <c r="O3" s="535" t="s">
        <v>1271</v>
      </c>
    </row>
    <row r="4" spans="1:16">
      <c r="B4" s="12"/>
      <c r="C4" s="534" t="str">
        <f>C2&amp;C3</f>
        <v>2022A</v>
      </c>
      <c r="D4" s="534" t="str">
        <f t="shared" ref="D4:K4" si="1">D2&amp;D3</f>
        <v>2023A</v>
      </c>
      <c r="E4" s="534" t="str">
        <f t="shared" si="1"/>
        <v>2024E</v>
      </c>
      <c r="F4" s="534" t="str">
        <f t="shared" si="1"/>
        <v>2025E</v>
      </c>
      <c r="G4" s="534" t="str">
        <f t="shared" si="1"/>
        <v>2026E</v>
      </c>
      <c r="H4" s="534" t="str">
        <f t="shared" si="1"/>
        <v>2027E</v>
      </c>
      <c r="I4" s="534" t="str">
        <f t="shared" si="1"/>
        <v>2028E</v>
      </c>
      <c r="J4" s="534" t="str">
        <f t="shared" si="1"/>
        <v>2029E</v>
      </c>
      <c r="K4" s="534" t="str">
        <f t="shared" si="1"/>
        <v>2030E</v>
      </c>
      <c r="L4" s="534" t="str">
        <f>L2&amp;L3</f>
        <v>2031E</v>
      </c>
      <c r="M4" s="534" t="str">
        <f>M2&amp;M3</f>
        <v>2032E</v>
      </c>
      <c r="N4" s="534" t="str">
        <f>N2&amp;N3</f>
        <v>2033E</v>
      </c>
      <c r="O4" s="534" t="str">
        <f>O2&amp;O3</f>
        <v>2034E</v>
      </c>
    </row>
    <row r="5" spans="1:16">
      <c r="C5" s="536">
        <v>44742</v>
      </c>
      <c r="D5" s="536">
        <f t="shared" ref="D5:K5" si="2">EOMONTH(C5,12)</f>
        <v>45107</v>
      </c>
      <c r="E5" s="536">
        <f t="shared" si="2"/>
        <v>45473</v>
      </c>
      <c r="F5" s="536">
        <f t="shared" si="2"/>
        <v>45838</v>
      </c>
      <c r="G5" s="536">
        <f t="shared" si="2"/>
        <v>46203</v>
      </c>
      <c r="H5" s="536">
        <f t="shared" si="2"/>
        <v>46568</v>
      </c>
      <c r="I5" s="536">
        <f t="shared" si="2"/>
        <v>46934</v>
      </c>
      <c r="J5" s="536">
        <f t="shared" si="2"/>
        <v>47299</v>
      </c>
      <c r="K5" s="536">
        <f t="shared" si="2"/>
        <v>47664</v>
      </c>
      <c r="L5" s="536">
        <f>EOMONTH(K5,12)</f>
        <v>48029</v>
      </c>
      <c r="M5" s="536">
        <f>EOMONTH(L5,12)</f>
        <v>48395</v>
      </c>
      <c r="N5" s="536">
        <f>EOMONTH(M5,12)</f>
        <v>48760</v>
      </c>
      <c r="O5" s="536">
        <f>EOMONTH(N5,12)</f>
        <v>49125</v>
      </c>
      <c r="P5" s="13"/>
    </row>
    <row r="6" spans="1:16">
      <c r="C6" s="14"/>
      <c r="D6" s="14"/>
      <c r="E6" s="14"/>
    </row>
    <row r="7" spans="1:16">
      <c r="A7" s="252" t="s">
        <v>971</v>
      </c>
      <c r="B7" s="532" t="s">
        <v>1093</v>
      </c>
      <c r="C7" s="533" t="str">
        <f>C$4</f>
        <v>2022A</v>
      </c>
      <c r="D7" s="533" t="str">
        <f t="shared" ref="D7:O7" si="3">D$4</f>
        <v>2023A</v>
      </c>
      <c r="E7" s="533" t="str">
        <f t="shared" si="3"/>
        <v>2024E</v>
      </c>
      <c r="F7" s="533" t="str">
        <f t="shared" si="3"/>
        <v>2025E</v>
      </c>
      <c r="G7" s="533" t="str">
        <f t="shared" si="3"/>
        <v>2026E</v>
      </c>
      <c r="H7" s="533" t="str">
        <f t="shared" si="3"/>
        <v>2027E</v>
      </c>
      <c r="I7" s="533" t="str">
        <f t="shared" si="3"/>
        <v>2028E</v>
      </c>
      <c r="J7" s="533" t="str">
        <f t="shared" si="3"/>
        <v>2029E</v>
      </c>
      <c r="K7" s="533" t="str">
        <f t="shared" si="3"/>
        <v>2030E</v>
      </c>
      <c r="L7" s="533" t="str">
        <f t="shared" si="3"/>
        <v>2031E</v>
      </c>
      <c r="M7" s="533" t="str">
        <f t="shared" si="3"/>
        <v>2032E</v>
      </c>
      <c r="N7" s="533" t="str">
        <f t="shared" si="3"/>
        <v>2033E</v>
      </c>
      <c r="O7" s="533" t="str">
        <f t="shared" si="3"/>
        <v>2034E</v>
      </c>
      <c r="P7" s="9" t="s">
        <v>1295</v>
      </c>
    </row>
    <row r="8" spans="1:16">
      <c r="B8" s="527" t="s">
        <v>1226</v>
      </c>
      <c r="C8" s="254">
        <f>SUMIFS(HY!$E268:$AL268,HY!$E$15:$AL$15,FY!C$2)</f>
        <v>2181.9</v>
      </c>
      <c r="D8" s="254">
        <f>SUMIFS(HY!$E268:$AL268,HY!$E$15:$AL$15,FY!D$2)</f>
        <v>2230.8000000000002</v>
      </c>
      <c r="E8" s="254">
        <f>SUMIFS(HY!$E268:$AL268,HY!$E$15:$AL$15,FY!E$2)</f>
        <v>2162.8000000000002</v>
      </c>
      <c r="F8" s="254">
        <f>SUMIFS(HY!$E268:$AL268,HY!$E$15:$AL$15,FY!F$2)</f>
        <v>2438.8000000000002</v>
      </c>
      <c r="G8" s="254">
        <f>SUMIFS(HY!$E268:$AL268,HY!$E$15:$AL$15,FY!G$2)</f>
        <v>2454.6999999999998</v>
      </c>
      <c r="H8" s="254">
        <f>SUMIFS(HY!$E268:$AL268,HY!$E$15:$AL$15,FY!H$2)</f>
        <v>2535.5783164499999</v>
      </c>
      <c r="I8" s="254">
        <f>SUMIFS(HY!$E268:$AL268,HY!$E$15:$AL$15,FY!I$2)</f>
        <v>2553.5792355250001</v>
      </c>
      <c r="J8" s="254">
        <f>SUMIFS(HY!$E268:$AL268,HY!$E$15:$AL$15,FY!J$2)</f>
        <v>2575.9298172777799</v>
      </c>
      <c r="K8" s="254">
        <f>SUMIFS(HY!$E268:$AL268,HY!$E$15:$AL$15,FY!K$2)</f>
        <v>2633.1222319379817</v>
      </c>
      <c r="L8" s="254">
        <f>SUMIFS(HY!$E268:$AL268,HY!$E$15:$AL$15,FY!L$2)</f>
        <v>2671.861469582695</v>
      </c>
      <c r="M8" s="254">
        <f>SUMIFS(HY!$E268:$AL268,HY!$E$15:$AL$15,FY!M$2)</f>
        <v>2712.1623086498839</v>
      </c>
      <c r="N8" s="254">
        <f>SUMIFS(HY!$E268:$AL268,HY!$E$15:$AL$15,FY!N$2)</f>
        <v>2754.0676029392921</v>
      </c>
      <c r="O8" s="254">
        <f>SUMIFS(HY!$E268:$AL268,HY!$E$15:$AL$15,FY!O$2)</f>
        <v>2797.6215318070836</v>
      </c>
      <c r="P8" s="583">
        <f>H8/E8-1</f>
        <v>0.17235912541612719</v>
      </c>
    </row>
    <row r="9" spans="1:16">
      <c r="B9" s="527" t="s">
        <v>1227</v>
      </c>
      <c r="C9" s="254">
        <f>SUMIFS(HY!$E269:$AL269,HY!$E$15:$AL$15,FY!C$2)</f>
        <v>196.9</v>
      </c>
      <c r="D9" s="254">
        <f>SUMIFS(HY!$E269:$AL269,HY!$E$15:$AL$15,FY!D$2)</f>
        <v>203.6</v>
      </c>
      <c r="E9" s="254">
        <f>SUMIFS(HY!$E269:$AL269,HY!$E$15:$AL$15,FY!E$2)</f>
        <v>163.4</v>
      </c>
      <c r="F9" s="254">
        <f>SUMIFS(HY!$E269:$AL269,HY!$E$15:$AL$15,FY!F$2)</f>
        <v>175.8</v>
      </c>
      <c r="G9" s="254">
        <f>SUMIFS(HY!$E269:$AL269,HY!$E$15:$AL$15,FY!G$2)</f>
        <v>181.6</v>
      </c>
      <c r="H9" s="254">
        <f>SUMIFS(HY!$E269:$AL269,HY!$E$15:$AL$15,FY!H$2)</f>
        <v>186.14</v>
      </c>
      <c r="I9" s="254">
        <f>SUMIFS(HY!$E269:$AL269,HY!$E$15:$AL$15,FY!I$2)</f>
        <v>190.79349999999994</v>
      </c>
      <c r="J9" s="254">
        <f>SUMIFS(HY!$E269:$AL269,HY!$E$15:$AL$15,FY!J$2)</f>
        <v>196.51730499999996</v>
      </c>
      <c r="K9" s="254">
        <f>SUMIFS(HY!$E269:$AL269,HY!$E$15:$AL$15,FY!K$2)</f>
        <v>202.41282414999995</v>
      </c>
      <c r="L9" s="254">
        <f>SUMIFS(HY!$E269:$AL269,HY!$E$15:$AL$15,FY!L$2)</f>
        <v>208.48520887449996</v>
      </c>
      <c r="M9" s="254">
        <f>SUMIFS(HY!$E269:$AL269,HY!$E$15:$AL$15,FY!M$2)</f>
        <v>214.73976514073496</v>
      </c>
      <c r="N9" s="254">
        <f>SUMIFS(HY!$E269:$AL269,HY!$E$15:$AL$15,FY!N$2)</f>
        <v>221.181958094957</v>
      </c>
      <c r="O9" s="254">
        <f>SUMIFS(HY!$E269:$AL269,HY!$E$15:$AL$15,FY!O$2)</f>
        <v>227.81741683780569</v>
      </c>
    </row>
    <row r="10" spans="1:16">
      <c r="B10" s="527" t="s">
        <v>1630</v>
      </c>
      <c r="C10" s="254">
        <f>SUMIFS(HY!$E270:$AL270,HY!$E$15:$AL$15,FY!C$2)</f>
        <v>0</v>
      </c>
      <c r="D10" s="254">
        <f>SUMIFS(HY!$E270:$AL270,HY!$E$15:$AL$15,FY!D$2)</f>
        <v>0</v>
      </c>
      <c r="E10" s="254">
        <f>SUMIFS(HY!$E270:$AL270,HY!$E$15:$AL$15,FY!E$2)</f>
        <v>0</v>
      </c>
      <c r="F10" s="254">
        <f>SUMIFS(HY!$E270:$AL270,HY!$E$15:$AL$15,FY!F$2)</f>
        <v>0</v>
      </c>
      <c r="G10" s="254">
        <f>SUMIFS(HY!$E270:$AL270,HY!$E$15:$AL$15,FY!G$2)</f>
        <v>0</v>
      </c>
      <c r="H10" s="254">
        <f>SUMIFS(HY!$E270:$AL270,HY!$E$15:$AL$15,FY!H$2)</f>
        <v>25.25</v>
      </c>
      <c r="I10" s="254">
        <f>SUMIFS(HY!$E270:$AL270,HY!$E$15:$AL$15,FY!I$2)</f>
        <v>102.485</v>
      </c>
      <c r="J10" s="254">
        <f>SUMIFS(HY!$E270:$AL270,HY!$E$15:$AL$15,FY!J$2)</f>
        <v>105.55955</v>
      </c>
      <c r="K10" s="254">
        <f>SUMIFS(HY!$E270:$AL270,HY!$E$15:$AL$15,FY!K$2)</f>
        <v>108.7263365</v>
      </c>
      <c r="L10" s="254">
        <f>SUMIFS(HY!$E270:$AL270,HY!$E$15:$AL$15,FY!L$2)</f>
        <v>111.98812659500001</v>
      </c>
      <c r="M10" s="254">
        <f>SUMIFS(HY!$E270:$AL270,HY!$E$15:$AL$15,FY!M$2)</f>
        <v>115.34777039285001</v>
      </c>
      <c r="N10" s="254">
        <f>SUMIFS(HY!$E270:$AL270,HY!$E$15:$AL$15,FY!N$2)</f>
        <v>118.80820350463551</v>
      </c>
      <c r="O10" s="254">
        <f>SUMIFS(HY!$E270:$AL270,HY!$E$15:$AL$15,FY!O$2)</f>
        <v>122.37244960977458</v>
      </c>
    </row>
    <row r="11" spans="1:16" s="12" customFormat="1">
      <c r="B11" s="528" t="s">
        <v>985</v>
      </c>
      <c r="C11" s="531">
        <f>SUMIFS(HY!$E271:$AL271,HY!$E$15:$AL$15,FY!C$2)</f>
        <v>2377.3000000000002</v>
      </c>
      <c r="D11" s="531">
        <f>SUMIFS(HY!$E271:$AL271,HY!$E$15:$AL$15,FY!D$2)</f>
        <v>2434.4</v>
      </c>
      <c r="E11" s="531">
        <f>SUMIFS(HY!$E271:$AL271,HY!$E$15:$AL$15,FY!E$2)</f>
        <v>2338.9</v>
      </c>
      <c r="F11" s="531">
        <f>SUMIFS(HY!$E271:$AL271,HY!$E$15:$AL$15,FY!F$2)</f>
        <v>2614.6</v>
      </c>
      <c r="G11" s="531">
        <f>SUMIFS(HY!$E271:$AL271,HY!$E$15:$AL$15,FY!G$2)</f>
        <v>2636.3</v>
      </c>
      <c r="H11" s="531">
        <f>SUMIFS(HY!$E271:$AL271,HY!$E$15:$AL$15,FY!H$2)</f>
        <v>2746.9683164500002</v>
      </c>
      <c r="I11" s="531">
        <f>SUMIFS(HY!$E271:$AL271,HY!$E$15:$AL$15,FY!I$2)</f>
        <v>2846.857735525</v>
      </c>
      <c r="J11" s="531">
        <f>SUMIFS(HY!$E271:$AL271,HY!$E$15:$AL$15,FY!J$2)</f>
        <v>2878.0066722777797</v>
      </c>
      <c r="K11" s="531">
        <f>SUMIFS(HY!$E271:$AL271,HY!$E$15:$AL$15,FY!K$2)</f>
        <v>2944.2613925879818</v>
      </c>
      <c r="L11" s="531">
        <f>SUMIFS(HY!$E271:$AL271,HY!$E$15:$AL$15,FY!L$2)</f>
        <v>2992.334805052195</v>
      </c>
      <c r="M11" s="531">
        <f>SUMIFS(HY!$E271:$AL271,HY!$E$15:$AL$15,FY!M$2)</f>
        <v>3042.2498441834691</v>
      </c>
      <c r="N11" s="531">
        <f>SUMIFS(HY!$E271:$AL271,HY!$E$15:$AL$15,FY!N$2)</f>
        <v>3094.0577645388848</v>
      </c>
      <c r="O11" s="531">
        <f>SUMIFS(HY!$E271:$AL271,HY!$E$15:$AL$15,FY!O$2)</f>
        <v>3147.8113982546638</v>
      </c>
    </row>
    <row r="12" spans="1:16" s="12" customFormat="1">
      <c r="B12" s="528"/>
      <c r="C12" s="531"/>
      <c r="D12" s="531"/>
      <c r="E12" s="531"/>
      <c r="F12" s="531"/>
      <c r="G12" s="531"/>
      <c r="H12" s="531"/>
      <c r="I12" s="531"/>
      <c r="J12" s="531"/>
      <c r="K12" s="531"/>
      <c r="L12" s="531"/>
      <c r="M12" s="531"/>
      <c r="N12" s="531"/>
      <c r="O12" s="531"/>
    </row>
    <row r="13" spans="1:16">
      <c r="B13" s="527" t="s">
        <v>1226</v>
      </c>
      <c r="C13" s="254">
        <f>SUMIFS(HY!$E274:$AL274,HY!$E$15:$AL$15,FY!C$2)</f>
        <v>-1380.6000000000001</v>
      </c>
      <c r="D13" s="254">
        <f>SUMIFS(HY!$E274:$AL274,HY!$E$15:$AL$15,FY!D$2)</f>
        <v>-1455.8000000000002</v>
      </c>
      <c r="E13" s="254">
        <f>SUMIFS(HY!$E274:$AL274,HY!$E$15:$AL$15,FY!E$2)</f>
        <v>-1404.6000000000001</v>
      </c>
      <c r="F13" s="254">
        <f>SUMIFS(HY!$E274:$AL274,HY!$E$15:$AL$15,FY!F$2)</f>
        <v>-1522.9</v>
      </c>
      <c r="G13" s="254">
        <f>SUMIFS(HY!$E274:$AL274,HY!$E$15:$AL$15,FY!G$2)</f>
        <v>-1501.4999999999998</v>
      </c>
      <c r="H13" s="254">
        <f>SUMIFS(HY!$E274:$AL274,HY!$E$15:$AL$15,FY!H$2)</f>
        <v>-1534.0248814522502</v>
      </c>
      <c r="I13" s="254">
        <f>SUMIFS(HY!$E274:$AL274,HY!$E$15:$AL$15,FY!I$2)</f>
        <v>-1544.915437492625</v>
      </c>
      <c r="J13" s="254">
        <f>SUMIFS(HY!$E274:$AL274,HY!$E$15:$AL$15,FY!J$2)</f>
        <v>-1558.4375394530566</v>
      </c>
      <c r="K13" s="254">
        <f>SUMIFS(HY!$E274:$AL274,HY!$E$15:$AL$15,FY!K$2)</f>
        <v>-1593.0389503224787</v>
      </c>
      <c r="L13" s="254">
        <f>SUMIFS(HY!$E274:$AL274,HY!$E$15:$AL$15,FY!L$2)</f>
        <v>-1616.4761890975306</v>
      </c>
      <c r="M13" s="254">
        <f>SUMIFS(HY!$E274:$AL274,HY!$E$15:$AL$15,FY!M$2)</f>
        <v>-1640.8581967331797</v>
      </c>
      <c r="N13" s="254">
        <f>SUMIFS(HY!$E274:$AL274,HY!$E$15:$AL$15,FY!N$2)</f>
        <v>-1666.2108997782716</v>
      </c>
      <c r="O13" s="254">
        <f>SUMIFS(HY!$E274:$AL274,HY!$E$15:$AL$15,FY!O$2)</f>
        <v>-1692.5610267432853</v>
      </c>
    </row>
    <row r="14" spans="1:16">
      <c r="B14" s="527" t="s">
        <v>1227</v>
      </c>
      <c r="C14" s="254">
        <f>SUMIFS(HY!$E275:$AL275,HY!$E$15:$AL$15,FY!C$2)</f>
        <v>-10.599999999999994</v>
      </c>
      <c r="D14" s="254">
        <f>SUMIFS(HY!$E275:$AL275,HY!$E$15:$AL$15,FY!D$2)</f>
        <v>-10.400000000000006</v>
      </c>
      <c r="E14" s="254">
        <f>SUMIFS(HY!$E275:$AL275,HY!$E$15:$AL$15,FY!E$2)</f>
        <v>-1.7000000000000171</v>
      </c>
      <c r="F14" s="254">
        <f>SUMIFS(HY!$E275:$AL275,HY!$E$15:$AL$15,FY!F$2)</f>
        <v>-3</v>
      </c>
      <c r="G14" s="254">
        <f>SUMIFS(HY!$E275:$AL275,HY!$E$15:$AL$15,FY!G$2)</f>
        <v>-2.4000000000000057</v>
      </c>
      <c r="H14" s="254">
        <f>SUMIFS(HY!$E275:$AL275,HY!$E$15:$AL$15,FY!H$2)</f>
        <v>-1.8634705228031263</v>
      </c>
      <c r="I14" s="254">
        <f>SUMIFS(HY!$E275:$AL275,HY!$E$15:$AL$15,FY!I$2)</f>
        <v>-1.9100572858732043</v>
      </c>
      <c r="J14" s="254">
        <f>SUMIFS(HY!$E275:$AL275,HY!$E$15:$AL$15,FY!J$2)</f>
        <v>-1.9673590044494005</v>
      </c>
      <c r="K14" s="254">
        <f>SUMIFS(HY!$E275:$AL275,HY!$E$15:$AL$15,FY!K$2)</f>
        <v>-2.0263797745828822</v>
      </c>
      <c r="L14" s="254">
        <f>SUMIFS(HY!$E275:$AL275,HY!$E$15:$AL$15,FY!L$2)</f>
        <v>-2.0871711678203688</v>
      </c>
      <c r="M14" s="254">
        <f>SUMIFS(HY!$E275:$AL275,HY!$E$15:$AL$15,FY!M$2)</f>
        <v>-2.14978630285498</v>
      </c>
      <c r="N14" s="254">
        <f>SUMIFS(HY!$E275:$AL275,HY!$E$15:$AL$15,FY!N$2)</f>
        <v>-2.2142798919406292</v>
      </c>
      <c r="O14" s="254">
        <f>SUMIFS(HY!$E275:$AL275,HY!$E$15:$AL$15,FY!O$2)</f>
        <v>-2.2807082886988481</v>
      </c>
    </row>
    <row r="15" spans="1:16">
      <c r="B15" s="527" t="s">
        <v>1630</v>
      </c>
      <c r="C15" s="254">
        <f>SUMIFS(HY!$E276:$AL276,HY!$E$15:$AL$15,FY!C$2)</f>
        <v>0</v>
      </c>
      <c r="D15" s="254">
        <f>SUMIFS(HY!$E276:$AL276,HY!$E$15:$AL$15,FY!D$2)</f>
        <v>0</v>
      </c>
      <c r="E15" s="254">
        <f>SUMIFS(HY!$E276:$AL276,HY!$E$15:$AL$15,FY!E$2)</f>
        <v>0</v>
      </c>
      <c r="F15" s="254">
        <f>SUMIFS(HY!$E276:$AL276,HY!$E$15:$AL$15,FY!F$2)</f>
        <v>0</v>
      </c>
      <c r="G15" s="254">
        <f>SUMIFS(HY!$E276:$AL276,HY!$E$15:$AL$15,FY!G$2)</f>
        <v>0</v>
      </c>
      <c r="H15" s="254">
        <f>SUMIFS(HY!$E276:$AL276,HY!$E$15:$AL$15,FY!H$2)</f>
        <v>-8.35</v>
      </c>
      <c r="I15" s="254">
        <f>SUMIFS(HY!$E276:$AL276,HY!$E$15:$AL$15,FY!I$2)</f>
        <v>-27.402000000000001</v>
      </c>
      <c r="J15" s="254">
        <f>SUMIFS(HY!$E276:$AL276,HY!$E$15:$AL$15,FY!J$2)</f>
        <v>-20.434060000000002</v>
      </c>
      <c r="K15" s="254">
        <f>SUMIFS(HY!$E276:$AL276,HY!$E$15:$AL$15,FY!K$2)</f>
        <v>-21.047081800000001</v>
      </c>
      <c r="L15" s="254">
        <f>SUMIFS(HY!$E276:$AL276,HY!$E$15:$AL$15,FY!L$2)</f>
        <v>-21.678494254000007</v>
      </c>
      <c r="M15" s="254">
        <f>SUMIFS(HY!$E276:$AL276,HY!$E$15:$AL$15,FY!M$2)</f>
        <v>-22.32884908162001</v>
      </c>
      <c r="N15" s="254">
        <f>SUMIFS(HY!$E276:$AL276,HY!$E$15:$AL$15,FY!N$2)</f>
        <v>-22.998714554068613</v>
      </c>
      <c r="O15" s="254">
        <f>SUMIFS(HY!$E276:$AL276,HY!$E$15:$AL$15,FY!O$2)</f>
        <v>-23.688675990690673</v>
      </c>
    </row>
    <row r="16" spans="1:16" s="12" customFormat="1">
      <c r="B16" s="528" t="s">
        <v>1272</v>
      </c>
      <c r="C16" s="531">
        <f>SUMIFS(HY!$E277:$AL277,HY!$E$15:$AL$15,FY!C$2)</f>
        <v>-1391.2000000000003</v>
      </c>
      <c r="D16" s="531">
        <f>SUMIFS(HY!$E277:$AL277,HY!$E$15:$AL$15,FY!D$2)</f>
        <v>-1466.2000000000003</v>
      </c>
      <c r="E16" s="531">
        <f>SUMIFS(HY!$E277:$AL277,HY!$E$15:$AL$15,FY!E$2)</f>
        <v>-1406.3000000000002</v>
      </c>
      <c r="F16" s="531">
        <f>SUMIFS(HY!$E277:$AL277,HY!$E$15:$AL$15,FY!F$2)</f>
        <v>-1525.9</v>
      </c>
      <c r="G16" s="531">
        <f>SUMIFS(HY!$E277:$AL277,HY!$E$15:$AL$15,FY!G$2)</f>
        <v>-1503.8999999999996</v>
      </c>
      <c r="H16" s="531">
        <f>SUMIFS(HY!$E277:$AL277,HY!$E$15:$AL$15,FY!H$2)</f>
        <v>-1544.2383519750533</v>
      </c>
      <c r="I16" s="531">
        <f>SUMIFS(HY!$E277:$AL277,HY!$E$15:$AL$15,FY!I$2)</f>
        <v>-1574.2274947784981</v>
      </c>
      <c r="J16" s="531">
        <f>SUMIFS(HY!$E277:$AL277,HY!$E$15:$AL$15,FY!J$2)</f>
        <v>-1580.8389584575061</v>
      </c>
      <c r="K16" s="531">
        <f>SUMIFS(HY!$E277:$AL277,HY!$E$15:$AL$15,FY!K$2)</f>
        <v>-1616.1124118970617</v>
      </c>
      <c r="L16" s="531">
        <f>SUMIFS(HY!$E277:$AL277,HY!$E$15:$AL$15,FY!L$2)</f>
        <v>-1640.2418545193509</v>
      </c>
      <c r="M16" s="531">
        <f>SUMIFS(HY!$E277:$AL277,HY!$E$15:$AL$15,FY!M$2)</f>
        <v>-1665.3368321176549</v>
      </c>
      <c r="N16" s="531">
        <f>SUMIFS(HY!$E277:$AL277,HY!$E$15:$AL$15,FY!N$2)</f>
        <v>-1691.423894224281</v>
      </c>
      <c r="O16" s="531">
        <f>SUMIFS(HY!$E277:$AL277,HY!$E$15:$AL$15,FY!O$2)</f>
        <v>-1718.5304110226748</v>
      </c>
    </row>
    <row r="17" spans="2:15" s="12" customFormat="1">
      <c r="B17" s="528"/>
      <c r="C17" s="531"/>
      <c r="D17" s="531"/>
      <c r="E17" s="531"/>
      <c r="F17" s="531"/>
      <c r="G17" s="531"/>
      <c r="H17" s="531"/>
      <c r="I17" s="531"/>
      <c r="J17" s="531"/>
      <c r="K17" s="531"/>
      <c r="L17" s="531"/>
      <c r="M17" s="531"/>
      <c r="N17" s="531"/>
      <c r="O17" s="531"/>
    </row>
    <row r="18" spans="2:15">
      <c r="B18" s="527" t="s">
        <v>1226</v>
      </c>
      <c r="C18" s="254">
        <f>SUMIFS(HY!$E279:$AL279,HY!$E$15:$AL$15,FY!C$2)</f>
        <v>801.3</v>
      </c>
      <c r="D18" s="254">
        <f>SUMIFS(HY!$E279:$AL279,HY!$E$15:$AL$15,FY!D$2)</f>
        <v>775</v>
      </c>
      <c r="E18" s="254">
        <f>SUMIFS(HY!$E279:$AL279,HY!$E$15:$AL$15,FY!E$2)</f>
        <v>758.2</v>
      </c>
      <c r="F18" s="254">
        <f>SUMIFS(HY!$E279:$AL279,HY!$E$15:$AL$15,FY!F$2)</f>
        <v>915.9</v>
      </c>
      <c r="G18" s="254">
        <f>SUMIFS(HY!$E279:$AL279,HY!$E$15:$AL$15,FY!G$2)</f>
        <v>953.2</v>
      </c>
      <c r="H18" s="254">
        <f>SUMIFS(HY!$E279:$AL279,HY!$E$15:$AL$15,FY!H$2)</f>
        <v>1001.5534349977501</v>
      </c>
      <c r="I18" s="254">
        <f>SUMIFS(HY!$E279:$AL279,HY!$E$15:$AL$15,FY!I$2)</f>
        <v>1008.6637980323751</v>
      </c>
      <c r="J18" s="254">
        <f>SUMIFS(HY!$E279:$AL279,HY!$E$15:$AL$15,FY!J$2)</f>
        <v>1017.492277824723</v>
      </c>
      <c r="K18" s="254">
        <f>SUMIFS(HY!$E279:$AL279,HY!$E$15:$AL$15,FY!K$2)</f>
        <v>1040.083281615503</v>
      </c>
      <c r="L18" s="254">
        <f>SUMIFS(HY!$E279:$AL279,HY!$E$15:$AL$15,FY!L$2)</f>
        <v>1055.3852804851645</v>
      </c>
      <c r="M18" s="254">
        <f>SUMIFS(HY!$E279:$AL279,HY!$E$15:$AL$15,FY!M$2)</f>
        <v>1071.3041119167042</v>
      </c>
      <c r="N18" s="254">
        <f>SUMIFS(HY!$E279:$AL279,HY!$E$15:$AL$15,FY!N$2)</f>
        <v>1087.8567031610205</v>
      </c>
      <c r="O18" s="254">
        <f>SUMIFS(HY!$E279:$AL279,HY!$E$15:$AL$15,FY!O$2)</f>
        <v>1105.060505063798</v>
      </c>
    </row>
    <row r="19" spans="2:15">
      <c r="B19" s="527" t="s">
        <v>1227</v>
      </c>
      <c r="C19" s="254">
        <f>SUMIFS(HY!$E280:$AL280,HY!$E$15:$AL$15,FY!C$2)</f>
        <v>186.3</v>
      </c>
      <c r="D19" s="254">
        <f>SUMIFS(HY!$E280:$AL280,HY!$E$15:$AL$15,FY!D$2)</f>
        <v>193.2</v>
      </c>
      <c r="E19" s="254">
        <f>SUMIFS(HY!$E280:$AL280,HY!$E$15:$AL$15,FY!E$2)</f>
        <v>161.69999999999999</v>
      </c>
      <c r="F19" s="254">
        <f>SUMIFS(HY!$E280:$AL280,HY!$E$15:$AL$15,FY!F$2)</f>
        <v>172.8</v>
      </c>
      <c r="G19" s="254">
        <f>SUMIFS(HY!$E280:$AL280,HY!$E$15:$AL$15,FY!G$2)</f>
        <v>179.2</v>
      </c>
      <c r="H19" s="254">
        <f>SUMIFS(HY!$E280:$AL280,HY!$E$15:$AL$15,FY!H$2)</f>
        <v>184.27652947719685</v>
      </c>
      <c r="I19" s="254">
        <f>SUMIFS(HY!$E280:$AL280,HY!$E$15:$AL$15,FY!I$2)</f>
        <v>188.88344271412674</v>
      </c>
      <c r="J19" s="254">
        <f>SUMIFS(HY!$E280:$AL280,HY!$E$15:$AL$15,FY!J$2)</f>
        <v>194.54994599555056</v>
      </c>
      <c r="K19" s="254">
        <f>SUMIFS(HY!$E280:$AL280,HY!$E$15:$AL$15,FY!K$2)</f>
        <v>200.38644437541706</v>
      </c>
      <c r="L19" s="254">
        <f>SUMIFS(HY!$E280:$AL280,HY!$E$15:$AL$15,FY!L$2)</f>
        <v>206.39803770667959</v>
      </c>
      <c r="M19" s="254">
        <f>SUMIFS(HY!$E280:$AL280,HY!$E$15:$AL$15,FY!M$2)</f>
        <v>212.58997883787998</v>
      </c>
      <c r="N19" s="254">
        <f>SUMIFS(HY!$E280:$AL280,HY!$E$15:$AL$15,FY!N$2)</f>
        <v>218.96767820301636</v>
      </c>
      <c r="O19" s="254">
        <f>SUMIFS(HY!$E280:$AL280,HY!$E$15:$AL$15,FY!O$2)</f>
        <v>225.53670854910686</v>
      </c>
    </row>
    <row r="20" spans="2:15">
      <c r="B20" s="527" t="s">
        <v>1630</v>
      </c>
      <c r="C20" s="254">
        <f>SUMIFS(HY!$E281:$AL281,HY!$E$15:$AL$15,FY!C$2)</f>
        <v>0</v>
      </c>
      <c r="D20" s="254">
        <f>SUMIFS(HY!$E281:$AL281,HY!$E$15:$AL$15,FY!D$2)</f>
        <v>0</v>
      </c>
      <c r="E20" s="254">
        <f>SUMIFS(HY!$E281:$AL281,HY!$E$15:$AL$15,FY!E$2)</f>
        <v>0</v>
      </c>
      <c r="F20" s="254">
        <f>SUMIFS(HY!$E281:$AL281,HY!$E$15:$AL$15,FY!F$2)</f>
        <v>0</v>
      </c>
      <c r="G20" s="254">
        <f>SUMIFS(HY!$E281:$AL281,HY!$E$15:$AL$15,FY!G$2)</f>
        <v>0</v>
      </c>
      <c r="H20" s="254">
        <f>SUMIFS(HY!$E281:$AL281,HY!$E$15:$AL$15,FY!H$2)</f>
        <v>16.899999999999999</v>
      </c>
      <c r="I20" s="254">
        <f>SUMIFS(HY!$E281:$AL281,HY!$E$15:$AL$15,FY!I$2)</f>
        <v>75.082999999999998</v>
      </c>
      <c r="J20" s="254">
        <f>SUMIFS(HY!$E281:$AL281,HY!$E$15:$AL$15,FY!J$2)</f>
        <v>85.125489999999999</v>
      </c>
      <c r="K20" s="254">
        <f>SUMIFS(HY!$E281:$AL281,HY!$E$15:$AL$15,FY!K$2)</f>
        <v>87.679254700000001</v>
      </c>
      <c r="L20" s="254">
        <f>SUMIFS(HY!$E281:$AL281,HY!$E$15:$AL$15,FY!L$2)</f>
        <v>90.309632340999997</v>
      </c>
      <c r="M20" s="254">
        <f>SUMIFS(HY!$E281:$AL281,HY!$E$15:$AL$15,FY!M$2)</f>
        <v>93.018921311230002</v>
      </c>
      <c r="N20" s="254">
        <f>SUMIFS(HY!$E281:$AL281,HY!$E$15:$AL$15,FY!N$2)</f>
        <v>95.809488950566902</v>
      </c>
      <c r="O20" s="254">
        <f>SUMIFS(HY!$E281:$AL281,HY!$E$15:$AL$15,FY!O$2)</f>
        <v>98.683773619083908</v>
      </c>
    </row>
    <row r="21" spans="2:15" s="12" customFormat="1">
      <c r="B21" s="528" t="s">
        <v>1218</v>
      </c>
      <c r="C21" s="531">
        <f>SUMIFS(HY!$E282:$AL282,HY!$E$15:$AL$15,FY!C$2)</f>
        <v>987.2</v>
      </c>
      <c r="D21" s="531">
        <f>SUMIFS(HY!$E282:$AL282,HY!$E$15:$AL$15,FY!D$2)</f>
        <v>968.4</v>
      </c>
      <c r="E21" s="531">
        <f>SUMIFS(HY!$E282:$AL282,HY!$E$15:$AL$15,FY!E$2)</f>
        <v>931.7</v>
      </c>
      <c r="F21" s="531">
        <f>SUMIFS(HY!$E282:$AL282,HY!$E$15:$AL$15,FY!F$2)</f>
        <v>1088.7</v>
      </c>
      <c r="G21" s="531">
        <f>SUMIFS(HY!$E282:$AL282,HY!$E$15:$AL$15,FY!G$2)</f>
        <v>1132.4000000000001</v>
      </c>
      <c r="H21" s="531">
        <f>SUMIFS(HY!$E282:$AL282,HY!$E$15:$AL$15,FY!H$2)</f>
        <v>1202.7299644749469</v>
      </c>
      <c r="I21" s="531">
        <f>SUMIFS(HY!$E282:$AL282,HY!$E$15:$AL$15,FY!I$2)</f>
        <v>1272.6302407465018</v>
      </c>
      <c r="J21" s="531">
        <f>SUMIFS(HY!$E282:$AL282,HY!$E$15:$AL$15,FY!J$2)</f>
        <v>1297.1677138202735</v>
      </c>
      <c r="K21" s="531">
        <f>SUMIFS(HY!$E282:$AL282,HY!$E$15:$AL$15,FY!K$2)</f>
        <v>1328.1489806909199</v>
      </c>
      <c r="L21" s="531">
        <f>SUMIFS(HY!$E282:$AL282,HY!$E$15:$AL$15,FY!L$2)</f>
        <v>1352.092950532844</v>
      </c>
      <c r="M21" s="531">
        <f>SUMIFS(HY!$E282:$AL282,HY!$E$15:$AL$15,FY!M$2)</f>
        <v>1376.9130120658142</v>
      </c>
      <c r="N21" s="531">
        <f>SUMIFS(HY!$E282:$AL282,HY!$E$15:$AL$15,FY!N$2)</f>
        <v>1402.6338703146037</v>
      </c>
      <c r="O21" s="531">
        <f>SUMIFS(HY!$E282:$AL282,HY!$E$15:$AL$15,FY!O$2)</f>
        <v>1429.2809872319888</v>
      </c>
    </row>
    <row r="22" spans="2:15" s="12" customFormat="1">
      <c r="B22" s="528"/>
      <c r="C22" s="531"/>
      <c r="D22" s="531"/>
      <c r="E22" s="531"/>
      <c r="F22" s="531"/>
      <c r="G22" s="531"/>
      <c r="H22" s="531"/>
      <c r="I22" s="531"/>
      <c r="J22" s="531"/>
      <c r="K22" s="531"/>
      <c r="L22" s="531"/>
      <c r="M22" s="531"/>
      <c r="N22" s="531"/>
      <c r="O22" s="531"/>
    </row>
    <row r="23" spans="2:15">
      <c r="B23" s="527" t="s">
        <v>1226</v>
      </c>
      <c r="C23" s="254">
        <f>SUMIFS(HY!$E285:$AL285,HY!$E$15:$AL$15,FY!C$2)</f>
        <v>-514.29999999999995</v>
      </c>
      <c r="D23" s="254">
        <f>SUMIFS(HY!$E285:$AL285,HY!$E$15:$AL$15,FY!D$2)</f>
        <v>-467</v>
      </c>
      <c r="E23" s="254">
        <f>SUMIFS(HY!$E285:$AL285,HY!$E$15:$AL$15,FY!E$2)</f>
        <v>-507</v>
      </c>
      <c r="F23" s="254">
        <f>SUMIFS(HY!$E285:$AL285,HY!$E$15:$AL$15,FY!F$2)</f>
        <v>-586.79999999999995</v>
      </c>
      <c r="G23" s="254">
        <f>SUMIFS(HY!$E285:$AL285,HY!$E$15:$AL$15,FY!G$2)</f>
        <v>-591.4</v>
      </c>
      <c r="H23" s="254">
        <f>SUMIFS(HY!$E285:$AL285,HY!$E$15:$AL$15,FY!H$2)</f>
        <v>-611.06449999999995</v>
      </c>
      <c r="I23" s="254">
        <f>SUMIFS(HY!$E285:$AL285,HY!$E$15:$AL$15,FY!I$2)</f>
        <v>-629.396435</v>
      </c>
      <c r="J23" s="254">
        <f>SUMIFS(HY!$E285:$AL285,HY!$E$15:$AL$15,FY!J$2)</f>
        <v>-648.27832805000003</v>
      </c>
      <c r="K23" s="254">
        <f>SUMIFS(HY!$E285:$AL285,HY!$E$15:$AL$15,FY!K$2)</f>
        <v>-667.7266778915</v>
      </c>
      <c r="L23" s="254">
        <f>SUMIFS(HY!$E285:$AL285,HY!$E$15:$AL$15,FY!L$2)</f>
        <v>-681.08121144933</v>
      </c>
      <c r="M23" s="254">
        <f>SUMIFS(HY!$E285:$AL285,HY!$E$15:$AL$15,FY!M$2)</f>
        <v>-694.70283567831666</v>
      </c>
      <c r="N23" s="254">
        <f>SUMIFS(HY!$E285:$AL285,HY!$E$15:$AL$15,FY!N$2)</f>
        <v>-708.5968923918831</v>
      </c>
      <c r="O23" s="254">
        <f>SUMIFS(HY!$E285:$AL285,HY!$E$15:$AL$15,FY!O$2)</f>
        <v>-722.76883023972073</v>
      </c>
    </row>
    <row r="24" spans="2:15">
      <c r="B24" s="527" t="s">
        <v>1227</v>
      </c>
      <c r="C24" s="254">
        <f>SUMIFS(HY!$E286:$AL286,HY!$E$15:$AL$15,FY!C$2)</f>
        <v>-113.1</v>
      </c>
      <c r="D24" s="254">
        <f>SUMIFS(HY!$E286:$AL286,HY!$E$15:$AL$15,FY!D$2)</f>
        <v>-110.1</v>
      </c>
      <c r="E24" s="254">
        <f>SUMIFS(HY!$E286:$AL286,HY!$E$15:$AL$15,FY!E$2)</f>
        <v>-102.7</v>
      </c>
      <c r="F24" s="254">
        <f>SUMIFS(HY!$E286:$AL286,HY!$E$15:$AL$15,FY!F$2)</f>
        <v>-110.4</v>
      </c>
      <c r="G24" s="254">
        <f>SUMIFS(HY!$E286:$AL286,HY!$E$15:$AL$15,FY!G$2)</f>
        <v>-109.3</v>
      </c>
      <c r="H24" s="254">
        <f>SUMIFS(HY!$E286:$AL286,HY!$E$15:$AL$15,FY!H$2)</f>
        <v>-113.54539999999997</v>
      </c>
      <c r="I24" s="254">
        <f>SUMIFS(HY!$E286:$AL286,HY!$E$15:$AL$15,FY!I$2)</f>
        <v>-116.38403499999997</v>
      </c>
      <c r="J24" s="254">
        <f>SUMIFS(HY!$E286:$AL286,HY!$E$15:$AL$15,FY!J$2)</f>
        <v>-119.87555604999997</v>
      </c>
      <c r="K24" s="254">
        <f>SUMIFS(HY!$E286:$AL286,HY!$E$15:$AL$15,FY!K$2)</f>
        <v>-123.47182273149997</v>
      </c>
      <c r="L24" s="254">
        <f>SUMIFS(HY!$E286:$AL286,HY!$E$15:$AL$15,FY!L$2)</f>
        <v>-127.17597741344497</v>
      </c>
      <c r="M24" s="254">
        <f>SUMIFS(HY!$E286:$AL286,HY!$E$15:$AL$15,FY!M$2)</f>
        <v>-130.99125673584831</v>
      </c>
      <c r="N24" s="254">
        <f>SUMIFS(HY!$E286:$AL286,HY!$E$15:$AL$15,FY!N$2)</f>
        <v>-134.92099443792375</v>
      </c>
      <c r="O24" s="254">
        <f>SUMIFS(HY!$E286:$AL286,HY!$E$15:$AL$15,FY!O$2)</f>
        <v>-138.96862427106149</v>
      </c>
    </row>
    <row r="25" spans="2:15">
      <c r="B25" s="527" t="s">
        <v>1630</v>
      </c>
      <c r="C25" s="254">
        <f>SUMIFS(HY!$E287:$AL287,HY!$E$15:$AL$15,FY!C$2)</f>
        <v>0</v>
      </c>
      <c r="D25" s="254">
        <f>SUMIFS(HY!$E287:$AL287,HY!$E$15:$AL$15,FY!D$2)</f>
        <v>0</v>
      </c>
      <c r="E25" s="254">
        <f>SUMIFS(HY!$E287:$AL287,HY!$E$15:$AL$15,FY!E$2)</f>
        <v>0</v>
      </c>
      <c r="F25" s="254">
        <f>SUMIFS(HY!$E287:$AL287,HY!$E$15:$AL$15,FY!F$2)</f>
        <v>0</v>
      </c>
      <c r="G25" s="254">
        <f>SUMIFS(HY!$E287:$AL287,HY!$E$15:$AL$15,FY!G$2)</f>
        <v>0</v>
      </c>
      <c r="H25" s="254">
        <f>SUMIFS(HY!$E287:$AL287,HY!$E$15:$AL$15,FY!H$2)</f>
        <v>-11.7</v>
      </c>
      <c r="I25" s="254">
        <f>SUMIFS(HY!$E287:$AL287,HY!$E$15:$AL$15,FY!I$2)</f>
        <v>-41.204000000000001</v>
      </c>
      <c r="J25" s="254">
        <f>SUMIFS(HY!$E287:$AL287,HY!$E$15:$AL$15,FY!J$2)</f>
        <v>-34.650120000000001</v>
      </c>
      <c r="K25" s="254">
        <f>SUMIFS(HY!$E287:$AL287,HY!$E$15:$AL$15,FY!K$2)</f>
        <v>-35.689623599999997</v>
      </c>
      <c r="L25" s="254">
        <f>SUMIFS(HY!$E287:$AL287,HY!$E$15:$AL$15,FY!L$2)</f>
        <v>-36.760312308000003</v>
      </c>
      <c r="M25" s="254">
        <f>SUMIFS(HY!$E287:$AL287,HY!$E$15:$AL$15,FY!M$2)</f>
        <v>-37.863121677240002</v>
      </c>
      <c r="N25" s="254">
        <f>SUMIFS(HY!$E287:$AL287,HY!$E$15:$AL$15,FY!N$2)</f>
        <v>-38.99901532755721</v>
      </c>
      <c r="O25" s="254">
        <f>SUMIFS(HY!$E287:$AL287,HY!$E$15:$AL$15,FY!O$2)</f>
        <v>-40.168985787383932</v>
      </c>
    </row>
    <row r="26" spans="2:15" s="12" customFormat="1">
      <c r="B26" s="528" t="s">
        <v>4</v>
      </c>
      <c r="C26" s="531">
        <f>SUMIFS(HY!$E288:$AL288,HY!$E$15:$AL$15,FY!C$2)</f>
        <v>-626.6</v>
      </c>
      <c r="D26" s="531">
        <f>SUMIFS(HY!$E288:$AL288,HY!$E$15:$AL$15,FY!D$2)</f>
        <v>-577.4</v>
      </c>
      <c r="E26" s="531">
        <f>SUMIFS(HY!$E288:$AL288,HY!$E$15:$AL$15,FY!E$2)</f>
        <v>-614</v>
      </c>
      <c r="F26" s="531">
        <f>SUMIFS(HY!$E288:$AL288,HY!$E$15:$AL$15,FY!F$2)</f>
        <v>-697.2</v>
      </c>
      <c r="G26" s="531">
        <f>SUMIFS(HY!$E288:$AL288,HY!$E$15:$AL$15,FY!G$2)</f>
        <v>-700.7</v>
      </c>
      <c r="H26" s="531">
        <f>SUMIFS(HY!$E288:$AL288,HY!$E$15:$AL$15,FY!H$2)</f>
        <v>-736.30989999999997</v>
      </c>
      <c r="I26" s="531">
        <f>SUMIFS(HY!$E288:$AL288,HY!$E$15:$AL$15,FY!I$2)</f>
        <v>-786.98446999999987</v>
      </c>
      <c r="J26" s="531">
        <f>SUMIFS(HY!$E288:$AL288,HY!$E$15:$AL$15,FY!J$2)</f>
        <v>-802.80400409999993</v>
      </c>
      <c r="K26" s="531">
        <f>SUMIFS(HY!$E288:$AL288,HY!$E$15:$AL$15,FY!K$2)</f>
        <v>-826.88812422299998</v>
      </c>
      <c r="L26" s="531">
        <f>SUMIFS(HY!$E288:$AL288,HY!$E$15:$AL$15,FY!L$2)</f>
        <v>-845.01750117077506</v>
      </c>
      <c r="M26" s="531">
        <f>SUMIFS(HY!$E288:$AL288,HY!$E$15:$AL$15,FY!M$2)</f>
        <v>-863.55721409140494</v>
      </c>
      <c r="N26" s="531">
        <f>SUMIFS(HY!$E288:$AL288,HY!$E$15:$AL$15,FY!N$2)</f>
        <v>-882.51690215736403</v>
      </c>
      <c r="O26" s="531">
        <f>SUMIFS(HY!$E288:$AL288,HY!$E$15:$AL$15,FY!O$2)</f>
        <v>-901.90644029816622</v>
      </c>
    </row>
    <row r="27" spans="2:15" s="12" customFormat="1">
      <c r="B27" s="528"/>
      <c r="C27" s="531"/>
      <c r="D27" s="531"/>
      <c r="E27" s="531"/>
      <c r="F27" s="531"/>
      <c r="G27" s="531"/>
      <c r="H27" s="849">
        <f>H26/G26-1</f>
        <v>5.0820465249036495E-2</v>
      </c>
      <c r="I27" s="531"/>
      <c r="J27" s="531"/>
      <c r="K27" s="531"/>
      <c r="L27" s="531"/>
      <c r="M27" s="531"/>
      <c r="N27" s="531"/>
      <c r="O27" s="531"/>
    </row>
    <row r="28" spans="2:15" s="12" customFormat="1">
      <c r="B28" s="528"/>
      <c r="C28" s="531"/>
      <c r="D28" s="531"/>
      <c r="E28" s="531"/>
      <c r="F28" s="531"/>
      <c r="G28" s="531"/>
      <c r="H28" s="849">
        <f>(H23+H24)/(G23+G24)-1</f>
        <v>3.4122877122877204E-2</v>
      </c>
      <c r="I28" s="849">
        <f>(I23+I24)/(H23+H24)-1</f>
        <v>2.921650670243392E-2</v>
      </c>
      <c r="J28" s="531"/>
      <c r="K28" s="531"/>
      <c r="L28" s="531"/>
      <c r="M28" s="531"/>
      <c r="N28" s="531"/>
      <c r="O28" s="531"/>
    </row>
    <row r="29" spans="2:15" s="12" customFormat="1">
      <c r="B29" s="528"/>
      <c r="C29" s="531"/>
      <c r="D29" s="531"/>
      <c r="E29" s="531"/>
      <c r="F29" s="531"/>
      <c r="G29" s="531"/>
      <c r="H29" s="531"/>
      <c r="I29" s="531"/>
      <c r="J29" s="531"/>
      <c r="K29" s="531"/>
      <c r="L29" s="531"/>
      <c r="M29" s="531"/>
      <c r="N29" s="531"/>
      <c r="O29" s="531"/>
    </row>
    <row r="30" spans="2:15">
      <c r="B30" s="527" t="s">
        <v>1226</v>
      </c>
      <c r="C30" s="254">
        <f>SUMIFS(HY!$E292:$AL292,HY!$E$15:$AL$15,FY!C$2)</f>
        <v>287</v>
      </c>
      <c r="D30" s="254">
        <f>SUMIFS(HY!$E292:$AL292,HY!$E$15:$AL$15,FY!D$2)</f>
        <v>308</v>
      </c>
      <c r="E30" s="254">
        <f>SUMIFS(HY!$E292:$AL292,HY!$E$15:$AL$15,FY!E$2)</f>
        <v>251.2</v>
      </c>
      <c r="F30" s="254">
        <f>SUMIFS(HY!$E292:$AL292,HY!$E$15:$AL$15,FY!F$2)</f>
        <v>329.1</v>
      </c>
      <c r="G30" s="254">
        <f>SUMIFS(HY!$E292:$AL292,HY!$E$15:$AL$15,FY!G$2)</f>
        <v>361.8</v>
      </c>
      <c r="H30" s="254">
        <f>SUMIFS(HY!$E292:$AL292,HY!$E$15:$AL$15,FY!H$2)</f>
        <v>390.48893499775005</v>
      </c>
      <c r="I30" s="254">
        <f>SUMIFS(HY!$E292:$AL292,HY!$E$15:$AL$15,FY!I$2)</f>
        <v>379.2673630323751</v>
      </c>
      <c r="J30" s="254">
        <f>SUMIFS(HY!$E292:$AL292,HY!$E$15:$AL$15,FY!J$2)</f>
        <v>369.21394977472295</v>
      </c>
      <c r="K30" s="254">
        <f>SUMIFS(HY!$E292:$AL292,HY!$E$15:$AL$15,FY!K$2)</f>
        <v>372.35660372400287</v>
      </c>
      <c r="L30" s="254">
        <f>SUMIFS(HY!$E292:$AL292,HY!$E$15:$AL$15,FY!L$2)</f>
        <v>374.30406903583457</v>
      </c>
      <c r="M30" s="254">
        <f>SUMIFS(HY!$E292:$AL292,HY!$E$15:$AL$15,FY!M$2)</f>
        <v>376.60127623838764</v>
      </c>
      <c r="N30" s="254">
        <f>SUMIFS(HY!$E292:$AL292,HY!$E$15:$AL$15,FY!N$2)</f>
        <v>379.25981076913735</v>
      </c>
      <c r="O30" s="254">
        <f>SUMIFS(HY!$E292:$AL292,HY!$E$15:$AL$15,FY!O$2)</f>
        <v>382.29167482407729</v>
      </c>
    </row>
    <row r="31" spans="2:15">
      <c r="B31" s="527" t="s">
        <v>1227</v>
      </c>
      <c r="C31" s="254">
        <f>SUMIFS(HY!$E293:$AL293,HY!$E$15:$AL$15,FY!C$2)</f>
        <v>73.2</v>
      </c>
      <c r="D31" s="254">
        <f>SUMIFS(HY!$E293:$AL293,HY!$E$15:$AL$15,FY!D$2)</f>
        <v>83.1</v>
      </c>
      <c r="E31" s="254">
        <f>SUMIFS(HY!$E293:$AL293,HY!$E$15:$AL$15,FY!E$2)</f>
        <v>59</v>
      </c>
      <c r="F31" s="254">
        <f>SUMIFS(HY!$E293:$AL293,HY!$E$15:$AL$15,FY!F$2)</f>
        <v>62.4</v>
      </c>
      <c r="G31" s="254">
        <f>SUMIFS(HY!$E293:$AL293,HY!$E$15:$AL$15,FY!G$2)</f>
        <v>69.900000000000006</v>
      </c>
      <c r="H31" s="254">
        <f>SUMIFS(HY!$E293:$AL293,HY!$E$15:$AL$15,FY!H$2)</f>
        <v>70.731129477196873</v>
      </c>
      <c r="I31" s="254">
        <f>SUMIFS(HY!$E293:$AL293,HY!$E$15:$AL$15,FY!I$2)</f>
        <v>72.499407714126775</v>
      </c>
      <c r="J31" s="254">
        <f>SUMIFS(HY!$E293:$AL293,HY!$E$15:$AL$15,FY!J$2)</f>
        <v>74.674389945550587</v>
      </c>
      <c r="K31" s="254">
        <f>SUMIFS(HY!$E293:$AL293,HY!$E$15:$AL$15,FY!K$2)</f>
        <v>76.914621643917101</v>
      </c>
      <c r="L31" s="254">
        <f>SUMIFS(HY!$E293:$AL293,HY!$E$15:$AL$15,FY!L$2)</f>
        <v>79.222060293234605</v>
      </c>
      <c r="M31" s="254">
        <f>SUMIFS(HY!$E293:$AL293,HY!$E$15:$AL$15,FY!M$2)</f>
        <v>81.598722102031658</v>
      </c>
      <c r="N31" s="254">
        <f>SUMIFS(HY!$E293:$AL293,HY!$E$15:$AL$15,FY!N$2)</f>
        <v>84.04668376509261</v>
      </c>
      <c r="O31" s="254">
        <f>SUMIFS(HY!$E293:$AL293,HY!$E$15:$AL$15,FY!O$2)</f>
        <v>86.568084278045376</v>
      </c>
    </row>
    <row r="32" spans="2:15">
      <c r="B32" s="527" t="s">
        <v>1630</v>
      </c>
      <c r="C32" s="254">
        <f>SUMIFS(HY!$E294:$AL294,HY!$E$15:$AL$15,FY!C$2)</f>
        <v>0</v>
      </c>
      <c r="D32" s="254">
        <f>SUMIFS(HY!$E294:$AL294,HY!$E$15:$AL$15,FY!D$2)</f>
        <v>0</v>
      </c>
      <c r="E32" s="254">
        <f>SUMIFS(HY!$E294:$AL294,HY!$E$15:$AL$15,FY!E$2)</f>
        <v>0</v>
      </c>
      <c r="F32" s="254">
        <f>SUMIFS(HY!$E294:$AL294,HY!$E$15:$AL$15,FY!F$2)</f>
        <v>0</v>
      </c>
      <c r="G32" s="254">
        <f>SUMIFS(HY!$E294:$AL294,HY!$E$15:$AL$15,FY!G$2)</f>
        <v>0</v>
      </c>
      <c r="H32" s="254">
        <f>SUMIFS(HY!$E294:$AL294,HY!$E$15:$AL$15,FY!H$2)</f>
        <v>5.1999999999999993</v>
      </c>
      <c r="I32" s="254">
        <f>SUMIFS(HY!$E294:$AL294,HY!$E$15:$AL$15,FY!I$2)</f>
        <v>33.878999999999998</v>
      </c>
      <c r="J32" s="254">
        <f>SUMIFS(HY!$E294:$AL294,HY!$E$15:$AL$15,FY!J$2)</f>
        <v>50.475369999999998</v>
      </c>
      <c r="K32" s="254">
        <f>SUMIFS(HY!$E294:$AL294,HY!$E$15:$AL$15,FY!K$2)</f>
        <v>51.989631100000004</v>
      </c>
      <c r="L32" s="254">
        <f>SUMIFS(HY!$E294:$AL294,HY!$E$15:$AL$15,FY!L$2)</f>
        <v>53.549320032999994</v>
      </c>
      <c r="M32" s="254">
        <f>SUMIFS(HY!$E294:$AL294,HY!$E$15:$AL$15,FY!M$2)</f>
        <v>55.155799633989993</v>
      </c>
      <c r="N32" s="254">
        <f>SUMIFS(HY!$E294:$AL294,HY!$E$15:$AL$15,FY!N$2)</f>
        <v>56.810473623009685</v>
      </c>
      <c r="O32" s="254">
        <f>SUMIFS(HY!$E294:$AL294,HY!$E$15:$AL$15,FY!O$2)</f>
        <v>58.514787831699977</v>
      </c>
    </row>
    <row r="33" spans="1:16" s="12" customFormat="1">
      <c r="B33" s="528" t="s">
        <v>983</v>
      </c>
      <c r="C33" s="531">
        <f>SUMIFS(HY!$E295:$AL295,HY!$E$15:$AL$15,FY!C$2)</f>
        <v>360.6</v>
      </c>
      <c r="D33" s="531">
        <f>SUMIFS(HY!$E295:$AL295,HY!$E$15:$AL$15,FY!D$2)</f>
        <v>391</v>
      </c>
      <c r="E33" s="531">
        <f>SUMIFS(HY!$E295:$AL295,HY!$E$15:$AL$15,FY!E$2)</f>
        <v>317.7</v>
      </c>
      <c r="F33" s="531">
        <f>SUMIFS(HY!$E295:$AL295,HY!$E$15:$AL$15,FY!F$2)</f>
        <v>391.5</v>
      </c>
      <c r="G33" s="531">
        <f>SUMIFS(HY!$E295:$AL295,HY!$E$15:$AL$15,FY!G$2)</f>
        <v>431.7</v>
      </c>
      <c r="H33" s="531">
        <f>SUMIFS(HY!$E295:$AL295,HY!$E$15:$AL$15,FY!H$2)</f>
        <v>466.42006447494691</v>
      </c>
      <c r="I33" s="531">
        <f>SUMIFS(HY!$E295:$AL295,HY!$E$15:$AL$15,FY!I$2)</f>
        <v>485.64577074650185</v>
      </c>
      <c r="J33" s="531">
        <f>SUMIFS(HY!$E295:$AL295,HY!$E$15:$AL$15,FY!J$2)</f>
        <v>494.3637097202735</v>
      </c>
      <c r="K33" s="531">
        <f>SUMIFS(HY!$E295:$AL295,HY!$E$15:$AL$15,FY!K$2)</f>
        <v>501.26085646792001</v>
      </c>
      <c r="L33" s="531">
        <f>SUMIFS(HY!$E295:$AL295,HY!$E$15:$AL$15,FY!L$2)</f>
        <v>507.07544936206921</v>
      </c>
      <c r="M33" s="531">
        <f>SUMIFS(HY!$E295:$AL295,HY!$E$15:$AL$15,FY!M$2)</f>
        <v>513.35579797440937</v>
      </c>
      <c r="N33" s="531">
        <f>SUMIFS(HY!$E295:$AL295,HY!$E$15:$AL$15,FY!N$2)</f>
        <v>520.11696815723963</v>
      </c>
      <c r="O33" s="531">
        <f>SUMIFS(HY!$E295:$AL295,HY!$E$15:$AL$15,FY!O$2)</f>
        <v>527.37454693382267</v>
      </c>
    </row>
    <row r="34" spans="1:16">
      <c r="B34" s="251"/>
      <c r="C34" s="250"/>
      <c r="D34" s="250"/>
      <c r="E34" s="250"/>
      <c r="F34" s="250"/>
      <c r="G34" s="250"/>
      <c r="H34" s="250"/>
      <c r="I34" s="250"/>
      <c r="J34" s="250"/>
      <c r="K34" s="250"/>
      <c r="L34" s="250"/>
      <c r="M34" s="250"/>
      <c r="N34" s="250"/>
      <c r="O34" s="250"/>
    </row>
    <row r="35" spans="1:16">
      <c r="B35" s="251" t="s">
        <v>886</v>
      </c>
      <c r="C35" s="250">
        <f>C33-SUM(C11,C16,C26)</f>
        <v>1.1000000000001364</v>
      </c>
      <c r="D35" s="250">
        <f t="shared" ref="D35:O35" si="4">D33-SUM(D11,D16,D26)</f>
        <v>0.20000000000015916</v>
      </c>
      <c r="E35" s="250">
        <f t="shared" si="4"/>
        <v>-0.89999999999992042</v>
      </c>
      <c r="F35" s="250">
        <f t="shared" si="4"/>
        <v>0</v>
      </c>
      <c r="G35" s="250">
        <f t="shared" si="4"/>
        <v>-5.1159076974727213E-13</v>
      </c>
      <c r="H35" s="250">
        <f t="shared" si="4"/>
        <v>0</v>
      </c>
      <c r="I35" s="250">
        <f t="shared" si="4"/>
        <v>0</v>
      </c>
      <c r="J35" s="250">
        <f t="shared" si="4"/>
        <v>0</v>
      </c>
      <c r="K35" s="250">
        <f t="shared" si="4"/>
        <v>0</v>
      </c>
      <c r="L35" s="250">
        <f t="shared" si="4"/>
        <v>0</v>
      </c>
      <c r="M35" s="250">
        <f t="shared" si="4"/>
        <v>0</v>
      </c>
      <c r="N35" s="250">
        <f t="shared" si="4"/>
        <v>0</v>
      </c>
      <c r="O35" s="250">
        <f t="shared" si="4"/>
        <v>0</v>
      </c>
    </row>
    <row r="36" spans="1:16">
      <c r="B36" s="251"/>
      <c r="C36" s="250"/>
      <c r="D36" s="250"/>
      <c r="E36" s="250"/>
      <c r="F36" s="250"/>
      <c r="G36" s="250"/>
      <c r="H36" s="250"/>
      <c r="I36" s="250"/>
      <c r="J36" s="250"/>
      <c r="K36" s="250"/>
      <c r="L36" s="250"/>
      <c r="M36" s="250"/>
      <c r="N36" s="250"/>
      <c r="O36" s="250"/>
    </row>
    <row r="37" spans="1:16" s="12" customFormat="1">
      <c r="B37" s="528"/>
      <c r="C37" s="531"/>
      <c r="D37" s="531"/>
      <c r="E37" s="531"/>
      <c r="F37" s="531"/>
      <c r="G37" s="531"/>
      <c r="H37" s="531"/>
      <c r="I37" s="531"/>
      <c r="J37" s="531"/>
      <c r="K37" s="531"/>
      <c r="L37" s="531"/>
      <c r="M37" s="531"/>
      <c r="N37" s="531"/>
      <c r="O37" s="531"/>
    </row>
    <row r="38" spans="1:16" outlineLevel="1">
      <c r="A38" s="9" t="s">
        <v>971</v>
      </c>
      <c r="B38" s="532" t="s">
        <v>1091</v>
      </c>
      <c r="C38" s="533" t="str">
        <f>C$4</f>
        <v>2022A</v>
      </c>
      <c r="D38" s="533" t="str">
        <f t="shared" ref="D38:O38" si="5">D$4</f>
        <v>2023A</v>
      </c>
      <c r="E38" s="533" t="str">
        <f t="shared" si="5"/>
        <v>2024E</v>
      </c>
      <c r="F38" s="533" t="str">
        <f t="shared" si="5"/>
        <v>2025E</v>
      </c>
      <c r="G38" s="533" t="str">
        <f t="shared" si="5"/>
        <v>2026E</v>
      </c>
      <c r="H38" s="533" t="str">
        <f t="shared" si="5"/>
        <v>2027E</v>
      </c>
      <c r="I38" s="533" t="str">
        <f t="shared" si="5"/>
        <v>2028E</v>
      </c>
      <c r="J38" s="533" t="str">
        <f t="shared" si="5"/>
        <v>2029E</v>
      </c>
      <c r="K38" s="533" t="str">
        <f t="shared" si="5"/>
        <v>2030E</v>
      </c>
      <c r="L38" s="533" t="str">
        <f t="shared" si="5"/>
        <v>2031E</v>
      </c>
      <c r="M38" s="533" t="str">
        <f t="shared" si="5"/>
        <v>2032E</v>
      </c>
      <c r="N38" s="533" t="str">
        <f t="shared" si="5"/>
        <v>2033E</v>
      </c>
      <c r="O38" s="533" t="str">
        <f t="shared" si="5"/>
        <v>2034E</v>
      </c>
    </row>
    <row r="39" spans="1:16" outlineLevel="1">
      <c r="B39" s="538" t="s">
        <v>69</v>
      </c>
      <c r="C39" s="254">
        <f t="shared" ref="C39:O39" si="6">C11</f>
        <v>2377.3000000000002</v>
      </c>
      <c r="D39" s="254">
        <f t="shared" si="6"/>
        <v>2434.4</v>
      </c>
      <c r="E39" s="254">
        <f t="shared" si="6"/>
        <v>2338.9</v>
      </c>
      <c r="F39" s="254">
        <f t="shared" si="6"/>
        <v>2614.6</v>
      </c>
      <c r="G39" s="254">
        <f t="shared" si="6"/>
        <v>2636.3</v>
      </c>
      <c r="H39" s="254">
        <f t="shared" si="6"/>
        <v>2746.9683164500002</v>
      </c>
      <c r="I39" s="254">
        <f t="shared" si="6"/>
        <v>2846.857735525</v>
      </c>
      <c r="J39" s="254">
        <f t="shared" si="6"/>
        <v>2878.0066722777797</v>
      </c>
      <c r="K39" s="254">
        <f t="shared" si="6"/>
        <v>2944.2613925879818</v>
      </c>
      <c r="L39" s="254">
        <f t="shared" si="6"/>
        <v>2992.334805052195</v>
      </c>
      <c r="M39" s="254">
        <f t="shared" si="6"/>
        <v>3042.2498441834691</v>
      </c>
      <c r="N39" s="254">
        <f t="shared" si="6"/>
        <v>3094.0577645388848</v>
      </c>
      <c r="O39" s="254">
        <f t="shared" si="6"/>
        <v>3147.8113982546638</v>
      </c>
    </row>
    <row r="40" spans="1:16" outlineLevel="1">
      <c r="B40" s="538" t="s">
        <v>5</v>
      </c>
      <c r="C40" s="254">
        <v>0</v>
      </c>
      <c r="D40" s="254">
        <v>0</v>
      </c>
      <c r="E40" s="254">
        <v>0</v>
      </c>
      <c r="F40" s="254">
        <v>0</v>
      </c>
      <c r="G40" s="254">
        <v>0</v>
      </c>
      <c r="H40" s="254">
        <v>0</v>
      </c>
      <c r="I40" s="254">
        <v>0</v>
      </c>
      <c r="J40" s="254">
        <v>0</v>
      </c>
      <c r="K40" s="254">
        <v>0</v>
      </c>
      <c r="L40" s="254">
        <v>0</v>
      </c>
      <c r="M40" s="254">
        <v>0</v>
      </c>
      <c r="N40" s="254">
        <v>0</v>
      </c>
      <c r="O40" s="254">
        <v>0</v>
      </c>
      <c r="P40" s="10"/>
    </row>
    <row r="41" spans="1:16" outlineLevel="1">
      <c r="B41" s="498" t="s">
        <v>991</v>
      </c>
      <c r="C41" s="500" t="s">
        <v>991</v>
      </c>
      <c r="D41" s="500" t="s">
        <v>991</v>
      </c>
      <c r="E41" s="500" t="s">
        <v>991</v>
      </c>
      <c r="F41" s="500" t="s">
        <v>991</v>
      </c>
      <c r="G41" s="500" t="s">
        <v>991</v>
      </c>
      <c r="H41" s="500" t="s">
        <v>991</v>
      </c>
      <c r="I41" s="500" t="s">
        <v>991</v>
      </c>
      <c r="J41" s="500" t="s">
        <v>991</v>
      </c>
      <c r="K41" s="500" t="s">
        <v>991</v>
      </c>
      <c r="L41" s="500" t="s">
        <v>991</v>
      </c>
      <c r="M41" s="500" t="s">
        <v>991</v>
      </c>
      <c r="N41" s="500" t="s">
        <v>991</v>
      </c>
      <c r="O41" s="500" t="s">
        <v>991</v>
      </c>
    </row>
    <row r="42" spans="1:16" s="12" customFormat="1" outlineLevel="1">
      <c r="B42" s="537" t="s">
        <v>70</v>
      </c>
      <c r="C42" s="531">
        <f t="shared" ref="C42:O42" si="7">C40+C39</f>
        <v>2377.3000000000002</v>
      </c>
      <c r="D42" s="531">
        <f t="shared" si="7"/>
        <v>2434.4</v>
      </c>
      <c r="E42" s="531">
        <f t="shared" si="7"/>
        <v>2338.9</v>
      </c>
      <c r="F42" s="531">
        <f t="shared" si="7"/>
        <v>2614.6</v>
      </c>
      <c r="G42" s="531">
        <f t="shared" si="7"/>
        <v>2636.3</v>
      </c>
      <c r="H42" s="531">
        <f t="shared" si="7"/>
        <v>2746.9683164500002</v>
      </c>
      <c r="I42" s="531">
        <f t="shared" si="7"/>
        <v>2846.857735525</v>
      </c>
      <c r="J42" s="531">
        <f t="shared" si="7"/>
        <v>2878.0066722777797</v>
      </c>
      <c r="K42" s="531">
        <f t="shared" si="7"/>
        <v>2944.2613925879818</v>
      </c>
      <c r="L42" s="531">
        <f t="shared" si="7"/>
        <v>2992.334805052195</v>
      </c>
      <c r="M42" s="531">
        <f t="shared" si="7"/>
        <v>3042.2498441834691</v>
      </c>
      <c r="N42" s="531">
        <f t="shared" si="7"/>
        <v>3094.0577645388848</v>
      </c>
      <c r="O42" s="531">
        <f t="shared" si="7"/>
        <v>3147.8113982546638</v>
      </c>
    </row>
    <row r="43" spans="1:16" outlineLevel="1">
      <c r="B43" s="538" t="s">
        <v>6</v>
      </c>
      <c r="C43" s="254">
        <f t="shared" ref="C43:O43" si="8">C46-C44-C42</f>
        <v>-1390.1000000000001</v>
      </c>
      <c r="D43" s="254">
        <f t="shared" si="8"/>
        <v>-1466</v>
      </c>
      <c r="E43" s="254">
        <f t="shared" si="8"/>
        <v>-1407.2</v>
      </c>
      <c r="F43" s="254">
        <f t="shared" si="8"/>
        <v>-1525.8999999999999</v>
      </c>
      <c r="G43" s="254">
        <f t="shared" si="8"/>
        <v>-1503.9</v>
      </c>
      <c r="H43" s="254">
        <f t="shared" si="8"/>
        <v>-1544.2383519750533</v>
      </c>
      <c r="I43" s="254">
        <f t="shared" si="8"/>
        <v>-1574.2274947784981</v>
      </c>
      <c r="J43" s="254">
        <f t="shared" si="8"/>
        <v>-1580.8389584575061</v>
      </c>
      <c r="K43" s="254">
        <f t="shared" si="8"/>
        <v>-1616.112411897062</v>
      </c>
      <c r="L43" s="254">
        <f t="shared" si="8"/>
        <v>-1640.2418545193507</v>
      </c>
      <c r="M43" s="254">
        <f t="shared" si="8"/>
        <v>-1665.3368321176549</v>
      </c>
      <c r="N43" s="254">
        <f t="shared" si="8"/>
        <v>-1691.4238942242812</v>
      </c>
      <c r="O43" s="254">
        <f t="shared" si="8"/>
        <v>-1718.5304110226748</v>
      </c>
    </row>
    <row r="44" spans="1:16" outlineLevel="1">
      <c r="B44" s="538" t="s">
        <v>71</v>
      </c>
      <c r="C44" s="254">
        <f>SUMIFS(HY!$E288:$AL288,HY!$E$15:$AL$15,FY!C$2)</f>
        <v>-626.6</v>
      </c>
      <c r="D44" s="254">
        <f>SUMIFS(HY!$E288:$AL288,HY!$E$15:$AL$15,FY!D$2)</f>
        <v>-577.4</v>
      </c>
      <c r="E44" s="254">
        <f>SUMIFS(HY!$E288:$AL288,HY!$E$15:$AL$15,FY!E$2)</f>
        <v>-614</v>
      </c>
      <c r="F44" s="254">
        <f>SUMIFS(HY!$E288:$AL288,HY!$E$15:$AL$15,FY!F$2)</f>
        <v>-697.2</v>
      </c>
      <c r="G44" s="254">
        <f>SUMIFS(HY!$E288:$AL288,HY!$E$15:$AL$15,FY!G$2)</f>
        <v>-700.7</v>
      </c>
      <c r="H44" s="254">
        <f>SUMIFS(HY!$E288:$AL288,HY!$E$15:$AL$15,FY!H$2)</f>
        <v>-736.30989999999997</v>
      </c>
      <c r="I44" s="254">
        <f>SUMIFS(HY!$E288:$AL288,HY!$E$15:$AL$15,FY!I$2)</f>
        <v>-786.98446999999987</v>
      </c>
      <c r="J44" s="254">
        <f>SUMIFS(HY!$E288:$AL288,HY!$E$15:$AL$15,FY!J$2)</f>
        <v>-802.80400409999993</v>
      </c>
      <c r="K44" s="254">
        <f>SUMIFS(HY!$E288:$AL288,HY!$E$15:$AL$15,FY!K$2)</f>
        <v>-826.88812422299998</v>
      </c>
      <c r="L44" s="254">
        <f>SUMIFS(HY!$E288:$AL288,HY!$E$15:$AL$15,FY!L$2)</f>
        <v>-845.01750117077506</v>
      </c>
      <c r="M44" s="254">
        <f>SUMIFS(HY!$E288:$AL288,HY!$E$15:$AL$15,FY!M$2)</f>
        <v>-863.55721409140494</v>
      </c>
      <c r="N44" s="254">
        <f>SUMIFS(HY!$E288:$AL288,HY!$E$15:$AL$15,FY!N$2)</f>
        <v>-882.51690215736403</v>
      </c>
      <c r="O44" s="254">
        <f>SUMIFS(HY!$E288:$AL288,HY!$E$15:$AL$15,FY!O$2)</f>
        <v>-901.90644029816622</v>
      </c>
    </row>
    <row r="45" spans="1:16" outlineLevel="1">
      <c r="B45" s="498" t="s">
        <v>991</v>
      </c>
      <c r="C45" s="500" t="s">
        <v>991</v>
      </c>
      <c r="D45" s="500" t="s">
        <v>991</v>
      </c>
      <c r="E45" s="500" t="s">
        <v>991</v>
      </c>
      <c r="F45" s="500" t="s">
        <v>991</v>
      </c>
      <c r="G45" s="500" t="s">
        <v>991</v>
      </c>
      <c r="H45" s="500" t="s">
        <v>991</v>
      </c>
      <c r="I45" s="500" t="s">
        <v>991</v>
      </c>
      <c r="J45" s="500" t="s">
        <v>991</v>
      </c>
      <c r="K45" s="500" t="s">
        <v>991</v>
      </c>
      <c r="L45" s="500" t="s">
        <v>991</v>
      </c>
      <c r="M45" s="500" t="s">
        <v>991</v>
      </c>
      <c r="N45" s="500" t="s">
        <v>991</v>
      </c>
      <c r="O45" s="500" t="s">
        <v>991</v>
      </c>
    </row>
    <row r="46" spans="1:16" s="12" customFormat="1" outlineLevel="1">
      <c r="B46" s="537" t="s">
        <v>2</v>
      </c>
      <c r="C46" s="531">
        <f t="shared" ref="C46:O46" si="9">C33</f>
        <v>360.6</v>
      </c>
      <c r="D46" s="531">
        <f t="shared" si="9"/>
        <v>391</v>
      </c>
      <c r="E46" s="531">
        <f t="shared" si="9"/>
        <v>317.7</v>
      </c>
      <c r="F46" s="531">
        <f t="shared" si="9"/>
        <v>391.5</v>
      </c>
      <c r="G46" s="531">
        <f t="shared" si="9"/>
        <v>431.7</v>
      </c>
      <c r="H46" s="531">
        <f t="shared" si="9"/>
        <v>466.42006447494691</v>
      </c>
      <c r="I46" s="531">
        <f t="shared" si="9"/>
        <v>485.64577074650185</v>
      </c>
      <c r="J46" s="531">
        <f t="shared" si="9"/>
        <v>494.3637097202735</v>
      </c>
      <c r="K46" s="531">
        <f t="shared" si="9"/>
        <v>501.26085646792001</v>
      </c>
      <c r="L46" s="531">
        <f t="shared" si="9"/>
        <v>507.07544936206921</v>
      </c>
      <c r="M46" s="531">
        <f t="shared" si="9"/>
        <v>513.35579797440937</v>
      </c>
      <c r="N46" s="531">
        <f t="shared" si="9"/>
        <v>520.11696815723963</v>
      </c>
      <c r="O46" s="531">
        <f t="shared" si="9"/>
        <v>527.37454693382267</v>
      </c>
    </row>
    <row r="47" spans="1:16" outlineLevel="1">
      <c r="B47" s="538" t="s">
        <v>48</v>
      </c>
      <c r="C47" s="254">
        <f>SUMIFS(HY!$E301:$AL301,HY!$E$15:$AL$15,FY!C$2)</f>
        <v>-286.39999999999998</v>
      </c>
      <c r="D47" s="254">
        <f>SUMIFS(HY!$E301:$AL301,HY!$E$15:$AL$15,FY!D$2)</f>
        <v>-240.5</v>
      </c>
      <c r="E47" s="254">
        <f>SUMIFS(HY!$E301:$AL301,HY!$E$15:$AL$15,FY!E$2)</f>
        <v>-220.3</v>
      </c>
      <c r="F47" s="254">
        <f>SUMIFS(HY!$E301:$AL301,HY!$E$15:$AL$15,FY!F$2)</f>
        <v>-202.8</v>
      </c>
      <c r="G47" s="254">
        <f>SUMIFS(HY!$E301:$AL301,HY!$E$15:$AL$15,FY!G$2)</f>
        <v>-213</v>
      </c>
      <c r="H47" s="254">
        <f>SUMIFS(HY!$E301:$AL301,HY!$E$15:$AL$15,FY!H$2)</f>
        <v>-228.39999999999964</v>
      </c>
      <c r="I47" s="254">
        <f>SUMIFS(HY!$E301:$AL301,HY!$E$15:$AL$15,FY!I$2)</f>
        <v>-223.39999999999964</v>
      </c>
      <c r="J47" s="254">
        <f>SUMIFS(HY!$E301:$AL301,HY!$E$15:$AL$15,FY!J$2)</f>
        <v>-225.19597381526398</v>
      </c>
      <c r="K47" s="254">
        <f>SUMIFS(HY!$E301:$AL301,HY!$E$15:$AL$15,FY!K$2)</f>
        <v>-215.35471019044775</v>
      </c>
      <c r="L47" s="254">
        <f>SUMIFS(HY!$E301:$AL301,HY!$E$15:$AL$15,FY!L$2)</f>
        <v>-208.32140194825044</v>
      </c>
      <c r="M47" s="254">
        <f>SUMIFS(HY!$E301:$AL301,HY!$E$15:$AL$15,FY!M$2)</f>
        <v>-203.76337018421489</v>
      </c>
      <c r="N47" s="254">
        <f>SUMIFS(HY!$E301:$AL301,HY!$E$15:$AL$15,FY!N$2)</f>
        <v>-201.03343767708526</v>
      </c>
      <c r="O47" s="254">
        <f>SUMIFS(HY!$E301:$AL301,HY!$E$15:$AL$15,FY!O$2)</f>
        <v>-199.66010795270577</v>
      </c>
    </row>
    <row r="48" spans="1:16" outlineLevel="1">
      <c r="B48" s="498" t="s">
        <v>991</v>
      </c>
      <c r="C48" s="500" t="s">
        <v>991</v>
      </c>
      <c r="D48" s="500" t="s">
        <v>991</v>
      </c>
      <c r="E48" s="500" t="s">
        <v>991</v>
      </c>
      <c r="F48" s="500" t="s">
        <v>991</v>
      </c>
      <c r="G48" s="500" t="s">
        <v>991</v>
      </c>
      <c r="H48" s="500" t="s">
        <v>991</v>
      </c>
      <c r="I48" s="500" t="s">
        <v>991</v>
      </c>
      <c r="J48" s="500" t="s">
        <v>991</v>
      </c>
      <c r="K48" s="500" t="s">
        <v>991</v>
      </c>
      <c r="L48" s="500" t="s">
        <v>991</v>
      </c>
      <c r="M48" s="500" t="s">
        <v>991</v>
      </c>
      <c r="N48" s="500" t="s">
        <v>991</v>
      </c>
      <c r="O48" s="500" t="s">
        <v>991</v>
      </c>
    </row>
    <row r="49" spans="1:16" s="12" customFormat="1" outlineLevel="1">
      <c r="B49" s="537" t="s">
        <v>10</v>
      </c>
      <c r="C49" s="531">
        <f>SUMIFS(HY!$E311:$AL311,HY!$E$15:$AL$15,FY!C$2)</f>
        <v>74.2</v>
      </c>
      <c r="D49" s="531">
        <f>SUMIFS(HY!$E311:$AL311,HY!$E$15:$AL$15,FY!D$2)</f>
        <v>150.5</v>
      </c>
      <c r="E49" s="531">
        <f>SUMIFS(HY!$E311:$AL311,HY!$E$15:$AL$15,FY!E$2)</f>
        <v>97.4</v>
      </c>
      <c r="F49" s="531">
        <f>SUMIFS(HY!$E311:$AL311,HY!$E$15:$AL$15,FY!F$2)</f>
        <v>188.7</v>
      </c>
      <c r="G49" s="531">
        <f>SUMIFS(HY!$E311:$AL311,HY!$E$15:$AL$15,FY!G$2)</f>
        <v>218.7</v>
      </c>
      <c r="H49" s="531">
        <f>SUMIFS(HY!$E311:$AL311,HY!$E$15:$AL$15,FY!H$2)</f>
        <v>238.02006447494725</v>
      </c>
      <c r="I49" s="531">
        <f>SUMIFS(HY!$E311:$AL311,HY!$E$15:$AL$15,FY!I$2)</f>
        <v>262.24577074650222</v>
      </c>
      <c r="J49" s="531">
        <f>SUMIFS(HY!$E311:$AL311,HY!$E$15:$AL$15,FY!J$2)</f>
        <v>269.16773590500952</v>
      </c>
      <c r="K49" s="531">
        <f>SUMIFS(HY!$E311:$AL311,HY!$E$15:$AL$15,FY!K$2)</f>
        <v>285.9061462774722</v>
      </c>
      <c r="L49" s="531">
        <f>SUMIFS(HY!$E311:$AL311,HY!$E$15:$AL$15,FY!L$2)</f>
        <v>298.75404741381874</v>
      </c>
      <c r="M49" s="531">
        <f>SUMIFS(HY!$E311:$AL311,HY!$E$15:$AL$15,FY!M$2)</f>
        <v>309.59242779019445</v>
      </c>
      <c r="N49" s="531">
        <f>SUMIFS(HY!$E311:$AL311,HY!$E$15:$AL$15,FY!N$2)</f>
        <v>319.08353048015442</v>
      </c>
      <c r="O49" s="531">
        <f>SUMIFS(HY!$E311:$AL311,HY!$E$15:$AL$15,FY!O$2)</f>
        <v>327.71443898111687</v>
      </c>
    </row>
    <row r="50" spans="1:16" outlineLevel="1">
      <c r="B50" s="538" t="s">
        <v>1080</v>
      </c>
      <c r="C50" s="254">
        <f>SUMIFS(HY!$E318:$AL318,HY!$E$15:$AL$15,FY!C$2)</f>
        <v>0</v>
      </c>
      <c r="D50" s="254">
        <f>SUMIFS(HY!$E318:$AL318,HY!$E$15:$AL$15,FY!D$2)</f>
        <v>-32.5</v>
      </c>
      <c r="E50" s="254">
        <f>SUMIFS(HY!$E318:$AL318,HY!$E$15:$AL$15,FY!E$2)</f>
        <v>-42.2</v>
      </c>
      <c r="F50" s="254">
        <f>SUMIFS(HY!$E318:$AL318,HY!$E$15:$AL$15,FY!F$2)</f>
        <v>-91.5</v>
      </c>
      <c r="G50" s="254">
        <f>SUMIFS(HY!$E318:$AL318,HY!$E$15:$AL$15,FY!G$2)</f>
        <v>-86.2</v>
      </c>
      <c r="H50" s="254">
        <f>SUMIFS(HY!$E318:$AL318,HY!$E$15:$AL$15,FY!H$2)</f>
        <v>-87.439530078163997</v>
      </c>
      <c r="I50" s="254">
        <f>SUMIFS(HY!$E318:$AL318,HY!$E$15:$AL$15,FY!I$2)</f>
        <v>-94.00824065173947</v>
      </c>
      <c r="J50" s="254">
        <f>SUMIFS(HY!$E318:$AL318,HY!$E$15:$AL$15,FY!J$2)</f>
        <v>-93.699704180586792</v>
      </c>
      <c r="K50" s="254">
        <f>SUMIFS(HY!$E318:$AL318,HY!$E$15:$AL$15,FY!K$2)</f>
        <v>-90.858558835964288</v>
      </c>
      <c r="L50" s="254">
        <f>SUMIFS(HY!$E318:$AL318,HY!$E$15:$AL$15,FY!L$2)</f>
        <v>-85.684866651067949</v>
      </c>
      <c r="M50" s="254">
        <f>SUMIFS(HY!$E318:$AL318,HY!$E$15:$AL$15,FY!M$2)</f>
        <v>-82.174395722590972</v>
      </c>
      <c r="N50" s="254">
        <f>SUMIFS(HY!$E318:$AL318,HY!$E$15:$AL$15,FY!N$2)</f>
        <v>-76.894334497383142</v>
      </c>
      <c r="O50" s="254">
        <f>SUMIFS(HY!$E318:$AL318,HY!$E$15:$AL$15,FY!O$2)</f>
        <v>-71.383154253968314</v>
      </c>
    </row>
    <row r="51" spans="1:16" outlineLevel="1">
      <c r="B51" s="538" t="s">
        <v>74</v>
      </c>
      <c r="C51" s="254">
        <f>SUMIFS(HY!$E$600:$AL$600,HY!$E$15:$AL$15,FY!C$2)</f>
        <v>0</v>
      </c>
      <c r="D51" s="254">
        <f>SUMIFS(HY!$E$600:$AL$600,HY!$E$15:$AL$15,FY!D$2)</f>
        <v>-2.7</v>
      </c>
      <c r="E51" s="254">
        <f>SUMIFS(HY!$E$600:$AL$600,HY!$E$15:$AL$15,FY!E$2)</f>
        <v>-3.2</v>
      </c>
      <c r="F51" s="254">
        <f>SUMIFS(HY!$E$600:$AL$600,HY!$E$15:$AL$15,FY!F$2)</f>
        <v>3.8</v>
      </c>
      <c r="G51" s="254">
        <f>SUMIFS(HY!$E$600:$AL$600,HY!$E$15:$AL$15,FY!G$2)</f>
        <v>-3</v>
      </c>
      <c r="H51" s="254">
        <f>SUMIFS(HY!$E$600:$AL$600,HY!$E$15:$AL$15,FY!H$2)</f>
        <v>1</v>
      </c>
      <c r="I51" s="254">
        <f>SUMIFS(HY!$E$600:$AL$600,HY!$E$15:$AL$15,FY!I$2)</f>
        <v>12</v>
      </c>
      <c r="J51" s="254">
        <f>SUMIFS(HY!$E$600:$AL$600,HY!$E$15:$AL$15,FY!J$2)</f>
        <v>22</v>
      </c>
      <c r="K51" s="254">
        <f>SUMIFS(HY!$E$600:$AL$600,HY!$E$15:$AL$15,FY!K$2)</f>
        <v>30</v>
      </c>
      <c r="L51" s="254">
        <f>SUMIFS(HY!$E$600:$AL$600,HY!$E$15:$AL$15,FY!L$2)</f>
        <v>30.9</v>
      </c>
      <c r="M51" s="254">
        <f>SUMIFS(HY!$E$600:$AL$600,HY!$E$15:$AL$15,FY!M$2)</f>
        <v>31.826999999999998</v>
      </c>
      <c r="N51" s="254">
        <f>SUMIFS(HY!$E$600:$AL$600,HY!$E$15:$AL$15,FY!N$2)</f>
        <v>32.78181</v>
      </c>
      <c r="O51" s="254">
        <f>SUMIFS(HY!$E$600:$AL$600,HY!$E$15:$AL$15,FY!O$2)</f>
        <v>33.765264300000005</v>
      </c>
    </row>
    <row r="52" spans="1:16" outlineLevel="1">
      <c r="B52" s="498" t="s">
        <v>991</v>
      </c>
      <c r="C52" s="500" t="s">
        <v>991</v>
      </c>
      <c r="D52" s="500" t="s">
        <v>991</v>
      </c>
      <c r="E52" s="500" t="s">
        <v>991</v>
      </c>
      <c r="F52" s="500" t="s">
        <v>991</v>
      </c>
      <c r="G52" s="500" t="s">
        <v>991</v>
      </c>
      <c r="H52" s="500" t="s">
        <v>991</v>
      </c>
      <c r="I52" s="500" t="s">
        <v>991</v>
      </c>
      <c r="J52" s="500" t="s">
        <v>991</v>
      </c>
      <c r="K52" s="500" t="s">
        <v>991</v>
      </c>
      <c r="L52" s="500" t="s">
        <v>991</v>
      </c>
      <c r="M52" s="500" t="s">
        <v>991</v>
      </c>
      <c r="N52" s="500" t="s">
        <v>991</v>
      </c>
      <c r="O52" s="500" t="s">
        <v>991</v>
      </c>
    </row>
    <row r="53" spans="1:16" outlineLevel="1">
      <c r="B53" s="538" t="s">
        <v>13</v>
      </c>
      <c r="C53" s="254"/>
      <c r="D53" s="254">
        <f>SUMIFS(HY!$E320:$AL320,HY!$E$15:$AL$15,FY!D$2)</f>
        <v>115.3</v>
      </c>
      <c r="E53" s="254">
        <f>SUMIFS(HY!$E320:$AL320,HY!$E$15:$AL$15,FY!E$2)</f>
        <v>52.000000000000007</v>
      </c>
      <c r="F53" s="254">
        <f>SUMIFS(HY!$E320:$AL320,HY!$E$15:$AL$15,FY!F$2)</f>
        <v>100.99999999999999</v>
      </c>
      <c r="G53" s="254">
        <f>SUMIFS(HY!$E320:$AL320,HY!$E$15:$AL$15,FY!G$2)</f>
        <v>129.5</v>
      </c>
      <c r="H53" s="254">
        <f>SUMIFS(HY!$E320:$AL320,HY!$E$15:$AL$15,FY!H$2)</f>
        <v>151.58053439678326</v>
      </c>
      <c r="I53" s="254">
        <f>SUMIFS(HY!$E320:$AL320,HY!$E$15:$AL$15,FY!I$2)</f>
        <v>180.23753009476277</v>
      </c>
      <c r="J53" s="254">
        <f>SUMIFS(HY!$E320:$AL320,HY!$E$15:$AL$15,FY!J$2)</f>
        <v>197.46803172442273</v>
      </c>
      <c r="K53" s="254">
        <f>SUMIFS(HY!$E320:$AL320,HY!$E$15:$AL$15,FY!K$2)</f>
        <v>225.04758744150791</v>
      </c>
      <c r="L53" s="254">
        <f>SUMIFS(HY!$E320:$AL320,HY!$E$15:$AL$15,FY!L$2)</f>
        <v>243.96918076275074</v>
      </c>
      <c r="M53" s="254">
        <f>SUMIFS(HY!$E320:$AL320,HY!$E$15:$AL$15,FY!M$2)</f>
        <v>259.24503206760346</v>
      </c>
      <c r="N53" s="254">
        <f>SUMIFS(HY!$E320:$AL320,HY!$E$15:$AL$15,FY!N$2)</f>
        <v>274.97100598277126</v>
      </c>
      <c r="O53" s="254">
        <f>SUMIFS(HY!$E320:$AL320,HY!$E$15:$AL$15,FY!O$2)</f>
        <v>290.09654902714851</v>
      </c>
    </row>
    <row r="54" spans="1:16" outlineLevel="1">
      <c r="B54" s="538" t="s">
        <v>14</v>
      </c>
      <c r="C54" s="254"/>
      <c r="D54" s="254">
        <f>SUMIFS(HY!$E322:$AL322,HY!$E$15:$AL$15,FY!D$2)</f>
        <v>-31</v>
      </c>
      <c r="E54" s="254">
        <f>SUMIFS(HY!$E322:$AL322,HY!$E$15:$AL$15,FY!E$2)</f>
        <v>-24</v>
      </c>
      <c r="F54" s="254">
        <f>SUMIFS(HY!$E322:$AL322,HY!$E$15:$AL$15,FY!F$2)</f>
        <v>-51.5</v>
      </c>
      <c r="G54" s="254">
        <f>SUMIFS(HY!$E322:$AL322,HY!$E$15:$AL$15,FY!G$2)</f>
        <v>-58.4</v>
      </c>
      <c r="H54" s="254">
        <f>SUMIFS(HY!$E322:$AL322,HY!$E$15:$AL$15,FY!H$2)</f>
        <v>-61.87027037434585</v>
      </c>
      <c r="I54" s="254">
        <f>SUMIFS(HY!$E322:$AL322,HY!$E$15:$AL$15,FY!I$2)</f>
        <v>-70.149896360044494</v>
      </c>
      <c r="J54" s="254">
        <f>SUMIFS(HY!$E322:$AL322,HY!$E$15:$AL$15,FY!J$2)</f>
        <v>-76.810402931161477</v>
      </c>
      <c r="K54" s="254">
        <f>SUMIFS(HY!$E322:$AL322,HY!$E$15:$AL$15,FY!K$2)</f>
        <v>-87.556330544653889</v>
      </c>
      <c r="L54" s="254">
        <f>SUMIFS(HY!$E322:$AL322,HY!$E$15:$AL$15,FY!L$2)</f>
        <v>-94.927504224036369</v>
      </c>
      <c r="M54" s="254">
        <f>SUMIFS(HY!$E322:$AL322,HY!$E$15:$AL$15,FY!M$2)</f>
        <v>-100.8839579877725</v>
      </c>
      <c r="N54" s="254">
        <f>SUMIFS(HY!$E322:$AL322,HY!$E$15:$AL$15,FY!N$2)</f>
        <v>-107.01455632271853</v>
      </c>
      <c r="O54" s="254">
        <f>SUMIFS(HY!$E322:$AL322,HY!$E$15:$AL$15,FY!O$2)</f>
        <v>-87.028964708144571</v>
      </c>
    </row>
    <row r="55" spans="1:16" s="12" customFormat="1" outlineLevel="1">
      <c r="B55" s="537" t="s">
        <v>15</v>
      </c>
      <c r="C55" s="531"/>
      <c r="D55" s="531">
        <f>SUMIFS(HY!$E328:$AL328,HY!$E$15:$AL$15,FY!D$2)</f>
        <v>84.3</v>
      </c>
      <c r="E55" s="531">
        <f>SUMIFS(HY!$E328:$AL328,HY!$E$15:$AL$15,FY!E$2)</f>
        <v>28</v>
      </c>
      <c r="F55" s="531">
        <f>SUMIFS(HY!$E328:$AL328,HY!$E$15:$AL$15,FY!F$2)</f>
        <v>49.5</v>
      </c>
      <c r="G55" s="531">
        <f>SUMIFS(HY!$E328:$AL328,HY!$E$15:$AL$15,FY!G$2)</f>
        <v>71.099999999999994</v>
      </c>
      <c r="H55" s="531">
        <f>SUMIFS(HY!$E328:$AL328,HY!$E$15:$AL$15,FY!H$2)</f>
        <v>89.7102640224374</v>
      </c>
      <c r="I55" s="531">
        <f>SUMIFS(HY!$E328:$AL328,HY!$E$15:$AL$15,FY!I$2)</f>
        <v>110.08763373471828</v>
      </c>
      <c r="J55" s="531">
        <f>SUMIFS(HY!$E328:$AL328,HY!$E$15:$AL$15,FY!J$2)</f>
        <v>120.65762879326125</v>
      </c>
      <c r="K55" s="531">
        <f>SUMIFS(HY!$E328:$AL328,HY!$E$15:$AL$15,FY!K$2)</f>
        <v>137.49125689685403</v>
      </c>
      <c r="L55" s="531">
        <f>SUMIFS(HY!$E328:$AL328,HY!$E$15:$AL$15,FY!L$2)</f>
        <v>149.0416765387144</v>
      </c>
      <c r="M55" s="531">
        <f>SUMIFS(HY!$E328:$AL328,HY!$E$15:$AL$15,FY!M$2)</f>
        <v>158.36107407983096</v>
      </c>
      <c r="N55" s="531">
        <f>SUMIFS(HY!$E328:$AL328,HY!$E$15:$AL$15,FY!N$2)</f>
        <v>167.95644966005273</v>
      </c>
      <c r="O55" s="531">
        <f>SUMIFS(HY!$E328:$AL328,HY!$E$15:$AL$15,FY!O$2)</f>
        <v>203.06758431900397</v>
      </c>
    </row>
    <row r="56" spans="1:16" outlineLevel="1">
      <c r="B56" s="251" t="s">
        <v>886</v>
      </c>
      <c r="C56" s="250"/>
      <c r="D56" s="250">
        <f t="shared" ref="D56:O56" si="10">D55-SUM(D42,D43,D44,D47,D50,D51,D54)</f>
        <v>-1.1368683772161603E-13</v>
      </c>
      <c r="E56" s="250">
        <f t="shared" si="10"/>
        <v>-2.8421709430404007E-14</v>
      </c>
      <c r="F56" s="250">
        <f t="shared" si="10"/>
        <v>0</v>
      </c>
      <c r="G56" s="250">
        <f t="shared" si="10"/>
        <v>0</v>
      </c>
      <c r="H56" s="250">
        <f t="shared" si="10"/>
        <v>0</v>
      </c>
      <c r="I56" s="250">
        <f t="shared" si="10"/>
        <v>0</v>
      </c>
      <c r="J56" s="250">
        <f t="shared" si="10"/>
        <v>-1.1368683772161603E-13</v>
      </c>
      <c r="K56" s="250">
        <f t="shared" si="10"/>
        <v>0</v>
      </c>
      <c r="L56" s="250">
        <f t="shared" si="10"/>
        <v>0</v>
      </c>
      <c r="M56" s="250">
        <f t="shared" si="10"/>
        <v>0</v>
      </c>
      <c r="N56" s="250">
        <f t="shared" si="10"/>
        <v>0</v>
      </c>
      <c r="O56" s="250">
        <f t="shared" si="10"/>
        <v>0</v>
      </c>
    </row>
    <row r="57" spans="1:16">
      <c r="B57" s="538"/>
      <c r="C57" s="23"/>
      <c r="D57" s="143"/>
      <c r="E57" s="23"/>
      <c r="F57" s="23"/>
      <c r="G57" s="23"/>
      <c r="H57" s="23"/>
      <c r="I57" s="23"/>
      <c r="J57" s="23"/>
      <c r="K57" s="23"/>
      <c r="L57" s="23"/>
      <c r="M57" s="23"/>
      <c r="N57" s="23"/>
      <c r="O57" s="23"/>
    </row>
    <row r="58" spans="1:16">
      <c r="B58" s="537" t="s">
        <v>989</v>
      </c>
      <c r="C58" s="23"/>
      <c r="D58" s="143"/>
      <c r="E58" s="23"/>
      <c r="F58" s="23"/>
      <c r="G58" s="23"/>
      <c r="H58" s="23"/>
      <c r="I58" s="23"/>
      <c r="J58" s="23"/>
      <c r="K58" s="23"/>
      <c r="L58" s="23"/>
      <c r="M58" s="23"/>
      <c r="N58" s="23"/>
      <c r="O58" s="23"/>
    </row>
    <row r="59" spans="1:16">
      <c r="A59" s="9" t="s">
        <v>971</v>
      </c>
      <c r="B59" s="539" t="s">
        <v>16</v>
      </c>
      <c r="C59" s="533" t="str">
        <f>C$4</f>
        <v>2022A</v>
      </c>
      <c r="D59" s="533" t="str">
        <f t="shared" ref="D59:O59" si="11">D$4</f>
        <v>2023A</v>
      </c>
      <c r="E59" s="533" t="str">
        <f t="shared" si="11"/>
        <v>2024E</v>
      </c>
      <c r="F59" s="533" t="str">
        <f t="shared" si="11"/>
        <v>2025E</v>
      </c>
      <c r="G59" s="533" t="str">
        <f t="shared" si="11"/>
        <v>2026E</v>
      </c>
      <c r="H59" s="533" t="str">
        <f t="shared" si="11"/>
        <v>2027E</v>
      </c>
      <c r="I59" s="533" t="str">
        <f t="shared" si="11"/>
        <v>2028E</v>
      </c>
      <c r="J59" s="533" t="str">
        <f t="shared" si="11"/>
        <v>2029E</v>
      </c>
      <c r="K59" s="533" t="str">
        <f t="shared" si="11"/>
        <v>2030E</v>
      </c>
      <c r="L59" s="533" t="str">
        <f t="shared" si="11"/>
        <v>2031E</v>
      </c>
      <c r="M59" s="533" t="str">
        <f t="shared" si="11"/>
        <v>2032E</v>
      </c>
      <c r="N59" s="533" t="str">
        <f t="shared" si="11"/>
        <v>2033E</v>
      </c>
      <c r="O59" s="533" t="str">
        <f t="shared" si="11"/>
        <v>2034E</v>
      </c>
      <c r="P59" s="533" t="s">
        <v>1295</v>
      </c>
    </row>
    <row r="60" spans="1:16">
      <c r="B60" s="538" t="s">
        <v>69</v>
      </c>
      <c r="C60" s="254">
        <f>SUMIFS(HY!$E$585:$AL$585,HY!$E$15:$AL$15,FY!C$2)</f>
        <v>2373.3000000000002</v>
      </c>
      <c r="D60" s="254">
        <f>SUMIFS(HY!$E$585:$AL$585,HY!$E$15:$AL$15,FY!D$2)</f>
        <v>2434.4</v>
      </c>
      <c r="E60" s="254">
        <f>SUMIFS(HY!$E$585:$AL$585,HY!$E$15:$AL$15,FY!E$2)</f>
        <v>2338.9</v>
      </c>
      <c r="F60" s="254">
        <f>SUMIFS(HY!$E$585:$AL$585,HY!$E$15:$AL$15,FY!F$2)</f>
        <v>2614.6</v>
      </c>
      <c r="G60" s="254">
        <f>SUMIFS(HY!$E$585:$AL$585,HY!$E$15:$AL$15,FY!G$2)</f>
        <v>2636.3</v>
      </c>
      <c r="H60" s="254">
        <f>SUMIFS(HY!$E$585:$AL$585,HY!$E$15:$AL$15,FY!H$2)</f>
        <v>2746.9683164500002</v>
      </c>
      <c r="I60" s="254">
        <f>SUMIFS(HY!$E$585:$AL$585,HY!$E$15:$AL$15,FY!I$2)</f>
        <v>2846.857735525</v>
      </c>
      <c r="J60" s="254">
        <f>SUMIFS(HY!$E$585:$AL$585,HY!$E$15:$AL$15,FY!J$2)</f>
        <v>2878.0066722777797</v>
      </c>
      <c r="K60" s="254">
        <f>SUMIFS(HY!$E$585:$AL$585,HY!$E$15:$AL$15,FY!K$2)</f>
        <v>2944.2613925879818</v>
      </c>
      <c r="L60" s="254">
        <f>SUMIFS(HY!$E$585:$AL$585,HY!$E$15:$AL$15,FY!L$2)</f>
        <v>2992.334805052195</v>
      </c>
      <c r="M60" s="254">
        <f>SUMIFS(HY!$E$585:$AL$585,HY!$E$15:$AL$15,FY!M$2)</f>
        <v>3042.2498441834691</v>
      </c>
      <c r="N60" s="254">
        <f>SUMIFS(HY!$E$585:$AL$585,HY!$E$15:$AL$15,FY!N$2)</f>
        <v>3094.0577645388848</v>
      </c>
      <c r="O60" s="254">
        <f>SUMIFS(HY!$E$585:$AL$585,HY!$E$15:$AL$15,FY!O$2)</f>
        <v>3147.8113982546638</v>
      </c>
      <c r="P60" s="583">
        <f>(H60/E60)^(1/3)-1</f>
        <v>5.5068520611824656E-2</v>
      </c>
    </row>
    <row r="61" spans="1:16">
      <c r="B61" s="538" t="s">
        <v>5</v>
      </c>
      <c r="C61" s="14">
        <f>SUMIFS(HY!$E$586:$AL$586,HY!$E$15:$AL$15,FY!C$2)</f>
        <v>0</v>
      </c>
      <c r="D61" s="14">
        <f>SUMIFS(HY!$E$586:$AL$586,HY!$E$15:$AL$15,FY!D$2)</f>
        <v>0</v>
      </c>
      <c r="E61" s="14">
        <f>SUMIFS(HY!$E$586:$AL$586,HY!$E$15:$AL$15,FY!E$2)</f>
        <v>0</v>
      </c>
      <c r="F61" s="14">
        <f>SUMIFS(HY!$E$586:$AL$586,HY!$E$15:$AL$15,FY!F$2)</f>
        <v>0</v>
      </c>
      <c r="G61" s="14">
        <f>SUMIFS(HY!$E$586:$AL$586,HY!$E$15:$AL$15,FY!G$2)</f>
        <v>0</v>
      </c>
      <c r="H61" s="14">
        <f>SUMIFS(HY!$E$586:$AL$586,HY!$E$15:$AL$15,FY!H$2)</f>
        <v>0</v>
      </c>
      <c r="I61" s="14">
        <f>SUMIFS(HY!$E$586:$AL$586,HY!$E$15:$AL$15,FY!I$2)</f>
        <v>0</v>
      </c>
      <c r="J61" s="14">
        <f>SUMIFS(HY!$E$586:$AL$586,HY!$E$15:$AL$15,FY!J$2)</f>
        <v>0</v>
      </c>
      <c r="K61" s="14">
        <f>SUMIFS(HY!$E$586:$AL$586,HY!$E$15:$AL$15,FY!K$2)</f>
        <v>0</v>
      </c>
      <c r="L61" s="14">
        <f>SUMIFS(HY!$E$586:$AL$586,HY!$E$15:$AL$15,FY!L$2)</f>
        <v>0</v>
      </c>
      <c r="M61" s="14">
        <f>SUMIFS(HY!$E$586:$AL$586,HY!$E$15:$AL$15,FY!M$2)</f>
        <v>0</v>
      </c>
      <c r="N61" s="14">
        <f>SUMIFS(HY!$E$586:$AL$586,HY!$E$15:$AL$15,FY!N$2)</f>
        <v>0</v>
      </c>
      <c r="O61" s="14">
        <f>SUMIFS(HY!$E$586:$AL$586,HY!$E$15:$AL$15,FY!O$2)</f>
        <v>0</v>
      </c>
    </row>
    <row r="62" spans="1:16">
      <c r="B62" s="498" t="s">
        <v>991</v>
      </c>
      <c r="C62" s="500" t="s">
        <v>991</v>
      </c>
      <c r="D62" s="500" t="s">
        <v>991</v>
      </c>
      <c r="E62" s="500" t="s">
        <v>991</v>
      </c>
      <c r="F62" s="500" t="s">
        <v>991</v>
      </c>
      <c r="G62" s="500" t="s">
        <v>991</v>
      </c>
      <c r="H62" s="500" t="s">
        <v>991</v>
      </c>
      <c r="I62" s="500" t="s">
        <v>991</v>
      </c>
      <c r="J62" s="500" t="s">
        <v>991</v>
      </c>
      <c r="K62" s="500" t="s">
        <v>991</v>
      </c>
      <c r="L62" s="500" t="s">
        <v>991</v>
      </c>
      <c r="M62" s="500" t="s">
        <v>991</v>
      </c>
      <c r="N62" s="500" t="s">
        <v>991</v>
      </c>
      <c r="O62" s="500" t="s">
        <v>991</v>
      </c>
    </row>
    <row r="63" spans="1:16" s="12" customFormat="1">
      <c r="B63" s="537" t="s">
        <v>70</v>
      </c>
      <c r="C63" s="531">
        <f t="shared" ref="C63:O63" si="12">C61+C60</f>
        <v>2373.3000000000002</v>
      </c>
      <c r="D63" s="531">
        <f t="shared" si="12"/>
        <v>2434.4</v>
      </c>
      <c r="E63" s="531">
        <f t="shared" si="12"/>
        <v>2338.9</v>
      </c>
      <c r="F63" s="531">
        <f t="shared" si="12"/>
        <v>2614.6</v>
      </c>
      <c r="G63" s="531">
        <f t="shared" si="12"/>
        <v>2636.3</v>
      </c>
      <c r="H63" s="531">
        <f t="shared" si="12"/>
        <v>2746.9683164500002</v>
      </c>
      <c r="I63" s="531">
        <f t="shared" si="12"/>
        <v>2846.857735525</v>
      </c>
      <c r="J63" s="531">
        <f t="shared" si="12"/>
        <v>2878.0066722777797</v>
      </c>
      <c r="K63" s="531">
        <f t="shared" si="12"/>
        <v>2944.2613925879818</v>
      </c>
      <c r="L63" s="531">
        <f t="shared" si="12"/>
        <v>2992.334805052195</v>
      </c>
      <c r="M63" s="531">
        <f t="shared" si="12"/>
        <v>3042.2498441834691</v>
      </c>
      <c r="N63" s="531">
        <f t="shared" si="12"/>
        <v>3094.0577645388848</v>
      </c>
      <c r="O63" s="531">
        <f t="shared" si="12"/>
        <v>3147.8113982546638</v>
      </c>
      <c r="P63" s="583">
        <f>(H63/E63)^(1/3)-1</f>
        <v>5.5068520611824656E-2</v>
      </c>
    </row>
    <row r="64" spans="1:16">
      <c r="B64" s="538" t="s">
        <v>6</v>
      </c>
      <c r="C64" s="254">
        <f>SUMIFS(HY!$E$587:$AL$587,HY!$E$15:$AL$15,FY!C$2)</f>
        <v>-1392.1000000000001</v>
      </c>
      <c r="D64" s="254">
        <f>SUMIFS(HY!$E$587:$AL$587,HY!$E$15:$AL$15,FY!D$2)</f>
        <v>-1466.2000000000003</v>
      </c>
      <c r="E64" s="254">
        <f>SUMIFS(HY!$E$587:$AL$587,HY!$E$15:$AL$15,FY!E$2)</f>
        <v>-1406.3000000000002</v>
      </c>
      <c r="F64" s="254">
        <f>SUMIFS(HY!$E$587:$AL$587,HY!$E$15:$AL$15,FY!F$2)</f>
        <v>-1525.9</v>
      </c>
      <c r="G64" s="254">
        <f>SUMIFS(HY!$E$587:$AL$587,HY!$E$15:$AL$15,FY!G$2)</f>
        <v>-1503.8999999999996</v>
      </c>
      <c r="H64" s="254">
        <f>SUMIFS(HY!$E$587:$AL$587,HY!$E$15:$AL$15,FY!H$2)</f>
        <v>-1544.2383519750533</v>
      </c>
      <c r="I64" s="254">
        <f>SUMIFS(HY!$E$587:$AL$587,HY!$E$15:$AL$15,FY!I$2)</f>
        <v>-1574.2274947784981</v>
      </c>
      <c r="J64" s="254">
        <f>SUMIFS(HY!$E$587:$AL$587,HY!$E$15:$AL$15,FY!J$2)</f>
        <v>-1580.8389584575061</v>
      </c>
      <c r="K64" s="254">
        <f>SUMIFS(HY!$E$587:$AL$587,HY!$E$15:$AL$15,FY!K$2)</f>
        <v>-1616.1124118970617</v>
      </c>
      <c r="L64" s="254">
        <f>SUMIFS(HY!$E$587:$AL$587,HY!$E$15:$AL$15,FY!L$2)</f>
        <v>-1640.2418545193509</v>
      </c>
      <c r="M64" s="254">
        <f>SUMIFS(HY!$E$587:$AL$587,HY!$E$15:$AL$15,FY!M$2)</f>
        <v>-1665.3368321176549</v>
      </c>
      <c r="N64" s="254">
        <f>SUMIFS(HY!$E$587:$AL$587,HY!$E$15:$AL$15,FY!N$2)</f>
        <v>-1691.423894224281</v>
      </c>
      <c r="O64" s="254">
        <f>SUMIFS(HY!$E$587:$AL$587,HY!$E$15:$AL$15,FY!O$2)</f>
        <v>-1718.5304110226748</v>
      </c>
    </row>
    <row r="65" spans="2:16">
      <c r="B65" s="538" t="s">
        <v>71</v>
      </c>
      <c r="C65" s="254">
        <f>SUMIFS(HY!$E$590:$AL$590,HY!$E$15:$AL$15,FY!C$2)</f>
        <v>-599.6</v>
      </c>
      <c r="D65" s="254">
        <f>SUMIFS(HY!$E$590:$AL$590,HY!$E$15:$AL$15,FY!D$2)</f>
        <v>-577.4</v>
      </c>
      <c r="E65" s="254">
        <f>SUMIFS(HY!$E$590:$AL$590,HY!$E$15:$AL$15,FY!E$2)</f>
        <v>-614</v>
      </c>
      <c r="F65" s="254">
        <f>SUMIFS(HY!$E$590:$AL$590,HY!$E$15:$AL$15,FY!F$2)</f>
        <v>-697.2</v>
      </c>
      <c r="G65" s="254">
        <f>SUMIFS(HY!$E$590:$AL$590,HY!$E$15:$AL$15,FY!G$2)</f>
        <v>-700.7</v>
      </c>
      <c r="H65" s="254">
        <f>SUMIFS(HY!$E$590:$AL$590,HY!$E$15:$AL$15,FY!H$2)</f>
        <v>-736.30989999999997</v>
      </c>
      <c r="I65" s="254">
        <f>SUMIFS(HY!$E$590:$AL$590,HY!$E$15:$AL$15,FY!I$2)</f>
        <v>-786.98446999999987</v>
      </c>
      <c r="J65" s="254">
        <f>SUMIFS(HY!$E$590:$AL$590,HY!$E$15:$AL$15,FY!J$2)</f>
        <v>-802.80400409999993</v>
      </c>
      <c r="K65" s="254">
        <f>SUMIFS(HY!$E$590:$AL$590,HY!$E$15:$AL$15,FY!K$2)</f>
        <v>-826.88812422299998</v>
      </c>
      <c r="L65" s="254">
        <f>SUMIFS(HY!$E$590:$AL$590,HY!$E$15:$AL$15,FY!L$2)</f>
        <v>-845.01750117077506</v>
      </c>
      <c r="M65" s="254">
        <f>SUMIFS(HY!$E$590:$AL$590,HY!$E$15:$AL$15,FY!M$2)</f>
        <v>-863.55721409140494</v>
      </c>
      <c r="N65" s="254">
        <f>SUMIFS(HY!$E$590:$AL$590,HY!$E$15:$AL$15,FY!N$2)</f>
        <v>-882.51690215736403</v>
      </c>
      <c r="O65" s="254">
        <f>SUMIFS(HY!$E$590:$AL$590,HY!$E$15:$AL$15,FY!O$2)</f>
        <v>-901.90644029816622</v>
      </c>
    </row>
    <row r="66" spans="2:16">
      <c r="B66" s="498" t="s">
        <v>991</v>
      </c>
      <c r="C66" s="500" t="s">
        <v>991</v>
      </c>
      <c r="D66" s="500" t="s">
        <v>991</v>
      </c>
      <c r="E66" s="500" t="s">
        <v>991</v>
      </c>
      <c r="F66" s="500" t="s">
        <v>991</v>
      </c>
      <c r="G66" s="500" t="s">
        <v>991</v>
      </c>
      <c r="H66" s="500" t="s">
        <v>991</v>
      </c>
      <c r="I66" s="500" t="s">
        <v>991</v>
      </c>
      <c r="J66" s="500" t="s">
        <v>991</v>
      </c>
      <c r="K66" s="500" t="s">
        <v>991</v>
      </c>
      <c r="L66" s="500" t="s">
        <v>991</v>
      </c>
      <c r="M66" s="500" t="s">
        <v>991</v>
      </c>
      <c r="N66" s="500" t="s">
        <v>991</v>
      </c>
      <c r="O66" s="500" t="s">
        <v>991</v>
      </c>
    </row>
    <row r="67" spans="2:16" s="12" customFormat="1">
      <c r="B67" s="537" t="s">
        <v>2</v>
      </c>
      <c r="C67" s="531">
        <f>SUMIFS(HY!$E$592:$AL$592,HY!$E$15:$AL$15,FY!C$2)</f>
        <v>381.6</v>
      </c>
      <c r="D67" s="531">
        <f>SUMIFS(HY!$E$592:$AL$592,HY!$E$15:$AL$15,FY!D$2)</f>
        <v>391</v>
      </c>
      <c r="E67" s="531">
        <f>SUMIFS(HY!$E$592:$AL$592,HY!$E$15:$AL$15,FY!E$2)</f>
        <v>317.7</v>
      </c>
      <c r="F67" s="531">
        <f>SUMIFS(HY!$E$592:$AL$592,HY!$E$15:$AL$15,FY!F$2)</f>
        <v>391.5</v>
      </c>
      <c r="G67" s="531">
        <f>SUMIFS(HY!$E$592:$AL$592,HY!$E$15:$AL$15,FY!G$2)</f>
        <v>431.7</v>
      </c>
      <c r="H67" s="531">
        <f>SUMIFS(HY!$E$592:$AL$592,HY!$E$15:$AL$15,FY!H$2)</f>
        <v>466.42006447494691</v>
      </c>
      <c r="I67" s="531">
        <f>SUMIFS(HY!$E$592:$AL$592,HY!$E$15:$AL$15,FY!I$2)</f>
        <v>485.64577074650185</v>
      </c>
      <c r="J67" s="531">
        <f>SUMIFS(HY!$E$592:$AL$592,HY!$E$15:$AL$15,FY!J$2)</f>
        <v>494.3637097202735</v>
      </c>
      <c r="K67" s="531">
        <f>SUMIFS(HY!$E$592:$AL$592,HY!$E$15:$AL$15,FY!K$2)</f>
        <v>501.26085646792001</v>
      </c>
      <c r="L67" s="531">
        <f>SUMIFS(HY!$E$592:$AL$592,HY!$E$15:$AL$15,FY!L$2)</f>
        <v>507.07544936206921</v>
      </c>
      <c r="M67" s="531">
        <f>SUMIFS(HY!$E$592:$AL$592,HY!$E$15:$AL$15,FY!M$2)</f>
        <v>513.35579797440937</v>
      </c>
      <c r="N67" s="531">
        <f>SUMIFS(HY!$E$592:$AL$592,HY!$E$15:$AL$15,FY!N$2)</f>
        <v>520.11696815723963</v>
      </c>
      <c r="O67" s="531">
        <f>SUMIFS(HY!$E$592:$AL$592,HY!$E$15:$AL$15,FY!O$2)</f>
        <v>527.37454693382267</v>
      </c>
      <c r="P67" s="583">
        <f>(H67/E67)^(1/3)-1</f>
        <v>0.13654508955833022</v>
      </c>
    </row>
    <row r="68" spans="2:16">
      <c r="B68" s="538" t="s">
        <v>8</v>
      </c>
      <c r="C68" s="254">
        <f>SUMIFS(HY!$E593:$AL593,HY!$E$15:$AL$15,FY!C$2)</f>
        <v>-84.500000000000028</v>
      </c>
      <c r="D68" s="254">
        <f>SUMIFS(HY!$E593:$AL593,HY!$E$15:$AL$15,FY!D$2)</f>
        <v>-82.699999999999989</v>
      </c>
      <c r="E68" s="254">
        <f>SUMIFS(HY!$E593:$AL593,HY!$E$15:$AL$15,FY!E$2)</f>
        <v>-71.099999999999994</v>
      </c>
      <c r="F68" s="254">
        <f>SUMIFS(HY!$E593:$AL593,HY!$E$15:$AL$15,FY!F$2)</f>
        <v>-57.499999999999858</v>
      </c>
      <c r="G68" s="254">
        <f>SUMIFS(HY!$E593:$AL593,HY!$E$15:$AL$15,FY!G$2)</f>
        <v>-58.400000000000148</v>
      </c>
      <c r="H68" s="254">
        <f>SUMIFS(HY!$E593:$AL593,HY!$E$15:$AL$15,FY!H$2)</f>
        <v>-71</v>
      </c>
      <c r="I68" s="254">
        <f>SUMIFS(HY!$E593:$AL593,HY!$E$15:$AL$15,FY!I$2)</f>
        <v>-60</v>
      </c>
      <c r="J68" s="254">
        <f>SUMIFS(HY!$E593:$AL593,HY!$E$15:$AL$15,FY!J$2)</f>
        <v>-59.932982450611235</v>
      </c>
      <c r="K68" s="254">
        <f>SUMIFS(HY!$E593:$AL593,HY!$E$15:$AL$15,FY!K$2)</f>
        <v>-59.430520402963566</v>
      </c>
      <c r="L68" s="254">
        <f>SUMIFS(HY!$E593:$AL593,HY!$E$15:$AL$15,FY!L$2)</f>
        <v>-59.35902895174479</v>
      </c>
      <c r="M68" s="254">
        <f>SUMIFS(HY!$E593:$AL593,HY!$E$15:$AL$15,FY!M$2)</f>
        <v>-59.548090412579569</v>
      </c>
      <c r="N68" s="254">
        <f>SUMIFS(HY!$E593:$AL593,HY!$E$15:$AL$15,FY!N$2)</f>
        <v>-59.941885150359951</v>
      </c>
      <c r="O68" s="254">
        <f>SUMIFS(HY!$E593:$AL593,HY!$E$15:$AL$15,FY!O$2)</f>
        <v>-60.498796435246589</v>
      </c>
    </row>
    <row r="69" spans="2:16">
      <c r="B69" s="538" t="s">
        <v>9</v>
      </c>
      <c r="C69" s="254">
        <f>SUMIFS(HY!$E594:$AL594,HY!$E$15:$AL$15,FY!C$2)</f>
        <v>-201.89999999999998</v>
      </c>
      <c r="D69" s="254">
        <f>SUMIFS(HY!$E594:$AL594,HY!$E$15:$AL$15,FY!D$2)</f>
        <v>-157.80000000000001</v>
      </c>
      <c r="E69" s="254">
        <f>SUMIFS(HY!$E594:$AL594,HY!$E$15:$AL$15,FY!E$2)</f>
        <v>-149.19999999999999</v>
      </c>
      <c r="F69" s="254">
        <f>SUMIFS(HY!$E594:$AL594,HY!$E$15:$AL$15,FY!F$2)</f>
        <v>-145.30000000000013</v>
      </c>
      <c r="G69" s="254">
        <f>SUMIFS(HY!$E594:$AL594,HY!$E$15:$AL$15,FY!G$2)</f>
        <v>-154.59999999999985</v>
      </c>
      <c r="H69" s="254">
        <f>SUMIFS(HY!$E594:$AL594,HY!$E$15:$AL$15,FY!H$2)</f>
        <v>-157.39999999999964</v>
      </c>
      <c r="I69" s="254">
        <f>SUMIFS(HY!$E594:$AL594,HY!$E$15:$AL$15,FY!I$2)</f>
        <v>-163.39999999999964</v>
      </c>
      <c r="J69" s="254">
        <f>SUMIFS(HY!$E594:$AL594,HY!$E$15:$AL$15,FY!J$2)</f>
        <v>-165.26299136465275</v>
      </c>
      <c r="K69" s="254">
        <f>SUMIFS(HY!$E594:$AL594,HY!$E$15:$AL$15,FY!K$2)</f>
        <v>-155.92418978748418</v>
      </c>
      <c r="L69" s="254">
        <f>SUMIFS(HY!$E594:$AL594,HY!$E$15:$AL$15,FY!L$2)</f>
        <v>-148.96237299650565</v>
      </c>
      <c r="M69" s="254">
        <f>SUMIFS(HY!$E594:$AL594,HY!$E$15:$AL$15,FY!M$2)</f>
        <v>-144.21527977163532</v>
      </c>
      <c r="N69" s="254">
        <f>SUMIFS(HY!$E594:$AL594,HY!$E$15:$AL$15,FY!N$2)</f>
        <v>-141.09155252672531</v>
      </c>
      <c r="O69" s="254">
        <f>SUMIFS(HY!$E594:$AL594,HY!$E$15:$AL$15,FY!O$2)</f>
        <v>-139.16131151745921</v>
      </c>
    </row>
    <row r="70" spans="2:16">
      <c r="B70" s="498" t="s">
        <v>991</v>
      </c>
      <c r="C70" s="500" t="s">
        <v>991</v>
      </c>
      <c r="D70" s="500" t="s">
        <v>991</v>
      </c>
      <c r="E70" s="500" t="s">
        <v>991</v>
      </c>
      <c r="F70" s="500" t="s">
        <v>991</v>
      </c>
      <c r="G70" s="500" t="s">
        <v>991</v>
      </c>
      <c r="H70" s="500" t="s">
        <v>991</v>
      </c>
      <c r="I70" s="500" t="s">
        <v>991</v>
      </c>
      <c r="J70" s="500" t="s">
        <v>991</v>
      </c>
      <c r="K70" s="500" t="s">
        <v>991</v>
      </c>
      <c r="L70" s="500" t="s">
        <v>991</v>
      </c>
      <c r="M70" s="500" t="s">
        <v>991</v>
      </c>
      <c r="N70" s="500" t="s">
        <v>991</v>
      </c>
      <c r="O70" s="500" t="s">
        <v>991</v>
      </c>
    </row>
    <row r="71" spans="2:16" s="12" customFormat="1">
      <c r="B71" s="537" t="s">
        <v>10</v>
      </c>
      <c r="C71" s="531">
        <f>SUMIFS(HY!$E$596:$AL$596,HY!$E$15:$AL$15,FY!C$2)</f>
        <v>95.2</v>
      </c>
      <c r="D71" s="531">
        <f>SUMIFS(HY!$E$596:$AL$596,HY!$E$15:$AL$15,FY!D$2)</f>
        <v>150.5</v>
      </c>
      <c r="E71" s="531">
        <f>SUMIFS(HY!$E$596:$AL$596,HY!$E$15:$AL$15,FY!E$2)</f>
        <v>97.4</v>
      </c>
      <c r="F71" s="531">
        <f>SUMIFS(HY!$E$596:$AL$596,HY!$E$15:$AL$15,FY!F$2)</f>
        <v>188.7</v>
      </c>
      <c r="G71" s="531">
        <f>SUMIFS(HY!$E$596:$AL$596,HY!$E$15:$AL$15,FY!G$2)</f>
        <v>218.7</v>
      </c>
      <c r="H71" s="531">
        <f>SUMIFS(HY!$E$596:$AL$596,HY!$E$15:$AL$15,FY!H$2)</f>
        <v>238.02006447494725</v>
      </c>
      <c r="I71" s="531">
        <f>SUMIFS(HY!$E$596:$AL$596,HY!$E$15:$AL$15,FY!I$2)</f>
        <v>262.24577074650222</v>
      </c>
      <c r="J71" s="531">
        <f>SUMIFS(HY!$E$596:$AL$596,HY!$E$15:$AL$15,FY!J$2)</f>
        <v>269.16773590500952</v>
      </c>
      <c r="K71" s="531">
        <f>SUMIFS(HY!$E$596:$AL$596,HY!$E$15:$AL$15,FY!K$2)</f>
        <v>285.9061462774722</v>
      </c>
      <c r="L71" s="531">
        <f>SUMIFS(HY!$E$596:$AL$596,HY!$E$15:$AL$15,FY!L$2)</f>
        <v>298.75404741381874</v>
      </c>
      <c r="M71" s="531">
        <f>SUMIFS(HY!$E$596:$AL$596,HY!$E$15:$AL$15,FY!M$2)</f>
        <v>309.59242779019445</v>
      </c>
      <c r="N71" s="531">
        <f>SUMIFS(HY!$E$596:$AL$596,HY!$E$15:$AL$15,FY!N$2)</f>
        <v>319.08353048015442</v>
      </c>
      <c r="O71" s="531">
        <f>SUMIFS(HY!$E$596:$AL$596,HY!$E$15:$AL$15,FY!O$2)</f>
        <v>327.71443898111687</v>
      </c>
      <c r="P71" s="583">
        <f>(H71/E71)^(1/3)-1</f>
        <v>0.34695019411477657</v>
      </c>
    </row>
    <row r="72" spans="2:16">
      <c r="B72" s="538" t="s">
        <v>12</v>
      </c>
      <c r="C72" s="254">
        <f>SUMIFS(HY!$E$597:$AL$597,HY!$E$15:$AL$15,FY!C$2)</f>
        <v>0.4</v>
      </c>
      <c r="D72" s="254">
        <f>SUMIFS(HY!$E$597:$AL$597,HY!$E$15:$AL$15,FY!D$2)</f>
        <v>4.5999999999999996</v>
      </c>
      <c r="E72" s="254">
        <f>SUMIFS(HY!$E$597:$AL$597,HY!$E$15:$AL$15,FY!E$2)</f>
        <v>17.3</v>
      </c>
      <c r="F72" s="254">
        <f>SUMIFS(HY!$E$597:$AL$597,HY!$E$15:$AL$15,FY!F$2)</f>
        <v>9.5</v>
      </c>
      <c r="G72" s="254">
        <f>SUMIFS(HY!$E$597:$AL$597,HY!$E$15:$AL$15,FY!G$2)</f>
        <v>6.9</v>
      </c>
      <c r="H72" s="254">
        <f>SUMIFS(HY!$E$597:$AL$597,HY!$E$15:$AL$15,FY!H$2)</f>
        <v>9.2146041684113467</v>
      </c>
      <c r="I72" s="254">
        <f>SUMIFS(HY!$E$597:$AL$597,HY!$E$15:$AL$15,FY!I$2)</f>
        <v>7.6651237318221774</v>
      </c>
      <c r="J72" s="254">
        <f>SUMIFS(HY!$E$597:$AL$597,HY!$E$15:$AL$15,FY!J$2)</f>
        <v>9.7832958194132242</v>
      </c>
      <c r="K72" s="254">
        <f>SUMIFS(HY!$E$597:$AL$597,HY!$E$15:$AL$15,FY!K$2)</f>
        <v>12.624441164035709</v>
      </c>
      <c r="L72" s="254">
        <f>SUMIFS(HY!$E$597:$AL$597,HY!$E$15:$AL$15,FY!L$2)</f>
        <v>15.784133348932061</v>
      </c>
      <c r="M72" s="254">
        <f>SUMIFS(HY!$E$597:$AL$597,HY!$E$15:$AL$15,FY!M$2)</f>
        <v>19.479450852751501</v>
      </c>
      <c r="N72" s="254">
        <f>SUMIFS(HY!$E$597:$AL$597,HY!$E$15:$AL$15,FY!N$2)</f>
        <v>24.574665502616867</v>
      </c>
      <c r="O72" s="254">
        <f>SUMIFS(HY!$E$597:$AL$597,HY!$E$15:$AL$15,FY!O$2)</f>
        <v>30.085845746031701</v>
      </c>
    </row>
    <row r="73" spans="2:16">
      <c r="B73" s="538" t="s">
        <v>11</v>
      </c>
      <c r="C73" s="254">
        <f>SUMIFS(HY!$E$598:$AL$598,HY!$E$15:$AL$15,FY!C$2)</f>
        <v>-116.3</v>
      </c>
      <c r="D73" s="254">
        <f>SUMIFS(HY!$E$598:$AL$598,HY!$E$15:$AL$15,FY!D$2)</f>
        <v>-28.4</v>
      </c>
      <c r="E73" s="254">
        <f>SUMIFS(HY!$E$598:$AL$598,HY!$E$15:$AL$15,FY!E$2)</f>
        <v>-40.5</v>
      </c>
      <c r="F73" s="254">
        <f>SUMIFS(HY!$E$598:$AL$598,HY!$E$15:$AL$15,FY!F$2)</f>
        <v>-68.8</v>
      </c>
      <c r="G73" s="254">
        <f>SUMIFS(HY!$E$598:$AL$598,HY!$E$15:$AL$15,FY!G$2)</f>
        <v>-59.300000000000004</v>
      </c>
      <c r="H73" s="254">
        <f>SUMIFS(HY!$E$598:$AL$598,HY!$E$15:$AL$15,FY!H$2)</f>
        <v>-64.654134246575353</v>
      </c>
      <c r="I73" s="254">
        <f>SUMIFS(HY!$E$598:$AL$598,HY!$E$15:$AL$15,FY!I$2)</f>
        <v>-69.673364383561648</v>
      </c>
      <c r="J73" s="254">
        <f>SUMIFS(HY!$E$598:$AL$598,HY!$E$15:$AL$15,FY!J$2)</f>
        <v>-69.483000000000004</v>
      </c>
      <c r="K73" s="254">
        <f>SUMIFS(HY!$E$598:$AL$598,HY!$E$15:$AL$15,FY!K$2)</f>
        <v>-69.483000000000004</v>
      </c>
      <c r="L73" s="254">
        <f>SUMIFS(HY!$E$598:$AL$598,HY!$E$15:$AL$15,FY!L$2)</f>
        <v>-67.469000000000008</v>
      </c>
      <c r="M73" s="254">
        <f>SUMIFS(HY!$E$598:$AL$598,HY!$E$15:$AL$15,FY!M$2)</f>
        <v>-67.65384657534247</v>
      </c>
      <c r="N73" s="254">
        <f>SUMIFS(HY!$E$598:$AL$598,HY!$E$15:$AL$15,FY!N$2)</f>
        <v>-67.469000000000008</v>
      </c>
      <c r="O73" s="254">
        <f>SUMIFS(HY!$E$598:$AL$598,HY!$E$15:$AL$15,FY!O$2)</f>
        <v>-67.469000000000008</v>
      </c>
    </row>
    <row r="74" spans="2:16">
      <c r="B74" s="538" t="s">
        <v>74</v>
      </c>
      <c r="C74" s="254">
        <f>SUMIFS(HY!$E$600:$AL$600,HY!$E$15:$AL$15,FY!C$2)</f>
        <v>0</v>
      </c>
      <c r="D74" s="254">
        <f>SUMIFS(HY!$E$600:$AL$600,HY!$E$15:$AL$15,FY!D$2)</f>
        <v>-2.7</v>
      </c>
      <c r="E74" s="254">
        <f>SUMIFS(HY!$E$600:$AL$600,HY!$E$15:$AL$15,FY!E$2)</f>
        <v>-3.2</v>
      </c>
      <c r="F74" s="254">
        <f>SUMIFS(HY!$E$600:$AL$600,HY!$E$15:$AL$15,FY!F$2)</f>
        <v>3.8</v>
      </c>
      <c r="G74" s="254">
        <f>SUMIFS(HY!$E$600:$AL$600,HY!$E$15:$AL$15,FY!G$2)</f>
        <v>-3</v>
      </c>
      <c r="H74" s="254">
        <f>SUMIFS(HY!$E$600:$AL$600,HY!$E$15:$AL$15,FY!H$2)</f>
        <v>1</v>
      </c>
      <c r="I74" s="254">
        <f>SUMIFS(HY!$E$600:$AL$600,HY!$E$15:$AL$15,FY!I$2)</f>
        <v>12</v>
      </c>
      <c r="J74" s="254">
        <f>SUMIFS(HY!$E$600:$AL$600,HY!$E$15:$AL$15,FY!J$2)</f>
        <v>22</v>
      </c>
      <c r="K74" s="254">
        <f>SUMIFS(HY!$E$600:$AL$600,HY!$E$15:$AL$15,FY!K$2)</f>
        <v>30</v>
      </c>
      <c r="L74" s="254">
        <f>SUMIFS(HY!$E$600:$AL$600,HY!$E$15:$AL$15,FY!L$2)</f>
        <v>30.9</v>
      </c>
      <c r="M74" s="254">
        <f>SUMIFS(HY!$E$600:$AL$600,HY!$E$15:$AL$15,FY!M$2)</f>
        <v>31.826999999999998</v>
      </c>
      <c r="N74" s="254">
        <f>SUMIFS(HY!$E$600:$AL$600,HY!$E$15:$AL$15,FY!N$2)</f>
        <v>32.78181</v>
      </c>
      <c r="O74" s="254">
        <f>SUMIFS(HY!$E$600:$AL$600,HY!$E$15:$AL$15,FY!O$2)</f>
        <v>33.765264300000005</v>
      </c>
    </row>
    <row r="75" spans="2:16">
      <c r="B75" s="538" t="s">
        <v>3</v>
      </c>
      <c r="C75" s="254">
        <f>SUMIFS(HY!$E$599:$AL$599,HY!$E$15:$AL$15,FY!C$2)</f>
        <v>-9.5000000000000178</v>
      </c>
      <c r="D75" s="254">
        <f>SUMIFS(HY!$E$599:$AL$599,HY!$E$15:$AL$15,FY!D$2)</f>
        <v>-8.6999999999999993</v>
      </c>
      <c r="E75" s="254">
        <f>SUMIFS(HY!$E$599:$AL$599,HY!$E$15:$AL$15,FY!E$2)</f>
        <v>-19</v>
      </c>
      <c r="F75" s="254">
        <f>SUMIFS(HY!$E$599:$AL$599,HY!$E$15:$AL$15,FY!F$2)</f>
        <v>-32.200000000000003</v>
      </c>
      <c r="G75" s="254">
        <f>SUMIFS(HY!$E$599:$AL$599,HY!$E$15:$AL$15,FY!G$2)</f>
        <v>-33.799999999999997</v>
      </c>
      <c r="H75" s="254">
        <f>SUMIFS(HY!$E$599:$AL$599,HY!$E$15:$AL$15,FY!H$2)</f>
        <v>-32</v>
      </c>
      <c r="I75" s="254">
        <f>SUMIFS(HY!$E$599:$AL$599,HY!$E$15:$AL$15,FY!I$2)</f>
        <v>-32</v>
      </c>
      <c r="J75" s="254">
        <f>SUMIFS(HY!$E$599:$AL$599,HY!$E$15:$AL$15,FY!J$2)</f>
        <v>-34</v>
      </c>
      <c r="K75" s="254">
        <f>SUMIFS(HY!$E$599:$AL$599,HY!$E$15:$AL$15,FY!K$2)</f>
        <v>-34</v>
      </c>
      <c r="L75" s="254">
        <f>SUMIFS(HY!$E$599:$AL$599,HY!$E$15:$AL$15,FY!L$2)</f>
        <v>-34</v>
      </c>
      <c r="M75" s="254">
        <f>SUMIFS(HY!$E$599:$AL$599,HY!$E$15:$AL$15,FY!M$2)</f>
        <v>-34</v>
      </c>
      <c r="N75" s="254">
        <f>SUMIFS(HY!$E$599:$AL$599,HY!$E$15:$AL$15,FY!N$2)</f>
        <v>-34</v>
      </c>
      <c r="O75" s="254">
        <f>SUMIFS(HY!$E$599:$AL$599,HY!$E$15:$AL$15,FY!O$2)</f>
        <v>-34</v>
      </c>
    </row>
    <row r="76" spans="2:16">
      <c r="B76" s="529" t="s">
        <v>991</v>
      </c>
      <c r="C76" s="500" t="s">
        <v>991</v>
      </c>
      <c r="D76" s="500" t="s">
        <v>991</v>
      </c>
      <c r="E76" s="500" t="s">
        <v>991</v>
      </c>
      <c r="F76" s="500" t="s">
        <v>991</v>
      </c>
      <c r="G76" s="500" t="s">
        <v>991</v>
      </c>
      <c r="H76" s="500" t="s">
        <v>991</v>
      </c>
      <c r="I76" s="500" t="s">
        <v>991</v>
      </c>
      <c r="J76" s="500" t="s">
        <v>991</v>
      </c>
      <c r="K76" s="500" t="s">
        <v>991</v>
      </c>
      <c r="L76" s="500" t="s">
        <v>991</v>
      </c>
      <c r="M76" s="500" t="s">
        <v>991</v>
      </c>
      <c r="N76" s="500" t="s">
        <v>991</v>
      </c>
      <c r="O76" s="500" t="s">
        <v>991</v>
      </c>
    </row>
    <row r="77" spans="2:16">
      <c r="B77" s="538" t="s">
        <v>13</v>
      </c>
      <c r="C77" s="254">
        <f>SUMIFS(HY!$E$602:$AL$602,HY!$E$15:$AL$15,FY!C$2)</f>
        <v>-30.200000000000003</v>
      </c>
      <c r="D77" s="254">
        <f>SUMIFS(HY!$E$602:$AL$602,HY!$E$15:$AL$15,FY!D$2)</f>
        <v>115.3</v>
      </c>
      <c r="E77" s="254">
        <f>SUMIFS(HY!$E$602:$AL$602,HY!$E$15:$AL$15,FY!E$2)</f>
        <v>52.000000000000007</v>
      </c>
      <c r="F77" s="254">
        <f>SUMIFS(HY!$E$602:$AL$602,HY!$E$15:$AL$15,FY!F$2)</f>
        <v>100.99999999999999</v>
      </c>
      <c r="G77" s="254">
        <f>SUMIFS(HY!$E$602:$AL$602,HY!$E$15:$AL$15,FY!G$2)</f>
        <v>129.5</v>
      </c>
      <c r="H77" s="254">
        <f>SUMIFS(HY!$E$602:$AL$602,HY!$E$15:$AL$15,FY!H$2)</f>
        <v>151.58053439678326</v>
      </c>
      <c r="I77" s="254">
        <f>SUMIFS(HY!$E$602:$AL$602,HY!$E$15:$AL$15,FY!I$2)</f>
        <v>180.23753009476277</v>
      </c>
      <c r="J77" s="254">
        <f>SUMIFS(HY!$E$602:$AL$602,HY!$E$15:$AL$15,FY!J$2)</f>
        <v>197.46803172442273</v>
      </c>
      <c r="K77" s="254">
        <f>SUMIFS(HY!$E$602:$AL$602,HY!$E$15:$AL$15,FY!K$2)</f>
        <v>225.04758744150791</v>
      </c>
      <c r="L77" s="254">
        <f>SUMIFS(HY!$E$602:$AL$602,HY!$E$15:$AL$15,FY!L$2)</f>
        <v>243.96918076275074</v>
      </c>
      <c r="M77" s="254">
        <f>SUMIFS(HY!$E$602:$AL$602,HY!$E$15:$AL$15,FY!M$2)</f>
        <v>259.24503206760346</v>
      </c>
      <c r="N77" s="254">
        <f>SUMIFS(HY!$E$602:$AL$602,HY!$E$15:$AL$15,FY!N$2)</f>
        <v>274.97100598277126</v>
      </c>
      <c r="O77" s="254">
        <f>SUMIFS(HY!$E$602:$AL$602,HY!$E$15:$AL$15,FY!O$2)</f>
        <v>290.09654902714851</v>
      </c>
      <c r="P77" s="583">
        <f>(H77/E77)^(1/3)-1</f>
        <v>0.42849929395929731</v>
      </c>
    </row>
    <row r="78" spans="2:16">
      <c r="B78" s="538" t="s">
        <v>14</v>
      </c>
      <c r="C78" s="254">
        <f>SUMIFS(HY!$E$603:$AL$603,HY!$E$15:$AL$15,FY!C$2)</f>
        <v>12.1</v>
      </c>
      <c r="D78" s="254">
        <f>SUMIFS(HY!$E$603:$AL$603,HY!$E$15:$AL$15,FY!D$2)</f>
        <v>-31</v>
      </c>
      <c r="E78" s="254">
        <f>SUMIFS(HY!$E$603:$AL$603,HY!$E$15:$AL$15,FY!E$2)</f>
        <v>-24</v>
      </c>
      <c r="F78" s="254">
        <f>SUMIFS(HY!$E$603:$AL$603,HY!$E$15:$AL$15,FY!F$2)</f>
        <v>-51.5</v>
      </c>
      <c r="G78" s="254">
        <f>SUMIFS(HY!$E$603:$AL$603,HY!$E$15:$AL$15,FY!G$2)</f>
        <v>-58.4</v>
      </c>
      <c r="H78" s="254">
        <f>SUMIFS(HY!$E$603:$AL$603,HY!$E$15:$AL$15,FY!H$2)</f>
        <v>-61.87027037434585</v>
      </c>
      <c r="I78" s="254">
        <f>SUMIFS(HY!$E$603:$AL$603,HY!$E$15:$AL$15,FY!I$2)</f>
        <v>-70.149896360044494</v>
      </c>
      <c r="J78" s="254">
        <f>SUMIFS(HY!$E$603:$AL$603,HY!$E$15:$AL$15,FY!J$2)</f>
        <v>-76.810402931161477</v>
      </c>
      <c r="K78" s="254">
        <f>SUMIFS(HY!$E$603:$AL$603,HY!$E$15:$AL$15,FY!K$2)</f>
        <v>-87.556330544653889</v>
      </c>
      <c r="L78" s="254">
        <f>SUMIFS(HY!$E$603:$AL$603,HY!$E$15:$AL$15,FY!L$2)</f>
        <v>-94.927504224036369</v>
      </c>
      <c r="M78" s="254">
        <f>SUMIFS(HY!$E$603:$AL$603,HY!$E$15:$AL$15,FY!M$2)</f>
        <v>-100.8839579877725</v>
      </c>
      <c r="N78" s="254">
        <f>SUMIFS(HY!$E$603:$AL$603,HY!$E$15:$AL$15,FY!N$2)</f>
        <v>-107.01455632271853</v>
      </c>
      <c r="O78" s="254">
        <f>SUMIFS(HY!$E$603:$AL$603,HY!$E$15:$AL$15,FY!O$2)</f>
        <v>-87.028964708144571</v>
      </c>
    </row>
    <row r="79" spans="2:16">
      <c r="B79" s="538" t="s">
        <v>75</v>
      </c>
      <c r="C79" s="530">
        <f t="shared" ref="C79:K79" si="13">C78/-C77</f>
        <v>0.40066225165562908</v>
      </c>
      <c r="D79" s="530">
        <f t="shared" si="13"/>
        <v>0.26886383347788378</v>
      </c>
      <c r="E79" s="530">
        <f t="shared" si="13"/>
        <v>0.46153846153846145</v>
      </c>
      <c r="F79" s="530">
        <f t="shared" si="13"/>
        <v>0.50990099009901002</v>
      </c>
      <c r="G79" s="530">
        <f t="shared" si="13"/>
        <v>0.45096525096525097</v>
      </c>
      <c r="H79" s="530">
        <f t="shared" si="13"/>
        <v>0.4081676491019075</v>
      </c>
      <c r="I79" s="530">
        <f t="shared" si="13"/>
        <v>0.38920804298173672</v>
      </c>
      <c r="J79" s="530">
        <f t="shared" si="13"/>
        <v>0.38897639410491786</v>
      </c>
      <c r="K79" s="530">
        <f t="shared" si="13"/>
        <v>0.38905696141892943</v>
      </c>
      <c r="L79" s="530">
        <f>L78/-L77</f>
        <v>0.38909629456988332</v>
      </c>
      <c r="M79" s="530">
        <f>M78/-M77</f>
        <v>0.38914519280533383</v>
      </c>
      <c r="N79" s="530">
        <f>N78/-N77</f>
        <v>0.38918487402058566</v>
      </c>
      <c r="O79" s="530">
        <f>O78/-O77</f>
        <v>0.30000000000000004</v>
      </c>
    </row>
    <row r="80" spans="2:16">
      <c r="B80" s="538" t="s">
        <v>990</v>
      </c>
      <c r="C80" s="254">
        <f>SUMIFS(HY!$E$606:$AL$606,HY!$E$15:$AL$15,FY!C$2)</f>
        <v>380.5</v>
      </c>
      <c r="D80" s="254">
        <f>SUMIFS(HY!$E$606:$AL$606,HY!$E$15:$AL$15,FY!D$2)</f>
        <v>0</v>
      </c>
      <c r="E80" s="254">
        <f>SUMIFS(HY!$E$606:$AL$606,HY!$E$15:$AL$15,FY!E$2)</f>
        <v>0</v>
      </c>
      <c r="F80" s="254">
        <f>SUMIFS(HY!$E$606:$AL$606,HY!$E$15:$AL$15,FY!F$2)</f>
        <v>0</v>
      </c>
      <c r="G80" s="254">
        <f>SUMIFS(HY!$E$606:$AL$606,HY!$E$15:$AL$15,FY!G$2)</f>
        <v>0</v>
      </c>
      <c r="H80" s="254">
        <f>SUMIFS(HY!$E$606:$AL$606,HY!$E$15:$AL$15,FY!H$2)</f>
        <v>0</v>
      </c>
      <c r="I80" s="254">
        <f>SUMIFS(HY!$E$606:$AL$606,HY!$E$15:$AL$15,FY!I$2)</f>
        <v>0</v>
      </c>
      <c r="J80" s="254">
        <f>SUMIFS(HY!$E$606:$AL$606,HY!$E$15:$AL$15,FY!J$2)</f>
        <v>0</v>
      </c>
      <c r="K80" s="254">
        <f>SUMIFS(HY!$E$606:$AL$606,HY!$E$15:$AL$15,FY!K$2)</f>
        <v>0</v>
      </c>
      <c r="L80" s="254">
        <f>SUMIFS(HY!$E$606:$AL$606,HY!$E$15:$AL$15,FY!L$2)</f>
        <v>0</v>
      </c>
      <c r="M80" s="254">
        <f>SUMIFS(HY!$E$606:$AL$606,HY!$E$15:$AL$15,FY!M$2)</f>
        <v>0</v>
      </c>
      <c r="N80" s="254">
        <f>SUMIFS(HY!$E$606:$AL$606,HY!$E$15:$AL$15,FY!N$2)</f>
        <v>0</v>
      </c>
      <c r="O80" s="254">
        <f>SUMIFS(HY!$E$606:$AL$606,HY!$E$15:$AL$15,FY!O$2)</f>
        <v>0</v>
      </c>
    </row>
    <row r="81" spans="1:16" s="12" customFormat="1">
      <c r="B81" s="537" t="s">
        <v>15</v>
      </c>
      <c r="C81" s="531">
        <f>SUMIFS(HY!$E$608:$AL$608,HY!$E$15:$AL$15,FY!C$2)</f>
        <v>362.4</v>
      </c>
      <c r="D81" s="531">
        <f>SUMIFS(HY!$E$608:$AL$608,HY!$E$15:$AL$15,FY!D$2)</f>
        <v>84.3</v>
      </c>
      <c r="E81" s="531">
        <f>SUMIFS(HY!$E$608:$AL$608,HY!$E$15:$AL$15,FY!E$2)</f>
        <v>28</v>
      </c>
      <c r="F81" s="531">
        <f>SUMIFS(HY!$E$608:$AL$608,HY!$E$15:$AL$15,FY!F$2)</f>
        <v>49.5</v>
      </c>
      <c r="G81" s="531">
        <f>SUMIFS(HY!$E$608:$AL$608,HY!$E$15:$AL$15,FY!G$2)</f>
        <v>71.099999999999994</v>
      </c>
      <c r="H81" s="531">
        <f>SUMIFS(HY!$E$608:$AL$608,HY!$E$15:$AL$15,FY!H$2)</f>
        <v>89.7102640224374</v>
      </c>
      <c r="I81" s="531">
        <f>SUMIFS(HY!$E$608:$AL$608,HY!$E$15:$AL$15,FY!I$2)</f>
        <v>110.08763373471828</v>
      </c>
      <c r="J81" s="531">
        <f>SUMIFS(HY!$E$608:$AL$608,HY!$E$15:$AL$15,FY!J$2)</f>
        <v>120.65762879326125</v>
      </c>
      <c r="K81" s="531">
        <f>SUMIFS(HY!$E$608:$AL$608,HY!$E$15:$AL$15,FY!K$2)</f>
        <v>137.49125689685403</v>
      </c>
      <c r="L81" s="531">
        <f>SUMIFS(HY!$E$608:$AL$608,HY!$E$15:$AL$15,FY!L$2)</f>
        <v>149.0416765387144</v>
      </c>
      <c r="M81" s="531">
        <f>SUMIFS(HY!$E$608:$AL$608,HY!$E$15:$AL$15,FY!M$2)</f>
        <v>158.36107407983096</v>
      </c>
      <c r="N81" s="531">
        <f>SUMIFS(HY!$E$608:$AL$608,HY!$E$15:$AL$15,FY!N$2)</f>
        <v>167.95644966005273</v>
      </c>
      <c r="O81" s="531">
        <f>SUMIFS(HY!$E$608:$AL$608,HY!$E$15:$AL$15,FY!O$2)</f>
        <v>203.06758431900397</v>
      </c>
      <c r="P81" s="583">
        <f>(H81/E81)^(1/3)-1</f>
        <v>0.47421683995076847</v>
      </c>
    </row>
    <row r="82" spans="1:16" s="12" customFormat="1">
      <c r="B82" s="537" t="s">
        <v>1294</v>
      </c>
      <c r="C82" s="531">
        <f>SUMIFS(HY!$E$609:$AL$609,HY!$E$15:$AL$15,FY!C$2)</f>
        <v>6413.5</v>
      </c>
      <c r="D82" s="531">
        <f>SUMIFS(HY!$E$609:$AL$609,HY!$E$15:$AL$15,FY!D$2)</f>
        <v>-17.800000000000004</v>
      </c>
      <c r="E82" s="531">
        <f>SUMIFS(HY!$E$609:$AL$609,HY!$E$15:$AL$15,FY!E$2)</f>
        <v>-1387.7</v>
      </c>
      <c r="F82" s="531">
        <f>SUMIFS(HY!$E$609:$AL$609,HY!$E$15:$AL$15,FY!F$2)</f>
        <v>-12.899999999999999</v>
      </c>
      <c r="G82" s="531">
        <f>SUMIFS(HY!$E$609:$AL$609,HY!$E$15:$AL$15,FY!G$2)</f>
        <v>-24.799999999999997</v>
      </c>
      <c r="H82" s="531">
        <f>SUMIFS(HY!$E$609:$AL$609,HY!$E$15:$AL$15,FY!H$2)</f>
        <v>-37</v>
      </c>
      <c r="I82" s="531">
        <f>SUMIFS(HY!$E$609:$AL$609,HY!$E$15:$AL$15,FY!I$2)</f>
        <v>-5</v>
      </c>
      <c r="J82" s="531">
        <f>SUMIFS(HY!$E$609:$AL$609,HY!$E$15:$AL$15,FY!J$2)</f>
        <v>0</v>
      </c>
      <c r="K82" s="531">
        <f>SUMIFS(HY!$E$609:$AL$609,HY!$E$15:$AL$15,FY!K$2)</f>
        <v>0</v>
      </c>
      <c r="L82" s="531">
        <f>SUMIFS(HY!$E$609:$AL$609,HY!$E$15:$AL$15,FY!L$2)</f>
        <v>0</v>
      </c>
      <c r="M82" s="531">
        <f>SUMIFS(HY!$E$609:$AL$609,HY!$E$15:$AL$15,FY!M$2)</f>
        <v>0</v>
      </c>
      <c r="N82" s="531">
        <f>SUMIFS(HY!$E$609:$AL$609,HY!$E$15:$AL$15,FY!N$2)</f>
        <v>0</v>
      </c>
      <c r="O82" s="531">
        <f>SUMIFS(HY!$E$609:$AL$609,HY!$E$15:$AL$15,FY!O$2)</f>
        <v>0</v>
      </c>
    </row>
    <row r="83" spans="1:16">
      <c r="B83" s="538" t="s">
        <v>60</v>
      </c>
      <c r="C83" s="254">
        <f t="shared" ref="C83:O83" si="14">SUM(C81:C82)</f>
        <v>6775.9</v>
      </c>
      <c r="D83" s="254">
        <f t="shared" si="14"/>
        <v>66.5</v>
      </c>
      <c r="E83" s="254">
        <f t="shared" si="14"/>
        <v>-1359.7</v>
      </c>
      <c r="F83" s="254">
        <f t="shared" si="14"/>
        <v>36.6</v>
      </c>
      <c r="G83" s="254">
        <f t="shared" si="14"/>
        <v>46.3</v>
      </c>
      <c r="H83" s="254">
        <f t="shared" si="14"/>
        <v>52.7102640224374</v>
      </c>
      <c r="I83" s="254">
        <f t="shared" si="14"/>
        <v>105.08763373471828</v>
      </c>
      <c r="J83" s="254">
        <f t="shared" si="14"/>
        <v>120.65762879326125</v>
      </c>
      <c r="K83" s="254">
        <f t="shared" si="14"/>
        <v>137.49125689685403</v>
      </c>
      <c r="L83" s="254">
        <f t="shared" si="14"/>
        <v>149.0416765387144</v>
      </c>
      <c r="M83" s="254">
        <f t="shared" si="14"/>
        <v>158.36107407983096</v>
      </c>
      <c r="N83" s="254">
        <f t="shared" si="14"/>
        <v>167.95644966005273</v>
      </c>
      <c r="O83" s="254">
        <f t="shared" si="14"/>
        <v>203.06758431900397</v>
      </c>
    </row>
    <row r="84" spans="1:16">
      <c r="B84" s="251"/>
      <c r="C84" s="250"/>
      <c r="D84" s="250"/>
      <c r="E84" s="250"/>
      <c r="F84" s="250"/>
      <c r="G84" s="250"/>
      <c r="H84" s="250"/>
      <c r="I84" s="250"/>
      <c r="J84" s="250"/>
      <c r="K84" s="250"/>
      <c r="L84" s="250"/>
      <c r="M84" s="250"/>
      <c r="N84" s="250"/>
      <c r="O84" s="250"/>
    </row>
    <row r="85" spans="1:16">
      <c r="B85" s="251" t="s">
        <v>886</v>
      </c>
      <c r="C85" s="250">
        <f t="shared" ref="C85:O85" si="15">C81-SUM(C63,C64,C65,C68,C69,C72,C73,C74,C75,C78,C80)</f>
        <v>0</v>
      </c>
      <c r="D85" s="250">
        <f t="shared" si="15"/>
        <v>0.20000000000017337</v>
      </c>
      <c r="E85" s="250">
        <f t="shared" si="15"/>
        <v>-0.89999999999992042</v>
      </c>
      <c r="F85" s="250">
        <f t="shared" si="15"/>
        <v>2.4158453015843406E-13</v>
      </c>
      <c r="G85" s="250">
        <f t="shared" si="15"/>
        <v>-5.1159076974727213E-13</v>
      </c>
      <c r="H85" s="250">
        <f t="shared" si="15"/>
        <v>0</v>
      </c>
      <c r="I85" s="250">
        <f t="shared" si="15"/>
        <v>0</v>
      </c>
      <c r="J85" s="250">
        <f t="shared" si="15"/>
        <v>-1.4210854715202004E-13</v>
      </c>
      <c r="K85" s="250">
        <f t="shared" si="15"/>
        <v>0</v>
      </c>
      <c r="L85" s="250">
        <f t="shared" si="15"/>
        <v>0</v>
      </c>
      <c r="M85" s="250">
        <f t="shared" si="15"/>
        <v>0</v>
      </c>
      <c r="N85" s="250">
        <f t="shared" si="15"/>
        <v>-2.2737367544323206E-13</v>
      </c>
      <c r="O85" s="250">
        <f t="shared" si="15"/>
        <v>0</v>
      </c>
    </row>
    <row r="86" spans="1:16">
      <c r="B86" s="538"/>
      <c r="C86" s="23"/>
      <c r="D86" s="143"/>
      <c r="E86" s="23"/>
      <c r="F86" s="23"/>
      <c r="G86" s="23"/>
      <c r="H86" s="23"/>
      <c r="I86" s="23"/>
      <c r="J86" s="23"/>
      <c r="K86" s="23"/>
      <c r="L86" s="23"/>
      <c r="M86" s="23"/>
      <c r="N86" s="23"/>
      <c r="O86" s="23"/>
    </row>
    <row r="87" spans="1:16">
      <c r="A87" s="9" t="s">
        <v>971</v>
      </c>
      <c r="B87" s="539" t="s">
        <v>76</v>
      </c>
      <c r="C87" s="533" t="str">
        <f>C$4</f>
        <v>2022A</v>
      </c>
      <c r="D87" s="533" t="str">
        <f t="shared" ref="D87:O87" si="16">D$4</f>
        <v>2023A</v>
      </c>
      <c r="E87" s="533" t="str">
        <f t="shared" si="16"/>
        <v>2024E</v>
      </c>
      <c r="F87" s="533" t="str">
        <f t="shared" si="16"/>
        <v>2025E</v>
      </c>
      <c r="G87" s="533" t="str">
        <f t="shared" si="16"/>
        <v>2026E</v>
      </c>
      <c r="H87" s="533" t="str">
        <f t="shared" si="16"/>
        <v>2027E</v>
      </c>
      <c r="I87" s="533" t="str">
        <f t="shared" si="16"/>
        <v>2028E</v>
      </c>
      <c r="J87" s="533" t="str">
        <f t="shared" si="16"/>
        <v>2029E</v>
      </c>
      <c r="K87" s="533" t="str">
        <f t="shared" si="16"/>
        <v>2030E</v>
      </c>
      <c r="L87" s="533" t="str">
        <f t="shared" si="16"/>
        <v>2031E</v>
      </c>
      <c r="M87" s="533" t="str">
        <f t="shared" si="16"/>
        <v>2032E</v>
      </c>
      <c r="N87" s="533" t="str">
        <f t="shared" si="16"/>
        <v>2033E</v>
      </c>
      <c r="O87" s="533" t="str">
        <f t="shared" si="16"/>
        <v>2034E</v>
      </c>
      <c r="P87" s="533" t="s">
        <v>1295</v>
      </c>
    </row>
    <row r="88" spans="1:16">
      <c r="B88" s="538" t="s">
        <v>2</v>
      </c>
      <c r="C88" s="254"/>
      <c r="D88" s="254">
        <f>SUMIFS(HY!$E624:$AL624,HY!$E$15:$AL$15,FY!D$2)</f>
        <v>391</v>
      </c>
      <c r="E88" s="254">
        <f>SUMIFS(HY!$E624:$AL624,HY!$E$15:$AL$15,FY!E$2)</f>
        <v>317.7</v>
      </c>
      <c r="F88" s="254">
        <f>SUMIFS(HY!$E624:$AL624,HY!$E$15:$AL$15,FY!F$2)</f>
        <v>391.5</v>
      </c>
      <c r="G88" s="254">
        <f>SUMIFS(HY!$E624:$AL624,HY!$E$15:$AL$15,FY!G$2)</f>
        <v>431.7</v>
      </c>
      <c r="H88" s="254">
        <f>SUMIFS(HY!$E624:$AL624,HY!$E$15:$AL$15,FY!H$2)</f>
        <v>466.42006447494691</v>
      </c>
      <c r="I88" s="254">
        <f>SUMIFS(HY!$E624:$AL624,HY!$E$15:$AL$15,FY!I$2)</f>
        <v>485.64577074650185</v>
      </c>
      <c r="J88" s="254">
        <f>SUMIFS(HY!$E624:$AL624,HY!$E$15:$AL$15,FY!J$2)</f>
        <v>494.3637097202735</v>
      </c>
      <c r="K88" s="254">
        <f>SUMIFS(HY!$E624:$AL624,HY!$E$15:$AL$15,FY!K$2)</f>
        <v>501.26085646792001</v>
      </c>
      <c r="L88" s="254">
        <f>SUMIFS(HY!$E624:$AL624,HY!$E$15:$AL$15,FY!L$2)</f>
        <v>507.07544936206921</v>
      </c>
      <c r="M88" s="254">
        <f>SUMIFS(HY!$E624:$AL624,HY!$E$15:$AL$15,FY!M$2)</f>
        <v>513.35579797440937</v>
      </c>
      <c r="N88" s="254">
        <f>SUMIFS(HY!$E624:$AL624,HY!$E$15:$AL$15,FY!N$2)</f>
        <v>520.11696815723963</v>
      </c>
      <c r="O88" s="254">
        <f>SUMIFS(HY!$E624:$AL624,HY!$E$15:$AL$15,FY!O$2)</f>
        <v>527.37454693382267</v>
      </c>
    </row>
    <row r="89" spans="1:16">
      <c r="B89" s="538" t="s">
        <v>19</v>
      </c>
      <c r="C89" s="254"/>
      <c r="D89" s="254">
        <f>SUMIFS(HY!$E625:$AL625,HY!$E$15:$AL$15,FY!D$2)</f>
        <v>4.5999999999999996</v>
      </c>
      <c r="E89" s="254">
        <f>SUMIFS(HY!$E625:$AL625,HY!$E$15:$AL$15,FY!E$2)</f>
        <v>22.7</v>
      </c>
      <c r="F89" s="254">
        <f>SUMIFS(HY!$E625:$AL625,HY!$E$15:$AL$15,FY!F$2)</f>
        <v>9.4</v>
      </c>
      <c r="G89" s="254">
        <f>SUMIFS(HY!$E625:$AL625,HY!$E$15:$AL$15,FY!G$2)</f>
        <v>6.8</v>
      </c>
      <c r="H89" s="254">
        <f>SUMIFS(HY!$E625:$AL625,HY!$E$15:$AL$15,FY!H$2)</f>
        <v>9.2146041684113467</v>
      </c>
      <c r="I89" s="254">
        <f>SUMIFS(HY!$E625:$AL625,HY!$E$15:$AL$15,FY!I$2)</f>
        <v>7.6651237318221774</v>
      </c>
      <c r="J89" s="254">
        <f>SUMIFS(HY!$E625:$AL625,HY!$E$15:$AL$15,FY!J$2)</f>
        <v>9.7832958194132242</v>
      </c>
      <c r="K89" s="254">
        <f>SUMIFS(HY!$E625:$AL625,HY!$E$15:$AL$15,FY!K$2)</f>
        <v>12.624441164035709</v>
      </c>
      <c r="L89" s="254">
        <f>SUMIFS(HY!$E625:$AL625,HY!$E$15:$AL$15,FY!L$2)</f>
        <v>15.784133348932061</v>
      </c>
      <c r="M89" s="254">
        <f>SUMIFS(HY!$E625:$AL625,HY!$E$15:$AL$15,FY!M$2)</f>
        <v>19.479450852751501</v>
      </c>
      <c r="N89" s="254">
        <f>SUMIFS(HY!$E625:$AL625,HY!$E$15:$AL$15,FY!N$2)</f>
        <v>24.574665502616867</v>
      </c>
      <c r="O89" s="254">
        <f>SUMIFS(HY!$E625:$AL625,HY!$E$15:$AL$15,FY!O$2)</f>
        <v>30.085845746031701</v>
      </c>
    </row>
    <row r="90" spans="1:16">
      <c r="B90" s="538" t="s">
        <v>18</v>
      </c>
      <c r="C90" s="254"/>
      <c r="D90" s="254">
        <f>SUMIFS(HY!$E626:$AL626,HY!$E$15:$AL$15,FY!D$2)</f>
        <v>-28.1</v>
      </c>
      <c r="E90" s="254">
        <f>SUMIFS(HY!$E626:$AL626,HY!$E$15:$AL$15,FY!E$2)</f>
        <v>-49</v>
      </c>
      <c r="F90" s="254">
        <f>SUMIFS(HY!$E626:$AL626,HY!$E$15:$AL$15,FY!F$2)</f>
        <v>-74</v>
      </c>
      <c r="G90" s="254">
        <f>SUMIFS(HY!$E626:$AL626,HY!$E$15:$AL$15,FY!G$2)</f>
        <v>-93.8</v>
      </c>
      <c r="H90" s="254">
        <f>SUMIFS(HY!$E626:$AL626,HY!$E$15:$AL$15,FY!H$2)</f>
        <v>-96.654134246575353</v>
      </c>
      <c r="I90" s="254">
        <f>SUMIFS(HY!$E626:$AL626,HY!$E$15:$AL$15,FY!I$2)</f>
        <v>-101.67336438356165</v>
      </c>
      <c r="J90" s="254">
        <f>SUMIFS(HY!$E626:$AL626,HY!$E$15:$AL$15,FY!J$2)</f>
        <v>-103.483</v>
      </c>
      <c r="K90" s="254">
        <f>SUMIFS(HY!$E626:$AL626,HY!$E$15:$AL$15,FY!K$2)</f>
        <v>-103.483</v>
      </c>
      <c r="L90" s="254">
        <f>SUMIFS(HY!$E626:$AL626,HY!$E$15:$AL$15,FY!L$2)</f>
        <v>-101.46900000000001</v>
      </c>
      <c r="M90" s="254">
        <f>SUMIFS(HY!$E626:$AL626,HY!$E$15:$AL$15,FY!M$2)</f>
        <v>-101.65384657534247</v>
      </c>
      <c r="N90" s="254">
        <f>SUMIFS(HY!$E626:$AL626,HY!$E$15:$AL$15,FY!N$2)</f>
        <v>-101.46900000000001</v>
      </c>
      <c r="O90" s="254">
        <f>SUMIFS(HY!$E626:$AL626,HY!$E$15:$AL$15,FY!O$2)</f>
        <v>-101.46900000000001</v>
      </c>
    </row>
    <row r="91" spans="1:16">
      <c r="B91" s="538" t="s">
        <v>77</v>
      </c>
      <c r="C91" s="254"/>
      <c r="D91" s="254">
        <f>SUMIFS(HY!$E627:$AL627,HY!$E$15:$AL$15,FY!D$2)</f>
        <v>-30.2</v>
      </c>
      <c r="E91" s="254">
        <f>SUMIFS(HY!$E627:$AL627,HY!$E$15:$AL$15,FY!E$2)</f>
        <v>113.3</v>
      </c>
      <c r="F91" s="254">
        <f>SUMIFS(HY!$E627:$AL627,HY!$E$15:$AL$15,FY!F$2)</f>
        <v>1.3</v>
      </c>
      <c r="G91" s="254">
        <f>SUMIFS(HY!$E627:$AL627,HY!$E$15:$AL$15,FY!G$2)</f>
        <v>2.9</v>
      </c>
      <c r="H91" s="254">
        <f>SUMIFS(HY!$E627:$AL627,HY!$E$15:$AL$15,FY!H$2)</f>
        <v>-61.87027037434585</v>
      </c>
      <c r="I91" s="254">
        <f>SUMIFS(HY!$E627:$AL627,HY!$E$15:$AL$15,FY!I$2)</f>
        <v>-70.14989636004448</v>
      </c>
      <c r="J91" s="254">
        <f>SUMIFS(HY!$E627:$AL627,HY!$E$15:$AL$15,FY!J$2)</f>
        <v>-76.810402931161477</v>
      </c>
      <c r="K91" s="254">
        <f>SUMIFS(HY!$E627:$AL627,HY!$E$15:$AL$15,FY!K$2)</f>
        <v>-87.556330544653889</v>
      </c>
      <c r="L91" s="254">
        <f>SUMIFS(HY!$E627:$AL627,HY!$E$15:$AL$15,FY!L$2)</f>
        <v>-94.927504224036369</v>
      </c>
      <c r="M91" s="254">
        <f>SUMIFS(HY!$E627:$AL627,HY!$E$15:$AL$15,FY!M$2)</f>
        <v>-100.8839579877725</v>
      </c>
      <c r="N91" s="254">
        <f>SUMIFS(HY!$E627:$AL627,HY!$E$15:$AL$15,FY!N$2)</f>
        <v>-107.01455632271853</v>
      </c>
      <c r="O91" s="254">
        <f>SUMIFS(HY!$E627:$AL627,HY!$E$15:$AL$15,FY!O$2)</f>
        <v>-87.028964708144571</v>
      </c>
    </row>
    <row r="92" spans="1:16">
      <c r="B92" s="538" t="s">
        <v>3</v>
      </c>
      <c r="C92" s="254"/>
      <c r="D92" s="254">
        <f>SUMIFS(HY!$E628:$AL628,HY!$E$15:$AL$15,FY!D$2)</f>
        <v>-154.59999999999997</v>
      </c>
      <c r="E92" s="254">
        <f>SUMIFS(HY!$E628:$AL628,HY!$E$15:$AL$15,FY!E$2)</f>
        <v>-148.30000000000004</v>
      </c>
      <c r="F92" s="254">
        <f>SUMIFS(HY!$E628:$AL628,HY!$E$15:$AL$15,FY!F$2)</f>
        <v>-4.1999999999999318</v>
      </c>
      <c r="G92" s="254">
        <f>SUMIFS(HY!$E628:$AL628,HY!$E$15:$AL$15,FY!G$2)</f>
        <v>-45.600000000000122</v>
      </c>
      <c r="H92" s="254">
        <f>SUMIFS(HY!$E628:$AL628,HY!$E$15:$AL$15,FY!H$2)</f>
        <v>0</v>
      </c>
      <c r="I92" s="254">
        <f>SUMIFS(HY!$E628:$AL628,HY!$E$15:$AL$15,FY!I$2)</f>
        <v>0</v>
      </c>
      <c r="J92" s="254">
        <f>SUMIFS(HY!$E628:$AL628,HY!$E$15:$AL$15,FY!J$2)</f>
        <v>0</v>
      </c>
      <c r="K92" s="254">
        <f>SUMIFS(HY!$E628:$AL628,HY!$E$15:$AL$15,FY!K$2)</f>
        <v>0</v>
      </c>
      <c r="L92" s="254">
        <f>SUMIFS(HY!$E628:$AL628,HY!$E$15:$AL$15,FY!L$2)</f>
        <v>0</v>
      </c>
      <c r="M92" s="254">
        <f>SUMIFS(HY!$E628:$AL628,HY!$E$15:$AL$15,FY!M$2)</f>
        <v>0</v>
      </c>
      <c r="N92" s="254">
        <f>SUMIFS(HY!$E628:$AL628,HY!$E$15:$AL$15,FY!N$2)</f>
        <v>0</v>
      </c>
      <c r="O92" s="254">
        <f>SUMIFS(HY!$E628:$AL628,HY!$E$15:$AL$15,FY!O$2)</f>
        <v>0</v>
      </c>
    </row>
    <row r="93" spans="1:16">
      <c r="B93" s="498" t="s">
        <v>991</v>
      </c>
      <c r="C93" s="500"/>
      <c r="D93" s="500" t="s">
        <v>991</v>
      </c>
      <c r="E93" s="500" t="s">
        <v>991</v>
      </c>
      <c r="F93" s="500" t="s">
        <v>991</v>
      </c>
      <c r="G93" s="500" t="s">
        <v>991</v>
      </c>
      <c r="H93" s="500" t="s">
        <v>991</v>
      </c>
      <c r="I93" s="500" t="s">
        <v>991</v>
      </c>
      <c r="J93" s="500" t="s">
        <v>991</v>
      </c>
      <c r="K93" s="500" t="s">
        <v>991</v>
      </c>
      <c r="L93" s="500" t="s">
        <v>991</v>
      </c>
      <c r="M93" s="500" t="s">
        <v>991</v>
      </c>
      <c r="N93" s="500" t="s">
        <v>991</v>
      </c>
      <c r="O93" s="500" t="s">
        <v>991</v>
      </c>
    </row>
    <row r="94" spans="1:16">
      <c r="B94" s="538" t="s">
        <v>57</v>
      </c>
      <c r="C94" s="254"/>
      <c r="D94" s="254">
        <f>SUMIFS(HY!$E$630:$AL$630,HY!$E$15:$AL$15,FY!D$2)</f>
        <v>182.70000000000002</v>
      </c>
      <c r="E94" s="254">
        <f>SUMIFS(HY!$E$630:$AL$630,HY!$E$15:$AL$15,FY!E$2)</f>
        <v>256.39999999999998</v>
      </c>
      <c r="F94" s="254">
        <f>SUMIFS(HY!$E$630:$AL$630,HY!$E$15:$AL$15,FY!F$2)</f>
        <v>324.00000000000006</v>
      </c>
      <c r="G94" s="254">
        <f>SUMIFS(HY!$E$630:$AL$630,HY!$E$15:$AL$15,FY!G$2)</f>
        <v>301.99999999999989</v>
      </c>
      <c r="H94" s="254">
        <f>SUMIFS(HY!$E$630:$AL$630,HY!$E$15:$AL$15,FY!H$2)</f>
        <v>317.11026402243704</v>
      </c>
      <c r="I94" s="254">
        <f>SUMIFS(HY!$E$630:$AL$630,HY!$E$15:$AL$15,FY!I$2)</f>
        <v>321.48763373471797</v>
      </c>
      <c r="J94" s="254">
        <f>SUMIFS(HY!$E$630:$AL$630,HY!$E$15:$AL$15,FY!J$2)</f>
        <v>323.85360260852531</v>
      </c>
      <c r="K94" s="254">
        <f>SUMIFS(HY!$E$630:$AL$630,HY!$E$15:$AL$15,FY!K$2)</f>
        <v>322.8459670873018</v>
      </c>
      <c r="L94" s="254">
        <f>SUMIFS(HY!$E$630:$AL$630,HY!$E$15:$AL$15,FY!L$2)</f>
        <v>326.46307848696483</v>
      </c>
      <c r="M94" s="254">
        <f>SUMIFS(HY!$E$630:$AL$630,HY!$E$15:$AL$15,FY!M$2)</f>
        <v>330.29744426404585</v>
      </c>
      <c r="N94" s="254">
        <f>SUMIFS(HY!$E$630:$AL$630,HY!$E$15:$AL$15,FY!N$2)</f>
        <v>336.20807733713798</v>
      </c>
      <c r="O94" s="254">
        <f>SUMIFS(HY!$E$630:$AL$630,HY!$E$15:$AL$15,FY!O$2)</f>
        <v>368.9624279717097</v>
      </c>
      <c r="P94" s="583">
        <f>(H94/E94)^(1/3)-1</f>
        <v>7.3406183553544224E-2</v>
      </c>
    </row>
    <row r="95" spans="1:16">
      <c r="B95" s="540" t="s">
        <v>78</v>
      </c>
      <c r="C95" s="254"/>
      <c r="D95" s="254">
        <f>SUMIFS(HY!$E$631:$AL$631,HY!$E$15:$AL$15,FY!D$2)</f>
        <v>-63.400000000000034</v>
      </c>
      <c r="E95" s="254">
        <f>SUMIFS(HY!$E$631:$AL$631,HY!$E$15:$AL$15,FY!E$2)</f>
        <v>-11.199999999999989</v>
      </c>
      <c r="F95" s="254">
        <f>SUMIFS(HY!$E$631:$AL$631,HY!$E$15:$AL$15,FY!F$2)</f>
        <v>82.499999999999943</v>
      </c>
      <c r="G95" s="254">
        <f>SUMIFS(HY!$E$631:$AL$631,HY!$E$15:$AL$15,FY!G$2)</f>
        <v>7.3000000000001251</v>
      </c>
      <c r="H95" s="254">
        <f>SUMIFS(HY!$E$631:$AL$631,HY!$E$15:$AL$15,FY!H$2)</f>
        <v>16.592370742421338</v>
      </c>
      <c r="I95" s="254">
        <f>SUMIFS(HY!$E$631:$AL$631,HY!$E$15:$AL$15,FY!I$2)</f>
        <v>3.4596820395789791</v>
      </c>
      <c r="J95" s="254">
        <f>SUMIFS(HY!$E$631:$AL$631,HY!$E$15:$AL$15,FY!J$2)</f>
        <v>4.9800225691484457</v>
      </c>
      <c r="K95" s="254">
        <f>SUMIFS(HY!$E$631:$AL$631,HY!$E$15:$AL$15,FY!K$2)</f>
        <v>11.350530521302346</v>
      </c>
      <c r="L95" s="254">
        <f>SUMIFS(HY!$E$631:$AL$631,HY!$E$15:$AL$15,FY!L$2)</f>
        <v>7.7634165076356112</v>
      </c>
      <c r="M95" s="254">
        <f>SUMIFS(HY!$E$631:$AL$631,HY!$E$15:$AL$15,FY!M$2)</f>
        <v>5.1289359622319353</v>
      </c>
      <c r="N95" s="254">
        <f>SUMIFS(HY!$E$631:$AL$631,HY!$E$15:$AL$15,FY!N$2)</f>
        <v>11.338494688296691</v>
      </c>
      <c r="O95" s="254">
        <f>SUMIFS(HY!$E$631:$AL$631,HY!$E$15:$AL$15,FY!O$2)</f>
        <v>8.7213636515875805</v>
      </c>
    </row>
    <row r="96" spans="1:16" s="12" customFormat="1">
      <c r="B96" s="537" t="s">
        <v>79</v>
      </c>
      <c r="C96" s="531"/>
      <c r="D96" s="531">
        <f>SUMIFS(HY!$E$633:$AL$633,HY!$E$15:$AL$15,FY!D$2)</f>
        <v>119.30000000000001</v>
      </c>
      <c r="E96" s="531">
        <f>SUMIFS(HY!$E$633:$AL$633,HY!$E$15:$AL$15,FY!E$2)</f>
        <v>245.2</v>
      </c>
      <c r="F96" s="531">
        <f>SUMIFS(HY!$E$633:$AL$633,HY!$E$15:$AL$15,FY!F$2)</f>
        <v>406.5</v>
      </c>
      <c r="G96" s="531">
        <f>SUMIFS(HY!$E$633:$AL$633,HY!$E$15:$AL$15,FY!G$2)</f>
        <v>309.3</v>
      </c>
      <c r="H96" s="531">
        <f>SUMIFS(HY!$E$633:$AL$633,HY!$E$15:$AL$15,FY!H$2)</f>
        <v>333.70263476485837</v>
      </c>
      <c r="I96" s="531">
        <f>SUMIFS(HY!$E$633:$AL$633,HY!$E$15:$AL$15,FY!I$2)</f>
        <v>324.94731577429695</v>
      </c>
      <c r="J96" s="531">
        <f>SUMIFS(HY!$E$633:$AL$633,HY!$E$15:$AL$15,FY!J$2)</f>
        <v>328.83362517767375</v>
      </c>
      <c r="K96" s="531">
        <f>SUMIFS(HY!$E$633:$AL$633,HY!$E$15:$AL$15,FY!K$2)</f>
        <v>334.19649760860415</v>
      </c>
      <c r="L96" s="531">
        <f>SUMIFS(HY!$E$633:$AL$633,HY!$E$15:$AL$15,FY!L$2)</f>
        <v>334.22649499460044</v>
      </c>
      <c r="M96" s="531">
        <f>SUMIFS(HY!$E$633:$AL$633,HY!$E$15:$AL$15,FY!M$2)</f>
        <v>335.42638022627779</v>
      </c>
      <c r="N96" s="531">
        <f>SUMIFS(HY!$E$633:$AL$633,HY!$E$15:$AL$15,FY!N$2)</f>
        <v>347.54657202543467</v>
      </c>
      <c r="O96" s="531">
        <f>SUMIFS(HY!$E$633:$AL$633,HY!$E$15:$AL$15,FY!O$2)</f>
        <v>377.68379162329728</v>
      </c>
    </row>
    <row r="97" spans="2:16">
      <c r="B97" s="538"/>
      <c r="C97" s="14"/>
      <c r="D97" s="14"/>
      <c r="E97" s="14"/>
      <c r="F97" s="14"/>
      <c r="G97" s="14"/>
      <c r="H97" s="14"/>
      <c r="I97" s="14"/>
      <c r="J97" s="14"/>
      <c r="K97" s="14"/>
      <c r="L97" s="14"/>
      <c r="M97" s="14"/>
      <c r="N97" s="14"/>
      <c r="O97" s="14"/>
    </row>
    <row r="98" spans="2:16">
      <c r="B98" s="538" t="s">
        <v>21</v>
      </c>
      <c r="C98" s="254"/>
      <c r="D98" s="254">
        <f>SUMIFS(HY!$E635:$AL635,HY!$E$15:$AL$15,FY!D$2)+SUMIFS(HY!$E636:$AL636,HY!$E$15:$AL$15,FY!D$2)</f>
        <v>-196.9</v>
      </c>
      <c r="E98" s="254">
        <f>SUMIFS(HY!$E635:$AL635,HY!$E$15:$AL$15,FY!E$2)+SUMIFS(HY!$E636:$AL636,HY!$E$15:$AL$15,FY!E$2)</f>
        <v>-760.4</v>
      </c>
      <c r="F98" s="254">
        <f>SUMIFS(HY!$E635:$AL635,HY!$E$15:$AL$15,FY!F$2)+SUMIFS(HY!$E636:$AL636,HY!$E$15:$AL$15,FY!F$2)</f>
        <v>-117.8</v>
      </c>
      <c r="G98" s="254">
        <f>SUMIFS(HY!$E635:$AL635,HY!$E$15:$AL$15,FY!G$2)+SUMIFS(HY!$E636:$AL636,HY!$E$15:$AL$15,FY!G$2)</f>
        <v>-150.69999999999999</v>
      </c>
      <c r="H98" s="254">
        <f>SUMIFS(HY!$E635:$AL635,HY!$E$15:$AL$15,FY!H$2)+SUMIFS(HY!$E636:$AL636,HY!$E$15:$AL$15,FY!H$2)</f>
        <v>-160</v>
      </c>
      <c r="I98" s="254">
        <f>SUMIFS(HY!$E635:$AL635,HY!$E$15:$AL$15,FY!I$2)+SUMIFS(HY!$E636:$AL636,HY!$E$15:$AL$15,FY!I$2)</f>
        <v>-150</v>
      </c>
      <c r="J98" s="254">
        <f>SUMIFS(HY!$E635:$AL635,HY!$E$15:$AL$15,FY!J$2)+SUMIFS(HY!$E636:$AL636,HY!$E$15:$AL$15,FY!J$2)</f>
        <v>-129.51030025250009</v>
      </c>
      <c r="K98" s="254">
        <f>SUMIFS(HY!$E635:$AL635,HY!$E$15:$AL$15,FY!K$2)+SUMIFS(HY!$E636:$AL636,HY!$E$15:$AL$15,FY!K$2)</f>
        <v>-129.54750127387121</v>
      </c>
      <c r="L98" s="254">
        <f>SUMIFS(HY!$E635:$AL635,HY!$E$15:$AL$15,FY!L$2)+SUMIFS(HY!$E636:$AL636,HY!$E$15:$AL$15,FY!L$2)</f>
        <v>-131.66273142229659</v>
      </c>
      <c r="M98" s="254">
        <f>SUMIFS(HY!$E635:$AL635,HY!$E$15:$AL$15,FY!M$2)+SUMIFS(HY!$E636:$AL636,HY!$E$15:$AL$15,FY!M$2)</f>
        <v>-133.85899314407266</v>
      </c>
      <c r="N98" s="254">
        <f>SUMIFS(HY!$E635:$AL635,HY!$E$15:$AL$15,FY!N$2)+SUMIFS(HY!$E636:$AL636,HY!$E$15:$AL$15,FY!N$2)</f>
        <v>-136.13854163971092</v>
      </c>
      <c r="O98" s="254">
        <f>SUMIFS(HY!$E635:$AL635,HY!$E$15:$AL$15,FY!O$2)+SUMIFS(HY!$E636:$AL636,HY!$E$15:$AL$15,FY!O$2)</f>
        <v>-138.50370152320519</v>
      </c>
    </row>
    <row r="99" spans="2:16">
      <c r="B99" s="538" t="s">
        <v>1241</v>
      </c>
      <c r="C99" s="254"/>
      <c r="D99" s="254">
        <f>SUMIFS(HY!$E637:$AL637,HY!$E$15:$AL$15,FY!D$2)</f>
        <v>41.2</v>
      </c>
      <c r="E99" s="254">
        <f>SUMIFS(HY!$E637:$AL637,HY!$E$15:$AL$15,FY!E$2)</f>
        <v>1.4</v>
      </c>
      <c r="F99" s="254">
        <f>SUMIFS(HY!$E637:$AL637,HY!$E$15:$AL$15,FY!F$2)</f>
        <v>0.8</v>
      </c>
      <c r="G99" s="254">
        <f>SUMIFS(HY!$E637:$AL637,HY!$E$15:$AL$15,FY!G$2)</f>
        <v>0</v>
      </c>
      <c r="H99" s="254">
        <f>SUMIFS(HY!$E637:$AL637,HY!$E$15:$AL$15,FY!H$2)</f>
        <v>0</v>
      </c>
      <c r="I99" s="254">
        <f>SUMIFS(HY!$E637:$AL637,HY!$E$15:$AL$15,FY!I$2)</f>
        <v>0</v>
      </c>
      <c r="J99" s="254">
        <f>SUMIFS(HY!$E637:$AL637,HY!$E$15:$AL$15,FY!J$2)</f>
        <v>0</v>
      </c>
      <c r="K99" s="254">
        <f>SUMIFS(HY!$E637:$AL637,HY!$E$15:$AL$15,FY!K$2)</f>
        <v>0</v>
      </c>
      <c r="L99" s="254">
        <f>SUMIFS(HY!$E637:$AL637,HY!$E$15:$AL$15,FY!L$2)</f>
        <v>0</v>
      </c>
      <c r="M99" s="254">
        <f>SUMIFS(HY!$E637:$AL637,HY!$E$15:$AL$15,FY!M$2)</f>
        <v>0</v>
      </c>
      <c r="N99" s="254">
        <f>SUMIFS(HY!$E637:$AL637,HY!$E$15:$AL$15,FY!N$2)</f>
        <v>0</v>
      </c>
      <c r="O99" s="254">
        <f>SUMIFS(HY!$E637:$AL637,HY!$E$15:$AL$15,FY!O$2)</f>
        <v>0</v>
      </c>
    </row>
    <row r="100" spans="2:16">
      <c r="B100" s="538" t="s">
        <v>1053</v>
      </c>
      <c r="C100" s="254"/>
      <c r="D100" s="254">
        <f>SUMIFS(HY!$E638:$AL638,HY!$E$15:$AL$15,FY!D$2)</f>
        <v>59</v>
      </c>
      <c r="E100" s="254">
        <f>SUMIFS(HY!$E638:$AL638,HY!$E$15:$AL$15,FY!E$2)</f>
        <v>21</v>
      </c>
      <c r="F100" s="254">
        <f>SUMIFS(HY!$E638:$AL638,HY!$E$15:$AL$15,FY!F$2)</f>
        <v>0</v>
      </c>
      <c r="G100" s="254">
        <f>SUMIFS(HY!$E638:$AL638,HY!$E$15:$AL$15,FY!G$2)</f>
        <v>0</v>
      </c>
      <c r="H100" s="254">
        <f>SUMIFS(HY!$E638:$AL638,HY!$E$15:$AL$15,FY!H$2)</f>
        <v>-283</v>
      </c>
      <c r="I100" s="254">
        <f>SUMIFS(HY!$E638:$AL638,HY!$E$15:$AL$15,FY!I$2)</f>
        <v>0</v>
      </c>
      <c r="J100" s="254">
        <f>SUMIFS(HY!$E638:$AL638,HY!$E$15:$AL$15,FY!J$2)</f>
        <v>0</v>
      </c>
      <c r="K100" s="254">
        <f>SUMIFS(HY!$E638:$AL638,HY!$E$15:$AL$15,FY!K$2)</f>
        <v>0</v>
      </c>
      <c r="L100" s="254">
        <f>SUMIFS(HY!$E638:$AL638,HY!$E$15:$AL$15,FY!L$2)</f>
        <v>0</v>
      </c>
      <c r="M100" s="254">
        <f>SUMIFS(HY!$E638:$AL638,HY!$E$15:$AL$15,FY!M$2)</f>
        <v>0</v>
      </c>
      <c r="N100" s="254">
        <f>SUMIFS(HY!$E638:$AL638,HY!$E$15:$AL$15,FY!N$2)</f>
        <v>0</v>
      </c>
      <c r="O100" s="254">
        <f>SUMIFS(HY!$E638:$AL638,HY!$E$15:$AL$15,FY!O$2)</f>
        <v>0</v>
      </c>
    </row>
    <row r="101" spans="2:16">
      <c r="B101" s="538" t="s">
        <v>1240</v>
      </c>
      <c r="C101" s="254"/>
      <c r="D101" s="254">
        <f>SUMIFS(HY!$E639:$AL639,HY!$E$15:$AL$15,FY!D$2)</f>
        <v>-33.299999999999997</v>
      </c>
      <c r="E101" s="254">
        <f>SUMIFS(HY!$E639:$AL639,HY!$E$15:$AL$15,FY!E$2)</f>
        <v>-2.8</v>
      </c>
      <c r="F101" s="254">
        <f>SUMIFS(HY!$E639:$AL639,HY!$E$15:$AL$15,FY!F$2)</f>
        <v>0</v>
      </c>
      <c r="G101" s="254">
        <f>SUMIFS(HY!$E639:$AL639,HY!$E$15:$AL$15,FY!G$2)</f>
        <v>0</v>
      </c>
      <c r="H101" s="254">
        <f>SUMIFS(HY!$E639:$AL639,HY!$E$15:$AL$15,FY!H$2)</f>
        <v>0</v>
      </c>
      <c r="I101" s="254">
        <f>SUMIFS(HY!$E639:$AL639,HY!$E$15:$AL$15,FY!I$2)</f>
        <v>0</v>
      </c>
      <c r="J101" s="254">
        <f>SUMIFS(HY!$E639:$AL639,HY!$E$15:$AL$15,FY!J$2)</f>
        <v>0</v>
      </c>
      <c r="K101" s="254">
        <f>SUMIFS(HY!$E639:$AL639,HY!$E$15:$AL$15,FY!K$2)</f>
        <v>0</v>
      </c>
      <c r="L101" s="254">
        <f>SUMIFS(HY!$E639:$AL639,HY!$E$15:$AL$15,FY!L$2)</f>
        <v>0</v>
      </c>
      <c r="M101" s="254">
        <f>SUMIFS(HY!$E639:$AL639,HY!$E$15:$AL$15,FY!M$2)</f>
        <v>0</v>
      </c>
      <c r="N101" s="254">
        <f>SUMIFS(HY!$E639:$AL639,HY!$E$15:$AL$15,FY!N$2)</f>
        <v>0</v>
      </c>
      <c r="O101" s="254">
        <f>SUMIFS(HY!$E639:$AL639,HY!$E$15:$AL$15,FY!O$2)</f>
        <v>0</v>
      </c>
    </row>
    <row r="102" spans="2:16">
      <c r="B102" s="538" t="s">
        <v>3</v>
      </c>
      <c r="C102" s="254"/>
      <c r="D102" s="254">
        <f>SUMIFS(HY!$E640:$AL640,HY!$E$15:$AL$15,FY!D$2)</f>
        <v>0</v>
      </c>
      <c r="E102" s="254">
        <f>SUMIFS(HY!$E640:$AL640,HY!$E$15:$AL$15,FY!E$2)</f>
        <v>1.1000000000000001</v>
      </c>
      <c r="F102" s="254">
        <f>SUMIFS(HY!$E640:$AL640,HY!$E$15:$AL$15,FY!F$2)</f>
        <v>0</v>
      </c>
      <c r="G102" s="254">
        <f>SUMIFS(HY!$E640:$AL640,HY!$E$15:$AL$15,FY!G$2)</f>
        <v>0</v>
      </c>
      <c r="H102" s="254">
        <f>SUMIFS(HY!$E640:$AL640,HY!$E$15:$AL$15,FY!H$2)</f>
        <v>-29</v>
      </c>
      <c r="I102" s="254">
        <f>SUMIFS(HY!$E640:$AL640,HY!$E$15:$AL$15,FY!I$2)</f>
        <v>-18</v>
      </c>
      <c r="J102" s="254">
        <f>SUMIFS(HY!$E640:$AL640,HY!$E$15:$AL$15,FY!J$2)</f>
        <v>-8</v>
      </c>
      <c r="K102" s="254">
        <f>SUMIFS(HY!$E640:$AL640,HY!$E$15:$AL$15,FY!K$2)</f>
        <v>0</v>
      </c>
      <c r="L102" s="254">
        <f>SUMIFS(HY!$E640:$AL640,HY!$E$15:$AL$15,FY!L$2)</f>
        <v>0.90000000000000036</v>
      </c>
      <c r="M102" s="254">
        <f>SUMIFS(HY!$E640:$AL640,HY!$E$15:$AL$15,FY!M$2)</f>
        <v>1.827</v>
      </c>
      <c r="N102" s="254">
        <f>SUMIFS(HY!$E640:$AL640,HY!$E$15:$AL$15,FY!N$2)</f>
        <v>2.7818100000000019</v>
      </c>
      <c r="O102" s="254">
        <f>SUMIFS(HY!$E640:$AL640,HY!$E$15:$AL$15,FY!O$2)</f>
        <v>3.7652643000000037</v>
      </c>
    </row>
    <row r="103" spans="2:16">
      <c r="B103" s="498" t="s">
        <v>991</v>
      </c>
      <c r="C103" s="500"/>
      <c r="D103" s="500" t="s">
        <v>991</v>
      </c>
      <c r="E103" s="500" t="s">
        <v>991</v>
      </c>
      <c r="F103" s="500" t="s">
        <v>991</v>
      </c>
      <c r="G103" s="500" t="s">
        <v>991</v>
      </c>
      <c r="H103" s="500" t="s">
        <v>991</v>
      </c>
      <c r="I103" s="500" t="s">
        <v>991</v>
      </c>
      <c r="J103" s="500" t="s">
        <v>991</v>
      </c>
      <c r="K103" s="500" t="s">
        <v>991</v>
      </c>
      <c r="L103" s="500" t="s">
        <v>991</v>
      </c>
      <c r="M103" s="500" t="s">
        <v>991</v>
      </c>
      <c r="N103" s="500" t="s">
        <v>991</v>
      </c>
      <c r="O103" s="500" t="s">
        <v>991</v>
      </c>
    </row>
    <row r="104" spans="2:16" s="12" customFormat="1">
      <c r="B104" s="537" t="s">
        <v>81</v>
      </c>
      <c r="C104" s="531"/>
      <c r="D104" s="531">
        <f>SUMIFS(HY!$E$642:$AL$642,HY!$E$15:$AL$15,FY!D$2)</f>
        <v>-130</v>
      </c>
      <c r="E104" s="531">
        <f>SUMIFS(HY!$E$642:$AL$642,HY!$E$15:$AL$15,FY!E$2)</f>
        <v>-739.7</v>
      </c>
      <c r="F104" s="531">
        <f>SUMIFS(HY!$E$642:$AL$642,HY!$E$15:$AL$15,FY!F$2)</f>
        <v>-117</v>
      </c>
      <c r="G104" s="531">
        <f>SUMIFS(HY!$E$642:$AL$642,HY!$E$15:$AL$15,FY!G$2)</f>
        <v>-150.69999999999999</v>
      </c>
      <c r="H104" s="531">
        <f>SUMIFS(HY!$E$642:$AL$642,HY!$E$15:$AL$15,FY!H$2)</f>
        <v>-472</v>
      </c>
      <c r="I104" s="531">
        <f>SUMIFS(HY!$E$642:$AL$642,HY!$E$15:$AL$15,FY!I$2)</f>
        <v>-168</v>
      </c>
      <c r="J104" s="531">
        <f>SUMIFS(HY!$E$642:$AL$642,HY!$E$15:$AL$15,FY!J$2)</f>
        <v>-137.51030025250009</v>
      </c>
      <c r="K104" s="531">
        <f>SUMIFS(HY!$E$642:$AL$642,HY!$E$15:$AL$15,FY!K$2)</f>
        <v>-129.54750127387121</v>
      </c>
      <c r="L104" s="531">
        <f>SUMIFS(HY!$E$642:$AL$642,HY!$E$15:$AL$15,FY!L$2)</f>
        <v>-130.76273142229655</v>
      </c>
      <c r="M104" s="531">
        <f>SUMIFS(HY!$E$642:$AL$642,HY!$E$15:$AL$15,FY!M$2)</f>
        <v>-132.03199314407266</v>
      </c>
      <c r="N104" s="531">
        <f>SUMIFS(HY!$E$642:$AL$642,HY!$E$15:$AL$15,FY!N$2)</f>
        <v>-133.35673163971092</v>
      </c>
      <c r="O104" s="531">
        <f>SUMIFS(HY!$E$642:$AL$642,HY!$E$15:$AL$15,FY!O$2)</f>
        <v>-134.73843722320521</v>
      </c>
      <c r="P104" s="583">
        <f>(H104/E104)^(1/3)-1</f>
        <v>-0.13908132890067759</v>
      </c>
    </row>
    <row r="105" spans="2:16">
      <c r="B105" s="538"/>
      <c r="C105" s="28"/>
      <c r="D105" s="28"/>
      <c r="E105" s="28"/>
      <c r="F105" s="28"/>
      <c r="G105" s="28"/>
      <c r="H105" s="28"/>
      <c r="I105" s="28"/>
      <c r="J105" s="28"/>
      <c r="K105" s="28"/>
      <c r="L105" s="28"/>
      <c r="M105" s="28"/>
      <c r="N105" s="28"/>
      <c r="O105" s="28"/>
    </row>
    <row r="106" spans="2:16">
      <c r="B106" s="538" t="s">
        <v>1021</v>
      </c>
      <c r="C106" s="254"/>
      <c r="D106" s="254">
        <f>SUMIFS(HY!$E644:$AL644,HY!$E$15:$AL$15,FY!D$2)</f>
        <v>0</v>
      </c>
      <c r="E106" s="254">
        <f>SUMIFS(HY!$E644:$AL644,HY!$E$15:$AL$15,FY!E$2)</f>
        <v>0</v>
      </c>
      <c r="F106" s="254">
        <f>SUMIFS(HY!$E644:$AL644,HY!$E$15:$AL$15,FY!F$2)</f>
        <v>0</v>
      </c>
      <c r="G106" s="254">
        <f>SUMIFS(HY!$E644:$AL644,HY!$E$15:$AL$15,FY!G$2)</f>
        <v>0</v>
      </c>
      <c r="H106" s="254">
        <f>SUMIFS(HY!$E644:$AL644,HY!$E$15:$AL$15,FY!H$2)</f>
        <v>0</v>
      </c>
      <c r="I106" s="254">
        <f>SUMIFS(HY!$E644:$AL644,HY!$E$15:$AL$15,FY!I$2)</f>
        <v>0</v>
      </c>
      <c r="J106" s="254">
        <f>SUMIFS(HY!$E644:$AL644,HY!$E$15:$AL$15,FY!J$2)</f>
        <v>0</v>
      </c>
      <c r="K106" s="254">
        <f>SUMIFS(HY!$E644:$AL644,HY!$E$15:$AL$15,FY!K$2)</f>
        <v>0</v>
      </c>
      <c r="L106" s="254">
        <f>SUMIFS(HY!$E644:$AL644,HY!$E$15:$AL$15,FY!L$2)</f>
        <v>0</v>
      </c>
      <c r="M106" s="254">
        <f>SUMIFS(HY!$E644:$AL644,HY!$E$15:$AL$15,FY!M$2)</f>
        <v>0</v>
      </c>
      <c r="N106" s="254">
        <f>SUMIFS(HY!$E644:$AL644,HY!$E$15:$AL$15,FY!N$2)</f>
        <v>0</v>
      </c>
      <c r="O106" s="254">
        <f>SUMIFS(HY!$E644:$AL644,HY!$E$15:$AL$15,FY!O$2)</f>
        <v>0</v>
      </c>
    </row>
    <row r="107" spans="2:16">
      <c r="B107" s="538" t="s">
        <v>970</v>
      </c>
      <c r="C107" s="254"/>
      <c r="D107" s="254">
        <f>SUMIFS(HY!$E645:$AL645,HY!$E$15:$AL$15,FY!D$2)</f>
        <v>-2.5</v>
      </c>
      <c r="E107" s="254">
        <f>SUMIFS(HY!$E645:$AL645,HY!$E$15:$AL$15,FY!E$2)</f>
        <v>-2.2000000000000002</v>
      </c>
      <c r="F107" s="254">
        <f>SUMIFS(HY!$E645:$AL645,HY!$E$15:$AL$15,FY!F$2)</f>
        <v>-5</v>
      </c>
      <c r="G107" s="254">
        <f>SUMIFS(HY!$E645:$AL645,HY!$E$15:$AL$15,FY!G$2)</f>
        <v>0</v>
      </c>
      <c r="H107" s="254">
        <f>SUMIFS(HY!$E645:$AL645,HY!$E$15:$AL$15,FY!H$2)</f>
        <v>0</v>
      </c>
      <c r="I107" s="254">
        <f>SUMIFS(HY!$E645:$AL645,HY!$E$15:$AL$15,FY!I$2)</f>
        <v>0</v>
      </c>
      <c r="J107" s="254">
        <f>SUMIFS(HY!$E645:$AL645,HY!$E$15:$AL$15,FY!J$2)</f>
        <v>0</v>
      </c>
      <c r="K107" s="254">
        <f>SUMIFS(HY!$E645:$AL645,HY!$E$15:$AL$15,FY!K$2)</f>
        <v>0</v>
      </c>
      <c r="L107" s="254">
        <f>SUMIFS(HY!$E645:$AL645,HY!$E$15:$AL$15,FY!L$2)</f>
        <v>0</v>
      </c>
      <c r="M107" s="254">
        <f>SUMIFS(HY!$E645:$AL645,HY!$E$15:$AL$15,FY!M$2)</f>
        <v>0</v>
      </c>
      <c r="N107" s="254">
        <f>SUMIFS(HY!$E645:$AL645,HY!$E$15:$AL$15,FY!N$2)</f>
        <v>0</v>
      </c>
      <c r="O107" s="254">
        <f>SUMIFS(HY!$E645:$AL645,HY!$E$15:$AL$15,FY!O$2)</f>
        <v>0</v>
      </c>
    </row>
    <row r="108" spans="2:16">
      <c r="B108" s="538" t="s">
        <v>24</v>
      </c>
      <c r="C108" s="254"/>
      <c r="D108" s="254">
        <f>SUMIFS(HY!$E646:$AL646,HY!$E$15:$AL$15,FY!D$2)</f>
        <v>-122.9</v>
      </c>
      <c r="E108" s="254">
        <f>SUMIFS(HY!$E646:$AL646,HY!$E$15:$AL$15,FY!E$2)</f>
        <v>-43.8</v>
      </c>
      <c r="F108" s="254">
        <f>SUMIFS(HY!$E646:$AL646,HY!$E$15:$AL$15,FY!F$2)</f>
        <v>-28.299999999999997</v>
      </c>
      <c r="G108" s="254">
        <f>SUMIFS(HY!$E646:$AL646,HY!$E$15:$AL$15,FY!G$2)</f>
        <v>-50.8</v>
      </c>
      <c r="H108" s="254">
        <f>SUMIFS(HY!$E646:$AL646,HY!$E$15:$AL$15,FY!H$2)</f>
        <v>-73.363199999999992</v>
      </c>
      <c r="I108" s="254">
        <f>SUMIFS(HY!$E646:$AL646,HY!$E$15:$AL$15,FY!I$2)</f>
        <v>-73.363199999999992</v>
      </c>
      <c r="J108" s="254">
        <f>SUMIFS(HY!$E646:$AL646,HY!$E$15:$AL$15,FY!J$2)</f>
        <v>-85.474577275956733</v>
      </c>
      <c r="K108" s="254">
        <f>SUMIFS(HY!$E646:$AL646,HY!$E$15:$AL$15,FY!K$2)</f>
        <v>-75.645628448427033</v>
      </c>
      <c r="L108" s="254">
        <f>SUMIFS(HY!$E646:$AL646,HY!$E$15:$AL$15,FY!L$2)</f>
        <v>-80.970838269357188</v>
      </c>
      <c r="M108" s="254">
        <f>SUMIFS(HY!$E646:$AL646,HY!$E$15:$AL$15,FY!M$2)</f>
        <v>0</v>
      </c>
      <c r="N108" s="254">
        <f>SUMIFS(HY!$E646:$AL646,HY!$E$15:$AL$15,FY!N$2)</f>
        <v>0</v>
      </c>
      <c r="O108" s="254">
        <f>SUMIFS(HY!$E646:$AL646,HY!$E$15:$AL$15,FY!O$2)</f>
        <v>0</v>
      </c>
    </row>
    <row r="109" spans="2:16">
      <c r="B109" s="538" t="s">
        <v>51</v>
      </c>
      <c r="C109" s="254"/>
      <c r="D109" s="254">
        <f>SUMIFS(HY!$E647:$AL647,HY!$E$15:$AL$15,FY!D$2)</f>
        <v>0</v>
      </c>
      <c r="E109" s="254">
        <f>SUMIFS(HY!$E647:$AL647,HY!$E$15:$AL$15,FY!E$2)</f>
        <v>0</v>
      </c>
      <c r="F109" s="254">
        <f>SUMIFS(HY!$E647:$AL647,HY!$E$15:$AL$15,FY!F$2)</f>
        <v>0</v>
      </c>
      <c r="G109" s="254">
        <f>SUMIFS(HY!$E647:$AL647,HY!$E$15:$AL$15,FY!G$2)</f>
        <v>0</v>
      </c>
      <c r="H109" s="254">
        <f>SUMIFS(HY!$E647:$AL647,HY!$E$15:$AL$15,FY!H$2)</f>
        <v>0</v>
      </c>
      <c r="I109" s="254">
        <f>SUMIFS(HY!$E647:$AL647,HY!$E$15:$AL$15,FY!I$2)</f>
        <v>0</v>
      </c>
      <c r="J109" s="254">
        <f>SUMIFS(HY!$E647:$AL647,HY!$E$15:$AL$15,FY!J$2)</f>
        <v>0</v>
      </c>
      <c r="K109" s="254">
        <f>SUMIFS(HY!$E647:$AL647,HY!$E$15:$AL$15,FY!K$2)</f>
        <v>0</v>
      </c>
      <c r="L109" s="254">
        <f>SUMIFS(HY!$E647:$AL647,HY!$E$15:$AL$15,FY!L$2)</f>
        <v>0</v>
      </c>
      <c r="M109" s="254">
        <f>SUMIFS(HY!$E647:$AL647,HY!$E$15:$AL$15,FY!M$2)</f>
        <v>0</v>
      </c>
      <c r="N109" s="254">
        <f>SUMIFS(HY!$E647:$AL647,HY!$E$15:$AL$15,FY!N$2)</f>
        <v>0</v>
      </c>
      <c r="O109" s="254">
        <f>SUMIFS(HY!$E647:$AL647,HY!$E$15:$AL$15,FY!O$2)</f>
        <v>0</v>
      </c>
    </row>
    <row r="110" spans="2:16">
      <c r="B110" s="538" t="s">
        <v>25</v>
      </c>
      <c r="C110" s="254"/>
      <c r="D110" s="254">
        <f>SUMIFS(HY!$E648:$AL648,HY!$E$15:$AL$15,FY!D$2)</f>
        <v>424.9</v>
      </c>
      <c r="E110" s="254">
        <f>SUMIFS(HY!$E648:$AL648,HY!$E$15:$AL$15,FY!E$2)</f>
        <v>0</v>
      </c>
      <c r="F110" s="254">
        <f>SUMIFS(HY!$E648:$AL648,HY!$E$15:$AL$15,FY!F$2)</f>
        <v>0</v>
      </c>
      <c r="G110" s="254">
        <f>SUMIFS(HY!$E648:$AL648,HY!$E$15:$AL$15,FY!G$2)</f>
        <v>300</v>
      </c>
      <c r="H110" s="254">
        <f>SUMIFS(HY!$E648:$AL648,HY!$E$15:$AL$15,FY!H$2)</f>
        <v>175</v>
      </c>
      <c r="I110" s="254">
        <f>SUMIFS(HY!$E648:$AL648,HY!$E$15:$AL$15,FY!I$2)</f>
        <v>0</v>
      </c>
      <c r="J110" s="254">
        <f>SUMIFS(HY!$E648:$AL648,HY!$E$15:$AL$15,FY!J$2)</f>
        <v>0</v>
      </c>
      <c r="K110" s="254">
        <f>SUMIFS(HY!$E648:$AL648,HY!$E$15:$AL$15,FY!K$2)</f>
        <v>0</v>
      </c>
      <c r="L110" s="254">
        <f>SUMIFS(HY!$E648:$AL648,HY!$E$15:$AL$15,FY!L$2)</f>
        <v>0</v>
      </c>
      <c r="M110" s="254">
        <f>SUMIFS(HY!$E648:$AL648,HY!$E$15:$AL$15,FY!M$2)</f>
        <v>0</v>
      </c>
      <c r="N110" s="254">
        <f>SUMIFS(HY!$E648:$AL648,HY!$E$15:$AL$15,FY!N$2)</f>
        <v>0</v>
      </c>
      <c r="O110" s="254">
        <f>SUMIFS(HY!$E648:$AL648,HY!$E$15:$AL$15,FY!O$2)</f>
        <v>0</v>
      </c>
    </row>
    <row r="111" spans="2:16">
      <c r="B111" s="538" t="s">
        <v>1242</v>
      </c>
      <c r="C111" s="254"/>
      <c r="D111" s="254">
        <f>SUMIFS(HY!$E649:$AL649,HY!$E$15:$AL$15,FY!D$2)</f>
        <v>-45</v>
      </c>
      <c r="E111" s="254">
        <f>SUMIFS(HY!$E649:$AL649,HY!$E$15:$AL$15,FY!E$2)</f>
        <v>-36.5</v>
      </c>
      <c r="F111" s="254">
        <f>SUMIFS(HY!$E649:$AL649,HY!$E$15:$AL$15,FY!F$2)</f>
        <v>-33.4</v>
      </c>
      <c r="G111" s="254">
        <f>SUMIFS(HY!$E649:$AL649,HY!$E$15:$AL$15,FY!G$2)</f>
        <v>-33.4</v>
      </c>
      <c r="H111" s="254">
        <f>SUMIFS(HY!$E649:$AL649,HY!$E$15:$AL$15,FY!H$2)</f>
        <v>0</v>
      </c>
      <c r="I111" s="254">
        <f>SUMIFS(HY!$E649:$AL649,HY!$E$15:$AL$15,FY!I$2)</f>
        <v>0</v>
      </c>
      <c r="J111" s="254">
        <f>SUMIFS(HY!$E649:$AL649,HY!$E$15:$AL$15,FY!J$2)</f>
        <v>0</v>
      </c>
      <c r="K111" s="254">
        <f>SUMIFS(HY!$E649:$AL649,HY!$E$15:$AL$15,FY!K$2)</f>
        <v>0</v>
      </c>
      <c r="L111" s="254">
        <f>SUMIFS(HY!$E649:$AL649,HY!$E$15:$AL$15,FY!L$2)</f>
        <v>0</v>
      </c>
      <c r="M111" s="254">
        <f>SUMIFS(HY!$E649:$AL649,HY!$E$15:$AL$15,FY!M$2)</f>
        <v>0</v>
      </c>
      <c r="N111" s="254">
        <f>SUMIFS(HY!$E649:$AL649,HY!$E$15:$AL$15,FY!N$2)</f>
        <v>0</v>
      </c>
      <c r="O111" s="254">
        <f>SUMIFS(HY!$E649:$AL649,HY!$E$15:$AL$15,FY!O$2)</f>
        <v>0</v>
      </c>
    </row>
    <row r="112" spans="2:16">
      <c r="B112" s="538" t="s">
        <v>1243</v>
      </c>
      <c r="C112" s="254"/>
      <c r="D112" s="254">
        <f>SUMIFS(HY!$E650:$AL650,HY!$E$15:$AL$15,FY!D$2)</f>
        <v>-140</v>
      </c>
      <c r="E112" s="254">
        <f>SUMIFS(HY!$E650:$AL650,HY!$E$15:$AL$15,FY!E$2)</f>
        <v>-750</v>
      </c>
      <c r="F112" s="254">
        <f>SUMIFS(HY!$E650:$AL650,HY!$E$15:$AL$15,FY!F$2)</f>
        <v>-300</v>
      </c>
      <c r="G112" s="254">
        <f>SUMIFS(HY!$E650:$AL650,HY!$E$15:$AL$15,FY!G$2)</f>
        <v>-300</v>
      </c>
      <c r="H112" s="254">
        <f>SUMIFS(HY!$E650:$AL650,HY!$E$15:$AL$15,FY!H$2)</f>
        <v>0</v>
      </c>
      <c r="I112" s="254">
        <f>SUMIFS(HY!$E650:$AL650,HY!$E$15:$AL$15,FY!I$2)</f>
        <v>0</v>
      </c>
      <c r="J112" s="254">
        <f>SUMIFS(HY!$E650:$AL650,HY!$E$15:$AL$15,FY!J$2)</f>
        <v>0</v>
      </c>
      <c r="K112" s="254">
        <f>SUMIFS(HY!$E650:$AL650,HY!$E$15:$AL$15,FY!K$2)</f>
        <v>0</v>
      </c>
      <c r="L112" s="254">
        <f>SUMIFS(HY!$E650:$AL650,HY!$E$15:$AL$15,FY!L$2)</f>
        <v>0</v>
      </c>
      <c r="M112" s="254">
        <f>SUMIFS(HY!$E650:$AL650,HY!$E$15:$AL$15,FY!M$2)</f>
        <v>0</v>
      </c>
      <c r="N112" s="254">
        <f>SUMIFS(HY!$E650:$AL650,HY!$E$15:$AL$15,FY!N$2)</f>
        <v>0</v>
      </c>
      <c r="O112" s="254">
        <f>SUMIFS(HY!$E650:$AL650,HY!$E$15:$AL$15,FY!O$2)</f>
        <v>0</v>
      </c>
    </row>
    <row r="113" spans="1:16">
      <c r="B113" s="538" t="s">
        <v>3</v>
      </c>
      <c r="C113" s="254"/>
      <c r="D113" s="254">
        <f>SUMIFS(HY!$E651:$AL651,HY!$E$15:$AL$15,FY!D$2)</f>
        <v>-12.5</v>
      </c>
      <c r="E113" s="254">
        <f>SUMIFS(HY!$E651:$AL651,HY!$E$15:$AL$15,FY!E$2)</f>
        <v>1350</v>
      </c>
      <c r="F113" s="254">
        <f>SUMIFS(HY!$E651:$AL651,HY!$E$15:$AL$15,FY!F$2)</f>
        <v>0</v>
      </c>
      <c r="G113" s="254">
        <f>SUMIFS(HY!$E651:$AL651,HY!$E$15:$AL$15,FY!G$2)</f>
        <v>-5.1000000000000227</v>
      </c>
      <c r="H113" s="254">
        <f>SUMIFS(HY!$E651:$AL651,HY!$E$15:$AL$15,FY!H$2)</f>
        <v>0</v>
      </c>
      <c r="I113" s="254">
        <f>SUMIFS(HY!$E651:$AL651,HY!$E$15:$AL$15,FY!I$2)</f>
        <v>0</v>
      </c>
      <c r="J113" s="254">
        <f>SUMIFS(HY!$E651:$AL651,HY!$E$15:$AL$15,FY!J$2)</f>
        <v>0</v>
      </c>
      <c r="K113" s="254">
        <f>SUMIFS(HY!$E651:$AL651,HY!$E$15:$AL$15,FY!K$2)</f>
        <v>0</v>
      </c>
      <c r="L113" s="254">
        <f>SUMIFS(HY!$E651:$AL651,HY!$E$15:$AL$15,FY!L$2)</f>
        <v>0</v>
      </c>
      <c r="M113" s="254">
        <f>SUMIFS(HY!$E651:$AL651,HY!$E$15:$AL$15,FY!M$2)</f>
        <v>0</v>
      </c>
      <c r="N113" s="254">
        <f>SUMIFS(HY!$E651:$AL651,HY!$E$15:$AL$15,FY!N$2)</f>
        <v>0</v>
      </c>
      <c r="O113" s="254">
        <f>SUMIFS(HY!$E651:$AL651,HY!$E$15:$AL$15,FY!O$2)</f>
        <v>0</v>
      </c>
    </row>
    <row r="114" spans="1:16">
      <c r="B114" s="498" t="s">
        <v>991</v>
      </c>
      <c r="C114" s="500"/>
      <c r="D114" s="500" t="s">
        <v>991</v>
      </c>
      <c r="E114" s="500" t="s">
        <v>991</v>
      </c>
      <c r="F114" s="500" t="s">
        <v>991</v>
      </c>
      <c r="G114" s="500" t="s">
        <v>991</v>
      </c>
      <c r="H114" s="500" t="s">
        <v>991</v>
      </c>
      <c r="I114" s="500" t="s">
        <v>991</v>
      </c>
      <c r="J114" s="500" t="s">
        <v>991</v>
      </c>
      <c r="K114" s="500" t="s">
        <v>991</v>
      </c>
      <c r="L114" s="500" t="s">
        <v>991</v>
      </c>
      <c r="M114" s="500" t="s">
        <v>991</v>
      </c>
      <c r="N114" s="500" t="s">
        <v>991</v>
      </c>
      <c r="O114" s="500" t="s">
        <v>991</v>
      </c>
    </row>
    <row r="115" spans="1:16" s="12" customFormat="1">
      <c r="B115" s="537" t="s">
        <v>82</v>
      </c>
      <c r="C115" s="531"/>
      <c r="D115" s="531">
        <f>SUMIFS(HY!$E$652:$AL$652,HY!$E$15:$AL$15,FY!D$2)</f>
        <v>102</v>
      </c>
      <c r="E115" s="531">
        <f>SUMIFS(HY!$E$652:$AL$652,HY!$E$15:$AL$15,FY!E$2)</f>
        <v>517.5</v>
      </c>
      <c r="F115" s="531">
        <f>SUMIFS(HY!$E$652:$AL$652,HY!$E$15:$AL$15,FY!F$2)</f>
        <v>-366.7</v>
      </c>
      <c r="G115" s="531">
        <f>SUMIFS(HY!$E$652:$AL$652,HY!$E$15:$AL$15,FY!G$2)</f>
        <v>-89.3</v>
      </c>
      <c r="H115" s="531">
        <f>SUMIFS(HY!$E$652:$AL$652,HY!$E$15:$AL$15,FY!H$2)</f>
        <v>101.63679999999999</v>
      </c>
      <c r="I115" s="531">
        <f>SUMIFS(HY!$E$652:$AL$652,HY!$E$15:$AL$15,FY!I$2)</f>
        <v>-73.363199999999992</v>
      </c>
      <c r="J115" s="531">
        <f>SUMIFS(HY!$E$652:$AL$652,HY!$E$15:$AL$15,FY!J$2)</f>
        <v>-85.474577275956733</v>
      </c>
      <c r="K115" s="531">
        <f>SUMIFS(HY!$E$652:$AL$652,HY!$E$15:$AL$15,FY!K$2)</f>
        <v>-75.645628448427033</v>
      </c>
      <c r="L115" s="531">
        <f>SUMIFS(HY!$E$652:$AL$652,HY!$E$15:$AL$15,FY!L$2)</f>
        <v>-80.970838269357188</v>
      </c>
      <c r="M115" s="531">
        <f>SUMIFS(HY!$E$652:$AL$652,HY!$E$15:$AL$15,FY!M$2)</f>
        <v>0</v>
      </c>
      <c r="N115" s="531">
        <f>SUMIFS(HY!$E$652:$AL$652,HY!$E$15:$AL$15,FY!N$2)</f>
        <v>0</v>
      </c>
      <c r="O115" s="531">
        <f>SUMIFS(HY!$E$652:$AL$652,HY!$E$15:$AL$15,FY!O$2)</f>
        <v>0</v>
      </c>
      <c r="P115" s="583">
        <f>(H115/E115)^(1/3)-1</f>
        <v>-0.4187269209348794</v>
      </c>
    </row>
    <row r="116" spans="1:16">
      <c r="B116" s="538"/>
      <c r="C116" s="14"/>
      <c r="D116" s="14"/>
      <c r="E116" s="14"/>
      <c r="F116" s="14"/>
      <c r="G116" s="14"/>
      <c r="H116" s="14"/>
      <c r="I116" s="14"/>
      <c r="J116" s="14"/>
      <c r="K116" s="14"/>
      <c r="L116" s="14"/>
      <c r="M116" s="14"/>
      <c r="N116" s="14"/>
      <c r="O116" s="14"/>
    </row>
    <row r="117" spans="1:16">
      <c r="B117" s="538" t="s">
        <v>83</v>
      </c>
      <c r="C117" s="254"/>
      <c r="D117" s="254">
        <f>SUMIFS(HY!$E$655:$AL$655,HY!$E$15:$AL$15,FY!D$2)</f>
        <v>91.300000000000011</v>
      </c>
      <c r="E117" s="254">
        <f>SUMIFS(HY!$E$655:$AL$655,HY!$E$15:$AL$15,FY!E$2)</f>
        <v>22.999999999999972</v>
      </c>
      <c r="F117" s="254">
        <f>SUMIFS(HY!$E$655:$AL$655,HY!$E$15:$AL$15,FY!F$2)</f>
        <v>-77.199999999999989</v>
      </c>
      <c r="G117" s="254">
        <f>SUMIFS(HY!$E$655:$AL$655,HY!$E$15:$AL$15,FY!G$2)</f>
        <v>69.300000000000011</v>
      </c>
      <c r="H117" s="254">
        <f>SUMIFS(HY!$E$655:$AL$655,HY!$E$15:$AL$15,FY!H$2)</f>
        <v>-36.660565235141632</v>
      </c>
      <c r="I117" s="254">
        <f>SUMIFS(HY!$E$655:$AL$655,HY!$E$15:$AL$15,FY!I$2)</f>
        <v>83.584115774296947</v>
      </c>
      <c r="J117" s="254">
        <f>SUMIFS(HY!$E$655:$AL$655,HY!$E$15:$AL$15,FY!J$2)</f>
        <v>105.8487476492169</v>
      </c>
      <c r="K117" s="254">
        <f>SUMIFS(HY!$E$655:$AL$655,HY!$E$15:$AL$15,FY!K$2)</f>
        <v>129.00336788630591</v>
      </c>
      <c r="L117" s="254">
        <f>SUMIFS(HY!$E$655:$AL$655,HY!$E$15:$AL$15,FY!L$2)</f>
        <v>122.49292530294669</v>
      </c>
      <c r="M117" s="254">
        <f>SUMIFS(HY!$E$655:$AL$655,HY!$E$15:$AL$15,FY!M$2)</f>
        <v>203.39438708220516</v>
      </c>
      <c r="N117" s="254">
        <f>SUMIFS(HY!$E$655:$AL$655,HY!$E$15:$AL$15,FY!N$2)</f>
        <v>214.18984038572378</v>
      </c>
      <c r="O117" s="254">
        <f>SUMIFS(HY!$E$655:$AL$655,HY!$E$15:$AL$15,FY!O$2)</f>
        <v>242.94535440009207</v>
      </c>
    </row>
    <row r="118" spans="1:16">
      <c r="B118" s="538" t="s">
        <v>84</v>
      </c>
      <c r="C118" s="254"/>
      <c r="D118" s="254">
        <f>SUMIFS(HY!$E$656:$AL$656,HY!$E$15:$AL$15,FY!D$2)</f>
        <v>0</v>
      </c>
      <c r="E118" s="254">
        <f>SUMIFS(HY!$E$656:$AL$656,HY!$E$15:$AL$15,FY!E$2)</f>
        <v>0</v>
      </c>
      <c r="F118" s="254">
        <f>SUMIFS(HY!$E$656:$AL$656,HY!$E$15:$AL$15,FY!F$2)</f>
        <v>0</v>
      </c>
      <c r="G118" s="254">
        <f>SUMIFS(HY!$E$656:$AL$656,HY!$E$15:$AL$15,FY!G$2)</f>
        <v>0</v>
      </c>
      <c r="H118" s="254">
        <f>SUMIFS(HY!$E$656:$AL$656,HY!$E$15:$AL$15,FY!H$2)</f>
        <v>0</v>
      </c>
      <c r="I118" s="254">
        <f>SUMIFS(HY!$E$656:$AL$656,HY!$E$15:$AL$15,FY!I$2)</f>
        <v>0</v>
      </c>
      <c r="J118" s="254">
        <f>SUMIFS(HY!$E$656:$AL$656,HY!$E$15:$AL$15,FY!J$2)</f>
        <v>0</v>
      </c>
      <c r="K118" s="254">
        <f>SUMIFS(HY!$E$656:$AL$656,HY!$E$15:$AL$15,FY!K$2)</f>
        <v>0</v>
      </c>
      <c r="L118" s="254">
        <f>SUMIFS(HY!$E$656:$AL$656,HY!$E$15:$AL$15,FY!L$2)</f>
        <v>0</v>
      </c>
      <c r="M118" s="254">
        <f>SUMIFS(HY!$E$656:$AL$656,HY!$E$15:$AL$15,FY!M$2)</f>
        <v>0</v>
      </c>
      <c r="N118" s="254">
        <f>SUMIFS(HY!$E$656:$AL$656,HY!$E$15:$AL$15,FY!N$2)</f>
        <v>0</v>
      </c>
      <c r="O118" s="254">
        <f>SUMIFS(HY!$E$656:$AL$656,HY!$E$15:$AL$15,FY!O$2)</f>
        <v>0</v>
      </c>
    </row>
    <row r="119" spans="1:16" s="12" customFormat="1">
      <c r="B119" s="537" t="s">
        <v>85</v>
      </c>
      <c r="C119" s="531"/>
      <c r="D119" s="531">
        <f t="shared" ref="D119:O119" si="17">D117+D118</f>
        <v>91.300000000000011</v>
      </c>
      <c r="E119" s="531">
        <f t="shared" si="17"/>
        <v>22.999999999999972</v>
      </c>
      <c r="F119" s="531">
        <f t="shared" si="17"/>
        <v>-77.199999999999989</v>
      </c>
      <c r="G119" s="531">
        <f t="shared" si="17"/>
        <v>69.300000000000011</v>
      </c>
      <c r="H119" s="531">
        <f t="shared" si="17"/>
        <v>-36.660565235141632</v>
      </c>
      <c r="I119" s="531">
        <f t="shared" si="17"/>
        <v>83.584115774296947</v>
      </c>
      <c r="J119" s="531">
        <f t="shared" si="17"/>
        <v>105.8487476492169</v>
      </c>
      <c r="K119" s="531">
        <f t="shared" si="17"/>
        <v>129.00336788630591</v>
      </c>
      <c r="L119" s="531">
        <f t="shared" si="17"/>
        <v>122.49292530294669</v>
      </c>
      <c r="M119" s="531">
        <f t="shared" si="17"/>
        <v>203.39438708220516</v>
      </c>
      <c r="N119" s="531">
        <f t="shared" si="17"/>
        <v>214.18984038572378</v>
      </c>
      <c r="O119" s="531">
        <f t="shared" si="17"/>
        <v>242.94535440009207</v>
      </c>
      <c r="P119" s="583">
        <f>(H119/E119)^(1/3)-1</f>
        <v>-2.168128016487219</v>
      </c>
    </row>
    <row r="120" spans="1:16">
      <c r="B120" s="538" t="s">
        <v>86</v>
      </c>
      <c r="C120" s="254"/>
      <c r="D120" s="254">
        <v>199.4</v>
      </c>
      <c r="E120" s="254">
        <f t="shared" ref="E120:K120" si="18">D121</f>
        <v>290.7</v>
      </c>
      <c r="F120" s="254">
        <f t="shared" si="18"/>
        <v>313.7</v>
      </c>
      <c r="G120" s="254">
        <f t="shared" si="18"/>
        <v>236.5</v>
      </c>
      <c r="H120" s="254">
        <f t="shared" si="18"/>
        <v>305.8</v>
      </c>
      <c r="I120" s="254">
        <f t="shared" si="18"/>
        <v>269.13943476485838</v>
      </c>
      <c r="J120" s="254">
        <f t="shared" si="18"/>
        <v>352.72355053915533</v>
      </c>
      <c r="K120" s="254">
        <f t="shared" si="18"/>
        <v>458.57229818837226</v>
      </c>
      <c r="L120" s="254">
        <f>K121</f>
        <v>587.57566607467811</v>
      </c>
      <c r="M120" s="254">
        <f>L121</f>
        <v>710.06859137762478</v>
      </c>
      <c r="N120" s="254">
        <f>M121</f>
        <v>913.46297845982997</v>
      </c>
      <c r="O120" s="254">
        <f>N121</f>
        <v>1127.6528188455538</v>
      </c>
    </row>
    <row r="121" spans="1:16" s="12" customFormat="1">
      <c r="B121" s="537" t="s">
        <v>87</v>
      </c>
      <c r="C121" s="531"/>
      <c r="D121" s="531">
        <f>INDEX(HY!$E658:$AL658,MATCH(D$5,HY!$E$10:$AL$10,0))</f>
        <v>290.7</v>
      </c>
      <c r="E121" s="531">
        <f>INDEX(HY!$E658:$AL658,MATCH(E$5,HY!$E$10:$AL$10,0))</f>
        <v>313.7</v>
      </c>
      <c r="F121" s="531">
        <f>INDEX(HY!$E658:$AL658,MATCH(F$5,HY!$E$10:$AL$10,0))</f>
        <v>236.5</v>
      </c>
      <c r="G121" s="531">
        <f>INDEX(HY!$E658:$AL658,MATCH(G$5,HY!$E$10:$AL$10,0))</f>
        <v>305.8</v>
      </c>
      <c r="H121" s="531">
        <f>INDEX(HY!$E658:$AL658,MATCH(H$5,HY!$E$10:$AL$10,0))</f>
        <v>269.13943476485838</v>
      </c>
      <c r="I121" s="531">
        <f>INDEX(HY!$E658:$AL658,MATCH(I$5,HY!$E$10:$AL$10,0))</f>
        <v>352.72355053915533</v>
      </c>
      <c r="J121" s="531">
        <f>INDEX(HY!$E658:$AL658,MATCH(J$5,HY!$E$10:$AL$10,0))</f>
        <v>458.57229818837226</v>
      </c>
      <c r="K121" s="531">
        <f>INDEX(HY!$E658:$AL658,MATCH(K$5,HY!$E$10:$AL$10,0))</f>
        <v>587.57566607467811</v>
      </c>
      <c r="L121" s="531">
        <f>INDEX(HY!$E658:$AL658,MATCH(L$5,HY!$E$10:$AL$10,0))</f>
        <v>710.06859137762478</v>
      </c>
      <c r="M121" s="531">
        <f>INDEX(HY!$E658:$AL658,MATCH(M$5,HY!$E$10:$AL$10,0))</f>
        <v>913.46297845982997</v>
      </c>
      <c r="N121" s="531">
        <f>INDEX(HY!$E658:$AL658,MATCH(N$5,HY!$E$10:$AL$10,0))</f>
        <v>1127.6528188455538</v>
      </c>
      <c r="O121" s="531">
        <f>INDEX(HY!$E658:$AL658,MATCH(O$5,HY!$E$10:$AL$10,0))</f>
        <v>1370.598173245646</v>
      </c>
    </row>
    <row r="122" spans="1:16">
      <c r="C122" s="16"/>
      <c r="D122" s="16"/>
      <c r="E122" s="16"/>
      <c r="F122" s="16"/>
      <c r="G122" s="16"/>
      <c r="H122" s="16"/>
      <c r="I122" s="16"/>
      <c r="J122" s="16"/>
      <c r="K122" s="16"/>
      <c r="L122" s="16"/>
      <c r="M122" s="16"/>
      <c r="N122" s="16"/>
      <c r="O122" s="16"/>
    </row>
    <row r="123" spans="1:16">
      <c r="B123" s="251" t="s">
        <v>886</v>
      </c>
      <c r="C123" s="250"/>
      <c r="D123" s="250">
        <f t="shared" ref="D123:O123" si="19">D96-SUM(D94,D95)</f>
        <v>0</v>
      </c>
      <c r="E123" s="250">
        <f t="shared" si="19"/>
        <v>0</v>
      </c>
      <c r="F123" s="250">
        <f t="shared" si="19"/>
        <v>0</v>
      </c>
      <c r="G123" s="250">
        <f t="shared" si="19"/>
        <v>0</v>
      </c>
      <c r="H123" s="250">
        <f t="shared" si="19"/>
        <v>0</v>
      </c>
      <c r="I123" s="250">
        <f t="shared" si="19"/>
        <v>0</v>
      </c>
      <c r="J123" s="250">
        <f t="shared" si="19"/>
        <v>0</v>
      </c>
      <c r="K123" s="250">
        <f t="shared" si="19"/>
        <v>0</v>
      </c>
      <c r="L123" s="250">
        <f t="shared" si="19"/>
        <v>0</v>
      </c>
      <c r="M123" s="250">
        <f t="shared" si="19"/>
        <v>0</v>
      </c>
      <c r="N123" s="250">
        <f t="shared" si="19"/>
        <v>0</v>
      </c>
      <c r="O123" s="250">
        <f t="shared" si="19"/>
        <v>0</v>
      </c>
    </row>
    <row r="124" spans="1:16">
      <c r="B124" s="251" t="s">
        <v>886</v>
      </c>
      <c r="C124" s="250"/>
      <c r="D124" s="250">
        <f t="shared" ref="D124:O124" si="20">D104-SUM(D98:D103)</f>
        <v>0</v>
      </c>
      <c r="E124" s="250">
        <f t="shared" si="20"/>
        <v>0</v>
      </c>
      <c r="F124" s="250">
        <f t="shared" si="20"/>
        <v>0</v>
      </c>
      <c r="G124" s="250">
        <f t="shared" si="20"/>
        <v>0</v>
      </c>
      <c r="H124" s="250">
        <f t="shared" si="20"/>
        <v>0</v>
      </c>
      <c r="I124" s="250">
        <f t="shared" si="20"/>
        <v>0</v>
      </c>
      <c r="J124" s="250">
        <f t="shared" si="20"/>
        <v>0</v>
      </c>
      <c r="K124" s="250">
        <f t="shared" si="20"/>
        <v>0</v>
      </c>
      <c r="L124" s="250">
        <f t="shared" si="20"/>
        <v>0</v>
      </c>
      <c r="M124" s="250">
        <f t="shared" si="20"/>
        <v>0</v>
      </c>
      <c r="N124" s="250">
        <f t="shared" si="20"/>
        <v>0</v>
      </c>
      <c r="O124" s="250">
        <f t="shared" si="20"/>
        <v>0</v>
      </c>
    </row>
    <row r="125" spans="1:16">
      <c r="B125" s="251" t="s">
        <v>886</v>
      </c>
      <c r="C125" s="250"/>
      <c r="D125" s="250">
        <f t="shared" ref="D125:O125" si="21">D115-SUM(D106:D114)</f>
        <v>0</v>
      </c>
      <c r="E125" s="250">
        <f t="shared" si="21"/>
        <v>0</v>
      </c>
      <c r="F125" s="250">
        <f t="shared" si="21"/>
        <v>0</v>
      </c>
      <c r="G125" s="250">
        <f t="shared" si="21"/>
        <v>0</v>
      </c>
      <c r="H125" s="250">
        <f t="shared" si="21"/>
        <v>0</v>
      </c>
      <c r="I125" s="250">
        <f t="shared" si="21"/>
        <v>0</v>
      </c>
      <c r="J125" s="250">
        <f t="shared" si="21"/>
        <v>0</v>
      </c>
      <c r="K125" s="250">
        <f t="shared" si="21"/>
        <v>0</v>
      </c>
      <c r="L125" s="250">
        <f t="shared" si="21"/>
        <v>0</v>
      </c>
      <c r="M125" s="250">
        <f t="shared" si="21"/>
        <v>0</v>
      </c>
      <c r="N125" s="250">
        <f t="shared" si="21"/>
        <v>0</v>
      </c>
      <c r="O125" s="250">
        <f t="shared" si="21"/>
        <v>0</v>
      </c>
    </row>
    <row r="126" spans="1:16">
      <c r="B126" s="251" t="s">
        <v>886</v>
      </c>
      <c r="C126" s="250"/>
      <c r="D126" s="250">
        <f t="shared" ref="D126:O126" si="22">D121-(D120+D96+D104+D115)</f>
        <v>0</v>
      </c>
      <c r="E126" s="250">
        <f t="shared" si="22"/>
        <v>0</v>
      </c>
      <c r="F126" s="250">
        <f t="shared" si="22"/>
        <v>0</v>
      </c>
      <c r="G126" s="250">
        <f t="shared" si="22"/>
        <v>0</v>
      </c>
      <c r="H126" s="250">
        <f t="shared" si="22"/>
        <v>0</v>
      </c>
      <c r="I126" s="250">
        <f t="shared" si="22"/>
        <v>0</v>
      </c>
      <c r="J126" s="250">
        <f t="shared" si="22"/>
        <v>0</v>
      </c>
      <c r="K126" s="250">
        <f t="shared" si="22"/>
        <v>0</v>
      </c>
      <c r="L126" s="250">
        <f t="shared" si="22"/>
        <v>0</v>
      </c>
      <c r="M126" s="250">
        <f t="shared" si="22"/>
        <v>0</v>
      </c>
      <c r="N126" s="250">
        <f t="shared" si="22"/>
        <v>0</v>
      </c>
      <c r="O126" s="250">
        <f t="shared" si="22"/>
        <v>0</v>
      </c>
    </row>
    <row r="127" spans="1:16">
      <c r="C127" s="16"/>
      <c r="D127" s="16"/>
      <c r="E127" s="16"/>
      <c r="F127" s="16"/>
      <c r="G127" s="16"/>
      <c r="H127" s="16"/>
      <c r="I127" s="16"/>
      <c r="J127" s="16"/>
      <c r="K127" s="16"/>
      <c r="L127" s="16"/>
      <c r="M127" s="16"/>
      <c r="N127" s="16"/>
      <c r="O127" s="16"/>
    </row>
    <row r="128" spans="1:16">
      <c r="A128" s="9" t="s">
        <v>971</v>
      </c>
      <c r="B128" s="532" t="s">
        <v>88</v>
      </c>
      <c r="C128" s="533" t="str">
        <f>C$4</f>
        <v>2022A</v>
      </c>
      <c r="D128" s="533" t="str">
        <f t="shared" ref="D128:O128" si="23">D$4</f>
        <v>2023A</v>
      </c>
      <c r="E128" s="533" t="str">
        <f t="shared" si="23"/>
        <v>2024E</v>
      </c>
      <c r="F128" s="533" t="str">
        <f t="shared" si="23"/>
        <v>2025E</v>
      </c>
      <c r="G128" s="533" t="str">
        <f t="shared" si="23"/>
        <v>2026E</v>
      </c>
      <c r="H128" s="533" t="str">
        <f t="shared" si="23"/>
        <v>2027E</v>
      </c>
      <c r="I128" s="533" t="str">
        <f t="shared" si="23"/>
        <v>2028E</v>
      </c>
      <c r="J128" s="533" t="str">
        <f t="shared" si="23"/>
        <v>2029E</v>
      </c>
      <c r="K128" s="533" t="str">
        <f t="shared" si="23"/>
        <v>2030E</v>
      </c>
      <c r="L128" s="533" t="str">
        <f t="shared" si="23"/>
        <v>2031E</v>
      </c>
      <c r="M128" s="533" t="str">
        <f t="shared" si="23"/>
        <v>2032E</v>
      </c>
      <c r="N128" s="533" t="str">
        <f t="shared" si="23"/>
        <v>2033E</v>
      </c>
      <c r="O128" s="533" t="str">
        <f t="shared" si="23"/>
        <v>2034E</v>
      </c>
    </row>
    <row r="129" spans="2:15">
      <c r="B129" s="9" t="s">
        <v>31</v>
      </c>
      <c r="C129" s="254">
        <f>INDEX(HY!$E662:$AL662,MATCH(C$5,HY!$E$10:$AL$10,0))</f>
        <v>199.4</v>
      </c>
      <c r="D129" s="254">
        <f>INDEX(HY!$E662:$AL662,MATCH(D$5,HY!$E$10:$AL$10,0))</f>
        <v>290.7</v>
      </c>
      <c r="E129" s="254">
        <f>INDEX(HY!$E662:$AL662,MATCH(E$5,HY!$E$10:$AL$10,0))</f>
        <v>313.7</v>
      </c>
      <c r="F129" s="254">
        <f>INDEX(HY!$E662:$AL662,MATCH(F$5,HY!$E$10:$AL$10,0))</f>
        <v>236.5</v>
      </c>
      <c r="G129" s="254">
        <f>INDEX(HY!$E662:$AL662,MATCH(G$5,HY!$E$10:$AL$10,0))</f>
        <v>305.8</v>
      </c>
      <c r="H129" s="254">
        <f>INDEX(HY!$E662:$AL662,MATCH(H$5,HY!$E$10:$AL$10,0))</f>
        <v>269.13943476485838</v>
      </c>
      <c r="I129" s="254">
        <f>INDEX(HY!$E662:$AL662,MATCH(I$5,HY!$E$10:$AL$10,0))</f>
        <v>352.72355053915533</v>
      </c>
      <c r="J129" s="254">
        <f>INDEX(HY!$E662:$AL662,MATCH(J$5,HY!$E$10:$AL$10,0))</f>
        <v>458.57229818837226</v>
      </c>
      <c r="K129" s="254">
        <f>INDEX(HY!$E662:$AL662,MATCH(K$5,HY!$E$10:$AL$10,0))</f>
        <v>587.57566607467811</v>
      </c>
      <c r="L129" s="254">
        <f>INDEX(HY!$E662:$AL662,MATCH(L$5,HY!$E$10:$AL$10,0))</f>
        <v>710.06859137762478</v>
      </c>
      <c r="M129" s="254">
        <f>INDEX(HY!$E662:$AL662,MATCH(M$5,HY!$E$10:$AL$10,0))</f>
        <v>913.46297845982997</v>
      </c>
      <c r="N129" s="254">
        <f>INDEX(HY!$E662:$AL662,MATCH(N$5,HY!$E$10:$AL$10,0))</f>
        <v>1127.6528188455538</v>
      </c>
      <c r="O129" s="254">
        <f>INDEX(HY!$E662:$AL662,MATCH(O$5,HY!$E$10:$AL$10,0))</f>
        <v>1370.598173245646</v>
      </c>
    </row>
    <row r="130" spans="2:15">
      <c r="B130" s="9" t="s">
        <v>32</v>
      </c>
      <c r="C130" s="254">
        <f>INDEX(HY!$E663:$AL663,MATCH(C$5,HY!$E$10:$AL$10,0))</f>
        <v>129.9</v>
      </c>
      <c r="D130" s="254">
        <f>INDEX(HY!$E663:$AL663,MATCH(D$5,HY!$E$10:$AL$10,0))</f>
        <v>165.8</v>
      </c>
      <c r="E130" s="254">
        <f>INDEX(HY!$E663:$AL663,MATCH(E$5,HY!$E$10:$AL$10,0))</f>
        <v>160.9</v>
      </c>
      <c r="F130" s="254">
        <f>INDEX(HY!$E663:$AL663,MATCH(F$5,HY!$E$10:$AL$10,0))</f>
        <v>87.8</v>
      </c>
      <c r="G130" s="254">
        <f>INDEX(HY!$E663:$AL663,MATCH(G$5,HY!$E$10:$AL$10,0))</f>
        <v>106.9</v>
      </c>
      <c r="H130" s="254">
        <f>INDEX(HY!$E663:$AL663,MATCH(H$5,HY!$E$10:$AL$10,0))</f>
        <v>111.41842094359997</v>
      </c>
      <c r="I130" s="254">
        <f>INDEX(HY!$E663:$AL663,MATCH(I$5,HY!$E$10:$AL$10,0))</f>
        <v>114.30616960306696</v>
      </c>
      <c r="J130" s="254">
        <f>INDEX(HY!$E663:$AL663,MATCH(J$5,HY!$E$10:$AL$10,0))</f>
        <v>116.14119019170816</v>
      </c>
      <c r="K130" s="254">
        <f>INDEX(HY!$E663:$AL663,MATCH(K$5,HY!$E$10:$AL$10,0))</f>
        <v>118.83330188508033</v>
      </c>
      <c r="L130" s="254">
        <f>INDEX(HY!$E663:$AL663,MATCH(L$5,HY!$E$10:$AL$10,0))</f>
        <v>120.81138213246091</v>
      </c>
      <c r="M130" s="254">
        <f>INDEX(HY!$E663:$AL663,MATCH(M$5,HY!$E$10:$AL$10,0))</f>
        <v>122.18946492437252</v>
      </c>
      <c r="N130" s="254">
        <f>INDEX(HY!$E663:$AL663,MATCH(N$5,HY!$E$10:$AL$10,0))</f>
        <v>124.99488508424193</v>
      </c>
      <c r="O130" s="254">
        <f>INDEX(HY!$E663:$AL663,MATCH(O$5,HY!$E$10:$AL$10,0))</f>
        <v>127.20456236144469</v>
      </c>
    </row>
    <row r="131" spans="2:15">
      <c r="B131" s="9" t="s">
        <v>56</v>
      </c>
      <c r="C131" s="254">
        <f>INDEX(HY!$E665:$AL665,MATCH(C$5,HY!$E$10:$AL$10,0))</f>
        <v>0</v>
      </c>
      <c r="D131" s="254">
        <f>INDEX(HY!$E665:$AL665,MATCH(D$5,HY!$E$10:$AL$10,0))</f>
        <v>10.8</v>
      </c>
      <c r="E131" s="254">
        <f>INDEX(HY!$E665:$AL665,MATCH(E$5,HY!$E$10:$AL$10,0))</f>
        <v>13</v>
      </c>
      <c r="F131" s="254">
        <f>INDEX(HY!$E665:$AL665,MATCH(F$5,HY!$E$10:$AL$10,0))</f>
        <v>0</v>
      </c>
      <c r="G131" s="254">
        <f>INDEX(HY!$E665:$AL665,MATCH(G$5,HY!$E$10:$AL$10,0))</f>
        <v>0</v>
      </c>
      <c r="H131" s="254">
        <f>INDEX(HY!$E665:$AL665,MATCH(H$5,HY!$E$10:$AL$10,0))</f>
        <v>0</v>
      </c>
      <c r="I131" s="254">
        <f>INDEX(HY!$E665:$AL665,MATCH(I$5,HY!$E$10:$AL$10,0))</f>
        <v>0</v>
      </c>
      <c r="J131" s="254">
        <f>INDEX(HY!$E665:$AL665,MATCH(J$5,HY!$E$10:$AL$10,0))</f>
        <v>0</v>
      </c>
      <c r="K131" s="254">
        <f>INDEX(HY!$E665:$AL665,MATCH(K$5,HY!$E$10:$AL$10,0))</f>
        <v>0</v>
      </c>
      <c r="L131" s="254">
        <f>INDEX(HY!$E665:$AL665,MATCH(L$5,HY!$E$10:$AL$10,0))</f>
        <v>0</v>
      </c>
      <c r="M131" s="254">
        <f>INDEX(HY!$E665:$AL665,MATCH(M$5,HY!$E$10:$AL$10,0))</f>
        <v>0</v>
      </c>
      <c r="N131" s="254">
        <f>INDEX(HY!$E665:$AL665,MATCH(N$5,HY!$E$10:$AL$10,0))</f>
        <v>0</v>
      </c>
      <c r="O131" s="254">
        <f>INDEX(HY!$E665:$AL665,MATCH(O$5,HY!$E$10:$AL$10,0))</f>
        <v>0</v>
      </c>
    </row>
    <row r="132" spans="2:15">
      <c r="B132" s="9" t="s">
        <v>3</v>
      </c>
      <c r="C132" s="254">
        <f>INDEX(HY!$E668:$AL668,MATCH(C$5,HY!$E$10:$AL$10,0))+INDEX(HY!$E667:$AL667,MATCH(C$5,HY!$E$10:$AL$10,0))+INDEX(HY!$E666:$AL666,MATCH(C$5,HY!$E$10:$AL$10,0))</f>
        <v>102.1</v>
      </c>
      <c r="D132" s="254">
        <f>INDEX(HY!$E668:$AL668,MATCH(D$5,HY!$E$10:$AL$10,0))+INDEX(HY!$E667:$AL667,MATCH(D$5,HY!$E$10:$AL$10,0))+INDEX(HY!$E666:$AL666,MATCH(D$5,HY!$E$10:$AL$10,0))</f>
        <v>84.5</v>
      </c>
      <c r="E132" s="254">
        <f>INDEX(HY!$E668:$AL668,MATCH(E$5,HY!$E$10:$AL$10,0))+INDEX(HY!$E667:$AL667,MATCH(E$5,HY!$E$10:$AL$10,0))+INDEX(HY!$E666:$AL666,MATCH(E$5,HY!$E$10:$AL$10,0))</f>
        <v>83.5</v>
      </c>
      <c r="F132" s="254">
        <f>INDEX(HY!$E668:$AL668,MATCH(F$5,HY!$E$10:$AL$10,0))+INDEX(HY!$E667:$AL667,MATCH(F$5,HY!$E$10:$AL$10,0))+INDEX(HY!$E666:$AL666,MATCH(F$5,HY!$E$10:$AL$10,0))</f>
        <v>59.3</v>
      </c>
      <c r="G132" s="254">
        <f>INDEX(HY!$E668:$AL668,MATCH(G$5,HY!$E$10:$AL$10,0))+INDEX(HY!$E667:$AL667,MATCH(G$5,HY!$E$10:$AL$10,0))+INDEX(HY!$E666:$AL666,MATCH(G$5,HY!$E$10:$AL$10,0))</f>
        <v>64.3</v>
      </c>
      <c r="H132" s="254">
        <f>INDEX(HY!$E668:$AL668,MATCH(H$5,HY!$E$10:$AL$10,0))+INDEX(HY!$E667:$AL667,MATCH(H$5,HY!$E$10:$AL$10,0))+INDEX(HY!$E666:$AL666,MATCH(H$5,HY!$E$10:$AL$10,0))</f>
        <v>64.3</v>
      </c>
      <c r="I132" s="254">
        <f>INDEX(HY!$E668:$AL668,MATCH(I$5,HY!$E$10:$AL$10,0))+INDEX(HY!$E667:$AL667,MATCH(I$5,HY!$E$10:$AL$10,0))+INDEX(HY!$E666:$AL666,MATCH(I$5,HY!$E$10:$AL$10,0))</f>
        <v>64.3</v>
      </c>
      <c r="J132" s="254">
        <f>INDEX(HY!$E668:$AL668,MATCH(J$5,HY!$E$10:$AL$10,0))+INDEX(HY!$E667:$AL667,MATCH(J$5,HY!$E$10:$AL$10,0))+INDEX(HY!$E666:$AL666,MATCH(J$5,HY!$E$10:$AL$10,0))</f>
        <v>64.3</v>
      </c>
      <c r="K132" s="254">
        <f>INDEX(HY!$E668:$AL668,MATCH(K$5,HY!$E$10:$AL$10,0))+INDEX(HY!$E667:$AL667,MATCH(K$5,HY!$E$10:$AL$10,0))+INDEX(HY!$E666:$AL666,MATCH(K$5,HY!$E$10:$AL$10,0))</f>
        <v>64.3</v>
      </c>
      <c r="L132" s="254">
        <f>INDEX(HY!$E668:$AL668,MATCH(L$5,HY!$E$10:$AL$10,0))+INDEX(HY!$E667:$AL667,MATCH(L$5,HY!$E$10:$AL$10,0))+INDEX(HY!$E666:$AL666,MATCH(L$5,HY!$E$10:$AL$10,0))</f>
        <v>64.3</v>
      </c>
      <c r="M132" s="254">
        <f>INDEX(HY!$E668:$AL668,MATCH(M$5,HY!$E$10:$AL$10,0))+INDEX(HY!$E667:$AL667,MATCH(M$5,HY!$E$10:$AL$10,0))+INDEX(HY!$E666:$AL666,MATCH(M$5,HY!$E$10:$AL$10,0))</f>
        <v>64.3</v>
      </c>
      <c r="N132" s="254">
        <f>INDEX(HY!$E668:$AL668,MATCH(N$5,HY!$E$10:$AL$10,0))+INDEX(HY!$E667:$AL667,MATCH(N$5,HY!$E$10:$AL$10,0))+INDEX(HY!$E666:$AL666,MATCH(N$5,HY!$E$10:$AL$10,0))</f>
        <v>64.3</v>
      </c>
      <c r="O132" s="254">
        <f>INDEX(HY!$E668:$AL668,MATCH(O$5,HY!$E$10:$AL$10,0))+INDEX(HY!$E667:$AL667,MATCH(O$5,HY!$E$10:$AL$10,0))+INDEX(HY!$E666:$AL666,MATCH(O$5,HY!$E$10:$AL$10,0))</f>
        <v>64.3</v>
      </c>
    </row>
    <row r="133" spans="2:15">
      <c r="B133" s="498" t="s">
        <v>991</v>
      </c>
      <c r="C133" s="500" t="s">
        <v>991</v>
      </c>
      <c r="D133" s="500" t="s">
        <v>991</v>
      </c>
      <c r="E133" s="500" t="s">
        <v>991</v>
      </c>
      <c r="F133" s="500" t="s">
        <v>991</v>
      </c>
      <c r="G133" s="500" t="s">
        <v>991</v>
      </c>
      <c r="H133" s="500" t="s">
        <v>991</v>
      </c>
      <c r="I133" s="500" t="s">
        <v>991</v>
      </c>
      <c r="J133" s="500" t="s">
        <v>991</v>
      </c>
      <c r="K133" s="500" t="s">
        <v>991</v>
      </c>
      <c r="L133" s="500" t="s">
        <v>991</v>
      </c>
      <c r="M133" s="500" t="s">
        <v>991</v>
      </c>
      <c r="N133" s="500" t="s">
        <v>991</v>
      </c>
      <c r="O133" s="500" t="s">
        <v>991</v>
      </c>
    </row>
    <row r="134" spans="2:15" s="12" customFormat="1">
      <c r="B134" s="12" t="s">
        <v>418</v>
      </c>
      <c r="C134" s="531">
        <f t="shared" ref="C134:O134" si="24">SUM(C129:C133)</f>
        <v>431.4</v>
      </c>
      <c r="D134" s="531">
        <f t="shared" si="24"/>
        <v>551.79999999999995</v>
      </c>
      <c r="E134" s="531">
        <f t="shared" si="24"/>
        <v>571.1</v>
      </c>
      <c r="F134" s="531">
        <f t="shared" si="24"/>
        <v>383.6</v>
      </c>
      <c r="G134" s="531">
        <f t="shared" si="24"/>
        <v>477.00000000000006</v>
      </c>
      <c r="H134" s="531">
        <f t="shared" si="24"/>
        <v>444.85785570845837</v>
      </c>
      <c r="I134" s="531">
        <f t="shared" si="24"/>
        <v>531.3297201422223</v>
      </c>
      <c r="J134" s="531">
        <f t="shared" si="24"/>
        <v>639.01348838008039</v>
      </c>
      <c r="K134" s="531">
        <f t="shared" si="24"/>
        <v>770.70896795975841</v>
      </c>
      <c r="L134" s="531">
        <f t="shared" si="24"/>
        <v>895.17997351008569</v>
      </c>
      <c r="M134" s="531">
        <f t="shared" si="24"/>
        <v>1099.9524433842025</v>
      </c>
      <c r="N134" s="531">
        <f t="shared" si="24"/>
        <v>1316.9477039297958</v>
      </c>
      <c r="O134" s="531">
        <f t="shared" si="24"/>
        <v>1562.1027356070906</v>
      </c>
    </row>
    <row r="135" spans="2:15">
      <c r="C135" s="254"/>
      <c r="D135" s="254"/>
      <c r="E135" s="254"/>
      <c r="F135" s="254"/>
      <c r="G135" s="254"/>
      <c r="H135" s="254"/>
      <c r="I135" s="254"/>
      <c r="J135" s="254"/>
      <c r="K135" s="254"/>
      <c r="L135" s="254"/>
      <c r="M135" s="254"/>
      <c r="N135" s="254"/>
      <c r="O135" s="254"/>
    </row>
    <row r="136" spans="2:15">
      <c r="B136" s="9" t="s">
        <v>52</v>
      </c>
      <c r="C136" s="254">
        <f>INDEX(HY!$E672:$AL672,MATCH(C$5,HY!$E$10:$AL$10,0))</f>
        <v>1734</v>
      </c>
      <c r="D136" s="254">
        <f>INDEX(HY!$E672:$AL672,MATCH(D$5,HY!$E$10:$AL$10,0))</f>
        <v>1734</v>
      </c>
      <c r="E136" s="254">
        <f>INDEX(HY!$E672:$AL672,MATCH(E$5,HY!$E$10:$AL$10,0))</f>
        <v>988</v>
      </c>
      <c r="F136" s="254">
        <f>INDEX(HY!$E672:$AL672,MATCH(F$5,HY!$E$10:$AL$10,0))</f>
        <v>988</v>
      </c>
      <c r="G136" s="254">
        <f>INDEX(HY!$E672:$AL672,MATCH(G$5,HY!$E$10:$AL$10,0))</f>
        <v>988</v>
      </c>
      <c r="H136" s="254">
        <f>INDEX(HY!$E672:$AL672,MATCH(H$5,HY!$E$10:$AL$10,0))</f>
        <v>1271</v>
      </c>
      <c r="I136" s="254">
        <f>INDEX(HY!$E672:$AL672,MATCH(I$5,HY!$E$10:$AL$10,0))</f>
        <v>1271</v>
      </c>
      <c r="J136" s="254">
        <f>INDEX(HY!$E672:$AL672,MATCH(J$5,HY!$E$10:$AL$10,0))</f>
        <v>1271</v>
      </c>
      <c r="K136" s="254">
        <f>INDEX(HY!$E672:$AL672,MATCH(K$5,HY!$E$10:$AL$10,0))</f>
        <v>1271</v>
      </c>
      <c r="L136" s="254">
        <f>INDEX(HY!$E672:$AL672,MATCH(L$5,HY!$E$10:$AL$10,0))</f>
        <v>1271</v>
      </c>
      <c r="M136" s="254">
        <f>INDEX(HY!$E672:$AL672,MATCH(M$5,HY!$E$10:$AL$10,0))</f>
        <v>1271</v>
      </c>
      <c r="N136" s="254">
        <f>INDEX(HY!$E672:$AL672,MATCH(N$5,HY!$E$10:$AL$10,0))</f>
        <v>1271</v>
      </c>
      <c r="O136" s="254">
        <f>INDEX(HY!$E672:$AL672,MATCH(O$5,HY!$E$10:$AL$10,0))</f>
        <v>1271</v>
      </c>
    </row>
    <row r="137" spans="2:15">
      <c r="B137" s="9" t="s">
        <v>1564</v>
      </c>
      <c r="C137" s="254">
        <f>INDEX(HY!$E673:$AL673,MATCH(C$5,HY!$E$10:$AL$10,0))</f>
        <v>0</v>
      </c>
      <c r="D137" s="254">
        <f>INDEX(HY!$E673:$AL673,MATCH(D$5,HY!$E$10:$AL$10,0))</f>
        <v>640.6</v>
      </c>
      <c r="E137" s="254">
        <f>INDEX(HY!$E673:$AL673,MATCH(E$5,HY!$E$10:$AL$10,0))</f>
        <v>1151.9000000000001</v>
      </c>
      <c r="F137" s="254">
        <f>INDEX(HY!$E673:$AL673,MATCH(F$5,HY!$E$10:$AL$10,0))</f>
        <v>1093.3</v>
      </c>
      <c r="G137" s="254">
        <f>INDEX(HY!$E673:$AL673,MATCH(G$5,HY!$E$10:$AL$10,0))</f>
        <v>1033.4000000000001</v>
      </c>
      <c r="H137" s="254">
        <f>INDEX(HY!$E673:$AL673,MATCH(H$5,HY!$E$10:$AL$10,0))</f>
        <v>974.00000000000045</v>
      </c>
      <c r="I137" s="254">
        <f>INDEX(HY!$E673:$AL673,MATCH(I$5,HY!$E$10:$AL$10,0))</f>
        <v>914.60000000000082</v>
      </c>
      <c r="J137" s="254">
        <f>INDEX(HY!$E673:$AL673,MATCH(J$5,HY!$E$10:$AL$10,0))</f>
        <v>855.20000000000118</v>
      </c>
      <c r="K137" s="254">
        <f>INDEX(HY!$E673:$AL673,MATCH(K$5,HY!$E$10:$AL$10,0))</f>
        <v>795.80000000000155</v>
      </c>
      <c r="L137" s="254">
        <f>INDEX(HY!$E673:$AL673,MATCH(L$5,HY!$E$10:$AL$10,0))</f>
        <v>736.40000000000191</v>
      </c>
      <c r="M137" s="254">
        <f>INDEX(HY!$E673:$AL673,MATCH(M$5,HY!$E$10:$AL$10,0))</f>
        <v>677.00000000000227</v>
      </c>
      <c r="N137" s="254">
        <f>INDEX(HY!$E673:$AL673,MATCH(N$5,HY!$E$10:$AL$10,0))</f>
        <v>617.60000000000264</v>
      </c>
      <c r="O137" s="254">
        <f>INDEX(HY!$E673:$AL673,MATCH(O$5,HY!$E$10:$AL$10,0))</f>
        <v>558.200000000003</v>
      </c>
    </row>
    <row r="138" spans="2:15">
      <c r="B138" s="9" t="s">
        <v>1239</v>
      </c>
      <c r="C138" s="254">
        <f>INDEX(HY!$E674:$AL674,MATCH(C$5,HY!$E$10:$AL$10,0))</f>
        <v>1474.4</v>
      </c>
      <c r="D138" s="254">
        <f>INDEX(HY!$E674:$AL674,MATCH(D$5,HY!$E$10:$AL$10,0))</f>
        <v>769.59999999999991</v>
      </c>
      <c r="E138" s="254">
        <f>INDEX(HY!$E674:$AL674,MATCH(E$5,HY!$E$10:$AL$10,0))</f>
        <v>402.5</v>
      </c>
      <c r="F138" s="254">
        <f>INDEX(HY!$E674:$AL674,MATCH(F$5,HY!$E$10:$AL$10,0))</f>
        <v>402.09999999999991</v>
      </c>
      <c r="G138" s="254">
        <f>INDEX(HY!$E674:$AL674,MATCH(G$5,HY!$E$10:$AL$10,0))</f>
        <v>400.59999999999991</v>
      </c>
      <c r="H138" s="254">
        <f>INDEX(HY!$E674:$AL674,MATCH(H$5,HY!$E$10:$AL$10,0))</f>
        <v>392.59999999999991</v>
      </c>
      <c r="I138" s="254">
        <f>INDEX(HY!$E674:$AL674,MATCH(I$5,HY!$E$10:$AL$10,0))</f>
        <v>368.59999999999991</v>
      </c>
      <c r="J138" s="254">
        <f>INDEX(HY!$E674:$AL674,MATCH(J$5,HY!$E$10:$AL$10,0))</f>
        <v>334.68717544229128</v>
      </c>
      <c r="K138" s="254">
        <f>INDEX(HY!$E674:$AL674,MATCH(K$5,HY!$E$10:$AL$10,0))</f>
        <v>308.82525907691831</v>
      </c>
      <c r="L138" s="254">
        <f>INDEX(HY!$E674:$AL674,MATCH(L$5,HY!$E$10:$AL$10,0))</f>
        <v>291.07892140166496</v>
      </c>
      <c r="M138" s="254">
        <f>INDEX(HY!$E674:$AL674,MATCH(M$5,HY!$E$10:$AL$10,0))</f>
        <v>279.27763789043257</v>
      </c>
      <c r="N138" s="254">
        <f>INDEX(HY!$E674:$AL674,MATCH(N$5,HY!$E$10:$AL$10,0))</f>
        <v>271.84347171264011</v>
      </c>
      <c r="O138" s="254">
        <f>INDEX(HY!$E674:$AL674,MATCH(O$5,HY!$E$10:$AL$10,0))</f>
        <v>267.62963375329252</v>
      </c>
    </row>
    <row r="139" spans="2:15">
      <c r="B139" s="9" t="s">
        <v>34</v>
      </c>
      <c r="C139" s="254">
        <f>INDEX(HY!$E675:$AL675,MATCH(C$5,HY!$E$10:$AL$10,0))</f>
        <v>349.4</v>
      </c>
      <c r="D139" s="254">
        <f>INDEX(HY!$E675:$AL675,MATCH(D$5,HY!$E$10:$AL$10,0))</f>
        <v>271.7</v>
      </c>
      <c r="E139" s="254">
        <f>INDEX(HY!$E675:$AL675,MATCH(E$5,HY!$E$10:$AL$10,0))</f>
        <v>184</v>
      </c>
      <c r="F139" s="254">
        <f>INDEX(HY!$E675:$AL675,MATCH(F$5,HY!$E$10:$AL$10,0))</f>
        <v>204.7</v>
      </c>
      <c r="G139" s="254">
        <f>INDEX(HY!$E675:$AL675,MATCH(G$5,HY!$E$10:$AL$10,0))</f>
        <v>215.1</v>
      </c>
      <c r="H139" s="254">
        <f>INDEX(HY!$E675:$AL675,MATCH(H$5,HY!$E$10:$AL$10,0))</f>
        <v>214.1</v>
      </c>
      <c r="I139" s="254">
        <f>INDEX(HY!$E675:$AL675,MATCH(I$5,HY!$E$10:$AL$10,0))</f>
        <v>224.1</v>
      </c>
      <c r="J139" s="254">
        <f>INDEX(HY!$E675:$AL675,MATCH(J$5,HY!$E$10:$AL$10,0))</f>
        <v>221.72715099494437</v>
      </c>
      <c r="K139" s="254">
        <f>INDEX(HY!$E675:$AL675,MATCH(K$5,HY!$E$10:$AL$10,0))</f>
        <v>221.18185844374045</v>
      </c>
      <c r="L139" s="254">
        <f>INDEX(HY!$E675:$AL675,MATCH(L$5,HY!$E$10:$AL$10,0))</f>
        <v>221.66952559303954</v>
      </c>
      <c r="M139" s="254">
        <f>INDEX(HY!$E675:$AL675,MATCH(M$5,HY!$E$10:$AL$10,0))</f>
        <v>222.96643206412938</v>
      </c>
      <c r="N139" s="254">
        <f>INDEX(HY!$E675:$AL675,MATCH(N$5,HY!$E$10:$AL$10,0))</f>
        <v>224.90570220454714</v>
      </c>
      <c r="O139" s="254">
        <f>INDEX(HY!$E675:$AL675,MATCH(O$5,HY!$E$10:$AL$10,0))</f>
        <v>227.36313373439387</v>
      </c>
    </row>
    <row r="140" spans="2:15">
      <c r="B140" s="9" t="s">
        <v>32</v>
      </c>
      <c r="C140" s="254">
        <f>INDEX(HY!$E676:$AL676,MATCH(C$5,HY!$E$10:$AL$10,0))</f>
        <v>10.8</v>
      </c>
      <c r="D140" s="254">
        <f>INDEX(HY!$E676:$AL676,MATCH(D$5,HY!$E$10:$AL$10,0))</f>
        <v>6.8</v>
      </c>
      <c r="E140" s="254">
        <f>INDEX(HY!$E676:$AL676,MATCH(E$5,HY!$E$10:$AL$10,0))</f>
        <v>3.7</v>
      </c>
      <c r="F140" s="254">
        <f>INDEX(HY!$E676:$AL676,MATCH(F$5,HY!$E$10:$AL$10,0))</f>
        <v>1.9</v>
      </c>
      <c r="G140" s="254">
        <f>INDEX(HY!$E676:$AL676,MATCH(G$5,HY!$E$10:$AL$10,0))</f>
        <v>0</v>
      </c>
      <c r="H140" s="254">
        <f>INDEX(HY!$E676:$AL676,MATCH(H$5,HY!$E$10:$AL$10,0))</f>
        <v>0</v>
      </c>
      <c r="I140" s="254">
        <f>INDEX(HY!$E676:$AL676,MATCH(I$5,HY!$E$10:$AL$10,0))</f>
        <v>0</v>
      </c>
      <c r="J140" s="254">
        <f>INDEX(HY!$E676:$AL676,MATCH(J$5,HY!$E$10:$AL$10,0))</f>
        <v>0</v>
      </c>
      <c r="K140" s="254">
        <f>INDEX(HY!$E676:$AL676,MATCH(K$5,HY!$E$10:$AL$10,0))</f>
        <v>0</v>
      </c>
      <c r="L140" s="254">
        <f>INDEX(HY!$E676:$AL676,MATCH(L$5,HY!$E$10:$AL$10,0))</f>
        <v>0</v>
      </c>
      <c r="M140" s="254">
        <f>INDEX(HY!$E676:$AL676,MATCH(M$5,HY!$E$10:$AL$10,0))</f>
        <v>0</v>
      </c>
      <c r="N140" s="254">
        <f>INDEX(HY!$E676:$AL676,MATCH(N$5,HY!$E$10:$AL$10,0))</f>
        <v>0</v>
      </c>
      <c r="O140" s="254">
        <f>INDEX(HY!$E676:$AL676,MATCH(O$5,HY!$E$10:$AL$10,0))</f>
        <v>0</v>
      </c>
    </row>
    <row r="141" spans="2:15">
      <c r="B141" s="9" t="s">
        <v>1257</v>
      </c>
      <c r="C141" s="254">
        <f>INDEX(HY!$E677:$AL677,MATCH(C$5,HY!$E$10:$AL$10,0))</f>
        <v>0</v>
      </c>
      <c r="D141" s="254">
        <f>INDEX(HY!$E677:$AL677,MATCH(D$5,HY!$E$10:$AL$10,0))</f>
        <v>30.6</v>
      </c>
      <c r="E141" s="254">
        <f>INDEX(HY!$E677:$AL677,MATCH(E$5,HY!$E$10:$AL$10,0))</f>
        <v>30.1</v>
      </c>
      <c r="F141" s="254">
        <f>INDEX(HY!$E677:$AL677,MATCH(F$5,HY!$E$10:$AL$10,0))</f>
        <v>33.9</v>
      </c>
      <c r="G141" s="254">
        <f>INDEX(HY!$E677:$AL677,MATCH(G$5,HY!$E$10:$AL$10,0))</f>
        <v>30.9</v>
      </c>
      <c r="H141" s="254">
        <f>INDEX(HY!$E677:$AL677,MATCH(H$5,HY!$E$10:$AL$10,0))</f>
        <v>30.9</v>
      </c>
      <c r="I141" s="254">
        <f>INDEX(HY!$E677:$AL677,MATCH(I$5,HY!$E$10:$AL$10,0))</f>
        <v>30.9</v>
      </c>
      <c r="J141" s="254">
        <f>INDEX(HY!$E677:$AL677,MATCH(J$5,HY!$E$10:$AL$10,0))</f>
        <v>30.9</v>
      </c>
      <c r="K141" s="254">
        <f>INDEX(HY!$E677:$AL677,MATCH(K$5,HY!$E$10:$AL$10,0))</f>
        <v>30.9</v>
      </c>
      <c r="L141" s="254">
        <f>INDEX(HY!$E677:$AL677,MATCH(L$5,HY!$E$10:$AL$10,0))</f>
        <v>30.899999999999991</v>
      </c>
      <c r="M141" s="254">
        <f>INDEX(HY!$E677:$AL677,MATCH(M$5,HY!$E$10:$AL$10,0))</f>
        <v>30.899999999999991</v>
      </c>
      <c r="N141" s="254">
        <f>INDEX(HY!$E677:$AL677,MATCH(N$5,HY!$E$10:$AL$10,0))</f>
        <v>30.899999999999991</v>
      </c>
      <c r="O141" s="254">
        <f>INDEX(HY!$E677:$AL677,MATCH(O$5,HY!$E$10:$AL$10,0))</f>
        <v>30.899999999999991</v>
      </c>
    </row>
    <row r="142" spans="2:15">
      <c r="B142" s="9" t="s">
        <v>3</v>
      </c>
      <c r="C142" s="254">
        <f>INDEX(HY!$E679:$AL679,MATCH(C$5,HY!$E$10:$AL$10,0))+INDEX(HY!$E678:$AL678,MATCH(C$5,HY!$E$10:$AL$10,0))</f>
        <v>48.7</v>
      </c>
      <c r="D142" s="254">
        <f>INDEX(HY!$E679:$AL679,MATCH(D$5,HY!$E$10:$AL$10,0))+INDEX(HY!$E678:$AL678,MATCH(D$5,HY!$E$10:$AL$10,0))</f>
        <v>47.3</v>
      </c>
      <c r="E142" s="254">
        <f>INDEX(HY!$E679:$AL679,MATCH(E$5,HY!$E$10:$AL$10,0))+INDEX(HY!$E678:$AL678,MATCH(E$5,HY!$E$10:$AL$10,0))</f>
        <v>54</v>
      </c>
      <c r="F142" s="254">
        <f>INDEX(HY!$E679:$AL679,MATCH(F$5,HY!$E$10:$AL$10,0))+INDEX(HY!$E678:$AL678,MATCH(F$5,HY!$E$10:$AL$10,0))</f>
        <v>32.700000000000003</v>
      </c>
      <c r="G142" s="254">
        <f>INDEX(HY!$E679:$AL679,MATCH(G$5,HY!$E$10:$AL$10,0))+INDEX(HY!$E678:$AL678,MATCH(G$5,HY!$E$10:$AL$10,0))</f>
        <v>52.7</v>
      </c>
      <c r="H142" s="254">
        <f>INDEX(HY!$E679:$AL679,MATCH(H$5,HY!$E$10:$AL$10,0))+INDEX(HY!$E678:$AL678,MATCH(H$5,HY!$E$10:$AL$10,0))</f>
        <v>52.7</v>
      </c>
      <c r="I142" s="254">
        <f>INDEX(HY!$E679:$AL679,MATCH(I$5,HY!$E$10:$AL$10,0))+INDEX(HY!$E678:$AL678,MATCH(I$5,HY!$E$10:$AL$10,0))</f>
        <v>52.7</v>
      </c>
      <c r="J142" s="254">
        <f>INDEX(HY!$E679:$AL679,MATCH(J$5,HY!$E$10:$AL$10,0))+INDEX(HY!$E678:$AL678,MATCH(J$5,HY!$E$10:$AL$10,0))</f>
        <v>52.7</v>
      </c>
      <c r="K142" s="254">
        <f>INDEX(HY!$E679:$AL679,MATCH(K$5,HY!$E$10:$AL$10,0))+INDEX(HY!$E678:$AL678,MATCH(K$5,HY!$E$10:$AL$10,0))</f>
        <v>52.7</v>
      </c>
      <c r="L142" s="254">
        <f>INDEX(HY!$E679:$AL679,MATCH(L$5,HY!$E$10:$AL$10,0))+INDEX(HY!$E678:$AL678,MATCH(L$5,HY!$E$10:$AL$10,0))</f>
        <v>52.7</v>
      </c>
      <c r="M142" s="254">
        <f>INDEX(HY!$E679:$AL679,MATCH(M$5,HY!$E$10:$AL$10,0))+INDEX(HY!$E678:$AL678,MATCH(M$5,HY!$E$10:$AL$10,0))</f>
        <v>52.7</v>
      </c>
      <c r="N142" s="254">
        <f>INDEX(HY!$E679:$AL679,MATCH(N$5,HY!$E$10:$AL$10,0))+INDEX(HY!$E678:$AL678,MATCH(N$5,HY!$E$10:$AL$10,0))</f>
        <v>52.7</v>
      </c>
      <c r="O142" s="254">
        <f>INDEX(HY!$E679:$AL679,MATCH(O$5,HY!$E$10:$AL$10,0))+INDEX(HY!$E678:$AL678,MATCH(O$5,HY!$E$10:$AL$10,0))</f>
        <v>52.7</v>
      </c>
    </row>
    <row r="143" spans="2:15">
      <c r="B143" s="498" t="s">
        <v>991</v>
      </c>
      <c r="C143" s="500" t="s">
        <v>991</v>
      </c>
      <c r="D143" s="500" t="s">
        <v>991</v>
      </c>
      <c r="E143" s="500" t="s">
        <v>991</v>
      </c>
      <c r="F143" s="500" t="s">
        <v>991</v>
      </c>
      <c r="G143" s="500" t="s">
        <v>991</v>
      </c>
      <c r="H143" s="500" t="s">
        <v>991</v>
      </c>
      <c r="I143" s="500" t="s">
        <v>991</v>
      </c>
      <c r="J143" s="500" t="s">
        <v>991</v>
      </c>
      <c r="K143" s="500" t="s">
        <v>991</v>
      </c>
      <c r="L143" s="500" t="s">
        <v>991</v>
      </c>
      <c r="M143" s="500" t="s">
        <v>991</v>
      </c>
      <c r="N143" s="500" t="s">
        <v>991</v>
      </c>
      <c r="O143" s="500" t="s">
        <v>991</v>
      </c>
    </row>
    <row r="144" spans="2:15" s="12" customFormat="1">
      <c r="B144" s="12" t="s">
        <v>439</v>
      </c>
      <c r="C144" s="531">
        <f t="shared" ref="C144:O144" si="25">SUM(C136:C143)</f>
        <v>3617.3</v>
      </c>
      <c r="D144" s="531">
        <f t="shared" si="25"/>
        <v>3500.6</v>
      </c>
      <c r="E144" s="531">
        <f t="shared" si="25"/>
        <v>2814.2</v>
      </c>
      <c r="F144" s="531">
        <f t="shared" si="25"/>
        <v>2756.6</v>
      </c>
      <c r="G144" s="531">
        <f t="shared" si="25"/>
        <v>2720.7</v>
      </c>
      <c r="H144" s="531">
        <f t="shared" si="25"/>
        <v>2935.3</v>
      </c>
      <c r="I144" s="531">
        <f t="shared" si="25"/>
        <v>2861.9000000000005</v>
      </c>
      <c r="J144" s="531">
        <f t="shared" si="25"/>
        <v>2766.2143264372367</v>
      </c>
      <c r="K144" s="531">
        <f t="shared" si="25"/>
        <v>2680.4071175206604</v>
      </c>
      <c r="L144" s="531">
        <f t="shared" si="25"/>
        <v>2603.7484469947062</v>
      </c>
      <c r="M144" s="531">
        <f t="shared" si="25"/>
        <v>2533.8440699545645</v>
      </c>
      <c r="N144" s="531">
        <f t="shared" si="25"/>
        <v>2468.9491739171899</v>
      </c>
      <c r="O144" s="531">
        <f t="shared" si="25"/>
        <v>2407.7927674876896</v>
      </c>
    </row>
    <row r="145" spans="2:15">
      <c r="B145" s="9" t="s">
        <v>1099</v>
      </c>
      <c r="C145" s="254">
        <f t="shared" ref="C145:O145" si="26">C144+C134</f>
        <v>4048.7000000000003</v>
      </c>
      <c r="D145" s="254">
        <f t="shared" si="26"/>
        <v>4052.3999999999996</v>
      </c>
      <c r="E145" s="254">
        <f t="shared" si="26"/>
        <v>3385.2999999999997</v>
      </c>
      <c r="F145" s="254">
        <f t="shared" si="26"/>
        <v>3140.2</v>
      </c>
      <c r="G145" s="254">
        <f t="shared" si="26"/>
        <v>3197.7</v>
      </c>
      <c r="H145" s="254">
        <f t="shared" si="26"/>
        <v>3380.1578557084586</v>
      </c>
      <c r="I145" s="254">
        <f t="shared" si="26"/>
        <v>3393.229720142223</v>
      </c>
      <c r="J145" s="254">
        <f t="shared" si="26"/>
        <v>3405.2278148173173</v>
      </c>
      <c r="K145" s="254">
        <f t="shared" si="26"/>
        <v>3451.1160854804189</v>
      </c>
      <c r="L145" s="254">
        <f t="shared" si="26"/>
        <v>3498.928420504792</v>
      </c>
      <c r="M145" s="254">
        <f t="shared" si="26"/>
        <v>3633.796513338767</v>
      </c>
      <c r="N145" s="254">
        <f t="shared" si="26"/>
        <v>3785.8968778469857</v>
      </c>
      <c r="O145" s="254">
        <f t="shared" si="26"/>
        <v>3969.89550309478</v>
      </c>
    </row>
    <row r="146" spans="2:15">
      <c r="C146" s="254"/>
      <c r="D146" s="254"/>
      <c r="E146" s="254"/>
      <c r="F146" s="254"/>
      <c r="G146" s="254"/>
      <c r="H146" s="254"/>
      <c r="I146" s="254"/>
      <c r="J146" s="254"/>
      <c r="K146" s="254"/>
      <c r="L146" s="254"/>
      <c r="M146" s="254"/>
      <c r="N146" s="254"/>
      <c r="O146" s="254"/>
    </row>
    <row r="147" spans="2:15">
      <c r="B147" s="9" t="s">
        <v>38</v>
      </c>
      <c r="C147" s="254">
        <f>INDEX(HY!$E684:$AL684,MATCH(C$5,HY!$E$10:$AL$10,0))</f>
        <v>0</v>
      </c>
      <c r="D147" s="254">
        <f>INDEX(HY!$E684:$AL684,MATCH(D$5,HY!$E$10:$AL$10,0))</f>
        <v>0</v>
      </c>
      <c r="E147" s="254">
        <f>INDEX(HY!$E684:$AL684,MATCH(E$5,HY!$E$10:$AL$10,0))</f>
        <v>0</v>
      </c>
      <c r="F147" s="254">
        <f>INDEX(HY!$E684:$AL684,MATCH(F$5,HY!$E$10:$AL$10,0))</f>
        <v>0</v>
      </c>
      <c r="G147" s="254">
        <f>INDEX(HY!$E684:$AL684,MATCH(G$5,HY!$E$10:$AL$10,0))</f>
        <v>0</v>
      </c>
      <c r="H147" s="254">
        <f>INDEX(HY!$E684:$AL684,MATCH(H$5,HY!$E$10:$AL$10,0))</f>
        <v>0</v>
      </c>
      <c r="I147" s="254">
        <f>INDEX(HY!$E684:$AL684,MATCH(I$5,HY!$E$10:$AL$10,0))</f>
        <v>0</v>
      </c>
      <c r="J147" s="254">
        <f>INDEX(HY!$E684:$AL684,MATCH(J$5,HY!$E$10:$AL$10,0))</f>
        <v>0</v>
      </c>
      <c r="K147" s="254">
        <f>INDEX(HY!$E684:$AL684,MATCH(K$5,HY!$E$10:$AL$10,0))</f>
        <v>0</v>
      </c>
      <c r="L147" s="254">
        <f>INDEX(HY!$E684:$AL684,MATCH(L$5,HY!$E$10:$AL$10,0))</f>
        <v>0</v>
      </c>
      <c r="M147" s="254">
        <f>INDEX(HY!$E684:$AL684,MATCH(M$5,HY!$E$10:$AL$10,0))</f>
        <v>0</v>
      </c>
      <c r="N147" s="254">
        <f>INDEX(HY!$E684:$AL684,MATCH(N$5,HY!$E$10:$AL$10,0))</f>
        <v>0</v>
      </c>
      <c r="O147" s="254">
        <f>INDEX(HY!$E684:$AL684,MATCH(O$5,HY!$E$10:$AL$10,0))</f>
        <v>0</v>
      </c>
    </row>
    <row r="148" spans="2:15">
      <c r="B148" s="9" t="s">
        <v>39</v>
      </c>
      <c r="C148" s="254">
        <f>INDEX(HY!$E685:$AL685,MATCH(C$5,HY!$E$10:$AL$10,0))</f>
        <v>598.5</v>
      </c>
      <c r="D148" s="254">
        <f>INDEX(HY!$E685:$AL685,MATCH(D$5,HY!$E$10:$AL$10,0))</f>
        <v>571</v>
      </c>
      <c r="E148" s="254">
        <f>INDEX(HY!$E685:$AL685,MATCH(E$5,HY!$E$10:$AL$10,0))</f>
        <v>554.9</v>
      </c>
      <c r="F148" s="254">
        <f>INDEX(HY!$E685:$AL685,MATCH(F$5,HY!$E$10:$AL$10,0))</f>
        <v>564.29999999999995</v>
      </c>
      <c r="G148" s="254">
        <f>INDEX(HY!$E685:$AL685,MATCH(G$5,HY!$E$10:$AL$10,0))</f>
        <v>590.70000000000005</v>
      </c>
      <c r="H148" s="254">
        <f>INDEX(HY!$E685:$AL685,MATCH(H$5,HY!$E$10:$AL$10,0))</f>
        <v>611.81079168602139</v>
      </c>
      <c r="I148" s="254">
        <f>INDEX(HY!$E685:$AL685,MATCH(I$5,HY!$E$10:$AL$10,0))</f>
        <v>618.15822238506735</v>
      </c>
      <c r="J148" s="254">
        <f>INDEX(HY!$E685:$AL685,MATCH(J$5,HY!$E$10:$AL$10,0))</f>
        <v>624.97326554285701</v>
      </c>
      <c r="K148" s="254">
        <f>INDEX(HY!$E685:$AL685,MATCH(K$5,HY!$E$10:$AL$10,0))</f>
        <v>639.01590775753152</v>
      </c>
      <c r="L148" s="254">
        <f>INDEX(HY!$E685:$AL685,MATCH(L$5,HY!$E$10:$AL$10,0))</f>
        <v>648.75740451254774</v>
      </c>
      <c r="M148" s="254">
        <f>INDEX(HY!$E685:$AL685,MATCH(M$5,HY!$E$10:$AL$10,0))</f>
        <v>655.26442326669121</v>
      </c>
      <c r="N148" s="254">
        <f>INDEX(HY!$E685:$AL685,MATCH(N$5,HY!$E$10:$AL$10,0))</f>
        <v>669.40833811485732</v>
      </c>
      <c r="O148" s="254">
        <f>INDEX(HY!$E685:$AL685,MATCH(O$5,HY!$E$10:$AL$10,0))</f>
        <v>680.33937904364768</v>
      </c>
    </row>
    <row r="149" spans="2:15">
      <c r="B149" s="9" t="s">
        <v>3</v>
      </c>
      <c r="C149" s="254">
        <f>INDEX(HY!$E689:$AL689,MATCH(C$5,HY!$E$10:$AL$10,0))+INDEX(HY!$E688:$AL688,MATCH(C$5,HY!$E$10:$AL$10,0))+INDEX(HY!$E687:$AL687,MATCH(C$5,HY!$E$10:$AL$10,0))+INDEX(HY!$E686:$AL686,MATCH(C$5,HY!$E$10:$AL$10,0))</f>
        <v>223.2</v>
      </c>
      <c r="D149" s="254">
        <f>INDEX(HY!$E689:$AL689,MATCH(D$5,HY!$E$10:$AL$10,0))+INDEX(HY!$E688:$AL688,MATCH(D$5,HY!$E$10:$AL$10,0))+INDEX(HY!$E687:$AL687,MATCH(D$5,HY!$E$10:$AL$10,0))+INDEX(HY!$E686:$AL686,MATCH(D$5,HY!$E$10:$AL$10,0))</f>
        <v>59.099999999999994</v>
      </c>
      <c r="E149" s="254">
        <f>INDEX(HY!$E689:$AL689,MATCH(E$5,HY!$E$10:$AL$10,0))+INDEX(HY!$E688:$AL688,MATCH(E$5,HY!$E$10:$AL$10,0))+INDEX(HY!$E687:$AL687,MATCH(E$5,HY!$E$10:$AL$10,0))+INDEX(HY!$E686:$AL686,MATCH(E$5,HY!$E$10:$AL$10,0))</f>
        <v>80.300000000000011</v>
      </c>
      <c r="F149" s="254">
        <f>INDEX(HY!$E689:$AL689,MATCH(F$5,HY!$E$10:$AL$10,0))+INDEX(HY!$E688:$AL688,MATCH(F$5,HY!$E$10:$AL$10,0))+INDEX(HY!$E687:$AL687,MATCH(F$5,HY!$E$10:$AL$10,0))+INDEX(HY!$E686:$AL686,MATCH(F$5,HY!$E$10:$AL$10,0))</f>
        <v>128.80000000000001</v>
      </c>
      <c r="G149" s="254">
        <f>INDEX(HY!$E689:$AL689,MATCH(G$5,HY!$E$10:$AL$10,0))+INDEX(HY!$E688:$AL688,MATCH(G$5,HY!$E$10:$AL$10,0))+INDEX(HY!$E687:$AL687,MATCH(G$5,HY!$E$10:$AL$10,0))+INDEX(HY!$E686:$AL686,MATCH(G$5,HY!$E$10:$AL$10,0))</f>
        <v>154.5</v>
      </c>
      <c r="H149" s="254">
        <f>INDEX(HY!$E689:$AL689,MATCH(H$5,HY!$E$10:$AL$10,0))+INDEX(HY!$E688:$AL688,MATCH(H$5,HY!$E$10:$AL$10,0))+INDEX(HY!$E687:$AL687,MATCH(H$5,HY!$E$10:$AL$10,0))+INDEX(HY!$E686:$AL686,MATCH(H$5,HY!$E$10:$AL$10,0))</f>
        <v>154.5</v>
      </c>
      <c r="I149" s="254">
        <f>INDEX(HY!$E689:$AL689,MATCH(I$5,HY!$E$10:$AL$10,0))+INDEX(HY!$E688:$AL688,MATCH(I$5,HY!$E$10:$AL$10,0))+INDEX(HY!$E687:$AL687,MATCH(I$5,HY!$E$10:$AL$10,0))+INDEX(HY!$E686:$AL686,MATCH(I$5,HY!$E$10:$AL$10,0))</f>
        <v>154.5</v>
      </c>
      <c r="J149" s="254">
        <f>INDEX(HY!$E689:$AL689,MATCH(J$5,HY!$E$10:$AL$10,0))+INDEX(HY!$E688:$AL688,MATCH(J$5,HY!$E$10:$AL$10,0))+INDEX(HY!$E687:$AL687,MATCH(J$5,HY!$E$10:$AL$10,0))+INDEX(HY!$E686:$AL686,MATCH(J$5,HY!$E$10:$AL$10,0))</f>
        <v>154.5</v>
      </c>
      <c r="K149" s="254">
        <f>INDEX(HY!$E689:$AL689,MATCH(K$5,HY!$E$10:$AL$10,0))+INDEX(HY!$E688:$AL688,MATCH(K$5,HY!$E$10:$AL$10,0))+INDEX(HY!$E687:$AL687,MATCH(K$5,HY!$E$10:$AL$10,0))+INDEX(HY!$E686:$AL686,MATCH(K$5,HY!$E$10:$AL$10,0))</f>
        <v>154.5</v>
      </c>
      <c r="L149" s="254">
        <f>INDEX(HY!$E689:$AL689,MATCH(L$5,HY!$E$10:$AL$10,0))+INDEX(HY!$E688:$AL688,MATCH(L$5,HY!$E$10:$AL$10,0))+INDEX(HY!$E687:$AL687,MATCH(L$5,HY!$E$10:$AL$10,0))+INDEX(HY!$E686:$AL686,MATCH(L$5,HY!$E$10:$AL$10,0))</f>
        <v>154.5</v>
      </c>
      <c r="M149" s="254">
        <f>INDEX(HY!$E689:$AL689,MATCH(M$5,HY!$E$10:$AL$10,0))+INDEX(HY!$E688:$AL688,MATCH(M$5,HY!$E$10:$AL$10,0))+INDEX(HY!$E687:$AL687,MATCH(M$5,HY!$E$10:$AL$10,0))+INDEX(HY!$E686:$AL686,MATCH(M$5,HY!$E$10:$AL$10,0))</f>
        <v>154.5</v>
      </c>
      <c r="N149" s="254">
        <f>INDEX(HY!$E689:$AL689,MATCH(N$5,HY!$E$10:$AL$10,0))+INDEX(HY!$E688:$AL688,MATCH(N$5,HY!$E$10:$AL$10,0))+INDEX(HY!$E687:$AL687,MATCH(N$5,HY!$E$10:$AL$10,0))+INDEX(HY!$E686:$AL686,MATCH(N$5,HY!$E$10:$AL$10,0))</f>
        <v>154.5</v>
      </c>
      <c r="O149" s="254">
        <f>INDEX(HY!$E689:$AL689,MATCH(O$5,HY!$E$10:$AL$10,0))+INDEX(HY!$E688:$AL688,MATCH(O$5,HY!$E$10:$AL$10,0))+INDEX(HY!$E687:$AL687,MATCH(O$5,HY!$E$10:$AL$10,0))+INDEX(HY!$E686:$AL686,MATCH(O$5,HY!$E$10:$AL$10,0))</f>
        <v>154.5</v>
      </c>
    </row>
    <row r="150" spans="2:15">
      <c r="B150" s="498" t="s">
        <v>991</v>
      </c>
      <c r="C150" s="500" t="s">
        <v>991</v>
      </c>
      <c r="D150" s="500" t="s">
        <v>991</v>
      </c>
      <c r="E150" s="500" t="s">
        <v>991</v>
      </c>
      <c r="F150" s="500" t="s">
        <v>991</v>
      </c>
      <c r="G150" s="500" t="s">
        <v>991</v>
      </c>
      <c r="H150" s="500" t="s">
        <v>991</v>
      </c>
      <c r="I150" s="500" t="s">
        <v>991</v>
      </c>
      <c r="J150" s="500" t="s">
        <v>991</v>
      </c>
      <c r="K150" s="500" t="s">
        <v>991</v>
      </c>
      <c r="L150" s="500" t="s">
        <v>991</v>
      </c>
      <c r="M150" s="500" t="s">
        <v>991</v>
      </c>
      <c r="N150" s="500" t="s">
        <v>991</v>
      </c>
      <c r="O150" s="500" t="s">
        <v>991</v>
      </c>
    </row>
    <row r="151" spans="2:15" s="12" customFormat="1">
      <c r="B151" s="12" t="s">
        <v>1100</v>
      </c>
      <c r="C151" s="531">
        <f t="shared" ref="C151:O151" si="27">SUM(C147:C150)</f>
        <v>821.7</v>
      </c>
      <c r="D151" s="531">
        <f t="shared" si="27"/>
        <v>630.1</v>
      </c>
      <c r="E151" s="531">
        <f t="shared" si="27"/>
        <v>635.20000000000005</v>
      </c>
      <c r="F151" s="531">
        <f t="shared" si="27"/>
        <v>693.09999999999991</v>
      </c>
      <c r="G151" s="531">
        <f t="shared" si="27"/>
        <v>745.2</v>
      </c>
      <c r="H151" s="531">
        <f t="shared" si="27"/>
        <v>766.31079168602139</v>
      </c>
      <c r="I151" s="531">
        <f t="shared" si="27"/>
        <v>772.65822238506735</v>
      </c>
      <c r="J151" s="531">
        <f t="shared" si="27"/>
        <v>779.47326554285701</v>
      </c>
      <c r="K151" s="531">
        <f t="shared" si="27"/>
        <v>793.51590775753152</v>
      </c>
      <c r="L151" s="531">
        <f t="shared" si="27"/>
        <v>803.25740451254774</v>
      </c>
      <c r="M151" s="531">
        <f t="shared" si="27"/>
        <v>809.76442326669121</v>
      </c>
      <c r="N151" s="531">
        <f t="shared" si="27"/>
        <v>823.90833811485732</v>
      </c>
      <c r="O151" s="531">
        <f t="shared" si="27"/>
        <v>834.83937904364768</v>
      </c>
    </row>
    <row r="152" spans="2:15">
      <c r="C152" s="254"/>
      <c r="D152" s="254"/>
      <c r="E152" s="254"/>
      <c r="F152" s="254"/>
      <c r="G152" s="254"/>
      <c r="H152" s="254"/>
      <c r="I152" s="254"/>
      <c r="J152" s="254"/>
      <c r="K152" s="254"/>
      <c r="L152" s="254"/>
      <c r="M152" s="254"/>
      <c r="N152" s="254"/>
      <c r="O152" s="254"/>
    </row>
    <row r="153" spans="2:15">
      <c r="B153" s="9" t="s">
        <v>1076</v>
      </c>
      <c r="C153" s="254">
        <f>INDEX(HY!$E693:$AL693,MATCH(C$5,HY!$E$10:$AL$10,0))</f>
        <v>135.30000000000001</v>
      </c>
      <c r="D153" s="254">
        <f>INDEX(HY!$E693:$AL693,MATCH(D$5,HY!$E$10:$AL$10,0))</f>
        <v>431.9</v>
      </c>
      <c r="E153" s="254">
        <f>INDEX(HY!$E693:$AL693,MATCH(E$5,HY!$E$10:$AL$10,0))</f>
        <v>1032.5999999999999</v>
      </c>
      <c r="F153" s="254">
        <f>INDEX(HY!$E693:$AL693,MATCH(F$5,HY!$E$10:$AL$10,0))</f>
        <v>738.1</v>
      </c>
      <c r="G153" s="254">
        <f>INDEX(HY!$E693:$AL693,MATCH(G$5,HY!$E$10:$AL$10,0))</f>
        <v>716.3</v>
      </c>
      <c r="H153" s="254">
        <f>INDEX(HY!$E693:$AL693,MATCH(H$5,HY!$E$10:$AL$10,0))</f>
        <v>891.3</v>
      </c>
      <c r="I153" s="254">
        <f>INDEX(HY!$E693:$AL693,MATCH(I$5,HY!$E$10:$AL$10,0))</f>
        <v>891.3</v>
      </c>
      <c r="J153" s="254">
        <f>INDEX(HY!$E693:$AL693,MATCH(J$5,HY!$E$10:$AL$10,0))</f>
        <v>891.3</v>
      </c>
      <c r="K153" s="254">
        <f>INDEX(HY!$E693:$AL693,MATCH(K$5,HY!$E$10:$AL$10,0))</f>
        <v>891.3</v>
      </c>
      <c r="L153" s="254">
        <f>INDEX(HY!$E693:$AL693,MATCH(L$5,HY!$E$10:$AL$10,0))</f>
        <v>891.3</v>
      </c>
      <c r="M153" s="254">
        <f>INDEX(HY!$E693:$AL693,MATCH(M$5,HY!$E$10:$AL$10,0))</f>
        <v>891.3</v>
      </c>
      <c r="N153" s="254">
        <f>INDEX(HY!$E693:$AL693,MATCH(N$5,HY!$E$10:$AL$10,0))</f>
        <v>891.3</v>
      </c>
      <c r="O153" s="254">
        <f>INDEX(HY!$E693:$AL693,MATCH(O$5,HY!$E$10:$AL$10,0))</f>
        <v>891.3</v>
      </c>
    </row>
    <row r="154" spans="2:15">
      <c r="B154" s="9" t="s">
        <v>39</v>
      </c>
      <c r="C154" s="254">
        <f>INDEX(HY!$E694:$AL694,MATCH(C$5,HY!$E$10:$AL$10,0))</f>
        <v>181.7</v>
      </c>
      <c r="D154" s="254">
        <f>INDEX(HY!$E694:$AL694,MATCH(D$5,HY!$E$10:$AL$10,0))</f>
        <v>140.5</v>
      </c>
      <c r="E154" s="254">
        <f>INDEX(HY!$E694:$AL694,MATCH(E$5,HY!$E$10:$AL$10,0))</f>
        <v>111.80000000000001</v>
      </c>
      <c r="F154" s="254">
        <f>INDEX(HY!$E694:$AL694,MATCH(F$5,HY!$E$10:$AL$10,0))</f>
        <v>124.5</v>
      </c>
      <c r="G154" s="254">
        <f>INDEX(HY!$E694:$AL694,MATCH(G$5,HY!$E$10:$AL$10,0))</f>
        <v>115.69999999999999</v>
      </c>
      <c r="H154" s="254">
        <f>INDEX(HY!$E694:$AL694,MATCH(H$5,HY!$E$10:$AL$10,0))</f>
        <v>115.69999999999999</v>
      </c>
      <c r="I154" s="254">
        <f>INDEX(HY!$E694:$AL694,MATCH(I$5,HY!$E$10:$AL$10,0))</f>
        <v>115.69999999999999</v>
      </c>
      <c r="J154" s="254">
        <f>INDEX(HY!$E694:$AL694,MATCH(J$5,HY!$E$10:$AL$10,0))</f>
        <v>115.69999999999999</v>
      </c>
      <c r="K154" s="254">
        <f>INDEX(HY!$E694:$AL694,MATCH(K$5,HY!$E$10:$AL$10,0))</f>
        <v>115.69999999999999</v>
      </c>
      <c r="L154" s="254">
        <f>INDEX(HY!$E694:$AL694,MATCH(L$5,HY!$E$10:$AL$10,0))</f>
        <v>115.69999999999999</v>
      </c>
      <c r="M154" s="254">
        <f>INDEX(HY!$E694:$AL694,MATCH(M$5,HY!$E$10:$AL$10,0))</f>
        <v>115.69999999999999</v>
      </c>
      <c r="N154" s="254">
        <f>INDEX(HY!$E694:$AL694,MATCH(N$5,HY!$E$10:$AL$10,0))</f>
        <v>115.69999999999999</v>
      </c>
      <c r="O154" s="254">
        <f>INDEX(HY!$E694:$AL694,MATCH(O$5,HY!$E$10:$AL$10,0))</f>
        <v>115.69999999999999</v>
      </c>
    </row>
    <row r="155" spans="2:15">
      <c r="B155" s="9" t="s">
        <v>1055</v>
      </c>
      <c r="C155" s="254">
        <f>INDEX(HY!$E695:$AL695,MATCH(C$5,HY!$E$10:$AL$10,0))</f>
        <v>179.5</v>
      </c>
      <c r="D155" s="254">
        <f>INDEX(HY!$E695:$AL695,MATCH(D$5,HY!$E$10:$AL$10,0))</f>
        <v>180.1</v>
      </c>
      <c r="E155" s="254">
        <f>INDEX(HY!$E695:$AL695,MATCH(E$5,HY!$E$10:$AL$10,0))</f>
        <v>0</v>
      </c>
      <c r="F155" s="254">
        <f>INDEX(HY!$E695:$AL695,MATCH(F$5,HY!$E$10:$AL$10,0))</f>
        <v>3</v>
      </c>
      <c r="G155" s="254">
        <f>INDEX(HY!$E695:$AL695,MATCH(G$5,HY!$E$10:$AL$10,0))</f>
        <v>39.9</v>
      </c>
      <c r="H155" s="254">
        <f>INDEX(HY!$E695:$AL695,MATCH(H$5,HY!$E$10:$AL$10,0))</f>
        <v>39.9</v>
      </c>
      <c r="I155" s="254">
        <f>INDEX(HY!$E695:$AL695,MATCH(I$5,HY!$E$10:$AL$10,0))</f>
        <v>39.9</v>
      </c>
      <c r="J155" s="254">
        <f>INDEX(HY!$E695:$AL695,MATCH(J$5,HY!$E$10:$AL$10,0))</f>
        <v>39.9</v>
      </c>
      <c r="K155" s="254">
        <f>INDEX(HY!$E695:$AL695,MATCH(K$5,HY!$E$10:$AL$10,0))</f>
        <v>39.9</v>
      </c>
      <c r="L155" s="254">
        <f>INDEX(HY!$E695:$AL695,MATCH(L$5,HY!$E$10:$AL$10,0))</f>
        <v>39.9</v>
      </c>
      <c r="M155" s="254">
        <f>INDEX(HY!$E695:$AL695,MATCH(M$5,HY!$E$10:$AL$10,0))</f>
        <v>39.9</v>
      </c>
      <c r="N155" s="254">
        <f>INDEX(HY!$E695:$AL695,MATCH(N$5,HY!$E$10:$AL$10,0))</f>
        <v>39.9</v>
      </c>
      <c r="O155" s="254">
        <f>INDEX(HY!$E695:$AL695,MATCH(O$5,HY!$E$10:$AL$10,0))</f>
        <v>39.9</v>
      </c>
    </row>
    <row r="156" spans="2:15">
      <c r="B156" s="9" t="s">
        <v>3</v>
      </c>
      <c r="C156" s="254">
        <f>INDEX(HY!$E698:$AL698,MATCH(C$5,HY!$E$10:$AL$10,0))+INDEX(HY!$E696:$AL696,MATCH(C$5,HY!$E$10:$AL$10,0))+INDEX(HY!$E697:$AL697,MATCH(C$5,HY!$E$10:$AL$10,0))+INDEX(HY!$E699:$AL699,MATCH(C$5,HY!$E$10:$AL$10,0))</f>
        <v>19.400000000000002</v>
      </c>
      <c r="D156" s="254">
        <f>INDEX(HY!$E698:$AL698,MATCH(D$5,HY!$E$10:$AL$10,0))+INDEX(HY!$E696:$AL696,MATCH(D$5,HY!$E$10:$AL$10,0))+INDEX(HY!$E697:$AL697,MATCH(D$5,HY!$E$10:$AL$10,0))+INDEX(HY!$E699:$AL699,MATCH(D$5,HY!$E$10:$AL$10,0))</f>
        <v>10.7</v>
      </c>
      <c r="E156" s="254">
        <f>INDEX(HY!$E698:$AL698,MATCH(E$5,HY!$E$10:$AL$10,0))+INDEX(HY!$E696:$AL696,MATCH(E$5,HY!$E$10:$AL$10,0))+INDEX(HY!$E697:$AL697,MATCH(E$5,HY!$E$10:$AL$10,0))+INDEX(HY!$E699:$AL699,MATCH(E$5,HY!$E$10:$AL$10,0))</f>
        <v>358.8</v>
      </c>
      <c r="F156" s="254">
        <f>INDEX(HY!$E698:$AL698,MATCH(F$5,HY!$E$10:$AL$10,0))+INDEX(HY!$E696:$AL696,MATCH(F$5,HY!$E$10:$AL$10,0))+INDEX(HY!$E697:$AL697,MATCH(F$5,HY!$E$10:$AL$10,0))+INDEX(HY!$E699:$AL699,MATCH(F$5,HY!$E$10:$AL$10,0))</f>
        <v>327.5</v>
      </c>
      <c r="G156" s="254">
        <f>INDEX(HY!$E698:$AL698,MATCH(G$5,HY!$E$10:$AL$10,0))+INDEX(HY!$E696:$AL696,MATCH(G$5,HY!$E$10:$AL$10,0))+INDEX(HY!$E697:$AL697,MATCH(G$5,HY!$E$10:$AL$10,0))+INDEX(HY!$E699:$AL699,MATCH(G$5,HY!$E$10:$AL$10,0))</f>
        <v>319.40000000000003</v>
      </c>
      <c r="H156" s="254">
        <f>INDEX(HY!$E698:$AL698,MATCH(H$5,HY!$E$10:$AL$10,0))+INDEX(HY!$E696:$AL696,MATCH(H$5,HY!$E$10:$AL$10,0))+INDEX(HY!$E697:$AL697,MATCH(H$5,HY!$E$10:$AL$10,0))+INDEX(HY!$E699:$AL699,MATCH(H$5,HY!$E$10:$AL$10,0))</f>
        <v>289.40000000000003</v>
      </c>
      <c r="I156" s="254">
        <f>INDEX(HY!$E698:$AL698,MATCH(I$5,HY!$E$10:$AL$10,0))+INDEX(HY!$E696:$AL696,MATCH(I$5,HY!$E$10:$AL$10,0))+INDEX(HY!$E697:$AL697,MATCH(I$5,HY!$E$10:$AL$10,0))+INDEX(HY!$E699:$AL699,MATCH(I$5,HY!$E$10:$AL$10,0))</f>
        <v>259.40000000000003</v>
      </c>
      <c r="J156" s="254">
        <f>INDEX(HY!$E698:$AL698,MATCH(J$5,HY!$E$10:$AL$10,0))+INDEX(HY!$E696:$AL696,MATCH(J$5,HY!$E$10:$AL$10,0))+INDEX(HY!$E697:$AL697,MATCH(J$5,HY!$E$10:$AL$10,0))+INDEX(HY!$E699:$AL699,MATCH(J$5,HY!$E$10:$AL$10,0))</f>
        <v>229.4</v>
      </c>
      <c r="K156" s="254">
        <f>INDEX(HY!$E698:$AL698,MATCH(K$5,HY!$E$10:$AL$10,0))+INDEX(HY!$E696:$AL696,MATCH(K$5,HY!$E$10:$AL$10,0))+INDEX(HY!$E697:$AL697,MATCH(K$5,HY!$E$10:$AL$10,0))+INDEX(HY!$E699:$AL699,MATCH(K$5,HY!$E$10:$AL$10,0))</f>
        <v>199.4</v>
      </c>
      <c r="L156" s="254">
        <f>INDEX(HY!$E698:$AL698,MATCH(L$5,HY!$E$10:$AL$10,0))+INDEX(HY!$E696:$AL696,MATCH(L$5,HY!$E$10:$AL$10,0))+INDEX(HY!$E697:$AL697,MATCH(L$5,HY!$E$10:$AL$10,0))+INDEX(HY!$E699:$AL699,MATCH(L$5,HY!$E$10:$AL$10,0))</f>
        <v>169.4</v>
      </c>
      <c r="M156" s="254">
        <f>INDEX(HY!$E698:$AL698,MATCH(M$5,HY!$E$10:$AL$10,0))+INDEX(HY!$E696:$AL696,MATCH(M$5,HY!$E$10:$AL$10,0))+INDEX(HY!$E697:$AL697,MATCH(M$5,HY!$E$10:$AL$10,0))+INDEX(HY!$E699:$AL699,MATCH(M$5,HY!$E$10:$AL$10,0))</f>
        <v>139.4</v>
      </c>
      <c r="N156" s="254">
        <f>INDEX(HY!$E698:$AL698,MATCH(N$5,HY!$E$10:$AL$10,0))+INDEX(HY!$E696:$AL696,MATCH(N$5,HY!$E$10:$AL$10,0))+INDEX(HY!$E697:$AL697,MATCH(N$5,HY!$E$10:$AL$10,0))+INDEX(HY!$E699:$AL699,MATCH(N$5,HY!$E$10:$AL$10,0))</f>
        <v>109.4</v>
      </c>
      <c r="O156" s="254">
        <f>INDEX(HY!$E698:$AL698,MATCH(O$5,HY!$E$10:$AL$10,0))+INDEX(HY!$E696:$AL696,MATCH(O$5,HY!$E$10:$AL$10,0))+INDEX(HY!$E697:$AL697,MATCH(O$5,HY!$E$10:$AL$10,0))+INDEX(HY!$E699:$AL699,MATCH(O$5,HY!$E$10:$AL$10,0))</f>
        <v>79.400000000000006</v>
      </c>
    </row>
    <row r="157" spans="2:15">
      <c r="B157" s="498" t="s">
        <v>991</v>
      </c>
      <c r="C157" s="500" t="s">
        <v>991</v>
      </c>
      <c r="D157" s="500" t="s">
        <v>991</v>
      </c>
      <c r="E157" s="500" t="s">
        <v>991</v>
      </c>
      <c r="F157" s="500" t="s">
        <v>991</v>
      </c>
      <c r="G157" s="500" t="s">
        <v>991</v>
      </c>
      <c r="H157" s="500" t="s">
        <v>991</v>
      </c>
      <c r="I157" s="500" t="s">
        <v>991</v>
      </c>
      <c r="J157" s="500" t="s">
        <v>991</v>
      </c>
      <c r="K157" s="500" t="s">
        <v>991</v>
      </c>
      <c r="L157" s="500" t="s">
        <v>991</v>
      </c>
      <c r="M157" s="500" t="s">
        <v>991</v>
      </c>
      <c r="N157" s="500" t="s">
        <v>991</v>
      </c>
      <c r="O157" s="500" t="s">
        <v>991</v>
      </c>
    </row>
    <row r="158" spans="2:15" s="12" customFormat="1">
      <c r="B158" s="12" t="s">
        <v>488</v>
      </c>
      <c r="C158" s="531">
        <f t="shared" ref="C158:O158" si="28">SUM(C153:C157)</f>
        <v>515.9</v>
      </c>
      <c r="D158" s="531">
        <f t="shared" si="28"/>
        <v>763.2</v>
      </c>
      <c r="E158" s="531">
        <f t="shared" si="28"/>
        <v>1503.1999999999998</v>
      </c>
      <c r="F158" s="531">
        <f t="shared" si="28"/>
        <v>1193.0999999999999</v>
      </c>
      <c r="G158" s="531">
        <f t="shared" si="28"/>
        <v>1191.3</v>
      </c>
      <c r="H158" s="531">
        <f t="shared" si="28"/>
        <v>1336.3000000000002</v>
      </c>
      <c r="I158" s="531">
        <f t="shared" si="28"/>
        <v>1306.3000000000002</v>
      </c>
      <c r="J158" s="531">
        <f t="shared" si="28"/>
        <v>1276.3000000000002</v>
      </c>
      <c r="K158" s="531">
        <f t="shared" si="28"/>
        <v>1246.3000000000002</v>
      </c>
      <c r="L158" s="531">
        <f t="shared" si="28"/>
        <v>1216.3000000000002</v>
      </c>
      <c r="M158" s="531">
        <f t="shared" si="28"/>
        <v>1186.3000000000002</v>
      </c>
      <c r="N158" s="531">
        <f t="shared" si="28"/>
        <v>1156.3000000000002</v>
      </c>
      <c r="O158" s="531">
        <f t="shared" si="28"/>
        <v>1126.3000000000002</v>
      </c>
    </row>
    <row r="159" spans="2:15">
      <c r="B159" s="9" t="s">
        <v>1101</v>
      </c>
      <c r="C159" s="254">
        <f t="shared" ref="C159:O159" si="29">C158+C151</f>
        <v>1337.6</v>
      </c>
      <c r="D159" s="254">
        <f t="shared" si="29"/>
        <v>1393.3000000000002</v>
      </c>
      <c r="E159" s="254">
        <f t="shared" si="29"/>
        <v>2138.3999999999996</v>
      </c>
      <c r="F159" s="254">
        <f t="shared" si="29"/>
        <v>1886.1999999999998</v>
      </c>
      <c r="G159" s="254">
        <f t="shared" si="29"/>
        <v>1936.5</v>
      </c>
      <c r="H159" s="254">
        <f t="shared" si="29"/>
        <v>2102.6107916860215</v>
      </c>
      <c r="I159" s="254">
        <f t="shared" si="29"/>
        <v>2078.9582223850675</v>
      </c>
      <c r="J159" s="254">
        <f t="shared" si="29"/>
        <v>2055.7732655428572</v>
      </c>
      <c r="K159" s="254">
        <f t="shared" si="29"/>
        <v>2039.8159077575317</v>
      </c>
      <c r="L159" s="254">
        <f t="shared" si="29"/>
        <v>2019.5574045125479</v>
      </c>
      <c r="M159" s="254">
        <f t="shared" si="29"/>
        <v>1996.0644232666914</v>
      </c>
      <c r="N159" s="254">
        <f t="shared" si="29"/>
        <v>1980.2083381148575</v>
      </c>
      <c r="O159" s="254">
        <f t="shared" si="29"/>
        <v>1961.1393790436478</v>
      </c>
    </row>
    <row r="160" spans="2:15">
      <c r="C160" s="254"/>
      <c r="D160" s="254"/>
      <c r="E160" s="254"/>
      <c r="F160" s="254"/>
      <c r="G160" s="254"/>
      <c r="H160" s="254"/>
      <c r="I160" s="254"/>
      <c r="J160" s="254"/>
      <c r="K160" s="254"/>
      <c r="L160" s="254"/>
      <c r="M160" s="254"/>
      <c r="N160" s="254"/>
      <c r="O160" s="254"/>
    </row>
    <row r="161" spans="2:16">
      <c r="B161" s="9" t="s">
        <v>1071</v>
      </c>
      <c r="C161" s="254">
        <f>INDEX(HY!$E704:$AL704,MATCH(C$5,HY!$E$10:$AL$10,0))</f>
        <v>1635.9</v>
      </c>
      <c r="D161" s="254">
        <f>INDEX(HY!$E704:$AL704,MATCH(D$5,HY!$E$10:$AL$10,0))</f>
        <v>1687.1</v>
      </c>
      <c r="E161" s="254">
        <f>INDEX(HY!$E704:$AL704,MATCH(E$5,HY!$E$10:$AL$10,0))</f>
        <v>1688.5</v>
      </c>
      <c r="F161" s="254">
        <f>INDEX(HY!$E704:$AL704,MATCH(F$5,HY!$E$10:$AL$10,0))</f>
        <v>1689</v>
      </c>
      <c r="G161" s="254">
        <f>INDEX(HY!$E704:$AL704,MATCH(G$5,HY!$E$10:$AL$10,0))</f>
        <v>1697.5</v>
      </c>
      <c r="H161" s="254">
        <f>INDEX(HY!$E704:$AL704,MATCH(H$5,HY!$E$10:$AL$10,0))</f>
        <v>1697.5</v>
      </c>
      <c r="I161" s="254">
        <f>INDEX(HY!$E704:$AL704,MATCH(I$5,HY!$E$10:$AL$10,0))</f>
        <v>1697.5</v>
      </c>
      <c r="J161" s="254">
        <f>INDEX(HY!$E704:$AL704,MATCH(J$5,HY!$E$10:$AL$10,0))</f>
        <v>1697.5</v>
      </c>
      <c r="K161" s="254">
        <f>INDEX(HY!$E704:$AL704,MATCH(K$5,HY!$E$10:$AL$10,0))</f>
        <v>1697.5</v>
      </c>
      <c r="L161" s="254">
        <f>INDEX(HY!$E704:$AL704,MATCH(L$5,HY!$E$10:$AL$10,0))</f>
        <v>1697.5</v>
      </c>
      <c r="M161" s="254">
        <f>INDEX(HY!$E704:$AL704,MATCH(M$5,HY!$E$10:$AL$10,0))</f>
        <v>1697.5</v>
      </c>
      <c r="N161" s="254">
        <f>INDEX(HY!$E704:$AL704,MATCH(N$5,HY!$E$10:$AL$10,0))</f>
        <v>1697.5</v>
      </c>
      <c r="O161" s="254">
        <f>INDEX(HY!$E704:$AL704,MATCH(O$5,HY!$E$10:$AL$10,0))</f>
        <v>1697.5</v>
      </c>
    </row>
    <row r="162" spans="2:16">
      <c r="B162" s="9" t="s">
        <v>45</v>
      </c>
      <c r="C162" s="254">
        <f>INDEX(HY!$E706:$AL706,MATCH(C$5,HY!$E$10:$AL$10,0))</f>
        <v>1</v>
      </c>
      <c r="D162" s="254">
        <f>INDEX(HY!$E706:$AL706,MATCH(D$5,HY!$E$10:$AL$10,0))</f>
        <v>5.6</v>
      </c>
      <c r="E162" s="254">
        <f>INDEX(HY!$E706:$AL706,MATCH(E$5,HY!$E$10:$AL$10,0))</f>
        <v>-2.8</v>
      </c>
      <c r="F162" s="254">
        <f>INDEX(HY!$E706:$AL706,MATCH(F$5,HY!$E$10:$AL$10,0))</f>
        <v>4.5999999999999996</v>
      </c>
      <c r="G162" s="254">
        <f>INDEX(HY!$E706:$AL706,MATCH(G$5,HY!$E$10:$AL$10,0))</f>
        <v>13.7</v>
      </c>
      <c r="H162" s="254">
        <f>INDEX(HY!$E706:$AL706,MATCH(H$5,HY!$E$10:$AL$10,0))</f>
        <v>13.7</v>
      </c>
      <c r="I162" s="254">
        <f>INDEX(HY!$E706:$AL706,MATCH(I$5,HY!$E$10:$AL$10,0))</f>
        <v>13.7</v>
      </c>
      <c r="J162" s="254">
        <f>INDEX(HY!$E706:$AL706,MATCH(J$5,HY!$E$10:$AL$10,0))</f>
        <v>13.7</v>
      </c>
      <c r="K162" s="254">
        <f>INDEX(HY!$E706:$AL706,MATCH(K$5,HY!$E$10:$AL$10,0))</f>
        <v>13.7</v>
      </c>
      <c r="L162" s="254">
        <f>INDEX(HY!$E706:$AL706,MATCH(L$5,HY!$E$10:$AL$10,0))</f>
        <v>13.7</v>
      </c>
      <c r="M162" s="254">
        <f>INDEX(HY!$E706:$AL706,MATCH(M$5,HY!$E$10:$AL$10,0))</f>
        <v>13.7</v>
      </c>
      <c r="N162" s="254">
        <f>INDEX(HY!$E706:$AL706,MATCH(N$5,HY!$E$10:$AL$10,0))</f>
        <v>13.7</v>
      </c>
      <c r="O162" s="254">
        <f>INDEX(HY!$E706:$AL706,MATCH(O$5,HY!$E$10:$AL$10,0))</f>
        <v>13.7</v>
      </c>
    </row>
    <row r="163" spans="2:16">
      <c r="B163" s="9" t="s">
        <v>46</v>
      </c>
      <c r="C163" s="254">
        <f>INDEX(HY!$E705:$AL705,MATCH(C$5,HY!$E$10:$AL$10,0))</f>
        <v>1074.2</v>
      </c>
      <c r="D163" s="254">
        <f>INDEX(HY!$E705:$AL705,MATCH(D$5,HY!$E$10:$AL$10,0))</f>
        <v>966.4</v>
      </c>
      <c r="E163" s="254">
        <f>INDEX(HY!$E705:$AL705,MATCH(E$5,HY!$E$10:$AL$10,0))</f>
        <v>-438.8</v>
      </c>
      <c r="F163" s="254">
        <f>INDEX(HY!$E705:$AL705,MATCH(F$5,HY!$E$10:$AL$10,0))</f>
        <v>-439.6</v>
      </c>
      <c r="G163" s="254">
        <f>INDEX(HY!$E705:$AL705,MATCH(G$5,HY!$E$10:$AL$10,0))</f>
        <v>-450</v>
      </c>
      <c r="H163" s="254">
        <f>INDEX(HY!$E705:$AL705,MATCH(H$5,HY!$E$10:$AL$10,0))</f>
        <v>-433.65293597756261</v>
      </c>
      <c r="I163" s="254">
        <f>INDEX(HY!$E705:$AL705,MATCH(I$5,HY!$E$10:$AL$10,0))</f>
        <v>-396.92850224284433</v>
      </c>
      <c r="J163" s="254">
        <f>INDEX(HY!$E705:$AL705,MATCH(J$5,HY!$E$10:$AL$10,0))</f>
        <v>-361.7454507255398</v>
      </c>
      <c r="K163" s="254">
        <f>INDEX(HY!$E705:$AL705,MATCH(K$5,HY!$E$10:$AL$10,0))</f>
        <v>-299.89982227711278</v>
      </c>
      <c r="L163" s="254">
        <f>INDEX(HY!$E705:$AL705,MATCH(L$5,HY!$E$10:$AL$10,0))</f>
        <v>-231.82898400775559</v>
      </c>
      <c r="M163" s="254">
        <f>INDEX(HY!$E705:$AL705,MATCH(M$5,HY!$E$10:$AL$10,0))</f>
        <v>-73.467909927924637</v>
      </c>
      <c r="N163" s="254">
        <f>INDEX(HY!$E705:$AL705,MATCH(N$5,HY!$E$10:$AL$10,0))</f>
        <v>94.488539732128089</v>
      </c>
      <c r="O163" s="254">
        <f>INDEX(HY!$E705:$AL705,MATCH(O$5,HY!$E$10:$AL$10,0))</f>
        <v>297.55612405113209</v>
      </c>
    </row>
    <row r="164" spans="2:16">
      <c r="B164" s="9" t="s">
        <v>50</v>
      </c>
      <c r="C164" s="254">
        <f>INDEX(HY!$E707:$AL707,MATCH(C$5,HY!$E$10:$AL$10,0))</f>
        <v>0</v>
      </c>
      <c r="D164" s="254">
        <f>INDEX(HY!$E707:$AL707,MATCH(D$5,HY!$E$10:$AL$10,0))</f>
        <v>0</v>
      </c>
      <c r="E164" s="254">
        <f>INDEX(HY!$E707:$AL707,MATCH(E$5,HY!$E$10:$AL$10,0))</f>
        <v>0</v>
      </c>
      <c r="F164" s="254">
        <f>INDEX(HY!$E707:$AL707,MATCH(F$5,HY!$E$10:$AL$10,0))</f>
        <v>0</v>
      </c>
      <c r="G164" s="254">
        <f>INDEX(HY!$E707:$AL707,MATCH(G$5,HY!$E$10:$AL$10,0))</f>
        <v>0</v>
      </c>
      <c r="H164" s="254">
        <f>INDEX(HY!$E707:$AL707,MATCH(H$5,HY!$E$10:$AL$10,0))</f>
        <v>0</v>
      </c>
      <c r="I164" s="254">
        <f>INDEX(HY!$E707:$AL707,MATCH(I$5,HY!$E$10:$AL$10,0))</f>
        <v>0</v>
      </c>
      <c r="J164" s="254">
        <f>INDEX(HY!$E707:$AL707,MATCH(J$5,HY!$E$10:$AL$10,0))</f>
        <v>0</v>
      </c>
      <c r="K164" s="254">
        <f>INDEX(HY!$E707:$AL707,MATCH(K$5,HY!$E$10:$AL$10,0))</f>
        <v>0</v>
      </c>
      <c r="L164" s="254">
        <f>INDEX(HY!$E707:$AL707,MATCH(L$5,HY!$E$10:$AL$10,0))</f>
        <v>0</v>
      </c>
      <c r="M164" s="254">
        <f>INDEX(HY!$E707:$AL707,MATCH(M$5,HY!$E$10:$AL$10,0))</f>
        <v>0</v>
      </c>
      <c r="N164" s="254">
        <f>INDEX(HY!$E707:$AL707,MATCH(N$5,HY!$E$10:$AL$10,0))</f>
        <v>0</v>
      </c>
      <c r="O164" s="254">
        <f>INDEX(HY!$E707:$AL707,MATCH(O$5,HY!$E$10:$AL$10,0))</f>
        <v>0</v>
      </c>
    </row>
    <row r="165" spans="2:16">
      <c r="B165" s="498" t="s">
        <v>991</v>
      </c>
      <c r="C165" s="500" t="s">
        <v>991</v>
      </c>
      <c r="D165" s="500" t="s">
        <v>991</v>
      </c>
      <c r="E165" s="500" t="s">
        <v>991</v>
      </c>
      <c r="F165" s="500" t="s">
        <v>991</v>
      </c>
      <c r="G165" s="500" t="s">
        <v>991</v>
      </c>
      <c r="H165" s="500" t="s">
        <v>991</v>
      </c>
      <c r="I165" s="500" t="s">
        <v>991</v>
      </c>
      <c r="J165" s="500" t="s">
        <v>991</v>
      </c>
      <c r="K165" s="500" t="s">
        <v>991</v>
      </c>
      <c r="L165" s="500" t="s">
        <v>991</v>
      </c>
      <c r="M165" s="500" t="s">
        <v>991</v>
      </c>
      <c r="N165" s="500" t="s">
        <v>991</v>
      </c>
      <c r="O165" s="500" t="s">
        <v>991</v>
      </c>
    </row>
    <row r="166" spans="2:16" s="12" customFormat="1">
      <c r="B166" s="12" t="s">
        <v>1102</v>
      </c>
      <c r="C166" s="531">
        <f t="shared" ref="C166:I166" si="30">SUM(C161:C165)</f>
        <v>2711.1000000000004</v>
      </c>
      <c r="D166" s="531">
        <f t="shared" si="30"/>
        <v>2659.1</v>
      </c>
      <c r="E166" s="531">
        <f t="shared" si="30"/>
        <v>1246.9000000000001</v>
      </c>
      <c r="F166" s="531">
        <f t="shared" si="30"/>
        <v>1254</v>
      </c>
      <c r="G166" s="531">
        <f t="shared" si="30"/>
        <v>1261.2</v>
      </c>
      <c r="H166" s="531">
        <f t="shared" si="30"/>
        <v>1277.5470640224376</v>
      </c>
      <c r="I166" s="531">
        <f t="shared" si="30"/>
        <v>1314.2714977571557</v>
      </c>
      <c r="J166" s="531">
        <f t="shared" ref="J166:O166" si="31">SUM(J161:J165)</f>
        <v>1349.4545492744603</v>
      </c>
      <c r="K166" s="531">
        <f t="shared" si="31"/>
        <v>1411.3001777228874</v>
      </c>
      <c r="L166" s="531">
        <f t="shared" si="31"/>
        <v>1479.3710159922443</v>
      </c>
      <c r="M166" s="531">
        <f t="shared" si="31"/>
        <v>1637.7320900720754</v>
      </c>
      <c r="N166" s="531">
        <f t="shared" si="31"/>
        <v>1805.6885397321282</v>
      </c>
      <c r="O166" s="531">
        <f t="shared" si="31"/>
        <v>2008.7561240511322</v>
      </c>
    </row>
    <row r="167" spans="2:16" s="12" customFormat="1">
      <c r="C167" s="17"/>
      <c r="D167" s="17"/>
      <c r="E167" s="17"/>
      <c r="F167" s="17"/>
      <c r="G167" s="17"/>
      <c r="H167" s="17"/>
      <c r="I167" s="17"/>
      <c r="J167" s="17"/>
      <c r="K167" s="17"/>
      <c r="L167" s="17"/>
      <c r="M167" s="17"/>
      <c r="N167" s="17"/>
      <c r="O167" s="17"/>
    </row>
    <row r="168" spans="2:16">
      <c r="B168" s="251" t="s">
        <v>886</v>
      </c>
      <c r="C168" s="250">
        <f t="shared" ref="C168:O168" si="32">C145-C159-C166</f>
        <v>0</v>
      </c>
      <c r="D168" s="250">
        <f t="shared" si="32"/>
        <v>0</v>
      </c>
      <c r="E168" s="250">
        <f t="shared" si="32"/>
        <v>0</v>
      </c>
      <c r="F168" s="250">
        <f t="shared" si="32"/>
        <v>0</v>
      </c>
      <c r="G168" s="250">
        <f t="shared" si="32"/>
        <v>0</v>
      </c>
      <c r="H168" s="250">
        <f t="shared" si="32"/>
        <v>0</v>
      </c>
      <c r="I168" s="250">
        <f t="shared" si="32"/>
        <v>0</v>
      </c>
      <c r="J168" s="250">
        <f t="shared" si="32"/>
        <v>0</v>
      </c>
      <c r="K168" s="250">
        <f t="shared" si="32"/>
        <v>0</v>
      </c>
      <c r="L168" s="250">
        <f t="shared" si="32"/>
        <v>0</v>
      </c>
      <c r="M168" s="250">
        <f t="shared" si="32"/>
        <v>0</v>
      </c>
      <c r="N168" s="250">
        <f t="shared" si="32"/>
        <v>0</v>
      </c>
      <c r="O168" s="250">
        <f t="shared" si="32"/>
        <v>0</v>
      </c>
    </row>
    <row r="169" spans="2:16">
      <c r="B169" s="251"/>
      <c r="C169" s="250"/>
      <c r="D169" s="250"/>
      <c r="E169" s="250"/>
      <c r="F169" s="250"/>
      <c r="G169" s="250"/>
      <c r="H169" s="250"/>
      <c r="I169" s="250"/>
      <c r="J169" s="250"/>
      <c r="K169" s="250"/>
      <c r="L169" s="250"/>
      <c r="M169" s="250"/>
      <c r="N169" s="250"/>
      <c r="O169" s="250"/>
    </row>
    <row r="170" spans="2:16">
      <c r="B170" s="9" t="s">
        <v>1076</v>
      </c>
      <c r="C170" s="254">
        <f>INDEX(HY!$E565:$AL565,MATCH(C$5,HY!$E$10:$AL$10,0))</f>
        <v>135.30000000000001</v>
      </c>
      <c r="D170" s="254">
        <f>INDEX(HY!$E565:$AL565,MATCH(D$5,HY!$E$10:$AL$10,0))</f>
        <v>431.9</v>
      </c>
      <c r="E170" s="254">
        <f>INDEX(HY!$E565:$AL565,MATCH(E$5,HY!$E$10:$AL$10,0))</f>
        <v>1032.5999999999999</v>
      </c>
      <c r="F170" s="254">
        <f>INDEX(HY!$E565:$AL565,MATCH(F$5,HY!$E$10:$AL$10,0))</f>
        <v>738.1</v>
      </c>
      <c r="G170" s="254">
        <f>INDEX(HY!$E565:$AL565,MATCH(G$5,HY!$E$10:$AL$10,0))</f>
        <v>716.3</v>
      </c>
      <c r="H170" s="254">
        <f>INDEX(HY!$E565:$AL565,MATCH(H$5,HY!$E$10:$AL$10,0))</f>
        <v>891.3</v>
      </c>
      <c r="I170" s="254">
        <f>INDEX(HY!$E565:$AL565,MATCH(I$5,HY!$E$10:$AL$10,0))</f>
        <v>891.3</v>
      </c>
      <c r="J170" s="254">
        <f>INDEX(HY!$E565:$AL565,MATCH(J$5,HY!$E$10:$AL$10,0))</f>
        <v>891.3</v>
      </c>
      <c r="K170" s="254">
        <f>INDEX(HY!$E565:$AL565,MATCH(K$5,HY!$E$10:$AL$10,0))</f>
        <v>891.3</v>
      </c>
      <c r="L170" s="254">
        <f>INDEX(HY!$E565:$AL565,MATCH(L$5,HY!$E$10:$AL$10,0))</f>
        <v>891.3</v>
      </c>
      <c r="M170" s="254">
        <f>INDEX(HY!$E565:$AL565,MATCH(M$5,HY!$E$10:$AL$10,0))</f>
        <v>891.3</v>
      </c>
      <c r="N170" s="254">
        <f>INDEX(HY!$E565:$AL565,MATCH(N$5,HY!$E$10:$AL$10,0))</f>
        <v>891.3</v>
      </c>
      <c r="O170" s="254">
        <f>INDEX(HY!$E565:$AL565,MATCH(O$5,HY!$E$10:$AL$10,0))</f>
        <v>891.3</v>
      </c>
      <c r="P170" s="254"/>
    </row>
    <row r="171" spans="2:16">
      <c r="B171" s="9" t="s">
        <v>1077</v>
      </c>
      <c r="C171" s="254">
        <f>INDEX(HY!$E566:$AL566,MATCH(C$5,HY!$E$10:$AL$10,0))</f>
        <v>181.7</v>
      </c>
      <c r="D171" s="254">
        <f>INDEX(HY!$E566:$AL566,MATCH(D$5,HY!$E$10:$AL$10,0))</f>
        <v>140.5</v>
      </c>
      <c r="E171" s="254">
        <f>INDEX(HY!$E566:$AL566,MATCH(E$5,HY!$E$10:$AL$10,0))</f>
        <v>111.80000000000001</v>
      </c>
      <c r="F171" s="254">
        <f>INDEX(HY!$E566:$AL566,MATCH(F$5,HY!$E$10:$AL$10,0))</f>
        <v>124.5</v>
      </c>
      <c r="G171" s="254">
        <f>INDEX(HY!$E566:$AL566,MATCH(G$5,HY!$E$10:$AL$10,0))</f>
        <v>115.69999999999999</v>
      </c>
      <c r="H171" s="254">
        <f>INDEX(HY!$E566:$AL566,MATCH(H$5,HY!$E$10:$AL$10,0))</f>
        <v>115.69999999999999</v>
      </c>
      <c r="I171" s="254">
        <f>INDEX(HY!$E566:$AL566,MATCH(I$5,HY!$E$10:$AL$10,0))</f>
        <v>115.69999999999999</v>
      </c>
      <c r="J171" s="254">
        <f>INDEX(HY!$E566:$AL566,MATCH(J$5,HY!$E$10:$AL$10,0))</f>
        <v>115.69999999999999</v>
      </c>
      <c r="K171" s="254">
        <f>INDEX(HY!$E566:$AL566,MATCH(K$5,HY!$E$10:$AL$10,0))</f>
        <v>115.69999999999999</v>
      </c>
      <c r="L171" s="254">
        <f>INDEX(HY!$E566:$AL566,MATCH(L$5,HY!$E$10:$AL$10,0))</f>
        <v>115.69999999999999</v>
      </c>
      <c r="M171" s="254">
        <f>INDEX(HY!$E566:$AL566,MATCH(M$5,HY!$E$10:$AL$10,0))</f>
        <v>115.69999999999999</v>
      </c>
      <c r="N171" s="254">
        <f>INDEX(HY!$E566:$AL566,MATCH(N$5,HY!$E$10:$AL$10,0))</f>
        <v>115.69999999999999</v>
      </c>
      <c r="O171" s="254">
        <f>INDEX(HY!$E566:$AL566,MATCH(O$5,HY!$E$10:$AL$10,0))</f>
        <v>115.69999999999999</v>
      </c>
      <c r="P171" s="254"/>
    </row>
    <row r="172" spans="2:16">
      <c r="B172" s="9" t="s">
        <v>1532</v>
      </c>
      <c r="C172" s="254">
        <f>SUM(C170:C171)</f>
        <v>317</v>
      </c>
      <c r="D172" s="254">
        <f>SUM(D170:D171)</f>
        <v>572.4</v>
      </c>
      <c r="E172" s="254">
        <f t="shared" ref="D172:O172" si="33">SUM(E170:E171)</f>
        <v>1144.3999999999999</v>
      </c>
      <c r="F172" s="254">
        <f t="shared" si="33"/>
        <v>862.6</v>
      </c>
      <c r="G172" s="254">
        <f t="shared" si="33"/>
        <v>832</v>
      </c>
      <c r="H172" s="254">
        <f t="shared" si="33"/>
        <v>1007</v>
      </c>
      <c r="I172" s="254">
        <f t="shared" si="33"/>
        <v>1007</v>
      </c>
      <c r="J172" s="254">
        <f t="shared" si="33"/>
        <v>1007</v>
      </c>
      <c r="K172" s="254">
        <f t="shared" si="33"/>
        <v>1007</v>
      </c>
      <c r="L172" s="254">
        <f t="shared" si="33"/>
        <v>1007</v>
      </c>
      <c r="M172" s="254">
        <f t="shared" si="33"/>
        <v>1007</v>
      </c>
      <c r="N172" s="254">
        <f t="shared" si="33"/>
        <v>1007</v>
      </c>
      <c r="O172" s="254">
        <f t="shared" si="33"/>
        <v>1007</v>
      </c>
      <c r="P172" s="254"/>
    </row>
    <row r="173" spans="2:16">
      <c r="C173" s="14"/>
      <c r="D173" s="14"/>
      <c r="E173" s="14"/>
      <c r="F173" s="14"/>
      <c r="G173" s="14"/>
      <c r="H173" s="14"/>
      <c r="I173" s="14"/>
      <c r="J173" s="14"/>
      <c r="K173" s="14"/>
      <c r="L173" s="14"/>
      <c r="M173" s="14"/>
      <c r="N173" s="14"/>
      <c r="O173" s="14"/>
    </row>
    <row r="174" spans="2:16">
      <c r="B174" s="9" t="s">
        <v>522</v>
      </c>
      <c r="C174" s="254">
        <f>INDEX(HY!$E577:$AL577,MATCH(C$5,HY!$E$10:$AL$10,0))</f>
        <v>0</v>
      </c>
      <c r="D174" s="254">
        <f>INDEX(HY!$E577:$AL577,MATCH(D$5,HY!$E$10:$AL$10,0))</f>
        <v>295</v>
      </c>
      <c r="E174" s="254">
        <f>INDEX(HY!$E577:$AL577,MATCH(E$5,HY!$E$10:$AL$10,0))</f>
        <v>860</v>
      </c>
      <c r="F174" s="254">
        <f>INDEX(HY!$E577:$AL577,MATCH(F$5,HY!$E$10:$AL$10,0))</f>
        <v>609</v>
      </c>
      <c r="G174" s="254">
        <f>INDEX(HY!$E577:$AL577,MATCH(G$5,HY!$E$10:$AL$10,0))</f>
        <v>533</v>
      </c>
      <c r="H174" s="254">
        <f>INDEX(HY!$E577:$AL577,MATCH(H$5,HY!$E$10:$AL$10,0))</f>
        <v>744.66056523514158</v>
      </c>
      <c r="I174" s="254">
        <f>INDEX(HY!$E577:$AL577,MATCH(I$5,HY!$E$10:$AL$10,0))</f>
        <v>661.07644946084463</v>
      </c>
      <c r="J174" s="254">
        <f>INDEX(HY!$E577:$AL577,MATCH(J$5,HY!$E$10:$AL$10,0))</f>
        <v>555.22770181162764</v>
      </c>
      <c r="K174" s="254">
        <f>INDEX(HY!$E577:$AL577,MATCH(K$5,HY!$E$10:$AL$10,0))</f>
        <v>426.22433392532184</v>
      </c>
      <c r="L174" s="254">
        <f>INDEX(HY!$E577:$AL577,MATCH(L$5,HY!$E$10:$AL$10,0))</f>
        <v>303.73140862237517</v>
      </c>
      <c r="M174" s="254">
        <f>INDEX(HY!$E577:$AL577,MATCH(M$5,HY!$E$10:$AL$10,0))</f>
        <v>100.33702154016999</v>
      </c>
      <c r="N174" s="254">
        <f>INDEX(HY!$E577:$AL577,MATCH(N$5,HY!$E$10:$AL$10,0))</f>
        <v>-113.85281884555388</v>
      </c>
      <c r="O174" s="254">
        <f>INDEX(HY!$E577:$AL577,MATCH(O$5,HY!$E$10:$AL$10,0))</f>
        <v>-356.79817324564601</v>
      </c>
    </row>
    <row r="175" spans="2:16">
      <c r="B175" s="9" t="s">
        <v>1347</v>
      </c>
      <c r="C175" s="255">
        <f>INDEX(HY!$E579:$AL579,MATCH(C$5,HY!$E$10:$AL$10,0))</f>
        <v>0</v>
      </c>
      <c r="D175" s="255">
        <f>INDEX(HY!$E579:$AL579,MATCH(D$5,HY!$E$10:$AL$10,0))</f>
        <v>0.8</v>
      </c>
      <c r="E175" s="255">
        <f>INDEX(HY!$E579:$AL579,MATCH(E$5,HY!$E$10:$AL$10,0))</f>
        <v>2.7</v>
      </c>
      <c r="F175" s="255">
        <f>INDEX(HY!$E579:$AL579,MATCH(F$5,HY!$E$10:$AL$10,0))</f>
        <v>1.6</v>
      </c>
      <c r="G175" s="255">
        <f>INDEX(HY!$E579:$AL579,MATCH(G$5,HY!$E$10:$AL$10,0))</f>
        <v>1.2</v>
      </c>
      <c r="H175" s="255">
        <f>INDEX(HY!$E579:$AL579,MATCH(H$5,HY!$E$10:$AL$10,0))</f>
        <v>1.5965448786458456</v>
      </c>
      <c r="I175" s="255">
        <f>INDEX(HY!$E579:$AL579,MATCH(I$5,HY!$E$10:$AL$10,0))</f>
        <v>1.3612317645527574</v>
      </c>
      <c r="J175" s="255">
        <f>INDEX(HY!$E579:$AL579,MATCH(J$5,HY!$E$10:$AL$10,0))</f>
        <v>1.1231158171496709</v>
      </c>
      <c r="K175" s="255">
        <f>INDEX(HY!$E579:$AL579,MATCH(K$5,HY!$E$10:$AL$10,0))</f>
        <v>0.8503044441344676</v>
      </c>
      <c r="L175" s="255">
        <f>INDEX(HY!$E579:$AL579,MATCH(L$5,HY!$E$10:$AL$10,0))</f>
        <v>0.59898661827246258</v>
      </c>
      <c r="M175" s="255">
        <f>INDEX(HY!$E579:$AL579,MATCH(M$5,HY!$E$10:$AL$10,0))</f>
        <v>0.19545317679488206</v>
      </c>
      <c r="N175" s="255">
        <f>INDEX(HY!$E579:$AL579,MATCH(N$5,HY!$E$10:$AL$10,0))</f>
        <v>-0.21889848979342347</v>
      </c>
      <c r="O175" s="255">
        <f>INDEX(HY!$E579:$AL579,MATCH(O$5,HY!$E$10:$AL$10,0))</f>
        <v>-0.67655554353179403</v>
      </c>
    </row>
    <row r="176" spans="2:16">
      <c r="C176" s="14"/>
      <c r="D176" s="14"/>
      <c r="E176" s="14"/>
      <c r="F176" s="14"/>
      <c r="G176" s="14"/>
      <c r="H176" s="14"/>
      <c r="I176" s="14"/>
      <c r="J176" s="14"/>
      <c r="K176" s="14"/>
      <c r="L176" s="14"/>
      <c r="M176" s="14"/>
      <c r="N176" s="14"/>
      <c r="O176" s="14"/>
    </row>
    <row r="177" spans="1:15">
      <c r="B177" s="9" t="s">
        <v>1384</v>
      </c>
      <c r="C177" s="14"/>
      <c r="D177" s="14"/>
      <c r="E177" s="14"/>
      <c r="F177" s="14"/>
      <c r="G177" s="14"/>
      <c r="H177" s="14"/>
      <c r="I177" s="14"/>
      <c r="J177" s="14"/>
      <c r="K177" s="14"/>
      <c r="L177" s="14"/>
      <c r="M177" s="14"/>
      <c r="N177" s="14"/>
      <c r="O177" s="14"/>
    </row>
    <row r="178" spans="1:15">
      <c r="A178" s="9" t="s">
        <v>971</v>
      </c>
      <c r="B178" s="532" t="s">
        <v>1092</v>
      </c>
      <c r="C178" s="533" t="str">
        <f>C$4</f>
        <v>2022A</v>
      </c>
      <c r="D178" s="533" t="str">
        <f t="shared" ref="D178:O178" si="34">D$4</f>
        <v>2023A</v>
      </c>
      <c r="E178" s="533" t="str">
        <f t="shared" si="34"/>
        <v>2024E</v>
      </c>
      <c r="F178" s="533" t="str">
        <f t="shared" si="34"/>
        <v>2025E</v>
      </c>
      <c r="G178" s="533" t="str">
        <f t="shared" si="34"/>
        <v>2026E</v>
      </c>
      <c r="H178" s="533" t="str">
        <f t="shared" si="34"/>
        <v>2027E</v>
      </c>
      <c r="I178" s="533" t="str">
        <f t="shared" si="34"/>
        <v>2028E</v>
      </c>
      <c r="J178" s="533" t="str">
        <f t="shared" si="34"/>
        <v>2029E</v>
      </c>
      <c r="K178" s="533" t="str">
        <f t="shared" si="34"/>
        <v>2030E</v>
      </c>
      <c r="L178" s="533" t="str">
        <f t="shared" si="34"/>
        <v>2031E</v>
      </c>
      <c r="M178" s="533" t="str">
        <f t="shared" si="34"/>
        <v>2032E</v>
      </c>
      <c r="N178" s="533" t="str">
        <f t="shared" si="34"/>
        <v>2033E</v>
      </c>
      <c r="O178" s="533" t="str">
        <f t="shared" si="34"/>
        <v>2034E</v>
      </c>
    </row>
    <row r="179" spans="1:15">
      <c r="B179" s="9" t="s">
        <v>1150</v>
      </c>
      <c r="C179" s="254">
        <f>INDEX(HY!$E554:$AL554,MATCH(C$5,HY!$E$10:$AL$10,0))</f>
        <v>2225.6999999999998</v>
      </c>
      <c r="D179" s="254">
        <f>INDEX(HY!$E554:$AL554,MATCH(D$5,HY!$E$10:$AL$10,0))</f>
        <v>2279.4</v>
      </c>
      <c r="E179" s="254">
        <f>INDEX(HY!$E554:$AL554,MATCH(E$5,HY!$E$10:$AL$10,0))</f>
        <v>2282.410989</v>
      </c>
      <c r="F179" s="254">
        <f>INDEX(HY!$E554:$AL554,MATCH(F$5,HY!$E$10:$AL$10,0))</f>
        <v>2284.8698250000002</v>
      </c>
      <c r="G179" s="254">
        <f>INDEX(HY!$E554:$AL554,MATCH(G$5,HY!$E$10:$AL$10,0))</f>
        <v>2289.1999999999998</v>
      </c>
      <c r="H179" s="254">
        <f>INDEX(HY!$E554:$AL554,MATCH(H$5,HY!$E$10:$AL$10,0))</f>
        <v>2292.6</v>
      </c>
      <c r="I179" s="254">
        <f>INDEX(HY!$E554:$AL554,MATCH(I$5,HY!$E$10:$AL$10,0))</f>
        <v>2292.6</v>
      </c>
      <c r="J179" s="254">
        <f>INDEX(HY!$E554:$AL554,MATCH(J$5,HY!$E$10:$AL$10,0))</f>
        <v>2292.6</v>
      </c>
      <c r="K179" s="254">
        <f>INDEX(HY!$E554:$AL554,MATCH(K$5,HY!$E$10:$AL$10,0))</f>
        <v>2292.6</v>
      </c>
      <c r="L179" s="254">
        <f>INDEX(HY!$E554:$AL554,MATCH(L$5,HY!$E$10:$AL$10,0))</f>
        <v>2292.6</v>
      </c>
      <c r="M179" s="254">
        <f>INDEX(HY!$E554:$AL554,MATCH(M$5,HY!$E$10:$AL$10,0))</f>
        <v>2292.6</v>
      </c>
      <c r="N179" s="254">
        <f>INDEX(HY!$E554:$AL554,MATCH(N$5,HY!$E$10:$AL$10,0))</f>
        <v>2292.6</v>
      </c>
      <c r="O179" s="254">
        <f>INDEX(HY!$E554:$AL554,MATCH(O$5,HY!$E$10:$AL$10,0))</f>
        <v>2292.6</v>
      </c>
    </row>
    <row r="180" spans="1:15">
      <c r="B180" s="9" t="s">
        <v>1151</v>
      </c>
      <c r="C180" s="254">
        <f>INDEX(HY!$E558:$AL558,MATCH(C$5,HY!$E$10:$AL$10,0))</f>
        <v>2225.6999999999998</v>
      </c>
      <c r="D180" s="254">
        <f>INDEX(HY!$E558:$AL558,MATCH(D$5,HY!$E$10:$AL$10,0))</f>
        <v>2281.5</v>
      </c>
      <c r="E180" s="254">
        <f>INDEX(HY!$E558:$AL558,MATCH(E$5,HY!$E$10:$AL$10,0))</f>
        <v>2283.6</v>
      </c>
      <c r="F180" s="254">
        <f>INDEX(HY!$E558:$AL558,MATCH(F$5,HY!$E$10:$AL$10,0))</f>
        <v>2286.1999999999998</v>
      </c>
      <c r="G180" s="254">
        <f>INDEX(HY!$E558:$AL558,MATCH(G$5,HY!$E$10:$AL$10,0))</f>
        <v>2292.6</v>
      </c>
      <c r="H180" s="254">
        <f>INDEX(HY!$E558:$AL558,MATCH(H$5,HY!$E$10:$AL$10,0))</f>
        <v>2292.6</v>
      </c>
      <c r="I180" s="254">
        <f>INDEX(HY!$E558:$AL558,MATCH(I$5,HY!$E$10:$AL$10,0))</f>
        <v>2292.6</v>
      </c>
      <c r="J180" s="254">
        <f>INDEX(HY!$E558:$AL558,MATCH(J$5,HY!$E$10:$AL$10,0))</f>
        <v>2292.6</v>
      </c>
      <c r="K180" s="254">
        <f>INDEX(HY!$E558:$AL558,MATCH(K$5,HY!$E$10:$AL$10,0))</f>
        <v>2292.6</v>
      </c>
      <c r="L180" s="254">
        <f>INDEX(HY!$E558:$AL558,MATCH(L$5,HY!$E$10:$AL$10,0))</f>
        <v>2292.6</v>
      </c>
      <c r="M180" s="254">
        <f>INDEX(HY!$E558:$AL558,MATCH(M$5,HY!$E$10:$AL$10,0))</f>
        <v>2292.6</v>
      </c>
      <c r="N180" s="254">
        <f>INDEX(HY!$E558:$AL558,MATCH(N$5,HY!$E$10:$AL$10,0))</f>
        <v>2292.6</v>
      </c>
      <c r="O180" s="254">
        <f>INDEX(HY!$E558:$AL558,MATCH(O$5,HY!$E$10:$AL$10,0))</f>
        <v>2292.6</v>
      </c>
    </row>
    <row r="181" spans="1:15">
      <c r="B181" s="9" t="s">
        <v>1152</v>
      </c>
      <c r="C181" s="254">
        <f>AVERAGE(C179:C180)</f>
        <v>2225.6999999999998</v>
      </c>
      <c r="D181" s="254">
        <f>AVERAGE(D179:D180)</f>
        <v>2280.4499999999998</v>
      </c>
      <c r="E181" s="254">
        <f t="shared" ref="E181:O181" si="35">AVERAGE(E179:E180)</f>
        <v>2283.0054945000002</v>
      </c>
      <c r="F181" s="254">
        <f t="shared" si="35"/>
        <v>2285.5349125000002</v>
      </c>
      <c r="G181" s="254">
        <f t="shared" si="35"/>
        <v>2290.8999999999996</v>
      </c>
      <c r="H181" s="254">
        <f t="shared" si="35"/>
        <v>2292.6</v>
      </c>
      <c r="I181" s="254">
        <f t="shared" si="35"/>
        <v>2292.6</v>
      </c>
      <c r="J181" s="254">
        <f t="shared" si="35"/>
        <v>2292.6</v>
      </c>
      <c r="K181" s="254">
        <f t="shared" si="35"/>
        <v>2292.6</v>
      </c>
      <c r="L181" s="254">
        <f t="shared" si="35"/>
        <v>2292.6</v>
      </c>
      <c r="M181" s="254">
        <f t="shared" si="35"/>
        <v>2292.6</v>
      </c>
      <c r="N181" s="254">
        <f t="shared" si="35"/>
        <v>2292.6</v>
      </c>
      <c r="O181" s="254">
        <f t="shared" si="35"/>
        <v>2292.6</v>
      </c>
    </row>
    <row r="182" spans="1:15">
      <c r="C182" s="254"/>
      <c r="D182" s="254"/>
      <c r="E182" s="254"/>
      <c r="F182" s="254"/>
      <c r="G182" s="254"/>
      <c r="H182" s="254"/>
      <c r="I182" s="254"/>
      <c r="J182" s="254"/>
      <c r="K182" s="254"/>
      <c r="L182" s="254"/>
      <c r="M182" s="254"/>
      <c r="N182" s="254"/>
      <c r="O182" s="254"/>
    </row>
    <row r="183" spans="1:15">
      <c r="B183" s="9" t="s">
        <v>1653</v>
      </c>
      <c r="C183" s="14"/>
      <c r="D183" s="14">
        <f>SUMIFS(HY!$E$621:$AL$621,HY!$E$15:$AL$15,FY!D$2)</f>
        <v>3.8</v>
      </c>
      <c r="E183" s="14">
        <f>SUMIFS(HY!$E$621:$AL$621,HY!$E$15:$AL$15,FY!E$2)</f>
        <v>1.4</v>
      </c>
      <c r="F183" s="14">
        <f>SUMIFS(HY!$E$621:$AL$621,HY!$E$15:$AL$15,FY!F$2)</f>
        <v>3.9</v>
      </c>
      <c r="G183" s="14">
        <f>SUMIFS(HY!$E$621:$AL$621,HY!$E$15:$AL$15,FY!G$2)</f>
        <v>5.2</v>
      </c>
      <c r="H183" s="14">
        <f>SUMIFS(HY!$E$621:$AL$621,HY!$E$15:$AL$15,FY!H$2)</f>
        <v>5.7799120658831633</v>
      </c>
      <c r="I183" s="14">
        <f>SUMIFS(HY!$E$621:$AL$621,HY!$E$15:$AL$15,FY!I$2)</f>
        <v>6.188939794762204</v>
      </c>
      <c r="J183" s="14">
        <f>SUMIFS(HY!$E$621:$AL$621,HY!$E$15:$AL$15,FY!J$2)</f>
        <v>6.213802180636014</v>
      </c>
      <c r="K183" s="14">
        <f>SUMIFS(HY!$E$621:$AL$621,HY!$E$15:$AL$15,FY!K$2)</f>
        <v>6.5991126623420584</v>
      </c>
      <c r="L183" s="14">
        <f>SUMIFS(HY!$E$621:$AL$621,HY!$E$15:$AL$15,FY!L$2)</f>
        <v>7.0636690455689788</v>
      </c>
      <c r="M183" s="14">
        <f>SUMIFS(HY!$E$621:$AL$621,HY!$E$15:$AL$15,FY!M$2)</f>
        <v>7.4297336683168016</v>
      </c>
      <c r="N183" s="14">
        <f>SUMIFS(HY!$E$621:$AL$621,HY!$E$15:$AL$15,FY!N$2)</f>
        <v>7.8066230332396733</v>
      </c>
      <c r="O183" s="14">
        <f>SUMIFS(HY!$E$621:$AL$621,HY!$E$15:$AL$15,FY!O$2)</f>
        <v>9.2952246366136251</v>
      </c>
    </row>
    <row r="184" spans="1:15">
      <c r="B184" s="9" t="s">
        <v>1654</v>
      </c>
      <c r="C184" s="14"/>
      <c r="D184" s="14">
        <f>SUMIFS(HY!$E$618:$AL$618,HY!$E$15:$AL$15,FY!D$2)</f>
        <v>2.9</v>
      </c>
      <c r="E184" s="14">
        <f>SUMIFS(HY!$E$618:$AL$618,HY!$E$15:$AL$15,FY!E$2)</f>
        <v>-59.6</v>
      </c>
      <c r="F184" s="14">
        <f>SUMIFS(HY!$E$618:$AL$618,HY!$E$15:$AL$15,FY!F$2)</f>
        <v>1.6</v>
      </c>
      <c r="G184" s="14">
        <f>SUMIFS(HY!$E$618:$AL$618,HY!$E$15:$AL$15,FY!G$2)</f>
        <v>2</v>
      </c>
      <c r="H184" s="14">
        <f>SUMIFS(HY!$E$618:$AL$618,HY!$E$15:$AL$15,FY!H$2)</f>
        <v>2.2991478680291988</v>
      </c>
      <c r="I184" s="14">
        <f>SUMIFS(HY!$E$618:$AL$618,HY!$E$15:$AL$15,FY!I$2)</f>
        <v>4.5837753526440848</v>
      </c>
      <c r="J184" s="14">
        <f>SUMIFS(HY!$E$618:$AL$618,HY!$E$15:$AL$15,FY!J$2)</f>
        <v>5.2629167230769109</v>
      </c>
      <c r="K184" s="14">
        <f>SUMIFS(HY!$E$618:$AL$618,HY!$E$15:$AL$15,FY!K$2)</f>
        <v>5.9971759965477638</v>
      </c>
      <c r="L184" s="14">
        <f>SUMIFS(HY!$E$618:$AL$618,HY!$E$15:$AL$15,FY!L$2)</f>
        <v>6.5009891188482243</v>
      </c>
      <c r="M184" s="14">
        <f>SUMIFS(HY!$E$618:$AL$618,HY!$E$15:$AL$15,FY!M$2)</f>
        <v>6.9074881828417931</v>
      </c>
      <c r="N184" s="14">
        <f>SUMIFS(HY!$E$618:$AL$618,HY!$E$15:$AL$15,FY!N$2)</f>
        <v>7.3260250222477854</v>
      </c>
      <c r="O184" s="14">
        <f>SUMIFS(HY!$E$618:$AL$618,HY!$E$15:$AL$15,FY!O$2)</f>
        <v>8.8575235243393529</v>
      </c>
    </row>
    <row r="185" spans="1:15">
      <c r="C185" s="14"/>
      <c r="D185" s="14"/>
      <c r="E185" s="14"/>
      <c r="F185" s="14"/>
      <c r="G185" s="14"/>
      <c r="H185" s="14"/>
      <c r="I185" s="14"/>
      <c r="J185" s="14"/>
      <c r="K185" s="14"/>
      <c r="L185" s="14"/>
      <c r="M185" s="14"/>
      <c r="N185" s="14"/>
      <c r="O185" s="14"/>
    </row>
    <row r="186" spans="1:15">
      <c r="B186" s="9" t="s">
        <v>1348</v>
      </c>
      <c r="C186" s="14"/>
      <c r="D186" s="14">
        <f>SUMIFS(HY!$E527:$AL527,HY!$E$15:$AL$15,FY!D$2)</f>
        <v>2.2999999999999998</v>
      </c>
      <c r="E186" s="14">
        <f>SUMIFS(HY!$E527:$AL527,HY!$E$15:$AL$15,FY!E$2)</f>
        <v>1.3</v>
      </c>
      <c r="F186" s="14">
        <f>SUMIFS(HY!$E527:$AL527,HY!$E$15:$AL$15,FY!F$2)</f>
        <v>2</v>
      </c>
      <c r="G186" s="14">
        <f>SUMIFS(HY!$E527:$AL527,HY!$E$15:$AL$15,FY!G$2)</f>
        <v>3</v>
      </c>
      <c r="H186" s="14">
        <f>SUMIFS(HY!$E527:$AL527,HY!$E$15:$AL$15,FY!H$2)</f>
        <v>3.2</v>
      </c>
      <c r="I186" s="14">
        <f>SUMIFS(HY!$E527:$AL527,HY!$E$15:$AL$15,FY!I$2)</f>
        <v>3.2</v>
      </c>
      <c r="J186" s="14">
        <f>SUMIFS(HY!$E527:$AL527,HY!$E$15:$AL$15,FY!J$2)</f>
        <v>3.7282813083816082</v>
      </c>
      <c r="K186" s="14">
        <f>SUMIFS(HY!$E527:$AL527,HY!$E$15:$AL$15,FY!K$2)</f>
        <v>3.2995563311710292</v>
      </c>
      <c r="L186" s="14">
        <f>SUMIFS(HY!$E527:$AL527,HY!$E$15:$AL$15,FY!L$2)</f>
        <v>3.5318345227844894</v>
      </c>
      <c r="M186" s="14">
        <f>SUMIFS(HY!$E527:$AL527,HY!$E$15:$AL$15,FY!M$2)</f>
        <v>0</v>
      </c>
      <c r="N186" s="14">
        <f>SUMIFS(HY!$E527:$AL527,HY!$E$15:$AL$15,FY!N$2)</f>
        <v>0</v>
      </c>
      <c r="O186" s="14">
        <f>SUMIFS(HY!$E527:$AL527,HY!$E$15:$AL$15,FY!O$2)</f>
        <v>0</v>
      </c>
    </row>
    <row r="187" spans="1:15">
      <c r="B187" s="9" t="s">
        <v>1030</v>
      </c>
      <c r="C187" s="14"/>
      <c r="D187" s="14">
        <f>SUMIFS(HY!$E528:$AL528,HY!$E$15:$AL$15,FY!D$2)</f>
        <v>-52.447199999999995</v>
      </c>
      <c r="E187" s="14">
        <f>SUMIFS(HY!$E528:$AL528,HY!$E$15:$AL$15,FY!E$2)</f>
        <v>-29.674909889999999</v>
      </c>
      <c r="F187" s="14">
        <f>SUMIFS(HY!$E528:$AL528,HY!$E$15:$AL$15,FY!F$2)</f>
        <v>-45.71069825</v>
      </c>
      <c r="G187" s="14">
        <f>SUMIFS(HY!$E528:$AL528,HY!$E$15:$AL$15,FY!G$2)</f>
        <v>-68.72699999999999</v>
      </c>
      <c r="H187" s="14">
        <f>SUMIFS(HY!$E528:$AL528,HY!$E$15:$AL$15,FY!H$2)</f>
        <v>-73.363199999999992</v>
      </c>
      <c r="I187" s="14">
        <f>SUMIFS(HY!$E528:$AL528,HY!$E$15:$AL$15,FY!I$2)</f>
        <v>-73.363199999999992</v>
      </c>
      <c r="J187" s="14">
        <f>SUMIFS(HY!$E528:$AL528,HY!$E$15:$AL$15,FY!J$2)</f>
        <v>-85.474577275956733</v>
      </c>
      <c r="K187" s="14">
        <f>SUMIFS(HY!$E528:$AL528,HY!$E$15:$AL$15,FY!K$2)</f>
        <v>-75.645628448427033</v>
      </c>
      <c r="L187" s="14">
        <f>SUMIFS(HY!$E528:$AL528,HY!$E$15:$AL$15,FY!L$2)</f>
        <v>-80.970838269357188</v>
      </c>
      <c r="M187" s="14">
        <f>SUMIFS(HY!$E528:$AL528,HY!$E$15:$AL$15,FY!M$2)</f>
        <v>0</v>
      </c>
      <c r="N187" s="14">
        <f>SUMIFS(HY!$E528:$AL528,HY!$E$15:$AL$15,FY!N$2)</f>
        <v>0</v>
      </c>
      <c r="O187" s="14">
        <f>SUMIFS(HY!$E528:$AL528,HY!$E$15:$AL$15,FY!O$2)</f>
        <v>0</v>
      </c>
    </row>
    <row r="188" spans="1:15">
      <c r="B188" s="9" t="s">
        <v>1349</v>
      </c>
      <c r="C188" s="14"/>
      <c r="D188" s="14">
        <f>SUMIFS(HY!$E605:$AL605,HY!$E$15:$AL$15,FY!D$2)-SUMIFS(HY!$E600:$AL600,HY!$E$15:$AL$15,FY!D$2)</f>
        <v>87</v>
      </c>
      <c r="E188" s="14">
        <f>SUMIFS(HY!$E605:$AL605,HY!$E$15:$AL$15,FY!E$2)-SUMIFS(HY!$E600:$AL600,HY!$E$15:$AL$15,FY!E$2)</f>
        <v>31.2</v>
      </c>
      <c r="F188" s="14">
        <f>SUMIFS(HY!$E605:$AL605,HY!$E$15:$AL$15,FY!F$2)-SUMIFS(HY!$E600:$AL600,HY!$E$15:$AL$15,FY!F$2)</f>
        <v>45.7</v>
      </c>
      <c r="G188" s="14">
        <f>SUMIFS(HY!$E605:$AL605,HY!$E$15:$AL$15,FY!G$2)-SUMIFS(HY!$E600:$AL600,HY!$E$15:$AL$15,FY!G$2)</f>
        <v>74.099999999999994</v>
      </c>
      <c r="H188" s="14">
        <f>SUMIFS(HY!$E605:$AL605,HY!$E$15:$AL$15,FY!H$2)-SUMIFS(HY!$E600:$AL600,HY!$E$15:$AL$15,FY!H$2)</f>
        <v>88.7102640224374</v>
      </c>
      <c r="I188" s="14">
        <f>SUMIFS(HY!$E605:$AL605,HY!$E$15:$AL$15,FY!I$2)-SUMIFS(HY!$E600:$AL600,HY!$E$15:$AL$15,FY!I$2)</f>
        <v>98.087633734718281</v>
      </c>
      <c r="J188" s="14">
        <f>SUMIFS(HY!$E605:$AL605,HY!$E$15:$AL$15,FY!J$2)-SUMIFS(HY!$E600:$AL600,HY!$E$15:$AL$15,FY!J$2)</f>
        <v>98.657628793261253</v>
      </c>
      <c r="K188" s="14">
        <f>SUMIFS(HY!$E605:$AL605,HY!$E$15:$AL$15,FY!K$2)-SUMIFS(HY!$E600:$AL600,HY!$E$15:$AL$15,FY!K$2)</f>
        <v>107.49125689685403</v>
      </c>
      <c r="L188" s="14">
        <f>SUMIFS(HY!$E605:$AL605,HY!$E$15:$AL$15,FY!L$2)-SUMIFS(HY!$E600:$AL600,HY!$E$15:$AL$15,FY!L$2)</f>
        <v>118.14167653871439</v>
      </c>
      <c r="M188" s="14">
        <f>SUMIFS(HY!$E605:$AL605,HY!$E$15:$AL$15,FY!M$2)-SUMIFS(HY!$E600:$AL600,HY!$E$15:$AL$15,FY!M$2)</f>
        <v>126.53407407983096</v>
      </c>
      <c r="N188" s="14">
        <f>SUMIFS(HY!$E605:$AL605,HY!$E$15:$AL$15,FY!N$2)-SUMIFS(HY!$E600:$AL600,HY!$E$15:$AL$15,FY!N$2)</f>
        <v>135.17463966005272</v>
      </c>
      <c r="O188" s="14">
        <f>SUMIFS(HY!$E605:$AL605,HY!$E$15:$AL$15,FY!O$2)-SUMIFS(HY!$E600:$AL600,HY!$E$15:$AL$15,FY!O$2)</f>
        <v>169.30232001900396</v>
      </c>
    </row>
    <row r="189" spans="1:15">
      <c r="B189" s="9" t="s">
        <v>1303</v>
      </c>
      <c r="C189" s="14"/>
      <c r="D189" s="931">
        <f>D186/D183</f>
        <v>0.60526315789473684</v>
      </c>
      <c r="E189" s="931">
        <f t="shared" ref="E189:O189" si="36">E186/E183</f>
        <v>0.92857142857142871</v>
      </c>
      <c r="F189" s="931">
        <f t="shared" si="36"/>
        <v>0.51282051282051289</v>
      </c>
      <c r="G189" s="931">
        <f t="shared" si="36"/>
        <v>0.57692307692307687</v>
      </c>
      <c r="H189" s="931">
        <f t="shared" si="36"/>
        <v>0.55364164082850009</v>
      </c>
      <c r="I189" s="931">
        <f t="shared" si="36"/>
        <v>0.51705140235944935</v>
      </c>
      <c r="J189" s="931">
        <f t="shared" si="36"/>
        <v>0.6</v>
      </c>
      <c r="K189" s="931">
        <f t="shared" si="36"/>
        <v>0.5</v>
      </c>
      <c r="L189" s="931">
        <f t="shared" si="36"/>
        <v>0.5</v>
      </c>
      <c r="M189" s="931">
        <f t="shared" si="36"/>
        <v>0</v>
      </c>
      <c r="N189" s="931">
        <f t="shared" si="36"/>
        <v>0</v>
      </c>
      <c r="O189" s="931">
        <f t="shared" si="36"/>
        <v>0</v>
      </c>
    </row>
    <row r="190" spans="1:15">
      <c r="C190" s="14"/>
      <c r="D190" s="14"/>
      <c r="E190" s="14"/>
      <c r="F190" s="14"/>
      <c r="G190" s="14"/>
      <c r="H190" s="14"/>
      <c r="I190" s="14"/>
      <c r="J190" s="14"/>
      <c r="K190" s="14"/>
      <c r="L190" s="14"/>
      <c r="M190" s="14"/>
      <c r="N190" s="14"/>
      <c r="O190" s="14"/>
    </row>
    <row r="191" spans="1:15">
      <c r="C191" s="14"/>
      <c r="D191" s="14"/>
      <c r="E191" s="14"/>
      <c r="F191" s="14"/>
      <c r="G191" s="14"/>
      <c r="H191" s="14"/>
      <c r="I191" s="14"/>
      <c r="J191" s="14"/>
      <c r="K191" s="14"/>
      <c r="L191" s="14"/>
      <c r="M191" s="14"/>
      <c r="N191" s="14"/>
      <c r="O191" s="14"/>
    </row>
    <row r="192" spans="1:15">
      <c r="B192" s="9" t="s">
        <v>11</v>
      </c>
      <c r="C192" s="254">
        <f>SUMIFS(HY!$E$626:$AL$626,HY!$E$15:$AL$15,FY!C$2)</f>
        <v>-64.900000000000006</v>
      </c>
      <c r="D192" s="254">
        <f>SUMIFS(HY!$E$626:$AL$626,HY!$E$15:$AL$15,FY!D$2)</f>
        <v>-28.1</v>
      </c>
      <c r="E192" s="254">
        <f>SUMIFS(HY!$E$626:$AL$626,HY!$E$15:$AL$15,FY!E$2)</f>
        <v>-49</v>
      </c>
      <c r="F192" s="254">
        <f>SUMIFS(HY!$E$626:$AL$626,HY!$E$15:$AL$15,FY!F$2)</f>
        <v>-74</v>
      </c>
      <c r="G192" s="254">
        <f>SUMIFS(HY!$E$626:$AL$626,HY!$E$15:$AL$15,FY!G$2)</f>
        <v>-93.8</v>
      </c>
      <c r="H192" s="254">
        <f>SUMIFS(HY!$E$626:$AL$626,HY!$E$15:$AL$15,FY!H$2)</f>
        <v>-96.654134246575353</v>
      </c>
      <c r="I192" s="254">
        <f>SUMIFS(HY!$E$626:$AL$626,HY!$E$15:$AL$15,FY!I$2)</f>
        <v>-101.67336438356165</v>
      </c>
      <c r="J192" s="254">
        <f>SUMIFS(HY!$E$626:$AL$626,HY!$E$15:$AL$15,FY!J$2)</f>
        <v>-103.483</v>
      </c>
      <c r="K192" s="254">
        <f>SUMIFS(HY!$E$626:$AL$626,HY!$E$15:$AL$15,FY!K$2)</f>
        <v>-103.483</v>
      </c>
      <c r="L192" s="254">
        <f>SUMIFS(HY!$E$626:$AL$626,HY!$E$15:$AL$15,FY!L$2)</f>
        <v>-101.46900000000001</v>
      </c>
      <c r="M192" s="254">
        <f>SUMIFS(HY!$E$626:$AL$626,HY!$E$15:$AL$15,FY!M$2)</f>
        <v>-101.65384657534247</v>
      </c>
      <c r="N192" s="254">
        <f>SUMIFS(HY!$E$626:$AL$626,HY!$E$15:$AL$15,FY!N$2)</f>
        <v>-101.46900000000001</v>
      </c>
      <c r="O192" s="254">
        <f>SUMIFS(HY!$E$626:$AL$626,HY!$E$15:$AL$15,FY!O$2)</f>
        <v>-101.46900000000001</v>
      </c>
    </row>
    <row r="193" spans="1:15">
      <c r="B193" s="9" t="s">
        <v>12</v>
      </c>
      <c r="C193" s="254">
        <f>SUMIFS(HY!$E$625:$AL$625,HY!$E$15:$AL$15,FY!C$2)</f>
        <v>-0.2</v>
      </c>
      <c r="D193" s="254">
        <f>SUMIFS(HY!$E$625:$AL$625,HY!$E$15:$AL$15,FY!D$2)</f>
        <v>4.5999999999999996</v>
      </c>
      <c r="E193" s="254">
        <f>SUMIFS(HY!$E$625:$AL$625,HY!$E$15:$AL$15,FY!E$2)</f>
        <v>22.7</v>
      </c>
      <c r="F193" s="254">
        <f>SUMIFS(HY!$E$625:$AL$625,HY!$E$15:$AL$15,FY!F$2)</f>
        <v>9.4</v>
      </c>
      <c r="G193" s="254">
        <f>SUMIFS(HY!$E$625:$AL$625,HY!$E$15:$AL$15,FY!G$2)</f>
        <v>6.8</v>
      </c>
      <c r="H193" s="254">
        <f>SUMIFS(HY!$E$625:$AL$625,HY!$E$15:$AL$15,FY!H$2)</f>
        <v>9.2146041684113467</v>
      </c>
      <c r="I193" s="254">
        <f>SUMIFS(HY!$E$625:$AL$625,HY!$E$15:$AL$15,FY!I$2)</f>
        <v>7.6651237318221774</v>
      </c>
      <c r="J193" s="254">
        <f>SUMIFS(HY!$E$625:$AL$625,HY!$E$15:$AL$15,FY!J$2)</f>
        <v>9.7832958194132242</v>
      </c>
      <c r="K193" s="254">
        <f>SUMIFS(HY!$E$625:$AL$625,HY!$E$15:$AL$15,FY!K$2)</f>
        <v>12.624441164035709</v>
      </c>
      <c r="L193" s="254">
        <f>SUMIFS(HY!$E$625:$AL$625,HY!$E$15:$AL$15,FY!L$2)</f>
        <v>15.784133348932061</v>
      </c>
      <c r="M193" s="254">
        <f>SUMIFS(HY!$E$625:$AL$625,HY!$E$15:$AL$15,FY!M$2)</f>
        <v>19.479450852751501</v>
      </c>
      <c r="N193" s="254">
        <f>SUMIFS(HY!$E$625:$AL$625,HY!$E$15:$AL$15,FY!N$2)</f>
        <v>24.574665502616867</v>
      </c>
      <c r="O193" s="254">
        <f>SUMIFS(HY!$E$625:$AL$625,HY!$E$15:$AL$15,FY!O$2)</f>
        <v>30.085845746031701</v>
      </c>
    </row>
    <row r="194" spans="1:15">
      <c r="C194" s="14"/>
      <c r="D194" s="14"/>
      <c r="E194" s="14"/>
      <c r="F194" s="14"/>
      <c r="G194" s="14"/>
      <c r="H194" s="14"/>
      <c r="I194" s="14"/>
      <c r="J194" s="14"/>
      <c r="K194" s="14"/>
      <c r="L194" s="14"/>
      <c r="M194" s="14"/>
      <c r="N194" s="14"/>
      <c r="O194" s="14"/>
    </row>
    <row r="195" spans="1:15">
      <c r="A195" s="252"/>
      <c r="B195" s="9" t="s">
        <v>1310</v>
      </c>
      <c r="C195" s="254">
        <f t="shared" ref="C195:O195" si="37">C47</f>
        <v>-286.39999999999998</v>
      </c>
      <c r="D195" s="254">
        <f t="shared" si="37"/>
        <v>-240.5</v>
      </c>
      <c r="E195" s="254">
        <f t="shared" si="37"/>
        <v>-220.3</v>
      </c>
      <c r="F195" s="254">
        <f t="shared" si="37"/>
        <v>-202.8</v>
      </c>
      <c r="G195" s="254">
        <f t="shared" si="37"/>
        <v>-213</v>
      </c>
      <c r="H195" s="254">
        <f t="shared" si="37"/>
        <v>-228.39999999999964</v>
      </c>
      <c r="I195" s="254">
        <f t="shared" si="37"/>
        <v>-223.39999999999964</v>
      </c>
      <c r="J195" s="254">
        <f t="shared" si="37"/>
        <v>-225.19597381526398</v>
      </c>
      <c r="K195" s="254">
        <f t="shared" si="37"/>
        <v>-215.35471019044775</v>
      </c>
      <c r="L195" s="254">
        <f t="shared" si="37"/>
        <v>-208.32140194825044</v>
      </c>
      <c r="M195" s="254">
        <f t="shared" si="37"/>
        <v>-203.76337018421489</v>
      </c>
      <c r="N195" s="254">
        <f t="shared" si="37"/>
        <v>-201.03343767708526</v>
      </c>
      <c r="O195" s="254">
        <f t="shared" si="37"/>
        <v>-199.66010795270577</v>
      </c>
    </row>
    <row r="196" spans="1:15">
      <c r="A196" s="252"/>
      <c r="B196" s="9" t="s">
        <v>1345</v>
      </c>
      <c r="C196" s="254">
        <f>SUMIFS(HY!$E$449:$AL$449,HY!$E$15:$AL$15,FY!C$2)</f>
        <v>134</v>
      </c>
      <c r="D196" s="254">
        <f>SUMIFS(HY!$E$449:$AL$449,HY!$E$15:$AL$15,FY!D$2)</f>
        <v>155.4</v>
      </c>
      <c r="E196" s="254">
        <f>SUMIFS(HY!$E$449:$AL$449,HY!$E$15:$AL$15,FY!E$2)</f>
        <v>168.2</v>
      </c>
      <c r="F196" s="254">
        <f>SUMIFS(HY!$E$449:$AL$449,HY!$E$15:$AL$15,FY!F$2)</f>
        <v>114.80000000000001</v>
      </c>
      <c r="G196" s="254">
        <f>SUMIFS(HY!$E$449:$AL$449,HY!$E$15:$AL$15,FY!G$2)</f>
        <v>140</v>
      </c>
      <c r="H196" s="254">
        <f>SUMIFS(HY!$E$449:$AL$449,HY!$E$15:$AL$15,FY!H$2)</f>
        <v>160</v>
      </c>
      <c r="I196" s="254">
        <f>SUMIFS(HY!$E$449:$AL$449,HY!$E$15:$AL$15,FY!I$2)</f>
        <v>150</v>
      </c>
      <c r="J196" s="254">
        <f>SUMIFS(HY!$E$449:$AL$449,HY!$E$15:$AL$15,FY!J$2)</f>
        <v>129.51030025250009</v>
      </c>
      <c r="K196" s="254">
        <f>SUMIFS(HY!$E$449:$AL$449,HY!$E$15:$AL$15,FY!K$2)</f>
        <v>129.54750127387121</v>
      </c>
      <c r="L196" s="254">
        <f>SUMIFS(HY!$E$449:$AL$449,HY!$E$15:$AL$15,FY!L$2)</f>
        <v>131.66273142229659</v>
      </c>
      <c r="M196" s="254">
        <f>SUMIFS(HY!$E$449:$AL$449,HY!$E$15:$AL$15,FY!M$2)</f>
        <v>133.85899314407266</v>
      </c>
      <c r="N196" s="254">
        <f>SUMIFS(HY!$E$449:$AL$449,HY!$E$15:$AL$15,FY!N$2)</f>
        <v>136.13854163971092</v>
      </c>
      <c r="O196" s="254">
        <f>SUMIFS(HY!$E$449:$AL$449,HY!$E$15:$AL$15,FY!O$2)</f>
        <v>138.50370152320522</v>
      </c>
    </row>
    <row r="197" spans="1:15">
      <c r="A197" s="252"/>
      <c r="C197" s="254"/>
      <c r="D197" s="254"/>
      <c r="E197" s="254"/>
      <c r="F197" s="254"/>
      <c r="G197" s="254"/>
      <c r="H197" s="254"/>
      <c r="I197" s="254"/>
      <c r="J197" s="254"/>
      <c r="K197" s="254"/>
      <c r="L197" s="254"/>
      <c r="M197" s="254"/>
      <c r="N197" s="254"/>
      <c r="O197" s="254"/>
    </row>
    <row r="198" spans="1:15">
      <c r="B198" s="9" t="s">
        <v>1284</v>
      </c>
      <c r="C198" s="579"/>
      <c r="D198" s="579"/>
      <c r="E198" s="579"/>
      <c r="F198" s="579"/>
      <c r="G198" s="579"/>
      <c r="H198" s="579"/>
      <c r="I198" s="579"/>
      <c r="J198" s="579"/>
      <c r="K198" s="579"/>
      <c r="L198" s="579"/>
      <c r="M198" s="579"/>
      <c r="N198" s="579"/>
      <c r="O198" s="579"/>
    </row>
    <row r="199" spans="1:15">
      <c r="B199" s="9" t="s">
        <v>1285</v>
      </c>
      <c r="C199" s="579"/>
      <c r="D199" s="579"/>
      <c r="E199" s="579"/>
      <c r="F199" s="579"/>
      <c r="G199" s="579"/>
      <c r="H199" s="579"/>
      <c r="I199" s="579"/>
      <c r="J199" s="579"/>
      <c r="K199" s="579"/>
      <c r="L199" s="579"/>
      <c r="M199" s="579"/>
      <c r="N199" s="579"/>
      <c r="O199" s="579"/>
    </row>
    <row r="200" spans="1:15">
      <c r="B200" s="9" t="s">
        <v>1286</v>
      </c>
      <c r="C200" s="579"/>
      <c r="D200" s="579"/>
      <c r="E200" s="579"/>
      <c r="F200" s="579"/>
      <c r="G200" s="579"/>
      <c r="H200" s="579"/>
      <c r="I200" s="579"/>
      <c r="J200" s="579"/>
      <c r="K200" s="579"/>
      <c r="L200" s="579"/>
      <c r="M200" s="579"/>
      <c r="N200" s="579"/>
      <c r="O200" s="579"/>
    </row>
    <row r="201" spans="1:15">
      <c r="A201" s="252"/>
      <c r="B201" s="252"/>
      <c r="C201" s="14"/>
      <c r="D201" s="14"/>
      <c r="E201" s="14"/>
      <c r="F201" s="14"/>
      <c r="G201" s="14"/>
      <c r="H201" s="14"/>
      <c r="I201" s="14"/>
      <c r="J201" s="14"/>
      <c r="K201" s="14"/>
      <c r="L201" s="14"/>
      <c r="M201" s="14"/>
      <c r="N201" s="14"/>
      <c r="O201" s="14"/>
    </row>
    <row r="202" spans="1:15" s="252" customFormat="1">
      <c r="B202" s="252" t="s">
        <v>91</v>
      </c>
      <c r="C202" s="843">
        <f>SUMIFS(HY!$E$630:$AL$630,HY!$E$15:$AL$15,FY!C$2)</f>
        <v>247.79999999999995</v>
      </c>
      <c r="D202" s="843">
        <f>SUMIFS(HY!$E$630:$AL$630,HY!$E$15:$AL$15,FY!D$2)</f>
        <v>182.70000000000002</v>
      </c>
      <c r="E202" s="843">
        <f>SUMIFS(HY!$E$630:$AL$630,HY!$E$15:$AL$15,FY!E$2)</f>
        <v>256.39999999999998</v>
      </c>
      <c r="F202" s="843">
        <f>SUMIFS(HY!$E$630:$AL$630,HY!$E$15:$AL$15,FY!F$2)</f>
        <v>324.00000000000006</v>
      </c>
      <c r="G202" s="843">
        <f>SUMIFS(HY!$E$630:$AL$630,HY!$E$15:$AL$15,FY!G$2)</f>
        <v>301.99999999999989</v>
      </c>
      <c r="H202" s="843">
        <f>SUMIFS(HY!$E$630:$AL$630,HY!$E$15:$AL$15,FY!H$2)</f>
        <v>317.11026402243704</v>
      </c>
      <c r="I202" s="843">
        <f>SUMIFS(HY!$E$630:$AL$630,HY!$E$15:$AL$15,FY!I$2)</f>
        <v>321.48763373471797</v>
      </c>
      <c r="J202" s="843">
        <f>SUMIFS(HY!$E$630:$AL$630,HY!$E$15:$AL$15,FY!J$2)</f>
        <v>323.85360260852531</v>
      </c>
      <c r="K202" s="843">
        <f>SUMIFS(HY!$E$630:$AL$630,HY!$E$15:$AL$15,FY!K$2)</f>
        <v>322.8459670873018</v>
      </c>
      <c r="L202" s="843">
        <f>SUMIFS(HY!$E$630:$AL$630,HY!$E$15:$AL$15,FY!L$2)</f>
        <v>326.46307848696483</v>
      </c>
      <c r="M202" s="843">
        <f>SUMIFS(HY!$E$630:$AL$630,HY!$E$15:$AL$15,FY!M$2)</f>
        <v>330.29744426404585</v>
      </c>
      <c r="N202" s="843">
        <f>SUMIFS(HY!$E$630:$AL$630,HY!$E$15:$AL$15,FY!N$2)</f>
        <v>336.20807733713798</v>
      </c>
      <c r="O202" s="843">
        <f>SUMIFS(HY!$E$630:$AL$630,HY!$E$15:$AL$15,FY!O$2)</f>
        <v>368.9624279717097</v>
      </c>
    </row>
    <row r="203" spans="1:15" s="252" customFormat="1">
      <c r="B203" s="252" t="s">
        <v>92</v>
      </c>
      <c r="C203" s="843">
        <f t="shared" ref="C203:O203" si="38">C202/C181*100</f>
        <v>11.133575953632564</v>
      </c>
      <c r="D203" s="843">
        <f t="shared" si="38"/>
        <v>8.0115766625008238</v>
      </c>
      <c r="E203" s="843">
        <f t="shared" si="38"/>
        <v>11.230809589275825</v>
      </c>
      <c r="F203" s="843">
        <f t="shared" si="38"/>
        <v>14.176112481502074</v>
      </c>
      <c r="G203" s="843">
        <f t="shared" si="38"/>
        <v>13.182591994412673</v>
      </c>
      <c r="H203" s="843">
        <f t="shared" si="38"/>
        <v>13.831905435856104</v>
      </c>
      <c r="I203" s="843">
        <f t="shared" si="38"/>
        <v>14.022840169882143</v>
      </c>
      <c r="J203" s="843">
        <f t="shared" si="38"/>
        <v>14.126040417365667</v>
      </c>
      <c r="K203" s="843">
        <f t="shared" si="38"/>
        <v>14.08208876765689</v>
      </c>
      <c r="L203" s="843">
        <f t="shared" si="38"/>
        <v>14.239862099230779</v>
      </c>
      <c r="M203" s="843">
        <f t="shared" si="38"/>
        <v>14.407111762367874</v>
      </c>
      <c r="N203" s="843">
        <f t="shared" si="38"/>
        <v>14.66492529604545</v>
      </c>
      <c r="O203" s="843">
        <f t="shared" si="38"/>
        <v>16.093624180917288</v>
      </c>
    </row>
    <row r="204" spans="1:15">
      <c r="A204" s="252"/>
      <c r="B204" s="252" t="s">
        <v>934</v>
      </c>
      <c r="C204" s="14"/>
      <c r="D204" s="14"/>
      <c r="E204" s="14"/>
      <c r="F204" s="14"/>
      <c r="G204" s="14"/>
      <c r="H204" s="14"/>
      <c r="I204" s="14"/>
      <c r="J204" s="14"/>
      <c r="K204" s="14"/>
      <c r="L204" s="14"/>
      <c r="M204" s="14"/>
      <c r="N204" s="14"/>
      <c r="O204" s="14"/>
    </row>
    <row r="205" spans="1:15">
      <c r="A205" s="252"/>
      <c r="B205" s="252" t="s">
        <v>959</v>
      </c>
      <c r="C205" s="14"/>
      <c r="D205" s="14"/>
      <c r="E205" s="14"/>
      <c r="F205" s="14"/>
      <c r="G205" s="14"/>
      <c r="H205" s="14"/>
      <c r="I205" s="14"/>
      <c r="J205" s="14"/>
      <c r="K205" s="14"/>
      <c r="L205" s="14"/>
      <c r="M205" s="14"/>
      <c r="N205" s="14"/>
      <c r="O205" s="14"/>
    </row>
    <row r="206" spans="1:15">
      <c r="A206" s="252"/>
      <c r="B206" s="9" t="s">
        <v>957</v>
      </c>
      <c r="C206" s="254"/>
      <c r="D206" s="254"/>
      <c r="E206" s="254"/>
      <c r="F206" s="254"/>
      <c r="G206" s="254"/>
      <c r="H206" s="254"/>
      <c r="I206" s="254"/>
      <c r="J206" s="254"/>
      <c r="K206" s="254"/>
      <c r="L206" s="254"/>
      <c r="M206" s="254"/>
      <c r="N206" s="254"/>
      <c r="O206" s="254"/>
    </row>
    <row r="207" spans="1:15">
      <c r="A207" s="252"/>
      <c r="B207" s="9" t="s">
        <v>958</v>
      </c>
      <c r="C207" s="254"/>
      <c r="D207" s="254"/>
      <c r="E207" s="254"/>
      <c r="F207" s="254"/>
      <c r="G207" s="254"/>
      <c r="H207" s="254"/>
      <c r="I207" s="254"/>
      <c r="J207" s="254"/>
      <c r="K207" s="254"/>
      <c r="L207" s="254"/>
      <c r="M207" s="254"/>
      <c r="N207" s="254"/>
      <c r="O207" s="254"/>
    </row>
    <row r="208" spans="1:15">
      <c r="A208" s="252"/>
      <c r="C208" s="254"/>
      <c r="D208" s="254"/>
      <c r="E208" s="254"/>
      <c r="F208" s="254"/>
      <c r="G208" s="254"/>
      <c r="H208" s="254"/>
      <c r="I208" s="254"/>
      <c r="J208" s="254"/>
      <c r="K208" s="254"/>
      <c r="L208" s="254"/>
      <c r="M208" s="254"/>
      <c r="N208" s="254"/>
      <c r="O208" s="254"/>
    </row>
    <row r="209" spans="1:16">
      <c r="A209" s="252"/>
      <c r="B209" s="532" t="s">
        <v>1385</v>
      </c>
      <c r="C209" s="533" t="str">
        <f>C$4</f>
        <v>2022A</v>
      </c>
      <c r="D209" s="533" t="str">
        <f t="shared" ref="D209:O209" si="39">D$4</f>
        <v>2023A</v>
      </c>
      <c r="E209" s="533" t="str">
        <f t="shared" si="39"/>
        <v>2024E</v>
      </c>
      <c r="F209" s="533" t="str">
        <f t="shared" si="39"/>
        <v>2025E</v>
      </c>
      <c r="G209" s="533" t="str">
        <f t="shared" si="39"/>
        <v>2026E</v>
      </c>
      <c r="H209" s="533" t="str">
        <f t="shared" si="39"/>
        <v>2027E</v>
      </c>
      <c r="I209" s="533" t="str">
        <f t="shared" si="39"/>
        <v>2028E</v>
      </c>
      <c r="J209" s="533" t="str">
        <f t="shared" si="39"/>
        <v>2029E</v>
      </c>
      <c r="K209" s="533" t="str">
        <f t="shared" si="39"/>
        <v>2030E</v>
      </c>
      <c r="L209" s="533" t="str">
        <f t="shared" si="39"/>
        <v>2031E</v>
      </c>
      <c r="M209" s="533" t="str">
        <f t="shared" si="39"/>
        <v>2032E</v>
      </c>
      <c r="N209" s="533" t="str">
        <f t="shared" si="39"/>
        <v>2033E</v>
      </c>
      <c r="O209" s="533" t="str">
        <f t="shared" si="39"/>
        <v>2034E</v>
      </c>
    </row>
    <row r="210" spans="1:16">
      <c r="A210" s="252"/>
      <c r="C210" s="254"/>
      <c r="D210" s="254"/>
      <c r="E210" s="254"/>
      <c r="F210" s="254"/>
      <c r="G210" s="254"/>
      <c r="H210" s="254"/>
      <c r="I210" s="254"/>
      <c r="J210" s="254"/>
      <c r="K210" s="254"/>
      <c r="L210" s="254"/>
      <c r="M210" s="254"/>
      <c r="N210" s="254"/>
      <c r="O210" s="254"/>
    </row>
    <row r="211" spans="1:16">
      <c r="A211" s="252"/>
      <c r="B211" s="12" t="s">
        <v>1214</v>
      </c>
      <c r="C211" s="254"/>
      <c r="D211" s="254"/>
      <c r="E211" s="254"/>
      <c r="F211" s="254"/>
      <c r="G211" s="254"/>
      <c r="H211" s="254"/>
      <c r="I211" s="254"/>
      <c r="J211" s="254"/>
      <c r="K211" s="254"/>
      <c r="L211" s="254"/>
      <c r="M211" s="254"/>
      <c r="N211" s="254"/>
      <c r="O211" s="254"/>
    </row>
    <row r="212" spans="1:16">
      <c r="B212" s="253" t="s">
        <v>1369</v>
      </c>
      <c r="C212" s="254">
        <f>SUMIFS(HY!$E78:$AL78,HY!$E$15:$AL$15,FY!C$2)</f>
        <v>9697</v>
      </c>
      <c r="D212" s="254">
        <f>SUMIFS(HY!$E78:$AL78,HY!$E$15:$AL$15,FY!D$2)</f>
        <v>9266.7000000000007</v>
      </c>
      <c r="E212" s="254">
        <f>SUMIFS(HY!$E78:$AL78,HY!$E$15:$AL$15,FY!E$2)</f>
        <v>8809.1</v>
      </c>
      <c r="F212" s="254">
        <f>SUMIFS(HY!$E78:$AL78,HY!$E$15:$AL$15,FY!F$2)</f>
        <v>8381.9</v>
      </c>
      <c r="G212" s="254">
        <f>SUMIFS(HY!$E78:$AL78,HY!$E$15:$AL$15,FY!G$2)</f>
        <v>8446.2999999999993</v>
      </c>
      <c r="H212" s="254">
        <f>SUMIFS(HY!$E78:$AL78,HY!$E$15:$AL$15,FY!H$2)</f>
        <v>8561.4072999999989</v>
      </c>
      <c r="I212" s="254">
        <f>SUMIFS(HY!$E78:$AL78,HY!$E$15:$AL$15,FY!I$2)</f>
        <v>8729.8178950000001</v>
      </c>
      <c r="J212" s="254">
        <f>SUMIFS(HY!$E78:$AL78,HY!$E$15:$AL$15,FY!J$2)</f>
        <v>8904.4142528999982</v>
      </c>
      <c r="K212" s="254">
        <f>SUMIFS(HY!$E78:$AL78,HY!$E$15:$AL$15,FY!K$2)</f>
        <v>9171.5466804869993</v>
      </c>
      <c r="L212" s="254">
        <f>SUMIFS(HY!$E78:$AL78,HY!$E$15:$AL$15,FY!L$2)</f>
        <v>9446.6930809016085</v>
      </c>
      <c r="M212" s="254">
        <f>SUMIFS(HY!$E78:$AL78,HY!$E$15:$AL$15,FY!M$2)</f>
        <v>9730.0938733286566</v>
      </c>
      <c r="N212" s="254">
        <f>SUMIFS(HY!$E78:$AL78,HY!$E$15:$AL$15,FY!N$2)</f>
        <v>10021.996689528518</v>
      </c>
      <c r="O212" s="254">
        <f>SUMIFS(HY!$E78:$AL78,HY!$E$15:$AL$15,FY!O$2)</f>
        <v>10322.656590214374</v>
      </c>
    </row>
    <row r="213" spans="1:16">
      <c r="B213" s="253" t="s">
        <v>1370</v>
      </c>
      <c r="C213" s="254">
        <f>SUMIFS(HY!$E79:$AL79,HY!$E$15:$AL$15,FY!C$2)</f>
        <v>4196.7</v>
      </c>
      <c r="D213" s="254">
        <f>SUMIFS(HY!$E79:$AL79,HY!$E$15:$AL$15,FY!D$2)</f>
        <v>5284.1</v>
      </c>
      <c r="E213" s="254">
        <f>SUMIFS(HY!$E79:$AL79,HY!$E$15:$AL$15,FY!E$2)</f>
        <v>5248.6</v>
      </c>
      <c r="F213" s="254">
        <f>SUMIFS(HY!$E79:$AL79,HY!$E$15:$AL$15,FY!F$2)</f>
        <v>5361</v>
      </c>
      <c r="G213" s="254">
        <f>SUMIFS(HY!$E79:$AL79,HY!$E$15:$AL$15,FY!G$2)</f>
        <v>5415.1</v>
      </c>
      <c r="H213" s="254">
        <f>SUMIFS(HY!$E79:$AL79,HY!$E$15:$AL$15,FY!H$2)</f>
        <v>5429.6957000000002</v>
      </c>
      <c r="I213" s="254">
        <f>SUMIFS(HY!$E79:$AL79,HY!$E$15:$AL$15,FY!I$2)</f>
        <v>5348.2502645000004</v>
      </c>
      <c r="J213" s="254">
        <f>SUMIFS(HY!$E79:$AL79,HY!$E$15:$AL$15,FY!J$2)</f>
        <v>5268.0265105324997</v>
      </c>
      <c r="K213" s="254">
        <f>SUMIFS(HY!$E79:$AL79,HY!$E$15:$AL$15,FY!K$2)</f>
        <v>5320.7067756378256</v>
      </c>
      <c r="L213" s="254">
        <f>SUMIFS(HY!$E79:$AL79,HY!$E$15:$AL$15,FY!L$2)</f>
        <v>5267.4997078814467</v>
      </c>
      <c r="M213" s="254">
        <f>SUMIFS(HY!$E79:$AL79,HY!$E$15:$AL$15,FY!M$2)</f>
        <v>5214.8247108026317</v>
      </c>
      <c r="N213" s="254">
        <f>SUMIFS(HY!$E79:$AL79,HY!$E$15:$AL$15,FY!N$2)</f>
        <v>5162.6764636946054</v>
      </c>
      <c r="O213" s="254">
        <f>SUMIFS(HY!$E79:$AL79,HY!$E$15:$AL$15,FY!O$2)</f>
        <v>5111.0496990576594</v>
      </c>
    </row>
    <row r="214" spans="1:16">
      <c r="B214" s="253"/>
      <c r="C214" s="254"/>
      <c r="D214" s="254"/>
      <c r="E214" s="254"/>
      <c r="F214" s="254"/>
      <c r="G214" s="254"/>
      <c r="H214" s="254"/>
      <c r="I214" s="254"/>
      <c r="J214" s="254"/>
      <c r="K214" s="254"/>
      <c r="L214" s="254"/>
      <c r="M214" s="254"/>
      <c r="N214" s="254"/>
      <c r="O214" s="254"/>
    </row>
    <row r="215" spans="1:16">
      <c r="B215" s="253" t="s">
        <v>1199</v>
      </c>
      <c r="C215" s="254">
        <f>SUMIFS(HY!$E69:$AL69,HY!$E$15:$AL$15,FY!C$2)</f>
        <v>11769.7</v>
      </c>
      <c r="D215" s="254">
        <f>SUMIFS(HY!$E69:$AL69,HY!$E$15:$AL$15,FY!D$2)</f>
        <v>11946.5</v>
      </c>
      <c r="E215" s="254">
        <f>SUMIFS(HY!$E69:$AL69,HY!$E$15:$AL$15,FY!E$2)</f>
        <v>11361.2</v>
      </c>
      <c r="F215" s="254">
        <f>SUMIFS(HY!$E69:$AL69,HY!$E$15:$AL$15,FY!F$2)</f>
        <v>10903</v>
      </c>
      <c r="G215" s="254">
        <f>SUMIFS(HY!$E69:$AL69,HY!$E$15:$AL$15,FY!G$2)</f>
        <v>10785</v>
      </c>
      <c r="H215" s="254">
        <f>SUMIFS(HY!$E69:$AL69,HY!$E$15:$AL$15,FY!H$2)</f>
        <v>0</v>
      </c>
      <c r="I215" s="254">
        <f>SUMIFS(HY!$E69:$AL69,HY!$E$15:$AL$15,FY!I$2)</f>
        <v>0</v>
      </c>
      <c r="J215" s="254">
        <f>SUMIFS(HY!$E69:$AL69,HY!$E$15:$AL$15,FY!J$2)</f>
        <v>0</v>
      </c>
      <c r="K215" s="254">
        <f>SUMIFS(HY!$E69:$AL69,HY!$E$15:$AL$15,FY!K$2)</f>
        <v>0</v>
      </c>
      <c r="L215" s="254">
        <f>SUMIFS(HY!$E69:$AL69,HY!$E$15:$AL$15,FY!L$2)</f>
        <v>0</v>
      </c>
      <c r="M215" s="254">
        <f>SUMIFS(HY!$E69:$AL69,HY!$E$15:$AL$15,FY!M$2)</f>
        <v>0</v>
      </c>
      <c r="N215" s="254">
        <f>SUMIFS(HY!$E69:$AL69,HY!$E$15:$AL$15,FY!N$2)</f>
        <v>0</v>
      </c>
      <c r="O215" s="254">
        <f>SUMIFS(HY!$E69:$AL69,HY!$E$15:$AL$15,FY!O$2)</f>
        <v>0</v>
      </c>
    </row>
    <row r="216" spans="1:16">
      <c r="B216" s="253" t="s">
        <v>1205</v>
      </c>
      <c r="C216" s="254">
        <f>SUMIFS(HY!$E70:$AL70,HY!$E$15:$AL$15,FY!C$2)</f>
        <v>2124</v>
      </c>
      <c r="D216" s="254">
        <f>SUMIFS(HY!$E70:$AL70,HY!$E$15:$AL$15,FY!D$2)</f>
        <v>2604.3000000000002</v>
      </c>
      <c r="E216" s="254">
        <f>SUMIFS(HY!$E70:$AL70,HY!$E$15:$AL$15,FY!E$2)</f>
        <v>2696.5</v>
      </c>
      <c r="F216" s="254">
        <f>SUMIFS(HY!$E70:$AL70,HY!$E$15:$AL$15,FY!F$2)</f>
        <v>2840</v>
      </c>
      <c r="G216" s="254">
        <f>SUMIFS(HY!$E70:$AL70,HY!$E$15:$AL$15,FY!G$2)</f>
        <v>3076</v>
      </c>
      <c r="H216" s="254">
        <f>SUMIFS(HY!$E70:$AL70,HY!$E$15:$AL$15,FY!H$2)</f>
        <v>0</v>
      </c>
      <c r="I216" s="254">
        <f>SUMIFS(HY!$E70:$AL70,HY!$E$15:$AL$15,FY!I$2)</f>
        <v>0</v>
      </c>
      <c r="J216" s="254">
        <f>SUMIFS(HY!$E70:$AL70,HY!$E$15:$AL$15,FY!J$2)</f>
        <v>0</v>
      </c>
      <c r="K216" s="254">
        <f>SUMIFS(HY!$E70:$AL70,HY!$E$15:$AL$15,FY!K$2)</f>
        <v>0</v>
      </c>
      <c r="L216" s="254">
        <f>SUMIFS(HY!$E70:$AL70,HY!$E$15:$AL$15,FY!L$2)</f>
        <v>0</v>
      </c>
      <c r="M216" s="254">
        <f>SUMIFS(HY!$E70:$AL70,HY!$E$15:$AL$15,FY!M$2)</f>
        <v>0</v>
      </c>
      <c r="N216" s="254">
        <f>SUMIFS(HY!$E70:$AL70,HY!$E$15:$AL$15,FY!N$2)</f>
        <v>0</v>
      </c>
      <c r="O216" s="254">
        <f>SUMIFS(HY!$E70:$AL70,HY!$E$15:$AL$15,FY!O$2)</f>
        <v>0</v>
      </c>
    </row>
    <row r="217" spans="1:16">
      <c r="B217" s="253" t="s">
        <v>1371</v>
      </c>
      <c r="C217" s="254">
        <f>INDEX(HY!$E62:$AL62,MATCH(C$5,HY!$E$10:$AL$10,0))</f>
        <v>783</v>
      </c>
      <c r="D217" s="254">
        <f>INDEX(HY!$E62:$AL62,MATCH(D$5,HY!$E$10:$AL$10,0))</f>
        <v>805</v>
      </c>
      <c r="E217" s="254">
        <f>INDEX(HY!$E62:$AL62,MATCH(E$5,HY!$E$10:$AL$10,0))</f>
        <v>798</v>
      </c>
      <c r="F217" s="254">
        <f>INDEX(HY!$E62:$AL62,MATCH(F$5,HY!$E$10:$AL$10,0))</f>
        <v>792</v>
      </c>
      <c r="G217" s="254">
        <f>INDEX(HY!$E62:$AL62,MATCH(G$5,HY!$E$10:$AL$10,0))</f>
        <v>786</v>
      </c>
      <c r="H217" s="254">
        <f>INDEX(HY!$E62:$AL62,MATCH(H$5,HY!$E$10:$AL$10,0))</f>
        <v>0</v>
      </c>
      <c r="I217" s="254">
        <f>INDEX(HY!$E62:$AL62,MATCH(I$5,HY!$E$10:$AL$10,0))</f>
        <v>0</v>
      </c>
      <c r="J217" s="254">
        <f>INDEX(HY!$E62:$AL62,MATCH(J$5,HY!$E$10:$AL$10,0))</f>
        <v>0</v>
      </c>
      <c r="K217" s="254">
        <f>INDEX(HY!$E62:$AL62,MATCH(K$5,HY!$E$10:$AL$10,0))</f>
        <v>0</v>
      </c>
      <c r="L217" s="254">
        <f>INDEX(HY!$E62:$AL62,MATCH(L$5,HY!$E$10:$AL$10,0))</f>
        <v>0</v>
      </c>
      <c r="M217" s="254">
        <f>INDEX(HY!$E62:$AL62,MATCH(M$5,HY!$E$10:$AL$10,0))</f>
        <v>0</v>
      </c>
      <c r="N217" s="254">
        <f>INDEX(HY!$E62:$AL62,MATCH(N$5,HY!$E$10:$AL$10,0))</f>
        <v>0</v>
      </c>
      <c r="O217" s="254">
        <f>INDEX(HY!$E62:$AL62,MATCH(O$5,HY!$E$10:$AL$10,0))</f>
        <v>0</v>
      </c>
    </row>
    <row r="218" spans="1:16">
      <c r="C218" s="254"/>
      <c r="D218" s="254"/>
      <c r="E218" s="254"/>
      <c r="F218" s="254"/>
      <c r="G218" s="254"/>
      <c r="H218" s="254"/>
      <c r="I218" s="254"/>
      <c r="J218" s="254"/>
      <c r="K218" s="254"/>
      <c r="L218" s="254"/>
      <c r="M218" s="254"/>
      <c r="N218" s="254"/>
      <c r="O218" s="254"/>
      <c r="P218" s="10"/>
    </row>
    <row r="219" spans="1:16">
      <c r="B219" s="12" t="s">
        <v>1082</v>
      </c>
      <c r="C219" s="254"/>
      <c r="D219" s="254"/>
      <c r="E219" s="254"/>
      <c r="F219" s="254"/>
      <c r="G219" s="254"/>
      <c r="H219" s="254"/>
      <c r="I219" s="254"/>
      <c r="J219" s="254"/>
      <c r="K219" s="254"/>
      <c r="L219" s="254"/>
      <c r="M219" s="254"/>
      <c r="N219" s="254"/>
      <c r="O219" s="254"/>
    </row>
    <row r="220" spans="1:16">
      <c r="A220" s="252"/>
      <c r="B220" s="183" t="s">
        <v>1377</v>
      </c>
      <c r="C220" s="254"/>
      <c r="D220" s="254">
        <f>SUMIFS(HY!$E175:$AL175,HY!$E$15:$AL$15,FY!D$2)</f>
        <v>942.7</v>
      </c>
      <c r="E220" s="254">
        <f>SUMIFS(HY!$E175:$AL175,HY!$E$15:$AL$15,FY!E$2)</f>
        <v>922</v>
      </c>
      <c r="F220" s="254">
        <f>SUMIFS(HY!$E175:$AL175,HY!$E$15:$AL$15,FY!F$2)</f>
        <v>1069.7</v>
      </c>
      <c r="G220" s="254">
        <f>SUMIFS(HY!$E175:$AL175,HY!$E$15:$AL$15,FY!G$2)</f>
        <v>1072.8</v>
      </c>
      <c r="H220" s="254">
        <f>SUMIFS(HY!$E175:$AL175,HY!$E$15:$AL$15,FY!H$2)</f>
        <v>1108.3300474500002</v>
      </c>
      <c r="I220" s="254">
        <f>SUMIFS(HY!$E175:$AL175,HY!$E$15:$AL$15,FY!I$2)</f>
        <v>1127.8166905599999</v>
      </c>
      <c r="J220" s="254">
        <f>SUMIFS(HY!$E175:$AL175,HY!$E$15:$AL$15,FY!J$2)</f>
        <v>1150.1650243712002</v>
      </c>
      <c r="K220" s="254">
        <f>SUMIFS(HY!$E175:$AL175,HY!$E$15:$AL$15,FY!K$2)</f>
        <v>1184.3579751023362</v>
      </c>
      <c r="L220" s="254">
        <f>SUMIFS(HY!$E175:$AL175,HY!$E$15:$AL$15,FY!L$2)</f>
        <v>1219.5767143554062</v>
      </c>
      <c r="M220" s="254">
        <f>SUMIFS(HY!$E175:$AL175,HY!$E$15:$AL$15,FY!M$2)</f>
        <v>1255.8520157860685</v>
      </c>
      <c r="N220" s="254">
        <f>SUMIFS(HY!$E175:$AL175,HY!$E$15:$AL$15,FY!N$2)</f>
        <v>1293.2155762596503</v>
      </c>
      <c r="O220" s="254">
        <f>SUMIFS(HY!$E175:$AL175,HY!$E$15:$AL$15,FY!O$2)</f>
        <v>1331.7000435474399</v>
      </c>
    </row>
    <row r="221" spans="1:16">
      <c r="A221" s="252"/>
      <c r="B221" s="183" t="s">
        <v>1376</v>
      </c>
      <c r="C221" s="254"/>
      <c r="D221" s="254">
        <f>SUMIFS(HY!$E176:$AL176,HY!$E$15:$AL$15,FY!D$2)</f>
        <v>818.4</v>
      </c>
      <c r="E221" s="254">
        <f>SUMIFS(HY!$E176:$AL176,HY!$E$15:$AL$15,FY!E$2)</f>
        <v>821.8</v>
      </c>
      <c r="F221" s="254">
        <f>SUMIFS(HY!$E176:$AL176,HY!$E$15:$AL$15,FY!F$2)</f>
        <v>965.7</v>
      </c>
      <c r="G221" s="254">
        <f>SUMIFS(HY!$E176:$AL176,HY!$E$15:$AL$15,FY!G$2)</f>
        <v>981.2</v>
      </c>
      <c r="H221" s="254">
        <f>SUMIFS(HY!$E176:$AL176,HY!$E$15:$AL$15,FY!H$2)</f>
        <v>1015.2482690000001</v>
      </c>
      <c r="I221" s="254">
        <f>SUMIFS(HY!$E176:$AL176,HY!$E$15:$AL$15,FY!I$2)</f>
        <v>1001.4025449650001</v>
      </c>
      <c r="J221" s="254">
        <f>SUMIFS(HY!$E176:$AL176,HY!$E$15:$AL$15,FY!J$2)</f>
        <v>988.67399290657954</v>
      </c>
      <c r="K221" s="254">
        <f>SUMIFS(HY!$E176:$AL176,HY!$E$15:$AL$15,FY!K$2)</f>
        <v>998.56073283564547</v>
      </c>
      <c r="L221" s="254">
        <f>SUMIFS(HY!$E176:$AL176,HY!$E$15:$AL$15,FY!L$2)</f>
        <v>988.57512550728882</v>
      </c>
      <c r="M221" s="254">
        <f>SUMIFS(HY!$E176:$AL176,HY!$E$15:$AL$15,FY!M$2)</f>
        <v>978.689374252216</v>
      </c>
      <c r="N221" s="254">
        <f>SUMIFS(HY!$E176:$AL176,HY!$E$15:$AL$15,FY!N$2)</f>
        <v>968.90248050969376</v>
      </c>
      <c r="O221" s="254">
        <f>SUMIFS(HY!$E176:$AL176,HY!$E$15:$AL$15,FY!O$2)</f>
        <v>959.21345570459687</v>
      </c>
    </row>
    <row r="222" spans="1:16">
      <c r="B222" s="183" t="s">
        <v>1536</v>
      </c>
      <c r="C222" s="254"/>
      <c r="D222" s="254">
        <f>SUMIFS(HY!$E177:$AL177,HY!$E$15:$AL$15,FY!D$2)</f>
        <v>249.3</v>
      </c>
      <c r="E222" s="254">
        <f>SUMIFS(HY!$E177:$AL177,HY!$E$15:$AL$15,FY!E$2)</f>
        <v>212.3</v>
      </c>
      <c r="F222" s="254">
        <f>SUMIFS(HY!$E177:$AL177,HY!$E$15:$AL$15,FY!F$2)</f>
        <v>232.2</v>
      </c>
      <c r="G222" s="254">
        <f>SUMIFS(HY!$E177:$AL177,HY!$E$15:$AL$15,FY!G$2)</f>
        <v>223.7</v>
      </c>
      <c r="H222" s="254">
        <f>SUMIFS(HY!$E177:$AL177,HY!$E$15:$AL$15,FY!H$2)</f>
        <v>216</v>
      </c>
      <c r="I222" s="254">
        <f>SUMIFS(HY!$E177:$AL177,HY!$E$15:$AL$15,FY!I$2)</f>
        <v>222.48000000000002</v>
      </c>
      <c r="J222" s="254">
        <f>SUMIFS(HY!$E177:$AL177,HY!$E$15:$AL$15,FY!J$2)</f>
        <v>229.15440000000001</v>
      </c>
      <c r="K222" s="254">
        <f>SUMIFS(HY!$E177:$AL177,HY!$E$15:$AL$15,FY!K$2)</f>
        <v>236.02903200000003</v>
      </c>
      <c r="L222" s="254">
        <f>SUMIFS(HY!$E177:$AL177,HY!$E$15:$AL$15,FY!L$2)</f>
        <v>243.10990296000003</v>
      </c>
      <c r="M222" s="254">
        <f>SUMIFS(HY!$E177:$AL177,HY!$E$15:$AL$15,FY!M$2)</f>
        <v>250.40320004880004</v>
      </c>
      <c r="N222" s="254">
        <f>SUMIFS(HY!$E177:$AL177,HY!$E$15:$AL$15,FY!N$2)</f>
        <v>257.91529605026403</v>
      </c>
      <c r="O222" s="254">
        <f>SUMIFS(HY!$E177:$AL177,HY!$E$15:$AL$15,FY!O$2)</f>
        <v>265.65275493177194</v>
      </c>
    </row>
    <row r="223" spans="1:16" s="12" customFormat="1">
      <c r="B223" s="483" t="s">
        <v>1186</v>
      </c>
      <c r="C223" s="531"/>
      <c r="D223" s="531">
        <f>SUMIFS(HY!$E178:$AL178,HY!$E$15:$AL$15,FY!D$2)</f>
        <v>2010.4</v>
      </c>
      <c r="E223" s="531">
        <f>SUMIFS(HY!$E178:$AL178,HY!$E$15:$AL$15,FY!E$2)</f>
        <v>1956.1</v>
      </c>
      <c r="F223" s="531">
        <f>SUMIFS(HY!$E178:$AL178,HY!$E$15:$AL$15,FY!F$2)</f>
        <v>2267.6000000000004</v>
      </c>
      <c r="G223" s="531">
        <f>SUMIFS(HY!$E178:$AL178,HY!$E$15:$AL$15,FY!G$2)</f>
        <v>2277.6999999999998</v>
      </c>
      <c r="H223" s="531">
        <f>SUMIFS(HY!$E178:$AL178,HY!$E$15:$AL$15,FY!H$2)</f>
        <v>2339.5783164499999</v>
      </c>
      <c r="I223" s="531">
        <f>SUMIFS(HY!$E178:$AL178,HY!$E$15:$AL$15,FY!I$2)</f>
        <v>2351.6992355249999</v>
      </c>
      <c r="J223" s="531">
        <f>SUMIFS(HY!$E178:$AL178,HY!$E$15:$AL$15,FY!J$2)</f>
        <v>2367.9934172777794</v>
      </c>
      <c r="K223" s="531">
        <f>SUMIFS(HY!$E178:$AL178,HY!$E$15:$AL$15,FY!K$2)</f>
        <v>2418.9477399379816</v>
      </c>
      <c r="L223" s="531">
        <f>SUMIFS(HY!$E178:$AL178,HY!$E$15:$AL$15,FY!L$2)</f>
        <v>2451.2617428226949</v>
      </c>
      <c r="M223" s="531">
        <f>SUMIFS(HY!$E178:$AL178,HY!$E$15:$AL$15,FY!M$2)</f>
        <v>2484.9445900870842</v>
      </c>
      <c r="N223" s="531">
        <f>SUMIFS(HY!$E178:$AL178,HY!$E$15:$AL$15,FY!N$2)</f>
        <v>2520.0333528196079</v>
      </c>
      <c r="O223" s="531">
        <f>SUMIFS(HY!$E178:$AL178,HY!$E$15:$AL$15,FY!O$2)</f>
        <v>2556.5662541838092</v>
      </c>
    </row>
    <row r="224" spans="1:16">
      <c r="B224" s="162" t="s">
        <v>1540</v>
      </c>
      <c r="C224" s="254"/>
      <c r="D224" s="254">
        <f>SUMIFS(HY!$E179:$AL179,HY!$E$15:$AL$15,FY!D$2)</f>
        <v>220.4000000000002</v>
      </c>
      <c r="E224" s="254">
        <f>SUMIFS(HY!$E179:$AL179,HY!$E$15:$AL$15,FY!E$2)</f>
        <v>360.9</v>
      </c>
      <c r="F224" s="254">
        <f>SUMIFS(HY!$E179:$AL179,HY!$E$15:$AL$15,FY!F$2)</f>
        <v>370.6</v>
      </c>
      <c r="G224" s="254">
        <f>SUMIFS(HY!$E179:$AL179,HY!$E$15:$AL$15,FY!G$2)</f>
        <v>377.8</v>
      </c>
      <c r="H224" s="254">
        <f>SUMIFS(HY!$E179:$AL179,HY!$E$15:$AL$15,FY!H$2)</f>
        <v>376</v>
      </c>
      <c r="I224" s="254">
        <f>SUMIFS(HY!$E179:$AL179,HY!$E$15:$AL$15,FY!I$2)</f>
        <v>385.48</v>
      </c>
      <c r="J224" s="254">
        <f>SUMIFS(HY!$E179:$AL179,HY!$E$15:$AL$15,FY!J$2)</f>
        <v>395.20839999999998</v>
      </c>
      <c r="K224" s="254">
        <f>SUMIFS(HY!$E179:$AL179,HY!$E$15:$AL$15,FY!K$2)</f>
        <v>405.19193199999995</v>
      </c>
      <c r="L224" s="254">
        <f>SUMIFS(HY!$E179:$AL179,HY!$E$15:$AL$15,FY!L$2)</f>
        <v>415.43751555999995</v>
      </c>
      <c r="M224" s="254">
        <f>SUMIFS(HY!$E179:$AL179,HY!$E$15:$AL$15,FY!M$2)</f>
        <v>425.95226313879994</v>
      </c>
      <c r="N224" s="254">
        <f>SUMIFS(HY!$E179:$AL179,HY!$E$15:$AL$15,FY!N$2)</f>
        <v>436.74348558720396</v>
      </c>
      <c r="O224" s="254">
        <f>SUMIFS(HY!$E179:$AL179,HY!$E$15:$AL$15,FY!O$2)</f>
        <v>447.81869780014489</v>
      </c>
    </row>
    <row r="225" spans="1:15">
      <c r="B225" s="162" t="s">
        <v>1542</v>
      </c>
      <c r="C225" s="14"/>
      <c r="D225" s="254">
        <f>SUMIFS(HY!$E180:$AL180,HY!$E$15:$AL$15,FY!D$2)</f>
        <v>0</v>
      </c>
      <c r="E225" s="254">
        <f>SUMIFS(HY!$E180:$AL180,HY!$E$15:$AL$15,FY!E$2)</f>
        <v>-154.19999999999999</v>
      </c>
      <c r="F225" s="254">
        <f>SUMIFS(HY!$E180:$AL180,HY!$E$15:$AL$15,FY!F$2)</f>
        <v>-199.4</v>
      </c>
      <c r="G225" s="254">
        <f>SUMIFS(HY!$E180:$AL180,HY!$E$15:$AL$15,FY!G$2)</f>
        <v>-200.8</v>
      </c>
      <c r="H225" s="254">
        <f>SUMIFS(HY!$E180:$AL180,HY!$E$15:$AL$15,FY!H$2)</f>
        <v>-180</v>
      </c>
      <c r="I225" s="254">
        <f>SUMIFS(HY!$E180:$AL180,HY!$E$15:$AL$15,FY!I$2)</f>
        <v>-183.6</v>
      </c>
      <c r="J225" s="254">
        <f>SUMIFS(HY!$E180:$AL180,HY!$E$15:$AL$15,FY!J$2)</f>
        <v>-187.27199999999999</v>
      </c>
      <c r="K225" s="254">
        <f>SUMIFS(HY!$E180:$AL180,HY!$E$15:$AL$15,FY!K$2)</f>
        <v>-191.01743999999999</v>
      </c>
      <c r="L225" s="254">
        <f>SUMIFS(HY!$E180:$AL180,HY!$E$15:$AL$15,FY!L$2)</f>
        <v>-194.8377888</v>
      </c>
      <c r="M225" s="254">
        <f>SUMIFS(HY!$E180:$AL180,HY!$E$15:$AL$15,FY!M$2)</f>
        <v>-198.73454457599999</v>
      </c>
      <c r="N225" s="254">
        <f>SUMIFS(HY!$E180:$AL180,HY!$E$15:$AL$15,FY!N$2)</f>
        <v>-202.70923546751999</v>
      </c>
      <c r="O225" s="254">
        <f>SUMIFS(HY!$E180:$AL180,HY!$E$15:$AL$15,FY!O$2)</f>
        <v>-206.7634201768704</v>
      </c>
    </row>
    <row r="226" spans="1:15" s="12" customFormat="1">
      <c r="B226" s="482" t="s">
        <v>1554</v>
      </c>
      <c r="C226" s="17"/>
      <c r="D226" s="531">
        <f>SUMIFS(HY!$E182:$AL182,HY!$E$15:$AL$15,FY!D$2)</f>
        <v>2230.8000000000002</v>
      </c>
      <c r="E226" s="531">
        <f>SUMIFS(HY!$E182:$AL182,HY!$E$15:$AL$15,FY!E$2)</f>
        <v>2162.8000000000002</v>
      </c>
      <c r="F226" s="531">
        <f>SUMIFS(HY!$E182:$AL182,HY!$E$15:$AL$15,FY!F$2)</f>
        <v>2438.8000000000002</v>
      </c>
      <c r="G226" s="531">
        <f>SUMIFS(HY!$E182:$AL182,HY!$E$15:$AL$15,FY!G$2)</f>
        <v>2454.6999999999998</v>
      </c>
      <c r="H226" s="531">
        <f>SUMIFS(HY!$E182:$AL182,HY!$E$15:$AL$15,FY!H$2)</f>
        <v>2535.5783164499999</v>
      </c>
      <c r="I226" s="531">
        <f>SUMIFS(HY!$E182:$AL182,HY!$E$15:$AL$15,FY!I$2)</f>
        <v>2553.5792355250001</v>
      </c>
      <c r="J226" s="531">
        <f>SUMIFS(HY!$E182:$AL182,HY!$E$15:$AL$15,FY!J$2)</f>
        <v>2575.9298172777799</v>
      </c>
      <c r="K226" s="531">
        <f>SUMIFS(HY!$E182:$AL182,HY!$E$15:$AL$15,FY!K$2)</f>
        <v>2633.1222319379817</v>
      </c>
      <c r="L226" s="531">
        <f>SUMIFS(HY!$E182:$AL182,HY!$E$15:$AL$15,FY!L$2)</f>
        <v>2671.861469582695</v>
      </c>
      <c r="M226" s="531">
        <f>SUMIFS(HY!$E182:$AL182,HY!$E$15:$AL$15,FY!M$2)</f>
        <v>2712.1623086498839</v>
      </c>
      <c r="N226" s="531">
        <f>SUMIFS(HY!$E182:$AL182,HY!$E$15:$AL$15,FY!N$2)</f>
        <v>2754.0676029392921</v>
      </c>
      <c r="O226" s="531">
        <f>SUMIFS(HY!$E182:$AL182,HY!$E$15:$AL$15,FY!O$2)</f>
        <v>2797.6215318070836</v>
      </c>
    </row>
    <row r="227" spans="1:15" s="12" customFormat="1">
      <c r="B227" s="162" t="s">
        <v>1583</v>
      </c>
      <c r="C227" s="17"/>
      <c r="D227" s="254">
        <f t="shared" ref="D227:O227" si="40">D224+D225</f>
        <v>220.4000000000002</v>
      </c>
      <c r="E227" s="254">
        <f t="shared" si="40"/>
        <v>206.7</v>
      </c>
      <c r="F227" s="254">
        <f t="shared" si="40"/>
        <v>171.20000000000002</v>
      </c>
      <c r="G227" s="254">
        <f t="shared" si="40"/>
        <v>177</v>
      </c>
      <c r="H227" s="254">
        <f t="shared" si="40"/>
        <v>196</v>
      </c>
      <c r="I227" s="254">
        <f t="shared" si="40"/>
        <v>201.88000000000002</v>
      </c>
      <c r="J227" s="254">
        <f t="shared" si="40"/>
        <v>207.93639999999999</v>
      </c>
      <c r="K227" s="254">
        <f t="shared" si="40"/>
        <v>214.17449199999996</v>
      </c>
      <c r="L227" s="254">
        <f t="shared" si="40"/>
        <v>220.59972675999995</v>
      </c>
      <c r="M227" s="254">
        <f t="shared" si="40"/>
        <v>227.21771856279994</v>
      </c>
      <c r="N227" s="254">
        <f t="shared" si="40"/>
        <v>234.03425011968397</v>
      </c>
      <c r="O227" s="254">
        <f t="shared" si="40"/>
        <v>241.05527762327449</v>
      </c>
    </row>
    <row r="228" spans="1:15">
      <c r="C228" s="14"/>
      <c r="D228" s="14"/>
      <c r="E228" s="14"/>
      <c r="F228" s="14"/>
      <c r="G228" s="14"/>
      <c r="H228" s="14"/>
      <c r="I228" s="14"/>
      <c r="J228" s="14"/>
      <c r="K228" s="14"/>
      <c r="L228" s="14"/>
      <c r="M228" s="14"/>
      <c r="N228" s="14"/>
      <c r="O228" s="14"/>
    </row>
    <row r="229" spans="1:15">
      <c r="B229" s="12" t="s">
        <v>1386</v>
      </c>
      <c r="C229" s="14"/>
      <c r="D229" s="14"/>
      <c r="E229" s="14"/>
      <c r="F229" s="14"/>
      <c r="G229" s="14"/>
      <c r="H229" s="14"/>
      <c r="I229" s="14"/>
      <c r="J229" s="14"/>
      <c r="K229" s="14"/>
      <c r="L229" s="14"/>
      <c r="M229" s="14"/>
      <c r="N229" s="14"/>
      <c r="O229" s="14"/>
    </row>
    <row r="230" spans="1:15">
      <c r="B230" s="253" t="s">
        <v>1373</v>
      </c>
      <c r="C230" s="15">
        <f>INDEX(HY!$E90:$AL90,MATCH(C$5,HY!$E$10:$AL$10,0))</f>
        <v>0.16900000000000001</v>
      </c>
      <c r="D230" s="15">
        <f>INDEX(HY!$E90:$AL90,MATCH(D$5,HY!$E$10:$AL$10,0))</f>
        <v>0.16400000000000001</v>
      </c>
      <c r="E230" s="15">
        <f>INDEX(HY!$E90:$AL90,MATCH(E$5,HY!$E$10:$AL$10,0))</f>
        <v>0.16800000000000001</v>
      </c>
      <c r="F230" s="15">
        <f>INDEX(HY!$E90:$AL90,MATCH(F$5,HY!$E$10:$AL$10,0))</f>
        <v>0.17</v>
      </c>
      <c r="G230" s="15">
        <f>INDEX(HY!$E90:$AL90,MATCH(G$5,HY!$E$10:$AL$10,0))</f>
        <v>0.16600000000000001</v>
      </c>
      <c r="H230" s="15">
        <f>INDEX(HY!$E90:$AL90,MATCH(H$5,HY!$E$10:$AL$10,0))</f>
        <v>0.16800000000000001</v>
      </c>
      <c r="I230" s="15">
        <f>INDEX(HY!$E90:$AL90,MATCH(I$5,HY!$E$10:$AL$10,0))</f>
        <v>0.16800000000000001</v>
      </c>
      <c r="J230" s="15">
        <f>INDEX(HY!$E90:$AL90,MATCH(J$5,HY!$E$10:$AL$10,0))</f>
        <v>0.16800000000000001</v>
      </c>
      <c r="K230" s="15">
        <f>INDEX(HY!$E90:$AL90,MATCH(K$5,HY!$E$10:$AL$10,0))</f>
        <v>0.16800000000000001</v>
      </c>
      <c r="L230" s="15">
        <f>INDEX(HY!$E90:$AL90,MATCH(L$5,HY!$E$10:$AL$10,0))</f>
        <v>0.16800000000000001</v>
      </c>
      <c r="M230" s="15">
        <f>INDEX(HY!$E90:$AL90,MATCH(M$5,HY!$E$10:$AL$10,0))</f>
        <v>0.16800000000000001</v>
      </c>
      <c r="N230" s="15">
        <f>INDEX(HY!$E90:$AL90,MATCH(N$5,HY!$E$10:$AL$10,0))</f>
        <v>0.16800000000000001</v>
      </c>
      <c r="O230" s="15">
        <f>INDEX(HY!$E90:$AL90,MATCH(O$5,HY!$E$10:$AL$10,0))</f>
        <v>0.16800000000000001</v>
      </c>
    </row>
    <row r="231" spans="1:15">
      <c r="B231" s="253" t="s">
        <v>1374</v>
      </c>
      <c r="C231" s="15">
        <f>INDEX(HY!$E91:$AL91,MATCH(C$5,HY!$E$10:$AL$10,0))</f>
        <v>0.13400000000000001</v>
      </c>
      <c r="D231" s="15">
        <f>INDEX(HY!$E91:$AL91,MATCH(D$5,HY!$E$10:$AL$10,0))</f>
        <v>0.123</v>
      </c>
      <c r="E231" s="15">
        <f>INDEX(HY!$E91:$AL91,MATCH(E$5,HY!$E$10:$AL$10,0))</f>
        <v>0.127</v>
      </c>
      <c r="F231" s="15">
        <f>INDEX(HY!$E91:$AL91,MATCH(F$5,HY!$E$10:$AL$10,0))</f>
        <v>0.129</v>
      </c>
      <c r="G231" s="15">
        <f>INDEX(HY!$E91:$AL91,MATCH(G$5,HY!$E$10:$AL$10,0))</f>
        <v>0.126</v>
      </c>
      <c r="H231" s="15">
        <f>INDEX(HY!$E91:$AL91,MATCH(H$5,HY!$E$10:$AL$10,0))</f>
        <v>0.1285</v>
      </c>
      <c r="I231" s="15">
        <f>INDEX(HY!$E91:$AL91,MATCH(I$5,HY!$E$10:$AL$10,0))</f>
        <v>0.12799999999999997</v>
      </c>
      <c r="J231" s="15">
        <f>INDEX(HY!$E91:$AL91,MATCH(J$5,HY!$E$10:$AL$10,0))</f>
        <v>0.128</v>
      </c>
      <c r="K231" s="15">
        <f>INDEX(HY!$E91:$AL91,MATCH(K$5,HY!$E$10:$AL$10,0))</f>
        <v>0.12800000000000003</v>
      </c>
      <c r="L231" s="15">
        <f>INDEX(HY!$E91:$AL91,MATCH(L$5,HY!$E$10:$AL$10,0))</f>
        <v>0.12799999999999997</v>
      </c>
      <c r="M231" s="15">
        <f>INDEX(HY!$E91:$AL91,MATCH(M$5,HY!$E$10:$AL$10,0))</f>
        <v>0.128</v>
      </c>
      <c r="N231" s="15">
        <f>INDEX(HY!$E91:$AL91,MATCH(N$5,HY!$E$10:$AL$10,0))</f>
        <v>0.128</v>
      </c>
      <c r="O231" s="15">
        <f>INDEX(HY!$E91:$AL91,MATCH(O$5,HY!$E$10:$AL$10,0))</f>
        <v>0.128</v>
      </c>
    </row>
    <row r="232" spans="1:15">
      <c r="B232" s="253" t="s">
        <v>1375</v>
      </c>
      <c r="C232" s="15">
        <f>INDEX(HY!$E108:$AL108,MATCH(C$5,HY!$E$10:$AL$10,0))</f>
        <v>0.16700000000000001</v>
      </c>
      <c r="D232" s="15">
        <f>INDEX(HY!$E108:$AL108,MATCH(D$5,HY!$E$10:$AL$10,0))</f>
        <v>0.16700000000000001</v>
      </c>
      <c r="E232" s="15">
        <f>INDEX(HY!$E108:$AL108,MATCH(E$5,HY!$E$10:$AL$10,0))</f>
        <v>0.17100000000000001</v>
      </c>
      <c r="F232" s="15">
        <f>INDEX(HY!$E108:$AL108,MATCH(F$5,HY!$E$10:$AL$10,0))</f>
        <v>0.17100000000000001</v>
      </c>
      <c r="G232" s="15">
        <f>INDEX(HY!$E108:$AL108,MATCH(G$5,HY!$E$10:$AL$10,0))</f>
        <v>0.17</v>
      </c>
      <c r="H232" s="15">
        <f>INDEX(HY!$E108:$AL108,MATCH(H$5,HY!$E$10:$AL$10,0))</f>
        <v>0.17</v>
      </c>
      <c r="I232" s="15">
        <f>INDEX(HY!$E108:$AL108,MATCH(I$5,HY!$E$10:$AL$10,0))</f>
        <v>0.17</v>
      </c>
      <c r="J232" s="15">
        <f>INDEX(HY!$E108:$AL108,MATCH(J$5,HY!$E$10:$AL$10,0))</f>
        <v>0.17</v>
      </c>
      <c r="K232" s="15">
        <f>INDEX(HY!$E108:$AL108,MATCH(K$5,HY!$E$10:$AL$10,0))</f>
        <v>0.17</v>
      </c>
      <c r="L232" s="15">
        <f>INDEX(HY!$E108:$AL108,MATCH(L$5,HY!$E$10:$AL$10,0))</f>
        <v>0.17</v>
      </c>
      <c r="M232" s="15">
        <f>INDEX(HY!$E108:$AL108,MATCH(M$5,HY!$E$10:$AL$10,0))</f>
        <v>0.17</v>
      </c>
      <c r="N232" s="15">
        <f>INDEX(HY!$E108:$AL108,MATCH(N$5,HY!$E$10:$AL$10,0))</f>
        <v>0.17</v>
      </c>
      <c r="O232" s="15">
        <f>INDEX(HY!$E108:$AL108,MATCH(O$5,HY!$E$10:$AL$10,0))</f>
        <v>0.17</v>
      </c>
    </row>
    <row r="233" spans="1:15">
      <c r="C233" s="14"/>
      <c r="D233" s="14"/>
      <c r="E233" s="14"/>
      <c r="F233" s="14"/>
      <c r="G233" s="14"/>
      <c r="H233" s="14"/>
      <c r="I233" s="14"/>
      <c r="J233" s="14"/>
      <c r="K233" s="14"/>
      <c r="L233" s="14"/>
      <c r="M233" s="14"/>
      <c r="N233" s="14"/>
      <c r="O233" s="14"/>
    </row>
    <row r="234" spans="1:15">
      <c r="B234" s="12" t="s">
        <v>1368</v>
      </c>
      <c r="C234" s="14"/>
      <c r="D234" s="14"/>
      <c r="E234" s="14"/>
      <c r="F234" s="14"/>
      <c r="G234" s="14"/>
      <c r="H234" s="14"/>
      <c r="I234" s="14"/>
      <c r="J234" s="14"/>
      <c r="K234" s="14"/>
      <c r="L234" s="14"/>
      <c r="M234" s="14"/>
      <c r="N234" s="14"/>
      <c r="O234" s="14"/>
    </row>
    <row r="235" spans="1:15">
      <c r="B235" s="253" t="s">
        <v>1183</v>
      </c>
      <c r="C235" s="15" t="e">
        <f>INDEX(HY!#REF!,MATCH(C$5,HY!$E$10:$AL$10,0))</f>
        <v>#REF!</v>
      </c>
      <c r="D235" s="15" t="e">
        <f>INDEX(HY!#REF!,MATCH(D$5,HY!$E$10:$AL$10,0))</f>
        <v>#REF!</v>
      </c>
      <c r="E235" s="15"/>
      <c r="F235" s="15"/>
      <c r="G235" s="15"/>
      <c r="H235" s="15"/>
      <c r="I235" s="15"/>
      <c r="J235" s="15"/>
      <c r="K235" s="15"/>
      <c r="L235" s="15"/>
      <c r="M235" s="15"/>
      <c r="N235" s="15"/>
      <c r="O235" s="15"/>
    </row>
    <row r="236" spans="1:15">
      <c r="B236" s="253" t="s">
        <v>1184</v>
      </c>
      <c r="C236" s="15" t="e">
        <f>INDEX(HY!#REF!,MATCH(C$5,HY!$E$10:$AL$10,0))</f>
        <v>#REF!</v>
      </c>
      <c r="D236" s="15" t="e">
        <f>INDEX(HY!#REF!,MATCH(D$5,HY!$E$10:$AL$10,0))</f>
        <v>#REF!</v>
      </c>
      <c r="E236" s="15"/>
      <c r="F236" s="15"/>
      <c r="G236" s="15"/>
      <c r="H236" s="15"/>
      <c r="I236" s="15"/>
      <c r="J236" s="15"/>
      <c r="K236" s="15"/>
      <c r="L236" s="15"/>
      <c r="M236" s="15"/>
      <c r="N236" s="15"/>
      <c r="O236" s="15"/>
    </row>
    <row r="237" spans="1:15">
      <c r="C237" s="14"/>
      <c r="D237" s="14"/>
      <c r="E237" s="14"/>
      <c r="F237" s="14"/>
      <c r="G237" s="14"/>
      <c r="H237" s="14"/>
      <c r="I237" s="14"/>
      <c r="J237" s="14"/>
      <c r="K237" s="14"/>
      <c r="L237" s="14"/>
      <c r="M237" s="14"/>
      <c r="N237" s="14"/>
      <c r="O237" s="14"/>
    </row>
    <row r="238" spans="1:15">
      <c r="C238" s="14"/>
      <c r="D238" s="14"/>
      <c r="E238" s="14"/>
      <c r="F238" s="14"/>
      <c r="G238" s="14"/>
      <c r="H238" s="14"/>
      <c r="I238" s="14"/>
      <c r="J238" s="14"/>
      <c r="K238" s="14"/>
      <c r="L238" s="14"/>
      <c r="M238" s="14"/>
      <c r="N238" s="14"/>
      <c r="O238" s="14"/>
    </row>
    <row r="239" spans="1:15">
      <c r="A239" s="252"/>
      <c r="B239" s="532" t="s">
        <v>1385</v>
      </c>
      <c r="C239" s="533" t="str">
        <f>C$4</f>
        <v>2022A</v>
      </c>
      <c r="D239" s="533" t="str">
        <f t="shared" ref="D239:O239" si="41">D$4</f>
        <v>2023A</v>
      </c>
      <c r="E239" s="533" t="str">
        <f t="shared" si="41"/>
        <v>2024E</v>
      </c>
      <c r="F239" s="844" t="str">
        <f t="shared" si="41"/>
        <v>2025E</v>
      </c>
      <c r="G239" s="533" t="str">
        <f t="shared" si="41"/>
        <v>2026E</v>
      </c>
      <c r="H239" s="533" t="str">
        <f t="shared" si="41"/>
        <v>2027E</v>
      </c>
      <c r="I239" s="533" t="str">
        <f t="shared" si="41"/>
        <v>2028E</v>
      </c>
      <c r="J239" s="533" t="str">
        <f t="shared" si="41"/>
        <v>2029E</v>
      </c>
      <c r="K239" s="533" t="str">
        <f t="shared" si="41"/>
        <v>2030E</v>
      </c>
      <c r="L239" s="533" t="str">
        <f t="shared" si="41"/>
        <v>2031E</v>
      </c>
      <c r="M239" s="533" t="str">
        <f t="shared" si="41"/>
        <v>2032E</v>
      </c>
      <c r="N239" s="533" t="str">
        <f t="shared" si="41"/>
        <v>2033E</v>
      </c>
      <c r="O239" s="533" t="str">
        <f t="shared" si="41"/>
        <v>2034E</v>
      </c>
    </row>
    <row r="240" spans="1:15">
      <c r="A240" s="252"/>
      <c r="C240" s="254"/>
      <c r="D240" s="254"/>
      <c r="E240" s="254"/>
      <c r="F240" s="254"/>
      <c r="G240" s="254"/>
      <c r="H240" s="254"/>
      <c r="I240" s="254"/>
      <c r="J240" s="254"/>
      <c r="K240" s="254"/>
      <c r="L240" s="254"/>
      <c r="M240" s="254"/>
      <c r="N240" s="254"/>
      <c r="O240" s="254"/>
    </row>
    <row r="241" spans="1:15">
      <c r="A241" s="252"/>
      <c r="B241" s="757" t="s">
        <v>1507</v>
      </c>
      <c r="C241" s="254"/>
      <c r="D241" s="254"/>
      <c r="E241" s="254"/>
      <c r="F241" s="254"/>
      <c r="G241" s="254"/>
      <c r="H241" s="254"/>
      <c r="I241" s="254"/>
      <c r="J241" s="254"/>
      <c r="K241" s="254"/>
      <c r="L241" s="254"/>
      <c r="M241" s="254"/>
      <c r="N241" s="254"/>
      <c r="O241" s="254"/>
    </row>
    <row r="242" spans="1:15">
      <c r="B242" s="757"/>
      <c r="C242" s="14"/>
      <c r="D242" s="530"/>
      <c r="E242" s="530"/>
      <c r="F242" s="254"/>
      <c r="G242" s="530"/>
      <c r="H242" s="530"/>
      <c r="I242" s="530"/>
      <c r="J242" s="530"/>
      <c r="K242" s="530"/>
      <c r="L242" s="530"/>
      <c r="M242" s="530"/>
      <c r="N242" s="530"/>
      <c r="O242" s="530"/>
    </row>
    <row r="243" spans="1:15">
      <c r="A243" s="252"/>
      <c r="B243" s="528" t="s">
        <v>1214</v>
      </c>
      <c r="C243" s="254"/>
      <c r="D243" s="254"/>
      <c r="E243" s="254"/>
      <c r="F243" s="254"/>
      <c r="G243" s="254"/>
      <c r="H243" s="254"/>
      <c r="I243" s="254"/>
      <c r="J243" s="254"/>
      <c r="K243" s="254"/>
      <c r="L243" s="254"/>
      <c r="M243" s="254"/>
      <c r="N243" s="254"/>
      <c r="O243" s="254"/>
    </row>
    <row r="244" spans="1:15">
      <c r="B244" s="527" t="s">
        <v>1505</v>
      </c>
      <c r="C244" s="254">
        <f>SUMIFS(HY!$E78:$AL78,HY!$E$15:$AL$15,FY!C$2)</f>
        <v>9697</v>
      </c>
      <c r="D244" s="254">
        <f>SUMIFS(HY!$E78:$AL78,HY!$E$15:$AL$15,FY!D$2)</f>
        <v>9266.7000000000007</v>
      </c>
      <c r="E244" s="254">
        <f>SUMIFS(HY!$E78:$AL78,HY!$E$15:$AL$15,FY!E$2)</f>
        <v>8809.1</v>
      </c>
      <c r="F244" s="254">
        <f>SUMIFS(HY!$E78:$AL78,HY!$E$15:$AL$15,FY!F$2)</f>
        <v>8381.9</v>
      </c>
      <c r="G244" s="254">
        <f>SUMIFS(HY!$E78:$AL78,HY!$E$15:$AL$15,FY!G$2)</f>
        <v>8446.2999999999993</v>
      </c>
      <c r="H244" s="254">
        <f>SUMIFS(HY!$E78:$AL78,HY!$E$15:$AL$15,FY!H$2)</f>
        <v>8561.4072999999989</v>
      </c>
      <c r="I244" s="254">
        <f>SUMIFS(HY!$E78:$AL78,HY!$E$15:$AL$15,FY!I$2)</f>
        <v>8729.8178950000001</v>
      </c>
      <c r="J244" s="254">
        <f>SUMIFS(HY!$E78:$AL78,HY!$E$15:$AL$15,FY!J$2)</f>
        <v>8904.4142528999982</v>
      </c>
      <c r="K244" s="254">
        <f>SUMIFS(HY!$E78:$AL78,HY!$E$15:$AL$15,FY!K$2)</f>
        <v>9171.5466804869993</v>
      </c>
      <c r="L244" s="254">
        <f>SUMIFS(HY!$E78:$AL78,HY!$E$15:$AL$15,FY!L$2)</f>
        <v>9446.6930809016085</v>
      </c>
      <c r="M244" s="254">
        <f>SUMIFS(HY!$E78:$AL78,HY!$E$15:$AL$15,FY!M$2)</f>
        <v>9730.0938733286566</v>
      </c>
      <c r="N244" s="254">
        <f>SUMIFS(HY!$E78:$AL78,HY!$E$15:$AL$15,FY!N$2)</f>
        <v>10021.996689528518</v>
      </c>
      <c r="O244" s="254">
        <f>SUMIFS(HY!$E78:$AL78,HY!$E$15:$AL$15,FY!O$2)</f>
        <v>10322.656590214374</v>
      </c>
    </row>
    <row r="245" spans="1:15">
      <c r="B245" s="527" t="s">
        <v>1506</v>
      </c>
      <c r="C245" s="254">
        <f>SUMIFS(HY!$E79:$AL79,HY!$E$15:$AL$15,FY!C$2)</f>
        <v>4196.7</v>
      </c>
      <c r="D245" s="254">
        <f>SUMIFS(HY!$E79:$AL79,HY!$E$15:$AL$15,FY!D$2)</f>
        <v>5284.1</v>
      </c>
      <c r="E245" s="254">
        <f>SUMIFS(HY!$E79:$AL79,HY!$E$15:$AL$15,FY!E$2)</f>
        <v>5248.6</v>
      </c>
      <c r="F245" s="254">
        <f>SUMIFS(HY!$E79:$AL79,HY!$E$15:$AL$15,FY!F$2)</f>
        <v>5361</v>
      </c>
      <c r="G245" s="254">
        <f>SUMIFS(HY!$E79:$AL79,HY!$E$15:$AL$15,FY!G$2)</f>
        <v>5415.1</v>
      </c>
      <c r="H245" s="254">
        <f>SUMIFS(HY!$E79:$AL79,HY!$E$15:$AL$15,FY!H$2)</f>
        <v>5429.6957000000002</v>
      </c>
      <c r="I245" s="254">
        <f>SUMIFS(HY!$E79:$AL79,HY!$E$15:$AL$15,FY!I$2)</f>
        <v>5348.2502645000004</v>
      </c>
      <c r="J245" s="254">
        <f>SUMIFS(HY!$E79:$AL79,HY!$E$15:$AL$15,FY!J$2)</f>
        <v>5268.0265105324997</v>
      </c>
      <c r="K245" s="254">
        <f>SUMIFS(HY!$E79:$AL79,HY!$E$15:$AL$15,FY!K$2)</f>
        <v>5320.7067756378256</v>
      </c>
      <c r="L245" s="254">
        <f>SUMIFS(HY!$E79:$AL79,HY!$E$15:$AL$15,FY!L$2)</f>
        <v>5267.4997078814467</v>
      </c>
      <c r="M245" s="254">
        <f>SUMIFS(HY!$E79:$AL79,HY!$E$15:$AL$15,FY!M$2)</f>
        <v>5214.8247108026317</v>
      </c>
      <c r="N245" s="254">
        <f>SUMIFS(HY!$E79:$AL79,HY!$E$15:$AL$15,FY!N$2)</f>
        <v>5162.6764636946054</v>
      </c>
      <c r="O245" s="254">
        <f>SUMIFS(HY!$E79:$AL79,HY!$E$15:$AL$15,FY!O$2)</f>
        <v>5111.0496990576594</v>
      </c>
    </row>
    <row r="246" spans="1:15">
      <c r="B246" s="253"/>
      <c r="C246" s="14"/>
      <c r="D246" s="14"/>
      <c r="E246" s="14"/>
      <c r="F246" s="14"/>
      <c r="G246" s="14"/>
      <c r="H246" s="14"/>
      <c r="I246" s="14"/>
      <c r="J246" s="14"/>
      <c r="K246" s="14"/>
      <c r="L246" s="14"/>
      <c r="M246" s="14"/>
      <c r="N246" s="14"/>
      <c r="O246" s="14"/>
    </row>
    <row r="247" spans="1:15">
      <c r="B247" s="755" t="s">
        <v>1504</v>
      </c>
      <c r="C247" s="14"/>
      <c r="D247" s="14"/>
      <c r="E247" s="14"/>
      <c r="F247" s="14"/>
      <c r="G247" s="14"/>
      <c r="H247" s="14"/>
      <c r="I247" s="14"/>
      <c r="J247" s="14"/>
      <c r="K247" s="14"/>
      <c r="L247" s="14"/>
      <c r="M247" s="14"/>
      <c r="N247" s="14"/>
      <c r="O247" s="14"/>
    </row>
    <row r="248" spans="1:15">
      <c r="B248" s="756" t="s">
        <v>1505</v>
      </c>
      <c r="C248" s="14"/>
      <c r="D248" s="530">
        <f>D244/C244-1</f>
        <v>-4.4374548829534843E-2</v>
      </c>
      <c r="E248" s="530">
        <f>E244/D244-1</f>
        <v>-4.9381117334110325E-2</v>
      </c>
      <c r="F248" s="530">
        <f t="shared" ref="F248:O249" si="42">F244/E244-1</f>
        <v>-4.849530599039642E-2</v>
      </c>
      <c r="G248" s="530">
        <f t="shared" si="42"/>
        <v>7.6832221811282686E-3</v>
      </c>
      <c r="H248" s="530">
        <f t="shared" si="42"/>
        <v>1.3628133028663392E-2</v>
      </c>
      <c r="I248" s="530">
        <f t="shared" si="42"/>
        <v>1.9670900951062276E-2</v>
      </c>
      <c r="J248" s="530">
        <f t="shared" si="42"/>
        <v>1.9999999999999796E-2</v>
      </c>
      <c r="K248" s="530">
        <f t="shared" si="42"/>
        <v>3.0000000000000027E-2</v>
      </c>
      <c r="L248" s="530">
        <f t="shared" si="42"/>
        <v>2.9999999999999805E-2</v>
      </c>
      <c r="M248" s="530">
        <f t="shared" si="42"/>
        <v>3.0000000000000027E-2</v>
      </c>
      <c r="N248" s="530">
        <f t="shared" si="42"/>
        <v>3.0000000000000249E-2</v>
      </c>
      <c r="O248" s="530">
        <f t="shared" si="42"/>
        <v>3.0000000000000027E-2</v>
      </c>
    </row>
    <row r="249" spans="1:15">
      <c r="B249" s="756" t="s">
        <v>1506</v>
      </c>
      <c r="C249" s="14"/>
      <c r="D249" s="530">
        <f>D245/C245-1</f>
        <v>0.25910834703457497</v>
      </c>
      <c r="E249" s="530">
        <f>E245/D245-1</f>
        <v>-6.7182680115819293E-3</v>
      </c>
      <c r="F249" s="530">
        <f t="shared" si="42"/>
        <v>2.1415234538734174E-2</v>
      </c>
      <c r="G249" s="530">
        <f t="shared" si="42"/>
        <v>1.0091400858049049E-2</v>
      </c>
      <c r="H249" s="530">
        <f t="shared" si="42"/>
        <v>2.6953703532712758E-3</v>
      </c>
      <c r="I249" s="530">
        <f t="shared" si="42"/>
        <v>-1.5000000000000013E-2</v>
      </c>
      <c r="J249" s="530">
        <f t="shared" si="42"/>
        <v>-1.5000000000000124E-2</v>
      </c>
      <c r="K249" s="530">
        <f t="shared" si="42"/>
        <v>1.0000000000000231E-2</v>
      </c>
      <c r="L249" s="530">
        <f t="shared" si="42"/>
        <v>-1.000000000000012E-2</v>
      </c>
      <c r="M249" s="530">
        <f t="shared" si="42"/>
        <v>-1.000000000000012E-2</v>
      </c>
      <c r="N249" s="530">
        <f t="shared" si="42"/>
        <v>-1.0000000000000009E-2</v>
      </c>
      <c r="O249" s="530">
        <f t="shared" si="42"/>
        <v>-1.0000000000000009E-2</v>
      </c>
    </row>
    <row r="250" spans="1:15">
      <c r="B250" s="253"/>
      <c r="C250" s="14"/>
      <c r="D250" s="14"/>
      <c r="E250" s="14"/>
      <c r="F250" s="14"/>
      <c r="G250" s="14"/>
      <c r="H250" s="14"/>
      <c r="I250" s="14"/>
      <c r="J250" s="14"/>
      <c r="K250" s="14"/>
      <c r="L250" s="14"/>
      <c r="M250" s="14"/>
      <c r="N250" s="14"/>
      <c r="O250" s="14"/>
    </row>
    <row r="251" spans="1:15">
      <c r="A251" s="252"/>
      <c r="B251" s="528" t="s">
        <v>1082</v>
      </c>
      <c r="C251" s="254"/>
      <c r="D251" s="254"/>
      <c r="E251" s="254"/>
      <c r="F251" s="254"/>
      <c r="G251" s="254"/>
      <c r="H251" s="254"/>
      <c r="I251" s="254"/>
      <c r="J251" s="254"/>
      <c r="K251" s="254"/>
      <c r="L251" s="254"/>
      <c r="M251" s="254"/>
      <c r="N251" s="254"/>
      <c r="O251" s="254"/>
    </row>
    <row r="252" spans="1:15">
      <c r="B252" s="527" t="s">
        <v>1377</v>
      </c>
      <c r="C252" s="254">
        <f>SUMIFS(HY!$E175:$AL175,HY!$E$15:$AL$15,FY!C$2)</f>
        <v>1073.5</v>
      </c>
      <c r="D252" s="254">
        <f>SUMIFS(HY!$E175:$AL175,HY!$E$15:$AL$15,FY!D$2)</f>
        <v>942.7</v>
      </c>
      <c r="E252" s="254">
        <f>SUMIFS(HY!$E102:$AL102,HY!$E$15:$AL$15,FY!E$2)</f>
        <v>922</v>
      </c>
      <c r="F252" s="254">
        <f>SUMIFS(HY!$E102:$AL102,HY!$E$15:$AL$15,FY!F$2)</f>
        <v>1069.7</v>
      </c>
      <c r="G252" s="254">
        <f>SUMIFS(HY!$E102:$AL102,HY!$E$15:$AL$15,FY!G$2)</f>
        <v>1072.8</v>
      </c>
      <c r="H252" s="254">
        <f>SUMIFS(HY!$E102:$AL102,HY!$E$15:$AL$15,FY!H$2)</f>
        <v>1108.3300474500002</v>
      </c>
      <c r="I252" s="254">
        <f>SUMIFS(HY!$E102:$AL102,HY!$E$15:$AL$15,FY!I$2)</f>
        <v>1127.8166905599999</v>
      </c>
      <c r="J252" s="254">
        <f>SUMIFS(HY!$E102:$AL102,HY!$E$15:$AL$15,FY!J$2)</f>
        <v>1150.1650243712002</v>
      </c>
      <c r="K252" s="254">
        <f>SUMIFS(HY!$E102:$AL102,HY!$E$15:$AL$15,FY!K$2)</f>
        <v>1184.3579751023362</v>
      </c>
      <c r="L252" s="254">
        <f>SUMIFS(HY!$E102:$AL102,HY!$E$15:$AL$15,FY!L$2)</f>
        <v>1219.5767143554062</v>
      </c>
      <c r="M252" s="254">
        <f>SUMIFS(HY!$E102:$AL102,HY!$E$15:$AL$15,FY!M$2)</f>
        <v>1255.8520157860685</v>
      </c>
      <c r="N252" s="254">
        <f>SUMIFS(HY!$E102:$AL102,HY!$E$15:$AL$15,FY!N$2)</f>
        <v>1293.2155762596503</v>
      </c>
      <c r="O252" s="254">
        <f>SUMIFS(HY!$E102:$AL102,HY!$E$15:$AL$15,FY!O$2)</f>
        <v>1331.7000435474399</v>
      </c>
    </row>
    <row r="253" spans="1:15">
      <c r="B253" s="527" t="s">
        <v>1376</v>
      </c>
      <c r="C253" s="254">
        <f>SUMIFS(HY!$E176:$AL176,HY!$E$15:$AL$15,FY!C$2)</f>
        <v>654</v>
      </c>
      <c r="D253" s="254">
        <f>SUMIFS(HY!$E176:$AL176,HY!$E$15:$AL$15,FY!D$2)</f>
        <v>818.4</v>
      </c>
      <c r="E253" s="254">
        <f>SUMIFS(HY!$E117:$AL117,HY!$E$15:$AL$15,FY!E$2)</f>
        <v>821.8</v>
      </c>
      <c r="F253" s="254">
        <f>SUMIFS(HY!$E117:$AL117,HY!$E$15:$AL$15,FY!F$2)</f>
        <v>965.7</v>
      </c>
      <c r="G253" s="254">
        <f>SUMIFS(HY!$E117:$AL117,HY!$E$15:$AL$15,FY!G$2)</f>
        <v>981.2</v>
      </c>
      <c r="H253" s="254">
        <f>SUMIFS(HY!$E117:$AL117,HY!$E$15:$AL$15,FY!H$2)</f>
        <v>1015.2482690000001</v>
      </c>
      <c r="I253" s="254">
        <f>SUMIFS(HY!$E117:$AL117,HY!$E$15:$AL$15,FY!I$2)</f>
        <v>1001.4025449650001</v>
      </c>
      <c r="J253" s="254">
        <f>SUMIFS(HY!$E117:$AL117,HY!$E$15:$AL$15,FY!J$2)</f>
        <v>988.67399290657954</v>
      </c>
      <c r="K253" s="254">
        <f>SUMIFS(HY!$E117:$AL117,HY!$E$15:$AL$15,FY!K$2)</f>
        <v>998.56073283564547</v>
      </c>
      <c r="L253" s="254">
        <f>SUMIFS(HY!$E117:$AL117,HY!$E$15:$AL$15,FY!L$2)</f>
        <v>988.57512550728882</v>
      </c>
      <c r="M253" s="254">
        <f>SUMIFS(HY!$E117:$AL117,HY!$E$15:$AL$15,FY!M$2)</f>
        <v>978.689374252216</v>
      </c>
      <c r="N253" s="254">
        <f>SUMIFS(HY!$E117:$AL117,HY!$E$15:$AL$15,FY!N$2)</f>
        <v>968.90248050969376</v>
      </c>
      <c r="O253" s="254">
        <f>SUMIFS(HY!$E117:$AL117,HY!$E$15:$AL$15,FY!O$2)</f>
        <v>959.21345570459687</v>
      </c>
    </row>
    <row r="254" spans="1:15">
      <c r="B254" s="527" t="s">
        <v>1536</v>
      </c>
      <c r="C254" s="254"/>
      <c r="D254" s="254">
        <f>SUMIFS(HY!$E177:$AL177,HY!$E$15:$AL$15,FY!D$2)</f>
        <v>249.3</v>
      </c>
      <c r="E254" s="254">
        <f>SUMIFS(HY!$E177:$AL177,HY!$E$15:$AL$15,FY!E$2)</f>
        <v>212.3</v>
      </c>
      <c r="F254" s="254">
        <f>SUMIFS(HY!$E177:$AL177,HY!$E$15:$AL$15,FY!F$2)</f>
        <v>232.2</v>
      </c>
      <c r="G254" s="254">
        <f>SUMIFS(HY!$E177:$AL177,HY!$E$15:$AL$15,FY!G$2)</f>
        <v>223.7</v>
      </c>
      <c r="H254" s="254">
        <f>SUMIFS(HY!$E177:$AL177,HY!$E$15:$AL$15,FY!H$2)</f>
        <v>216</v>
      </c>
      <c r="I254" s="254">
        <f>SUMIFS(HY!$E177:$AL177,HY!$E$15:$AL$15,FY!I$2)</f>
        <v>222.48000000000002</v>
      </c>
      <c r="J254" s="254">
        <f>SUMIFS(HY!$E177:$AL177,HY!$E$15:$AL$15,FY!J$2)</f>
        <v>229.15440000000001</v>
      </c>
      <c r="K254" s="254">
        <f>SUMIFS(HY!$E177:$AL177,HY!$E$15:$AL$15,FY!K$2)</f>
        <v>236.02903200000003</v>
      </c>
      <c r="L254" s="254">
        <f>SUMIFS(HY!$E177:$AL177,HY!$E$15:$AL$15,FY!L$2)</f>
        <v>243.10990296000003</v>
      </c>
      <c r="M254" s="254">
        <f>SUMIFS(HY!$E177:$AL177,HY!$E$15:$AL$15,FY!M$2)</f>
        <v>250.40320004880004</v>
      </c>
      <c r="N254" s="254">
        <f>SUMIFS(HY!$E177:$AL177,HY!$E$15:$AL$15,FY!N$2)</f>
        <v>257.91529605026403</v>
      </c>
      <c r="O254" s="254">
        <f>SUMIFS(HY!$E177:$AL177,HY!$E$15:$AL$15,FY!O$2)</f>
        <v>265.65275493177194</v>
      </c>
    </row>
    <row r="255" spans="1:15">
      <c r="B255" s="253"/>
      <c r="C255" s="14"/>
      <c r="D255" s="14"/>
      <c r="E255" s="14"/>
      <c r="F255" s="14"/>
      <c r="G255" s="14"/>
      <c r="H255" s="14"/>
      <c r="I255" s="14"/>
      <c r="J255" s="14"/>
      <c r="K255" s="14"/>
      <c r="L255" s="14"/>
      <c r="M255" s="14"/>
      <c r="N255" s="14"/>
      <c r="O255" s="14"/>
    </row>
    <row r="256" spans="1:15">
      <c r="B256" s="755" t="s">
        <v>1504</v>
      </c>
      <c r="C256" s="14"/>
      <c r="D256" s="14"/>
      <c r="E256" s="14"/>
      <c r="F256" s="14"/>
      <c r="G256" s="14"/>
      <c r="H256" s="14"/>
      <c r="I256" s="14"/>
      <c r="J256" s="14"/>
      <c r="K256" s="14"/>
      <c r="L256" s="14"/>
      <c r="M256" s="14"/>
      <c r="N256" s="14"/>
      <c r="O256" s="14"/>
    </row>
    <row r="257" spans="2:15">
      <c r="B257" s="756" t="s">
        <v>1185</v>
      </c>
      <c r="C257" s="14"/>
      <c r="D257" s="530"/>
      <c r="E257" s="530">
        <f>E252/D252-1</f>
        <v>-2.1958205155404698E-2</v>
      </c>
      <c r="F257" s="530">
        <f t="shared" ref="F257:O257" si="43">F252/E252-1</f>
        <v>0.16019522776572681</v>
      </c>
      <c r="G257" s="530">
        <f t="shared" si="43"/>
        <v>2.8980087875103422E-3</v>
      </c>
      <c r="H257" s="530">
        <f t="shared" si="43"/>
        <v>3.3118985318792094E-2</v>
      </c>
      <c r="I257" s="530">
        <f t="shared" si="43"/>
        <v>1.7581985758514662E-2</v>
      </c>
      <c r="J257" s="530">
        <f t="shared" si="43"/>
        <v>1.9815572865927056E-2</v>
      </c>
      <c r="K257" s="530">
        <f t="shared" si="43"/>
        <v>2.9728734578613691E-2</v>
      </c>
      <c r="L257" s="530">
        <f t="shared" si="43"/>
        <v>2.9736566134092035E-2</v>
      </c>
      <c r="M257" s="530">
        <f t="shared" si="43"/>
        <v>2.9744173534696605E-2</v>
      </c>
      <c r="N257" s="530">
        <f t="shared" si="43"/>
        <v>2.9751563085396615E-2</v>
      </c>
      <c r="O257" s="530">
        <f t="shared" si="43"/>
        <v>2.9758740920131643E-2</v>
      </c>
    </row>
    <row r="258" spans="2:15">
      <c r="B258" s="756" t="s">
        <v>1204</v>
      </c>
      <c r="C258" s="14"/>
      <c r="D258" s="530"/>
      <c r="E258" s="530">
        <f>E253/D253-1</f>
        <v>4.1544477028347959E-3</v>
      </c>
      <c r="F258" s="530">
        <f t="shared" ref="F258:O258" si="44">F253/E253-1</f>
        <v>0.17510343149184737</v>
      </c>
      <c r="G258" s="530">
        <f t="shared" si="44"/>
        <v>1.6050533291912528E-2</v>
      </c>
      <c r="H258" s="530">
        <f t="shared" si="44"/>
        <v>3.4700641051773395E-2</v>
      </c>
      <c r="I258" s="530">
        <f t="shared" si="44"/>
        <v>-1.3637771624705919E-2</v>
      </c>
      <c r="J258" s="530">
        <f t="shared" si="44"/>
        <v>-1.2710724695497388E-2</v>
      </c>
      <c r="K258" s="530">
        <f t="shared" si="44"/>
        <v>1.0000000000000231E-2</v>
      </c>
      <c r="L258" s="530">
        <f t="shared" si="44"/>
        <v>-1.0000000000000231E-2</v>
      </c>
      <c r="M258" s="530">
        <f t="shared" si="44"/>
        <v>-9.9999999999998979E-3</v>
      </c>
      <c r="N258" s="530">
        <f t="shared" si="44"/>
        <v>-1.000000000000012E-2</v>
      </c>
      <c r="O258" s="530">
        <f t="shared" si="44"/>
        <v>-9.9999999999998979E-3</v>
      </c>
    </row>
    <row r="259" spans="2:15">
      <c r="B259" s="756" t="s">
        <v>1477</v>
      </c>
      <c r="C259" s="14"/>
      <c r="D259" s="530"/>
      <c r="E259" s="530">
        <f>E254/D254-1</f>
        <v>-0.14841556357801844</v>
      </c>
      <c r="F259" s="530">
        <f t="shared" ref="F259:O259" si="45">F254/E254-1</f>
        <v>9.3735280263777643E-2</v>
      </c>
      <c r="G259" s="530">
        <f t="shared" si="45"/>
        <v>-3.6606373815676108E-2</v>
      </c>
      <c r="H259" s="530">
        <f t="shared" si="45"/>
        <v>-3.4421099687080847E-2</v>
      </c>
      <c r="I259" s="530">
        <f t="shared" si="45"/>
        <v>3.0000000000000027E-2</v>
      </c>
      <c r="J259" s="530">
        <f t="shared" si="45"/>
        <v>3.0000000000000027E-2</v>
      </c>
      <c r="K259" s="530">
        <f t="shared" si="45"/>
        <v>3.0000000000000027E-2</v>
      </c>
      <c r="L259" s="530">
        <f t="shared" si="45"/>
        <v>3.0000000000000027E-2</v>
      </c>
      <c r="M259" s="530">
        <f t="shared" si="45"/>
        <v>3.0000000000000027E-2</v>
      </c>
      <c r="N259" s="530">
        <f t="shared" si="45"/>
        <v>3.0000000000000027E-2</v>
      </c>
      <c r="O259" s="530">
        <f t="shared" si="45"/>
        <v>3.0000000000000027E-2</v>
      </c>
    </row>
    <row r="260" spans="2:15">
      <c r="B260" s="756"/>
      <c r="C260" s="14"/>
      <c r="D260" s="530"/>
      <c r="E260" s="530"/>
      <c r="F260" s="530"/>
      <c r="G260" s="530"/>
      <c r="H260" s="530"/>
      <c r="I260" s="530"/>
      <c r="J260" s="530"/>
      <c r="K260" s="530"/>
      <c r="L260" s="530"/>
      <c r="M260" s="530"/>
      <c r="N260" s="530"/>
      <c r="O260" s="530"/>
    </row>
    <row r="261" spans="2:15">
      <c r="B261" s="756"/>
      <c r="C261" s="14"/>
      <c r="D261" s="530"/>
      <c r="E261" s="530"/>
      <c r="F261" s="530"/>
      <c r="G261" s="530"/>
      <c r="H261" s="530"/>
      <c r="I261" s="530"/>
      <c r="J261" s="530"/>
      <c r="K261" s="530"/>
      <c r="L261" s="530"/>
      <c r="M261" s="530"/>
      <c r="N261" s="530"/>
      <c r="O261" s="530"/>
    </row>
    <row r="262" spans="2:15">
      <c r="B262" s="756"/>
      <c r="C262" s="14"/>
      <c r="D262" s="530"/>
      <c r="E262" s="530"/>
      <c r="F262" s="530"/>
      <c r="G262" s="530"/>
      <c r="H262" s="530"/>
      <c r="I262" s="530"/>
      <c r="J262" s="530"/>
      <c r="K262" s="530"/>
      <c r="L262" s="530"/>
      <c r="M262" s="530"/>
      <c r="N262" s="530"/>
      <c r="O262" s="530"/>
    </row>
    <row r="263" spans="2:15">
      <c r="B263" s="756"/>
      <c r="C263" s="14"/>
      <c r="D263" s="530"/>
      <c r="E263" s="530"/>
      <c r="F263" s="530"/>
      <c r="G263" s="530"/>
      <c r="H263" s="530"/>
      <c r="I263" s="530"/>
      <c r="J263" s="530"/>
      <c r="K263" s="530"/>
      <c r="L263" s="530"/>
      <c r="M263" s="530"/>
      <c r="N263" s="530"/>
      <c r="O263" s="530"/>
    </row>
    <row r="264" spans="2:15">
      <c r="B264" s="756"/>
      <c r="C264" s="14"/>
      <c r="D264" s="530"/>
      <c r="E264" s="530"/>
      <c r="F264" s="530"/>
      <c r="G264" s="530"/>
      <c r="H264" s="530"/>
      <c r="I264" s="530"/>
      <c r="J264" s="530"/>
      <c r="K264" s="530"/>
      <c r="L264" s="530"/>
      <c r="M264" s="530"/>
      <c r="N264" s="530"/>
      <c r="O264" s="530"/>
    </row>
    <row r="265" spans="2:15">
      <c r="B265" s="756"/>
      <c r="C265" s="14"/>
      <c r="D265" s="530"/>
      <c r="E265" s="530"/>
      <c r="F265" s="530"/>
      <c r="G265" s="530"/>
      <c r="H265" s="530"/>
      <c r="I265" s="530"/>
      <c r="J265" s="530"/>
      <c r="K265" s="530"/>
      <c r="L265" s="530"/>
      <c r="M265" s="530"/>
      <c r="N265" s="530"/>
      <c r="O265" s="530"/>
    </row>
    <row r="266" spans="2:15">
      <c r="B266" s="756"/>
      <c r="C266" s="14"/>
      <c r="D266" s="530"/>
      <c r="E266" s="530"/>
      <c r="F266" s="530"/>
      <c r="G266" s="530"/>
      <c r="H266" s="530"/>
      <c r="I266" s="530"/>
      <c r="J266" s="530"/>
      <c r="K266" s="530"/>
      <c r="L266" s="530"/>
      <c r="M266" s="530"/>
      <c r="N266" s="530"/>
      <c r="O266" s="530"/>
    </row>
    <row r="267" spans="2:15">
      <c r="B267" s="756"/>
      <c r="C267" s="14"/>
      <c r="D267" s="530"/>
      <c r="E267" s="530"/>
      <c r="F267" s="530"/>
      <c r="G267" s="530"/>
      <c r="H267" s="530"/>
      <c r="I267" s="530"/>
      <c r="J267" s="530"/>
      <c r="K267" s="530"/>
      <c r="L267" s="530"/>
      <c r="M267" s="530"/>
      <c r="N267" s="530"/>
      <c r="O267" s="530"/>
    </row>
    <row r="268" spans="2:15">
      <c r="B268" s="756"/>
      <c r="C268" s="14"/>
      <c r="D268" s="530"/>
      <c r="E268" s="530"/>
      <c r="F268" s="530"/>
      <c r="G268" s="530"/>
      <c r="H268" s="530"/>
      <c r="I268" s="530"/>
      <c r="J268" s="530"/>
      <c r="K268" s="530"/>
      <c r="L268" s="530"/>
      <c r="M268" s="530"/>
      <c r="N268" s="530"/>
      <c r="O268" s="530"/>
    </row>
    <row r="269" spans="2:15">
      <c r="B269" s="756"/>
      <c r="C269" s="14"/>
      <c r="D269" s="530"/>
      <c r="E269" s="530"/>
      <c r="F269" s="530"/>
      <c r="G269" s="530"/>
      <c r="H269" s="530"/>
      <c r="I269" s="530"/>
      <c r="J269" s="530"/>
      <c r="K269" s="530"/>
      <c r="L269" s="530"/>
      <c r="M269" s="530"/>
      <c r="N269" s="530"/>
      <c r="O269" s="530"/>
    </row>
    <row r="270" spans="2:15">
      <c r="B270" s="756"/>
      <c r="C270" s="14"/>
      <c r="D270" s="530"/>
      <c r="E270" s="530"/>
      <c r="F270" s="530"/>
      <c r="G270" s="530"/>
      <c r="H270" s="530"/>
      <c r="I270" s="530"/>
      <c r="J270" s="530"/>
      <c r="K270" s="530"/>
      <c r="L270" s="530"/>
      <c r="M270" s="530"/>
      <c r="N270" s="530"/>
      <c r="O270" s="530"/>
    </row>
    <row r="271" spans="2:15">
      <c r="B271" s="756"/>
      <c r="C271" s="14"/>
      <c r="D271" s="530"/>
      <c r="E271" s="530"/>
      <c r="F271" s="530"/>
      <c r="G271" s="530"/>
      <c r="H271" s="530"/>
      <c r="I271" s="530"/>
      <c r="J271" s="530"/>
      <c r="K271" s="530"/>
      <c r="L271" s="530"/>
      <c r="M271" s="530"/>
      <c r="N271" s="530"/>
      <c r="O271" s="530"/>
    </row>
    <row r="272" spans="2:15">
      <c r="B272" s="756"/>
      <c r="C272" s="14"/>
      <c r="D272" s="530"/>
      <c r="E272" s="530"/>
      <c r="F272" s="530"/>
      <c r="G272" s="530"/>
      <c r="H272" s="530"/>
      <c r="I272" s="530"/>
      <c r="J272" s="530"/>
      <c r="K272" s="530"/>
      <c r="L272" s="530"/>
      <c r="M272" s="530"/>
      <c r="N272" s="530"/>
      <c r="O272" s="530"/>
    </row>
    <row r="273" spans="2:15">
      <c r="B273" s="756"/>
      <c r="C273" s="14"/>
      <c r="D273" s="530"/>
      <c r="E273" s="530"/>
      <c r="F273" s="530"/>
      <c r="G273" s="530"/>
      <c r="H273" s="530"/>
      <c r="I273" s="530"/>
      <c r="J273" s="530"/>
      <c r="K273" s="530"/>
      <c r="L273" s="530"/>
      <c r="M273" s="530"/>
      <c r="N273" s="530"/>
      <c r="O273" s="530"/>
    </row>
    <row r="274" spans="2:15">
      <c r="C274" s="14"/>
      <c r="D274" s="14"/>
      <c r="E274" s="14"/>
      <c r="F274" s="14"/>
      <c r="G274" s="14"/>
      <c r="H274" s="14"/>
      <c r="I274" s="14"/>
      <c r="J274" s="14"/>
      <c r="K274" s="14"/>
      <c r="L274" s="14"/>
      <c r="M274" s="14"/>
      <c r="N274" s="14"/>
      <c r="O274" s="14"/>
    </row>
    <row r="275" spans="2:15">
      <c r="B275" s="25" t="s">
        <v>1094</v>
      </c>
      <c r="C275" s="26">
        <v>2022</v>
      </c>
      <c r="D275" s="27">
        <v>2023</v>
      </c>
      <c r="E275" s="27">
        <v>2024</v>
      </c>
      <c r="F275" s="27">
        <v>2025</v>
      </c>
      <c r="G275" s="27">
        <v>2026</v>
      </c>
      <c r="H275" s="27">
        <v>2027</v>
      </c>
      <c r="I275" s="27">
        <v>2028</v>
      </c>
      <c r="J275" s="27">
        <v>2029</v>
      </c>
      <c r="K275" s="27">
        <v>2030</v>
      </c>
      <c r="L275" s="27">
        <v>2030</v>
      </c>
      <c r="M275" s="27">
        <v>2030</v>
      </c>
      <c r="N275" s="27">
        <v>2030</v>
      </c>
      <c r="O275" s="27">
        <v>2030</v>
      </c>
    </row>
    <row r="278" spans="2:15">
      <c r="B278" s="12" t="s">
        <v>1346</v>
      </c>
    </row>
    <row r="279" spans="2:15">
      <c r="B279" s="253" t="s">
        <v>1</v>
      </c>
      <c r="C279" s="254">
        <f t="shared" ref="C279:O279" si="46">C63</f>
        <v>2373.3000000000002</v>
      </c>
      <c r="D279" s="254">
        <f t="shared" si="46"/>
        <v>2434.4</v>
      </c>
      <c r="E279" s="254">
        <f t="shared" si="46"/>
        <v>2338.9</v>
      </c>
      <c r="F279" s="254">
        <f t="shared" si="46"/>
        <v>2614.6</v>
      </c>
      <c r="G279" s="254">
        <f t="shared" si="46"/>
        <v>2636.3</v>
      </c>
      <c r="H279" s="254">
        <f t="shared" si="46"/>
        <v>2746.9683164500002</v>
      </c>
      <c r="I279" s="254">
        <f t="shared" si="46"/>
        <v>2846.857735525</v>
      </c>
      <c r="J279" s="254">
        <f t="shared" si="46"/>
        <v>2878.0066722777797</v>
      </c>
      <c r="K279" s="254">
        <f t="shared" si="46"/>
        <v>2944.2613925879818</v>
      </c>
      <c r="L279" s="254">
        <f t="shared" si="46"/>
        <v>2992.334805052195</v>
      </c>
      <c r="M279" s="254">
        <f t="shared" si="46"/>
        <v>3042.2498441834691</v>
      </c>
      <c r="N279" s="254">
        <f t="shared" si="46"/>
        <v>3094.0577645388848</v>
      </c>
      <c r="O279" s="254">
        <f t="shared" si="46"/>
        <v>3147.8113982546638</v>
      </c>
    </row>
    <row r="280" spans="2:15">
      <c r="B280" s="253" t="s">
        <v>2</v>
      </c>
      <c r="C280" s="254">
        <f t="shared" ref="C280:O280" si="47">C67</f>
        <v>381.6</v>
      </c>
      <c r="D280" s="254">
        <f t="shared" si="47"/>
        <v>391</v>
      </c>
      <c r="E280" s="254">
        <f t="shared" si="47"/>
        <v>317.7</v>
      </c>
      <c r="F280" s="254">
        <f t="shared" si="47"/>
        <v>391.5</v>
      </c>
      <c r="G280" s="254">
        <f t="shared" si="47"/>
        <v>431.7</v>
      </c>
      <c r="H280" s="254">
        <f t="shared" si="47"/>
        <v>466.42006447494691</v>
      </c>
      <c r="I280" s="254">
        <f t="shared" si="47"/>
        <v>485.64577074650185</v>
      </c>
      <c r="J280" s="254">
        <f t="shared" si="47"/>
        <v>494.3637097202735</v>
      </c>
      <c r="K280" s="254">
        <f t="shared" si="47"/>
        <v>501.26085646792001</v>
      </c>
      <c r="L280" s="254">
        <f t="shared" si="47"/>
        <v>507.07544936206921</v>
      </c>
      <c r="M280" s="254">
        <f t="shared" si="47"/>
        <v>513.35579797440937</v>
      </c>
      <c r="N280" s="254">
        <f t="shared" si="47"/>
        <v>520.11696815723963</v>
      </c>
      <c r="O280" s="254">
        <f t="shared" si="47"/>
        <v>527.37454693382267</v>
      </c>
    </row>
    <row r="281" spans="2:15">
      <c r="B281" s="253" t="s">
        <v>15</v>
      </c>
      <c r="C281" s="254">
        <f t="shared" ref="C281:O281" si="48">C81</f>
        <v>362.4</v>
      </c>
      <c r="D281" s="254">
        <f t="shared" si="48"/>
        <v>84.3</v>
      </c>
      <c r="E281" s="254">
        <f t="shared" si="48"/>
        <v>28</v>
      </c>
      <c r="F281" s="254">
        <f t="shared" si="48"/>
        <v>49.5</v>
      </c>
      <c r="G281" s="254">
        <f t="shared" si="48"/>
        <v>71.099999999999994</v>
      </c>
      <c r="H281" s="254">
        <f t="shared" si="48"/>
        <v>89.7102640224374</v>
      </c>
      <c r="I281" s="254">
        <f t="shared" si="48"/>
        <v>110.08763373471828</v>
      </c>
      <c r="J281" s="254">
        <f t="shared" si="48"/>
        <v>120.65762879326125</v>
      </c>
      <c r="K281" s="254">
        <f t="shared" si="48"/>
        <v>137.49125689685403</v>
      </c>
      <c r="L281" s="254">
        <f t="shared" si="48"/>
        <v>149.0416765387144</v>
      </c>
      <c r="M281" s="254">
        <f t="shared" si="48"/>
        <v>158.36107407983096</v>
      </c>
      <c r="N281" s="254">
        <f t="shared" si="48"/>
        <v>167.95644966005273</v>
      </c>
      <c r="O281" s="254">
        <f t="shared" si="48"/>
        <v>203.06758431900397</v>
      </c>
    </row>
    <row r="282" spans="2:15">
      <c r="B282" s="253" t="s">
        <v>655</v>
      </c>
      <c r="C282" s="254">
        <f t="shared" ref="C282:O282" si="49">C183</f>
        <v>0</v>
      </c>
      <c r="D282" s="254">
        <f t="shared" si="49"/>
        <v>3.8</v>
      </c>
      <c r="E282" s="254">
        <f t="shared" si="49"/>
        <v>1.4</v>
      </c>
      <c r="F282" s="254">
        <f t="shared" si="49"/>
        <v>3.9</v>
      </c>
      <c r="G282" s="254">
        <f t="shared" si="49"/>
        <v>5.2</v>
      </c>
      <c r="H282" s="254">
        <f t="shared" si="49"/>
        <v>5.7799120658831633</v>
      </c>
      <c r="I282" s="254">
        <f t="shared" si="49"/>
        <v>6.188939794762204</v>
      </c>
      <c r="J282" s="254">
        <f t="shared" si="49"/>
        <v>6.213802180636014</v>
      </c>
      <c r="K282" s="254">
        <f t="shared" si="49"/>
        <v>6.5991126623420584</v>
      </c>
      <c r="L282" s="254">
        <f t="shared" si="49"/>
        <v>7.0636690455689788</v>
      </c>
      <c r="M282" s="254">
        <f t="shared" si="49"/>
        <v>7.4297336683168016</v>
      </c>
      <c r="N282" s="254">
        <f t="shared" si="49"/>
        <v>7.8066230332396733</v>
      </c>
      <c r="O282" s="254">
        <f t="shared" si="49"/>
        <v>9.2952246366136251</v>
      </c>
    </row>
    <row r="283" spans="2:15">
      <c r="B283" s="253"/>
      <c r="C283" s="254"/>
      <c r="D283" s="254"/>
      <c r="E283" s="254">
        <f>E282/D282-1</f>
        <v>-0.63157894736842102</v>
      </c>
      <c r="F283" s="254"/>
      <c r="G283" s="254"/>
      <c r="H283" s="254"/>
      <c r="I283" s="254"/>
      <c r="J283" s="254"/>
      <c r="K283" s="254"/>
      <c r="L283" s="254"/>
      <c r="M283" s="254"/>
      <c r="N283" s="254"/>
      <c r="O283" s="254"/>
    </row>
    <row r="284" spans="2:15">
      <c r="B284" s="253"/>
      <c r="C284" s="254"/>
      <c r="D284" s="254"/>
      <c r="E284" s="254"/>
      <c r="F284" s="254"/>
      <c r="G284" s="254"/>
      <c r="H284" s="254"/>
      <c r="I284" s="254"/>
      <c r="J284" s="254"/>
      <c r="K284" s="254"/>
      <c r="L284" s="254"/>
      <c r="M284" s="254"/>
      <c r="N284" s="254"/>
      <c r="O284" s="254"/>
    </row>
    <row r="285" spans="2:15">
      <c r="B285" s="253"/>
    </row>
    <row r="286" spans="2:15">
      <c r="B286" s="12" t="s">
        <v>1095</v>
      </c>
    </row>
    <row r="287" spans="2:15">
      <c r="B287" s="253" t="str">
        <f>B96</f>
        <v>Operating cash flow</v>
      </c>
      <c r="C287" s="254"/>
      <c r="D287" s="254">
        <f t="shared" ref="D287:O287" si="50">D96</f>
        <v>119.30000000000001</v>
      </c>
      <c r="E287" s="254">
        <f t="shared" si="50"/>
        <v>245.2</v>
      </c>
      <c r="F287" s="254">
        <f t="shared" si="50"/>
        <v>406.5</v>
      </c>
      <c r="G287" s="254">
        <f t="shared" si="50"/>
        <v>309.3</v>
      </c>
      <c r="H287" s="254">
        <f t="shared" si="50"/>
        <v>333.70263476485837</v>
      </c>
      <c r="I287" s="254">
        <f t="shared" si="50"/>
        <v>324.94731577429695</v>
      </c>
      <c r="J287" s="254">
        <f t="shared" si="50"/>
        <v>328.83362517767375</v>
      </c>
      <c r="K287" s="254">
        <f t="shared" si="50"/>
        <v>334.19649760860415</v>
      </c>
      <c r="L287" s="254">
        <f t="shared" si="50"/>
        <v>334.22649499460044</v>
      </c>
      <c r="M287" s="254">
        <f t="shared" si="50"/>
        <v>335.42638022627779</v>
      </c>
      <c r="N287" s="254">
        <f t="shared" si="50"/>
        <v>347.54657202543467</v>
      </c>
      <c r="O287" s="254">
        <f t="shared" si="50"/>
        <v>377.68379162329728</v>
      </c>
    </row>
    <row r="288" spans="2:15">
      <c r="B288" s="253" t="str">
        <f>B104</f>
        <v>Investing cash flow</v>
      </c>
      <c r="C288" s="254"/>
      <c r="D288" s="254">
        <f t="shared" ref="D288:O288" si="51">D104</f>
        <v>-130</v>
      </c>
      <c r="E288" s="254">
        <f t="shared" si="51"/>
        <v>-739.7</v>
      </c>
      <c r="F288" s="254">
        <f t="shared" si="51"/>
        <v>-117</v>
      </c>
      <c r="G288" s="254">
        <f t="shared" si="51"/>
        <v>-150.69999999999999</v>
      </c>
      <c r="H288" s="254">
        <f t="shared" si="51"/>
        <v>-472</v>
      </c>
      <c r="I288" s="254">
        <f t="shared" si="51"/>
        <v>-168</v>
      </c>
      <c r="J288" s="254">
        <f t="shared" si="51"/>
        <v>-137.51030025250009</v>
      </c>
      <c r="K288" s="254">
        <f t="shared" si="51"/>
        <v>-129.54750127387121</v>
      </c>
      <c r="L288" s="254">
        <f t="shared" si="51"/>
        <v>-130.76273142229655</v>
      </c>
      <c r="M288" s="254">
        <f t="shared" si="51"/>
        <v>-132.03199314407266</v>
      </c>
      <c r="N288" s="254">
        <f t="shared" si="51"/>
        <v>-133.35673163971092</v>
      </c>
      <c r="O288" s="254">
        <f t="shared" si="51"/>
        <v>-134.73843722320521</v>
      </c>
    </row>
    <row r="289" spans="2:16">
      <c r="B289" s="253" t="str">
        <f>B115</f>
        <v>Financing cash flow</v>
      </c>
      <c r="C289" s="254"/>
      <c r="D289" s="254">
        <f t="shared" ref="D289:O289" si="52">D115</f>
        <v>102</v>
      </c>
      <c r="E289" s="254">
        <f t="shared" si="52"/>
        <v>517.5</v>
      </c>
      <c r="F289" s="254">
        <f t="shared" si="52"/>
        <v>-366.7</v>
      </c>
      <c r="G289" s="254">
        <f t="shared" si="52"/>
        <v>-89.3</v>
      </c>
      <c r="H289" s="254">
        <f t="shared" si="52"/>
        <v>101.63679999999999</v>
      </c>
      <c r="I289" s="254">
        <f t="shared" si="52"/>
        <v>-73.363199999999992</v>
      </c>
      <c r="J289" s="254">
        <f t="shared" si="52"/>
        <v>-85.474577275956733</v>
      </c>
      <c r="K289" s="254">
        <f t="shared" si="52"/>
        <v>-75.645628448427033</v>
      </c>
      <c r="L289" s="254">
        <f t="shared" si="52"/>
        <v>-80.970838269357188</v>
      </c>
      <c r="M289" s="254">
        <f t="shared" si="52"/>
        <v>0</v>
      </c>
      <c r="N289" s="254">
        <f t="shared" si="52"/>
        <v>0</v>
      </c>
      <c r="O289" s="254">
        <f t="shared" si="52"/>
        <v>0</v>
      </c>
      <c r="P289" s="10"/>
    </row>
    <row r="290" spans="2:16">
      <c r="B290" s="253" t="str">
        <f>B121</f>
        <v>Closing cash</v>
      </c>
      <c r="C290" s="254"/>
      <c r="D290" s="254">
        <f t="shared" ref="D290:O290" si="53">D121</f>
        <v>290.7</v>
      </c>
      <c r="E290" s="254">
        <f t="shared" si="53"/>
        <v>313.7</v>
      </c>
      <c r="F290" s="254">
        <f t="shared" si="53"/>
        <v>236.5</v>
      </c>
      <c r="G290" s="254">
        <f t="shared" si="53"/>
        <v>305.8</v>
      </c>
      <c r="H290" s="254">
        <f t="shared" si="53"/>
        <v>269.13943476485838</v>
      </c>
      <c r="I290" s="254">
        <f t="shared" si="53"/>
        <v>352.72355053915533</v>
      </c>
      <c r="J290" s="254">
        <f t="shared" si="53"/>
        <v>458.57229818837226</v>
      </c>
      <c r="K290" s="254">
        <f t="shared" si="53"/>
        <v>587.57566607467811</v>
      </c>
      <c r="L290" s="254">
        <f t="shared" si="53"/>
        <v>710.06859137762478</v>
      </c>
      <c r="M290" s="254">
        <f t="shared" si="53"/>
        <v>913.46297845982997</v>
      </c>
      <c r="N290" s="254">
        <f t="shared" si="53"/>
        <v>1127.6528188455538</v>
      </c>
      <c r="O290" s="254">
        <f t="shared" si="53"/>
        <v>1370.598173245646</v>
      </c>
    </row>
    <row r="292" spans="2:16">
      <c r="B292" s="249" t="s">
        <v>1098</v>
      </c>
      <c r="C292" s="254">
        <f t="shared" ref="C292:O292" si="54">C202</f>
        <v>247.79999999999995</v>
      </c>
      <c r="D292" s="254">
        <f t="shared" si="54"/>
        <v>182.70000000000002</v>
      </c>
      <c r="E292" s="254">
        <f t="shared" si="54"/>
        <v>256.39999999999998</v>
      </c>
      <c r="F292" s="254">
        <f t="shared" si="54"/>
        <v>324.00000000000006</v>
      </c>
      <c r="G292" s="254">
        <f t="shared" si="54"/>
        <v>301.99999999999989</v>
      </c>
      <c r="H292" s="254">
        <f t="shared" si="54"/>
        <v>317.11026402243704</v>
      </c>
      <c r="I292" s="254">
        <f t="shared" si="54"/>
        <v>321.48763373471797</v>
      </c>
      <c r="J292" s="254">
        <f t="shared" si="54"/>
        <v>323.85360260852531</v>
      </c>
      <c r="K292" s="254">
        <f t="shared" si="54"/>
        <v>322.8459670873018</v>
      </c>
      <c r="L292" s="254">
        <f t="shared" si="54"/>
        <v>326.46307848696483</v>
      </c>
      <c r="M292" s="254">
        <f t="shared" si="54"/>
        <v>330.29744426404585</v>
      </c>
      <c r="N292" s="254">
        <f t="shared" si="54"/>
        <v>336.20807733713798</v>
      </c>
      <c r="O292" s="254">
        <f t="shared" si="54"/>
        <v>368.9624279717097</v>
      </c>
    </row>
    <row r="294" spans="2:16">
      <c r="B294" s="12" t="s">
        <v>1096</v>
      </c>
    </row>
    <row r="295" spans="2:16">
      <c r="B295" s="253" t="e">
        <f>#REF!</f>
        <v>#REF!</v>
      </c>
      <c r="C295" s="254" t="e">
        <f>#REF!</f>
        <v>#REF!</v>
      </c>
      <c r="D295" s="254" t="e">
        <f>#REF!</f>
        <v>#REF!</v>
      </c>
      <c r="E295" s="254" t="e">
        <f>#REF!</f>
        <v>#REF!</v>
      </c>
      <c r="F295" s="254" t="e">
        <f>#REF!</f>
        <v>#REF!</v>
      </c>
      <c r="G295" s="254" t="e">
        <f>#REF!</f>
        <v>#REF!</v>
      </c>
      <c r="H295" s="254" t="e">
        <f>#REF!</f>
        <v>#REF!</v>
      </c>
      <c r="I295" s="254" t="e">
        <f>#REF!</f>
        <v>#REF!</v>
      </c>
      <c r="J295" s="254" t="e">
        <f>#REF!</f>
        <v>#REF!</v>
      </c>
      <c r="K295" s="254" t="e">
        <f>#REF!</f>
        <v>#REF!</v>
      </c>
      <c r="L295" s="254" t="e">
        <f>#REF!</f>
        <v>#REF!</v>
      </c>
      <c r="M295" s="254" t="e">
        <f>#REF!</f>
        <v>#REF!</v>
      </c>
      <c r="N295" s="254" t="e">
        <f>#REF!</f>
        <v>#REF!</v>
      </c>
      <c r="O295" s="254" t="e">
        <f>#REF!</f>
        <v>#REF!</v>
      </c>
    </row>
    <row r="296" spans="2:16">
      <c r="B296" s="253" t="str">
        <f>B175</f>
        <v>Net Debt/EBITDA (company adjusted)</v>
      </c>
      <c r="C296" s="255">
        <f t="shared" ref="C296:K296" si="55">C175</f>
        <v>0</v>
      </c>
      <c r="D296" s="255">
        <f t="shared" si="55"/>
        <v>0.8</v>
      </c>
      <c r="E296" s="255">
        <f t="shared" si="55"/>
        <v>2.7</v>
      </c>
      <c r="F296" s="255">
        <f t="shared" si="55"/>
        <v>1.6</v>
      </c>
      <c r="G296" s="255">
        <f t="shared" si="55"/>
        <v>1.2</v>
      </c>
      <c r="H296" s="255">
        <f t="shared" si="55"/>
        <v>1.5965448786458456</v>
      </c>
      <c r="I296" s="255">
        <f t="shared" si="55"/>
        <v>1.3612317645527574</v>
      </c>
      <c r="J296" s="255">
        <f t="shared" si="55"/>
        <v>1.1231158171496709</v>
      </c>
      <c r="K296" s="255">
        <f t="shared" si="55"/>
        <v>0.8503044441344676</v>
      </c>
      <c r="L296" s="255">
        <f>L175</f>
        <v>0.59898661827246258</v>
      </c>
      <c r="M296" s="255">
        <f>M175</f>
        <v>0.19545317679488206</v>
      </c>
      <c r="N296" s="255">
        <f>N175</f>
        <v>-0.21889848979342347</v>
      </c>
      <c r="O296" s="255">
        <f>O175</f>
        <v>-0.67655554353179403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8A266-BB0F-4442-BAAC-4053C8A1E24B}">
  <sheetPr codeName="Sheet7">
    <tabColor theme="1"/>
  </sheetPr>
  <dimension ref="A1"/>
  <sheetViews>
    <sheetView workbookViewId="0">
      <selection activeCell="C43" sqref="C43"/>
    </sheetView>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CB181-9936-4E7D-82C5-04532EA9296F}">
  <sheetPr>
    <tabColor theme="0" tint="-0.14999847407452621"/>
  </sheetPr>
  <dimension ref="C2:DW78"/>
  <sheetViews>
    <sheetView showGridLines="0" zoomScale="85" zoomScaleNormal="85" workbookViewId="0">
      <selection activeCell="AE30" sqref="AE30"/>
    </sheetView>
  </sheetViews>
  <sheetFormatPr defaultRowHeight="15" outlineLevelRow="1" outlineLevelCol="1"/>
  <cols>
    <col min="2" max="2" width="1.7109375" customWidth="1"/>
    <col min="3" max="3" width="31.42578125" bestFit="1" customWidth="1"/>
    <col min="4" max="16" width="9.140625" hidden="1" customWidth="1" outlineLevel="1"/>
    <col min="17" max="17" width="9.140625" customWidth="1" collapsed="1"/>
    <col min="18" max="18" width="9.140625" customWidth="1"/>
    <col min="19" max="19" width="10.7109375" customWidth="1"/>
    <col min="20" max="23" width="9.140625" customWidth="1"/>
    <col min="24" max="24" width="1.7109375" customWidth="1"/>
    <col min="27" max="27" width="2.7109375" customWidth="1"/>
    <col min="30" max="30" width="22.28515625" bestFit="1" customWidth="1"/>
    <col min="31" max="42" width="10.28515625" customWidth="1"/>
    <col min="43" max="43" width="2.7109375" customWidth="1"/>
    <col min="56" max="56" width="2.7109375" customWidth="1"/>
    <col min="69" max="69" width="2.7109375" customWidth="1"/>
    <col min="71" max="71" width="1.7109375" customWidth="1"/>
    <col min="72" max="72" width="37" customWidth="1"/>
    <col min="73" max="82" width="9.140625" customWidth="1" outlineLevel="1"/>
    <col min="85" max="85" width="10.7109375" customWidth="1"/>
    <col min="90" max="90" width="1.7109375" customWidth="1"/>
    <col min="93" max="93" width="2.7109375" customWidth="1"/>
    <col min="96" max="96" width="22.28515625" bestFit="1" customWidth="1"/>
    <col min="97" max="105" width="10.28515625" customWidth="1"/>
    <col min="106" max="106" width="2.7109375" customWidth="1"/>
    <col min="116" max="116" width="2.7109375" customWidth="1"/>
  </cols>
  <sheetData>
    <row r="2" spans="3:125" s="665" customFormat="1" ht="20.100000000000001" customHeight="1">
      <c r="C2" s="663" t="s">
        <v>1605</v>
      </c>
      <c r="D2" s="664"/>
      <c r="E2" s="664"/>
      <c r="F2" s="664"/>
      <c r="G2" s="664"/>
      <c r="H2" s="664"/>
      <c r="I2" s="664"/>
      <c r="J2" s="664"/>
      <c r="K2" s="664"/>
      <c r="L2" s="664"/>
      <c r="M2" s="664"/>
      <c r="N2" s="664"/>
      <c r="O2" s="664"/>
      <c r="P2" s="664"/>
      <c r="Q2" s="664"/>
      <c r="R2" s="664"/>
      <c r="S2" s="664"/>
      <c r="T2" s="664"/>
      <c r="U2" s="664"/>
      <c r="V2" s="664"/>
      <c r="W2" s="664"/>
      <c r="X2" s="664"/>
      <c r="Y2" s="664"/>
      <c r="Z2" s="664"/>
      <c r="AR2" s="664"/>
      <c r="AS2" s="664"/>
      <c r="AT2" s="664"/>
      <c r="AU2" s="664"/>
      <c r="AV2" s="664"/>
      <c r="AW2" s="664"/>
      <c r="AX2" s="664"/>
      <c r="AY2" s="664"/>
      <c r="AZ2" s="664"/>
      <c r="BA2" s="664"/>
      <c r="BB2" s="664"/>
      <c r="BC2" s="664"/>
      <c r="BE2" s="664"/>
      <c r="BF2" s="664"/>
      <c r="BG2" s="664"/>
      <c r="BH2" s="664"/>
      <c r="BI2" s="664"/>
      <c r="BJ2" s="664"/>
      <c r="BK2" s="664"/>
      <c r="BL2" s="664"/>
      <c r="BM2" s="664"/>
      <c r="BN2" s="664"/>
      <c r="BO2" s="664"/>
      <c r="BP2" s="664"/>
      <c r="BT2" s="663" t="s">
        <v>1641</v>
      </c>
      <c r="BU2" s="664"/>
      <c r="BV2" s="664"/>
      <c r="BW2" s="664"/>
      <c r="BX2" s="664"/>
      <c r="BY2" s="664"/>
      <c r="BZ2" s="664"/>
      <c r="CA2" s="664"/>
      <c r="CB2" s="664"/>
      <c r="CC2" s="664"/>
      <c r="CD2" s="664"/>
      <c r="CE2" s="664"/>
      <c r="CF2" s="664"/>
      <c r="CG2" s="664"/>
      <c r="CH2" s="664"/>
      <c r="CI2" s="664"/>
      <c r="CJ2" s="664"/>
      <c r="CK2" s="664"/>
      <c r="CL2" s="664"/>
      <c r="CM2" s="664"/>
      <c r="CN2" s="664"/>
      <c r="DC2" s="664"/>
      <c r="DD2" s="664"/>
      <c r="DE2" s="664"/>
      <c r="DF2" s="664"/>
      <c r="DG2" s="664"/>
      <c r="DH2" s="664"/>
      <c r="DI2" s="664"/>
      <c r="DJ2" s="664"/>
      <c r="DK2" s="664"/>
      <c r="DM2" s="664"/>
      <c r="DN2" s="664"/>
      <c r="DO2" s="664"/>
      <c r="DP2" s="664"/>
      <c r="DQ2" s="664"/>
      <c r="DR2" s="664"/>
      <c r="DS2" s="664"/>
      <c r="DT2" s="664"/>
      <c r="DU2" s="664"/>
    </row>
    <row r="3" spans="3:125" ht="30" customHeight="1">
      <c r="C3" s="149"/>
      <c r="D3" s="269" t="s">
        <v>846</v>
      </c>
      <c r="E3" s="269" t="s">
        <v>910</v>
      </c>
      <c r="F3" s="269" t="s">
        <v>968</v>
      </c>
      <c r="G3" s="269" t="s">
        <v>1057</v>
      </c>
      <c r="H3" s="269" t="s">
        <v>1350</v>
      </c>
      <c r="I3" s="269" t="s">
        <v>912</v>
      </c>
      <c r="J3" s="269" t="s">
        <v>913</v>
      </c>
      <c r="K3" s="269" t="s">
        <v>914</v>
      </c>
      <c r="L3" s="269" t="s">
        <v>1058</v>
      </c>
      <c r="M3" s="269" t="s">
        <v>1059</v>
      </c>
      <c r="N3" s="269" t="s">
        <v>1060</v>
      </c>
      <c r="O3" s="269" t="s">
        <v>1061</v>
      </c>
      <c r="P3" s="674"/>
      <c r="Q3" s="688" t="str">
        <f>"1H25A"</f>
        <v>1H25A</v>
      </c>
      <c r="R3" s="149" t="str">
        <f>"1H26A"</f>
        <v>1H26A</v>
      </c>
      <c r="S3" s="689" t="s">
        <v>98</v>
      </c>
      <c r="T3" s="694" t="s">
        <v>1603</v>
      </c>
      <c r="U3" s="689" t="s">
        <v>841</v>
      </c>
      <c r="V3" s="694" t="s">
        <v>1604</v>
      </c>
      <c r="W3" s="695" t="s">
        <v>841</v>
      </c>
      <c r="X3" s="271"/>
      <c r="Z3" s="270" t="s">
        <v>965</v>
      </c>
      <c r="AB3" s="144"/>
      <c r="AC3" s="144"/>
      <c r="AD3" s="144"/>
      <c r="AE3" s="270" t="s">
        <v>845</v>
      </c>
      <c r="AF3" s="270" t="s">
        <v>962</v>
      </c>
      <c r="AG3" s="270" t="s">
        <v>851</v>
      </c>
      <c r="AH3" s="270" t="s">
        <v>852</v>
      </c>
      <c r="AI3" s="270" t="s">
        <v>963</v>
      </c>
      <c r="AJ3" s="270" t="s">
        <v>964</v>
      </c>
      <c r="AK3" s="270" t="s">
        <v>965</v>
      </c>
      <c r="AL3" s="270" t="s">
        <v>966</v>
      </c>
      <c r="AM3" s="270" t="s">
        <v>1065</v>
      </c>
      <c r="AN3" s="270" t="s">
        <v>1066</v>
      </c>
      <c r="AO3" s="270" t="s">
        <v>1067</v>
      </c>
      <c r="AP3" s="270" t="s">
        <v>1068</v>
      </c>
      <c r="AR3" s="270" t="s">
        <v>845</v>
      </c>
      <c r="AS3" s="270" t="s">
        <v>962</v>
      </c>
      <c r="AT3" s="270" t="s">
        <v>851</v>
      </c>
      <c r="AU3" s="270" t="s">
        <v>852</v>
      </c>
      <c r="AV3" s="270" t="s">
        <v>963</v>
      </c>
      <c r="AW3" s="270" t="s">
        <v>964</v>
      </c>
      <c r="AX3" s="270" t="s">
        <v>965</v>
      </c>
      <c r="AY3" s="270" t="s">
        <v>966</v>
      </c>
      <c r="AZ3" s="270" t="s">
        <v>1065</v>
      </c>
      <c r="BA3" s="270" t="s">
        <v>1066</v>
      </c>
      <c r="BB3" s="270" t="s">
        <v>1067</v>
      </c>
      <c r="BC3" s="270" t="s">
        <v>1068</v>
      </c>
      <c r="BE3" s="270" t="s">
        <v>845</v>
      </c>
      <c r="BF3" s="270" t="s">
        <v>962</v>
      </c>
      <c r="BG3" s="270" t="s">
        <v>851</v>
      </c>
      <c r="BH3" s="270" t="s">
        <v>852</v>
      </c>
      <c r="BI3" s="270" t="s">
        <v>963</v>
      </c>
      <c r="BJ3" s="270" t="s">
        <v>964</v>
      </c>
      <c r="BK3" s="270" t="s">
        <v>965</v>
      </c>
      <c r="BL3" s="270" t="s">
        <v>966</v>
      </c>
      <c r="BM3" s="270" t="s">
        <v>1065</v>
      </c>
      <c r="BN3" s="270" t="s">
        <v>1066</v>
      </c>
      <c r="BO3" s="270" t="s">
        <v>1067</v>
      </c>
      <c r="BP3" s="270" t="s">
        <v>1068</v>
      </c>
      <c r="BT3" s="149"/>
      <c r="BU3" s="269" t="s">
        <v>1106</v>
      </c>
      <c r="BV3" s="269" t="s">
        <v>1107</v>
      </c>
      <c r="BW3" s="269" t="s">
        <v>1108</v>
      </c>
      <c r="BX3" s="269" t="s">
        <v>956</v>
      </c>
      <c r="BY3" s="269" t="s">
        <v>1104</v>
      </c>
      <c r="BZ3" s="269" t="s">
        <v>1383</v>
      </c>
      <c r="CA3" s="269" t="s">
        <v>1549</v>
      </c>
      <c r="CB3" s="269" t="s">
        <v>1550</v>
      </c>
      <c r="CC3" s="269" t="s">
        <v>1551</v>
      </c>
      <c r="CD3" s="674"/>
      <c r="CE3" s="688" t="s">
        <v>1109</v>
      </c>
      <c r="CF3" s="149" t="str">
        <f>"FY26A"</f>
        <v>FY26A</v>
      </c>
      <c r="CG3" s="689" t="s">
        <v>98</v>
      </c>
      <c r="CH3" s="694" t="s">
        <v>1647</v>
      </c>
      <c r="CI3" s="689" t="s">
        <v>841</v>
      </c>
      <c r="CJ3" s="694" t="s">
        <v>1648</v>
      </c>
      <c r="CK3" s="695" t="s">
        <v>841</v>
      </c>
      <c r="CL3" s="271"/>
      <c r="CN3" s="270" t="str">
        <f>DG3</f>
        <v>FY26</v>
      </c>
      <c r="CP3" s="144"/>
      <c r="CQ3" s="144"/>
      <c r="CR3" s="144"/>
      <c r="CS3" s="270" t="s">
        <v>843</v>
      </c>
      <c r="CT3" s="270" t="s">
        <v>844</v>
      </c>
      <c r="CU3" s="270" t="s">
        <v>1379</v>
      </c>
      <c r="CV3" s="270" t="s">
        <v>1380</v>
      </c>
      <c r="CW3" s="270" t="s">
        <v>1381</v>
      </c>
      <c r="CX3" s="270" t="s">
        <v>1382</v>
      </c>
      <c r="CY3" s="270" t="s">
        <v>1480</v>
      </c>
      <c r="CZ3" s="270" t="s">
        <v>1481</v>
      </c>
      <c r="DA3" s="270" t="s">
        <v>1482</v>
      </c>
      <c r="DC3" s="270" t="s">
        <v>843</v>
      </c>
      <c r="DD3" s="270" t="s">
        <v>844</v>
      </c>
      <c r="DE3" s="270" t="s">
        <v>1379</v>
      </c>
      <c r="DF3" s="270" t="s">
        <v>1380</v>
      </c>
      <c r="DG3" s="270" t="s">
        <v>1381</v>
      </c>
      <c r="DH3" s="270" t="s">
        <v>1382</v>
      </c>
      <c r="DI3" s="270" t="s">
        <v>1480</v>
      </c>
      <c r="DJ3" s="270" t="s">
        <v>1481</v>
      </c>
      <c r="DK3" s="270" t="s">
        <v>1482</v>
      </c>
      <c r="DM3" s="270" t="s">
        <v>843</v>
      </c>
      <c r="DN3" s="270" t="s">
        <v>844</v>
      </c>
      <c r="DO3" s="270" t="s">
        <v>1379</v>
      </c>
      <c r="DP3" s="270" t="s">
        <v>1380</v>
      </c>
      <c r="DQ3" s="270" t="s">
        <v>1381</v>
      </c>
      <c r="DR3" s="270" t="s">
        <v>1382</v>
      </c>
      <c r="DS3" s="270" t="s">
        <v>1480</v>
      </c>
      <c r="DT3" s="270" t="s">
        <v>1481</v>
      </c>
      <c r="DU3" s="270" t="s">
        <v>1482</v>
      </c>
    </row>
    <row r="4" spans="3:125">
      <c r="C4" s="152" t="s">
        <v>16</v>
      </c>
      <c r="D4" s="151"/>
      <c r="E4" s="151"/>
      <c r="F4" s="151"/>
      <c r="G4" s="151"/>
      <c r="H4" s="151"/>
      <c r="I4" s="151"/>
      <c r="J4" s="151"/>
      <c r="K4" s="151"/>
      <c r="L4" s="151"/>
      <c r="M4" s="151"/>
      <c r="N4" s="151"/>
      <c r="O4" s="151"/>
      <c r="P4" s="151"/>
      <c r="Q4" s="690"/>
      <c r="R4" s="151"/>
      <c r="S4" s="691"/>
      <c r="T4" s="690"/>
      <c r="U4" s="691"/>
      <c r="V4" s="690"/>
      <c r="W4" s="691"/>
      <c r="X4" s="151"/>
      <c r="AB4" s="144"/>
      <c r="AC4" s="144"/>
      <c r="AD4" s="144"/>
      <c r="BT4" s="152" t="s">
        <v>16</v>
      </c>
      <c r="BU4" s="151"/>
      <c r="BV4" s="151"/>
      <c r="BW4" s="151"/>
      <c r="BX4" s="151"/>
      <c r="BY4" s="151"/>
      <c r="BZ4" s="151"/>
      <c r="CA4" s="151"/>
      <c r="CB4" s="151"/>
      <c r="CC4" s="151"/>
      <c r="CD4" s="151"/>
      <c r="CE4" s="690"/>
      <c r="CF4" s="151"/>
      <c r="CG4" s="691"/>
      <c r="CH4" s="690"/>
      <c r="CI4" s="691"/>
      <c r="CJ4" s="690"/>
      <c r="CK4" s="691"/>
      <c r="CL4" s="151"/>
      <c r="CP4" s="144"/>
      <c r="CQ4" s="144"/>
      <c r="CR4" s="144"/>
      <c r="CW4" s="847">
        <f>CX6-20</f>
        <v>2691.2841173520346</v>
      </c>
      <c r="DH4" s="845">
        <f>DH6/DG6-1</f>
        <v>2.8666970723419061E-2</v>
      </c>
    </row>
    <row r="5" spans="3:125">
      <c r="C5" s="152"/>
      <c r="D5" s="151"/>
      <c r="E5" s="151"/>
      <c r="F5" s="151"/>
      <c r="G5" s="151"/>
      <c r="H5" s="151"/>
      <c r="I5" s="151"/>
      <c r="J5" s="151"/>
      <c r="K5" s="151"/>
      <c r="L5" s="151"/>
      <c r="M5" s="151"/>
      <c r="N5" s="151"/>
      <c r="O5" s="151"/>
      <c r="P5" s="151"/>
      <c r="Q5" s="690"/>
      <c r="R5" s="151"/>
      <c r="S5" s="691"/>
      <c r="T5" s="690"/>
      <c r="U5" s="691"/>
      <c r="V5" s="690"/>
      <c r="W5" s="691"/>
      <c r="X5" s="151"/>
      <c r="AB5" s="144"/>
      <c r="AC5" s="144"/>
      <c r="AD5" s="144"/>
      <c r="BT5" s="152"/>
      <c r="BU5" s="151"/>
      <c r="BV5" s="151"/>
      <c r="BW5" s="151"/>
      <c r="BX5" s="151"/>
      <c r="BY5" s="151"/>
      <c r="BZ5" s="151"/>
      <c r="CA5" s="151"/>
      <c r="CB5" s="151"/>
      <c r="CC5" s="151"/>
      <c r="CD5" s="151"/>
      <c r="CE5" s="690"/>
      <c r="CF5" s="151"/>
      <c r="CG5" s="691"/>
      <c r="CH5" s="690"/>
      <c r="CI5" s="691"/>
      <c r="CJ5" s="690"/>
      <c r="CK5" s="691"/>
      <c r="CL5" s="151"/>
      <c r="CP5" s="144"/>
      <c r="CQ5" s="144"/>
      <c r="CR5" s="144"/>
      <c r="CW5" s="845">
        <f>CW4/CW6-1</f>
        <v>2.0856547946756621E-2</v>
      </c>
      <c r="CX5" s="846">
        <f>CX6/CW6-1</f>
        <v>2.8442937963067294E-2</v>
      </c>
      <c r="CY5" s="846">
        <f t="shared" ref="CY5" si="0">CY6/CX6-1</f>
        <v>3.8182567484790209E-2</v>
      </c>
      <c r="CZ5" s="846">
        <f t="shared" ref="CZ5" si="1">CZ6/CY6-1</f>
        <v>1.9225771840011951E-2</v>
      </c>
      <c r="DH5" s="845"/>
    </row>
    <row r="6" spans="3:125">
      <c r="C6" s="155" t="s">
        <v>1</v>
      </c>
      <c r="D6" s="156"/>
      <c r="E6" s="156"/>
      <c r="F6" s="156">
        <f>HY!O271</f>
        <v>1274.5</v>
      </c>
      <c r="G6" s="156">
        <f>HY!P271</f>
        <v>1159.9000000000001</v>
      </c>
      <c r="H6" s="156">
        <f>HY!Q271</f>
        <v>1209.5999999999999</v>
      </c>
      <c r="I6" s="156">
        <f>HY!R271</f>
        <v>1129.3000000000002</v>
      </c>
      <c r="J6" s="156">
        <f>HY!S271</f>
        <v>1331.3</v>
      </c>
      <c r="K6" s="156">
        <f>HY!T271</f>
        <v>1283.3</v>
      </c>
      <c r="L6" s="156">
        <f>HY!U271</f>
        <v>1344.9</v>
      </c>
      <c r="M6" s="156">
        <f>HY!V271</f>
        <v>1291.4000000000001</v>
      </c>
      <c r="N6" s="156">
        <f>HY!W271</f>
        <v>1400.9837626000001</v>
      </c>
      <c r="O6" s="156">
        <f>HY!X271</f>
        <v>1345.9845538500001</v>
      </c>
      <c r="P6" s="156"/>
      <c r="Q6" s="692">
        <f t="shared" ref="Q6:Q11" si="2">J6</f>
        <v>1331.3</v>
      </c>
      <c r="R6" s="156">
        <v>1344.9</v>
      </c>
      <c r="S6" s="693">
        <f t="shared" ref="S6:S11" si="3">R6/Q6-1</f>
        <v>1.0215578757605481E-2</v>
      </c>
      <c r="T6" s="692">
        <f t="shared" ref="T6:T11" si="4">L6</f>
        <v>1344.9</v>
      </c>
      <c r="U6" s="693">
        <f t="shared" ref="U6:U11" si="5">$R6/T6-1</f>
        <v>0</v>
      </c>
      <c r="V6" s="692">
        <f t="shared" ref="V6:V11" si="6">Z6</f>
        <v>1325.1041558345671</v>
      </c>
      <c r="W6" s="693">
        <f t="shared" ref="W6:W11" si="7">$R6/V6-1</f>
        <v>1.4939085413225639E-2</v>
      </c>
      <c r="X6" s="157"/>
      <c r="Y6" s="154"/>
      <c r="Z6" s="788">
        <f t="shared" ref="Z6:Z11" si="8">AZ6</f>
        <v>1325.1041558345671</v>
      </c>
      <c r="AB6" s="145" t="s">
        <v>1352</v>
      </c>
      <c r="AC6" s="145" t="s">
        <v>70</v>
      </c>
      <c r="AD6" s="146" t="s">
        <v>961</v>
      </c>
      <c r="AE6" s="675">
        <f>_xll.VAData($AB6,AE$3,$AC6,$AD6)</f>
        <v>1152.3</v>
      </c>
      <c r="AF6" s="675">
        <f>_xll.VAData($AB6,AF$3,$AC6,$AD6)</f>
        <v>1225</v>
      </c>
      <c r="AG6" s="675">
        <f>_xll.VAData($AB6,AG$3,$AC6,$AD6)</f>
        <v>1274.5</v>
      </c>
      <c r="AH6" s="675">
        <f>_xll.VAData($AB6,AH$3,$AC6,$AD6)</f>
        <v>1159.9000000000001</v>
      </c>
      <c r="AI6" s="675">
        <f>_xll.VAData($AB6,AI$3,$AC6,$AD6)</f>
        <v>1209.5999999999999</v>
      </c>
      <c r="AJ6" s="675">
        <f>_xll.VAData($AB6,AJ$3,$AC6,$AD6)</f>
        <v>1129.3</v>
      </c>
      <c r="AK6" s="675">
        <f>_xll.VAData($AB6,AK$3,$AC6,$AD6)</f>
        <v>1331.3</v>
      </c>
      <c r="AL6" s="675">
        <f>_xll.VAData($AB6,AL$3,$AC6,$AD6)</f>
        <v>1283.3</v>
      </c>
      <c r="AM6" s="675">
        <f>_xll.VAData($AB6,AM$3,$AC6,$AD6)</f>
        <v>1344.9</v>
      </c>
      <c r="AN6" s="675">
        <f>_xll.VAData($AB6,AN$3,$AC6,$AD6)</f>
        <v>1291.4000000000001</v>
      </c>
      <c r="AO6" s="675">
        <f>_xll.VAData($AB6,AO$3,$AC6,$AD6)</f>
        <v>1391.2068816766312</v>
      </c>
      <c r="AP6" s="675">
        <f>_xll.VAData($AB6,AP$3,$AC6,$AD6)</f>
        <v>1320.0772356754023</v>
      </c>
      <c r="AQ6" s="676"/>
      <c r="AR6" s="677">
        <v>1152.3</v>
      </c>
      <c r="AS6" s="677">
        <v>1225</v>
      </c>
      <c r="AT6" s="677">
        <v>1274.5</v>
      </c>
      <c r="AU6" s="677">
        <v>1159.9000000000001</v>
      </c>
      <c r="AV6" s="677">
        <v>1209.5999999999999</v>
      </c>
      <c r="AW6" s="677">
        <v>1129.3</v>
      </c>
      <c r="AX6" s="677">
        <v>1331.3</v>
      </c>
      <c r="AY6" s="677">
        <v>1283.3</v>
      </c>
      <c r="AZ6" s="677">
        <v>1325.1041558345671</v>
      </c>
      <c r="BA6" s="677">
        <v>1299.1995487660549</v>
      </c>
      <c r="BB6" s="677">
        <v>1403.9843777406179</v>
      </c>
      <c r="BC6" s="677">
        <v>1330.488594972129</v>
      </c>
      <c r="BD6" s="676"/>
      <c r="BE6" s="678">
        <f t="shared" ref="BE6:BP11" si="9">D6-AR6</f>
        <v>-1152.3</v>
      </c>
      <c r="BF6" s="678">
        <f t="shared" si="9"/>
        <v>-1225</v>
      </c>
      <c r="BG6" s="678">
        <f t="shared" si="9"/>
        <v>0</v>
      </c>
      <c r="BH6" s="678">
        <f t="shared" si="9"/>
        <v>0</v>
      </c>
      <c r="BI6" s="678">
        <f t="shared" si="9"/>
        <v>0</v>
      </c>
      <c r="BJ6" s="678">
        <f t="shared" si="9"/>
        <v>0</v>
      </c>
      <c r="BK6" s="678">
        <f t="shared" si="9"/>
        <v>0</v>
      </c>
      <c r="BL6" s="678">
        <f t="shared" si="9"/>
        <v>0</v>
      </c>
      <c r="BM6" s="678">
        <f t="shared" si="9"/>
        <v>19.795844165432982</v>
      </c>
      <c r="BN6" s="678">
        <f t="shared" si="9"/>
        <v>-7.7995487660548406</v>
      </c>
      <c r="BO6" s="678">
        <f t="shared" si="9"/>
        <v>-3.0006151406178105</v>
      </c>
      <c r="BP6" s="678">
        <f t="shared" si="9"/>
        <v>15.495958877871089</v>
      </c>
      <c r="BT6" s="155" t="s">
        <v>1</v>
      </c>
      <c r="BU6" s="156"/>
      <c r="BV6" s="156">
        <f>FY!D63</f>
        <v>2434.4</v>
      </c>
      <c r="BW6" s="156">
        <f>FY!E63</f>
        <v>2338.9</v>
      </c>
      <c r="BX6" s="156">
        <f>FY!F63</f>
        <v>2614.6</v>
      </c>
      <c r="BY6" s="156">
        <f>FY!G63</f>
        <v>2636.3</v>
      </c>
      <c r="BZ6" s="156">
        <f>FY!H63</f>
        <v>2746.9683164500002</v>
      </c>
      <c r="CA6" s="156">
        <f>FY!I63</f>
        <v>2846.857735525</v>
      </c>
      <c r="CB6" s="156">
        <f>FY!J63</f>
        <v>2878.0066722777797</v>
      </c>
      <c r="CC6" s="156">
        <f>FY!K63</f>
        <v>2944.2613925879818</v>
      </c>
      <c r="CD6" s="156"/>
      <c r="CE6" s="692">
        <f t="shared" ref="CE6:CE11" si="10">BX6</f>
        <v>2614.6</v>
      </c>
      <c r="CF6" s="156">
        <v>2636.3</v>
      </c>
      <c r="CG6" s="693">
        <f t="shared" ref="CG6:CG11" si="11">CF6/CE6-1</f>
        <v>8.2995486881358715E-3</v>
      </c>
      <c r="CH6" s="692">
        <f t="shared" ref="CH6:CH11" si="12">BY6</f>
        <v>2636.3</v>
      </c>
      <c r="CI6" s="693">
        <f t="shared" ref="CI6:CI11" si="13">$CF6/CH6-1</f>
        <v>0</v>
      </c>
      <c r="CJ6" s="692">
        <f t="shared" ref="CJ6:CJ11" si="14">CN6</f>
        <v>2648.8625100465283</v>
      </c>
      <c r="CK6" s="693">
        <f t="shared" ref="CK6:CK11" si="15">$CF6/CJ6-1</f>
        <v>-4.7426055519610433E-3</v>
      </c>
      <c r="CL6" s="157"/>
      <c r="CM6" s="154"/>
      <c r="CN6" s="764">
        <f t="shared" ref="CN6:CN11" si="16">DG6</f>
        <v>2648.8625100465283</v>
      </c>
      <c r="CP6" s="145" t="s">
        <v>1352</v>
      </c>
      <c r="CQ6" s="145" t="s">
        <v>70</v>
      </c>
      <c r="CR6" s="146" t="s">
        <v>961</v>
      </c>
      <c r="CS6" s="675">
        <f>_xll.VAData($AB6,CS$3,$AC6,$AD6)</f>
        <v>2377.3000000000002</v>
      </c>
      <c r="CT6" s="675">
        <f>_xll.VAData($AB6,CT$3,$AC6,$AD6)</f>
        <v>2434.4</v>
      </c>
      <c r="CU6" s="675">
        <f>_xll.VAData($AB6,CU$3,$AC6,$AD6)</f>
        <v>2338.9</v>
      </c>
      <c r="CV6" s="675">
        <f>_xll.VAData($AB6,CV$3,$AC6,$AD6)</f>
        <v>2614.6</v>
      </c>
      <c r="CW6" s="675">
        <f>_xll.VAData($AB6,CW$3,$AC6,$AD6)</f>
        <v>2636.3</v>
      </c>
      <c r="CX6" s="675">
        <f>_xll.VAData($AB6,CX$3,$AC6,$AD6)</f>
        <v>2711.2841173520346</v>
      </c>
      <c r="CY6" s="675">
        <f>_xll.VAData($AB6,CY$3,$AC6,$AD6)</f>
        <v>2814.8079061332687</v>
      </c>
      <c r="CZ6" s="675">
        <f>_xll.VAData($AB6,CZ$3,$AC6,$AD6)</f>
        <v>2868.9247607100488</v>
      </c>
      <c r="DA6" s="675">
        <f>_xll.VAData($AB6,DA$3,$AC6,$AD6)</f>
        <v>2923.4937201861258</v>
      </c>
      <c r="DB6" s="676"/>
      <c r="DC6" s="677">
        <v>2377.3000000000002</v>
      </c>
      <c r="DD6" s="677">
        <v>2434.4</v>
      </c>
      <c r="DE6" s="677">
        <v>2338.9</v>
      </c>
      <c r="DF6" s="677">
        <v>2614.6</v>
      </c>
      <c r="DG6" s="677">
        <v>2648.8625100465283</v>
      </c>
      <c r="DH6" s="677">
        <v>2724.7973740723946</v>
      </c>
      <c r="DI6" s="677">
        <v>2805.8885491514989</v>
      </c>
      <c r="DJ6" s="677">
        <v>2866.3853595571491</v>
      </c>
      <c r="DK6" s="677">
        <v>2926.7642647698362</v>
      </c>
      <c r="DL6" s="676"/>
      <c r="DM6" s="678"/>
      <c r="DN6" s="678">
        <f t="shared" ref="DN6:DP11" si="17">BV6-DD6</f>
        <v>0</v>
      </c>
      <c r="DO6" s="678">
        <f t="shared" si="17"/>
        <v>0</v>
      </c>
      <c r="DP6" s="678">
        <f t="shared" si="17"/>
        <v>0</v>
      </c>
      <c r="DQ6" s="678">
        <f t="shared" ref="DQ6:DQ11" si="18">BY6-DG6</f>
        <v>-12.562510046528132</v>
      </c>
      <c r="DR6" s="678">
        <f t="shared" ref="DR6:DR11" si="19">BZ6-DH6</f>
        <v>22.17094237760557</v>
      </c>
      <c r="DS6" s="678">
        <f t="shared" ref="DS6:DS11" si="20">CA6-DI6</f>
        <v>40.969186373501088</v>
      </c>
      <c r="DT6" s="678">
        <f t="shared" ref="DT6:DT11" si="21">CB6-DJ6</f>
        <v>11.621312720630613</v>
      </c>
      <c r="DU6" s="678">
        <f t="shared" ref="DU6:DU11" si="22">CC6-DK6</f>
        <v>17.4971278181456</v>
      </c>
    </row>
    <row r="7" spans="3:125">
      <c r="C7" s="155" t="s">
        <v>2</v>
      </c>
      <c r="D7" s="156"/>
      <c r="E7" s="156"/>
      <c r="F7" s="156">
        <f>HY!O295</f>
        <v>196.6</v>
      </c>
      <c r="G7" s="156">
        <f>HY!P295</f>
        <v>194.4</v>
      </c>
      <c r="H7" s="156">
        <f>HY!Q295</f>
        <v>169.8</v>
      </c>
      <c r="I7" s="156">
        <f>HY!R295</f>
        <v>147.89999999999998</v>
      </c>
      <c r="J7" s="156">
        <f>HY!S295</f>
        <v>190.2</v>
      </c>
      <c r="K7" s="156">
        <f>HY!T295</f>
        <v>201.3</v>
      </c>
      <c r="L7" s="156">
        <f>HY!U295</f>
        <v>217.4</v>
      </c>
      <c r="M7" s="156">
        <f>HY!V295</f>
        <v>214.29999999999998</v>
      </c>
      <c r="N7" s="156">
        <f>HY!W295</f>
        <v>245.91365320419683</v>
      </c>
      <c r="O7" s="156">
        <f>HY!X295</f>
        <v>220.50641127075005</v>
      </c>
      <c r="P7" s="156"/>
      <c r="Q7" s="692">
        <f t="shared" si="2"/>
        <v>190.2</v>
      </c>
      <c r="R7" s="156">
        <v>217.4</v>
      </c>
      <c r="S7" s="693">
        <f t="shared" si="3"/>
        <v>0.14300736067297581</v>
      </c>
      <c r="T7" s="692">
        <f t="shared" si="4"/>
        <v>217.4</v>
      </c>
      <c r="U7" s="693">
        <f t="shared" si="5"/>
        <v>0</v>
      </c>
      <c r="V7" s="692">
        <f t="shared" si="6"/>
        <v>195.97400742699281</v>
      </c>
      <c r="W7" s="693">
        <f t="shared" si="7"/>
        <v>0.1093307875585956</v>
      </c>
      <c r="X7" s="157"/>
      <c r="Y7" s="154"/>
      <c r="Z7" s="788">
        <f t="shared" si="8"/>
        <v>195.97400742699281</v>
      </c>
      <c r="AB7" s="145" t="s">
        <v>1352</v>
      </c>
      <c r="AC7" s="145" t="s">
        <v>1083</v>
      </c>
      <c r="AD7" s="146" t="s">
        <v>961</v>
      </c>
      <c r="AE7" s="675">
        <f>_xll.VAData($AB7,AE$3,$AC7,$AD7)</f>
        <v>159</v>
      </c>
      <c r="AF7" s="675">
        <f>_xll.VAData($AB7,AF$3,$AC7,$AD7)</f>
        <v>201.6</v>
      </c>
      <c r="AG7" s="675">
        <f>_xll.VAData($AB7,AG$3,$AC7,$AD7)</f>
        <v>196.6</v>
      </c>
      <c r="AH7" s="675">
        <f>_xll.VAData($AB7,AH$3,$AC7,$AD7)</f>
        <v>194.4</v>
      </c>
      <c r="AI7" s="675">
        <f>_xll.VAData($AB7,AI$3,$AC7,$AD7)</f>
        <v>169.8</v>
      </c>
      <c r="AJ7" s="675">
        <f>_xll.VAData($AB7,AJ$3,$AC7,$AD7)</f>
        <v>147.9</v>
      </c>
      <c r="AK7" s="675">
        <f>_xll.VAData($AB7,AK$3,$AC7,$AD7)</f>
        <v>190.2</v>
      </c>
      <c r="AL7" s="675">
        <f>_xll.VAData($AB7,AL$3,$AC7,$AD7)</f>
        <v>201.3</v>
      </c>
      <c r="AM7" s="675">
        <f>_xll.VAData($AB7,AM$3,$AC7,$AD7)</f>
        <v>217.4</v>
      </c>
      <c r="AN7" s="675">
        <f>_xll.VAData($AB7,AN$3,$AC7,$AD7)</f>
        <v>214.3</v>
      </c>
      <c r="AO7" s="675">
        <f>_xll.VAData($AB7,AO$3,$AC7,$AD7)</f>
        <v>244.83987963567512</v>
      </c>
      <c r="AP7" s="675">
        <f>_xll.VAData($AB7,AP$3,$AC7,$AD7)</f>
        <v>221.70115691508445</v>
      </c>
      <c r="AQ7" s="676"/>
      <c r="AR7" s="677">
        <v>159</v>
      </c>
      <c r="AS7" s="677">
        <v>201.6</v>
      </c>
      <c r="AT7" s="677">
        <v>196.6</v>
      </c>
      <c r="AU7" s="677">
        <v>194.4</v>
      </c>
      <c r="AV7" s="677">
        <v>169.8</v>
      </c>
      <c r="AW7" s="677">
        <v>147.9</v>
      </c>
      <c r="AX7" s="677">
        <v>190.2</v>
      </c>
      <c r="AY7" s="677">
        <v>201.3</v>
      </c>
      <c r="AZ7" s="677">
        <v>195.97400742699281</v>
      </c>
      <c r="BA7" s="677">
        <v>205.36810845809489</v>
      </c>
      <c r="BB7" s="677">
        <v>218.323809578252</v>
      </c>
      <c r="BC7" s="677">
        <v>211.0627556678418</v>
      </c>
      <c r="BD7" s="676"/>
      <c r="BE7" s="678">
        <f t="shared" si="9"/>
        <v>-159</v>
      </c>
      <c r="BF7" s="678">
        <f t="shared" si="9"/>
        <v>-201.6</v>
      </c>
      <c r="BG7" s="678">
        <f t="shared" si="9"/>
        <v>0</v>
      </c>
      <c r="BH7" s="678">
        <f t="shared" si="9"/>
        <v>0</v>
      </c>
      <c r="BI7" s="678">
        <f t="shared" si="9"/>
        <v>0</v>
      </c>
      <c r="BJ7" s="678">
        <f t="shared" si="9"/>
        <v>0</v>
      </c>
      <c r="BK7" s="678">
        <f t="shared" si="9"/>
        <v>0</v>
      </c>
      <c r="BL7" s="678">
        <f t="shared" si="9"/>
        <v>0</v>
      </c>
      <c r="BM7" s="678">
        <f t="shared" si="9"/>
        <v>21.425992573007193</v>
      </c>
      <c r="BN7" s="678">
        <f t="shared" si="9"/>
        <v>8.9318915419050882</v>
      </c>
      <c r="BO7" s="678">
        <f t="shared" si="9"/>
        <v>27.589843625944837</v>
      </c>
      <c r="BP7" s="678">
        <f t="shared" si="9"/>
        <v>9.443655602908251</v>
      </c>
      <c r="BT7" s="155" t="s">
        <v>2</v>
      </c>
      <c r="BU7" s="156"/>
      <c r="BV7" s="156">
        <f>FY!D67</f>
        <v>391</v>
      </c>
      <c r="BW7" s="156">
        <f>FY!E67</f>
        <v>317.7</v>
      </c>
      <c r="BX7" s="156">
        <f>FY!F67</f>
        <v>391.5</v>
      </c>
      <c r="BY7" s="156">
        <f>FY!G67</f>
        <v>431.7</v>
      </c>
      <c r="BZ7" s="156">
        <f>FY!H67</f>
        <v>466.42006447494691</v>
      </c>
      <c r="CA7" s="156">
        <f>FY!I67</f>
        <v>485.64577074650185</v>
      </c>
      <c r="CB7" s="156">
        <f>FY!J67</f>
        <v>494.3637097202735</v>
      </c>
      <c r="CC7" s="156">
        <f>FY!K67</f>
        <v>501.26085646792001</v>
      </c>
      <c r="CD7" s="156"/>
      <c r="CE7" s="692">
        <f t="shared" si="10"/>
        <v>391.5</v>
      </c>
      <c r="CF7" s="156">
        <v>431.7</v>
      </c>
      <c r="CG7" s="693">
        <f t="shared" si="11"/>
        <v>0.10268199233716468</v>
      </c>
      <c r="CH7" s="692">
        <f t="shared" si="12"/>
        <v>431.7</v>
      </c>
      <c r="CI7" s="693">
        <f t="shared" si="13"/>
        <v>0</v>
      </c>
      <c r="CJ7" s="692">
        <f t="shared" si="14"/>
        <v>423.04047043525537</v>
      </c>
      <c r="CK7" s="693">
        <f t="shared" si="15"/>
        <v>2.0469742660400803E-2</v>
      </c>
      <c r="CL7" s="157"/>
      <c r="CM7" s="154"/>
      <c r="CN7" s="764">
        <f t="shared" si="16"/>
        <v>423.04047043525537</v>
      </c>
      <c r="CP7" s="145" t="s">
        <v>1352</v>
      </c>
      <c r="CQ7" s="145" t="s">
        <v>1083</v>
      </c>
      <c r="CR7" s="146" t="s">
        <v>961</v>
      </c>
      <c r="CS7" s="675">
        <f>_xll.VAData($AB7,CS$3,$AC7,$AD7)</f>
        <v>381.6</v>
      </c>
      <c r="CT7" s="675">
        <f>_xll.VAData($AB7,CT$3,$AC7,$AD7)</f>
        <v>391</v>
      </c>
      <c r="CU7" s="675">
        <f>_xll.VAData($AB7,CU$3,$AC7,$AD7)</f>
        <v>317.7</v>
      </c>
      <c r="CV7" s="675">
        <f>_xll.VAData($AB7,CV$3,$AC7,$AD7)</f>
        <v>391.5</v>
      </c>
      <c r="CW7" s="675">
        <f>_xll.VAData($AB7,CW$3,$AC7,$AD7)</f>
        <v>431.7</v>
      </c>
      <c r="CX7" s="675">
        <f>_xll.VAData($AB7,CX$3,$AC7,$AD7)</f>
        <v>466.54103655075943</v>
      </c>
      <c r="CY7" s="675">
        <f>_xll.VAData($AB7,CY$3,$AC7,$AD7)</f>
        <v>489.57369726243365</v>
      </c>
      <c r="CZ7" s="675">
        <f>_xll.VAData($AB7,CZ$3,$AC7,$AD7)</f>
        <v>505.18114586768235</v>
      </c>
      <c r="DA7" s="675">
        <f>_xll.VAData($AB7,DA$3,$AC7,$AD7)</f>
        <v>518.40629665364895</v>
      </c>
      <c r="DB7" s="676"/>
      <c r="DC7" s="677">
        <v>381.6</v>
      </c>
      <c r="DD7" s="677">
        <v>391</v>
      </c>
      <c r="DE7" s="677">
        <v>317.7</v>
      </c>
      <c r="DF7" s="677">
        <v>391.5</v>
      </c>
      <c r="DG7" s="677">
        <v>423.04047043525537</v>
      </c>
      <c r="DH7" s="677">
        <v>440.67814529431462</v>
      </c>
      <c r="DI7" s="677">
        <v>458.80962787804026</v>
      </c>
      <c r="DJ7" s="677">
        <v>470.63363903698792</v>
      </c>
      <c r="DK7" s="677">
        <v>483.28421886340118</v>
      </c>
      <c r="DL7" s="676"/>
      <c r="DM7" s="678"/>
      <c r="DN7" s="678">
        <f t="shared" si="17"/>
        <v>0</v>
      </c>
      <c r="DO7" s="678">
        <f t="shared" si="17"/>
        <v>0</v>
      </c>
      <c r="DP7" s="678">
        <f t="shared" si="17"/>
        <v>0</v>
      </c>
      <c r="DQ7" s="678">
        <f t="shared" si="18"/>
        <v>8.6595295647446164</v>
      </c>
      <c r="DR7" s="678">
        <f t="shared" si="19"/>
        <v>25.741919180632294</v>
      </c>
      <c r="DS7" s="678">
        <f t="shared" si="20"/>
        <v>26.836142868461593</v>
      </c>
      <c r="DT7" s="678">
        <f t="shared" si="21"/>
        <v>23.730070683285589</v>
      </c>
      <c r="DU7" s="678">
        <f t="shared" si="22"/>
        <v>17.976637604518828</v>
      </c>
    </row>
    <row r="8" spans="3:125">
      <c r="C8" s="155" t="s">
        <v>10</v>
      </c>
      <c r="D8" s="156"/>
      <c r="E8" s="156"/>
      <c r="F8" s="156">
        <f>HY!O311</f>
        <v>73.2</v>
      </c>
      <c r="G8" s="156">
        <f>HY!P311</f>
        <v>77.3</v>
      </c>
      <c r="H8" s="156">
        <f>HY!Q311</f>
        <v>50</v>
      </c>
      <c r="I8" s="156">
        <f>HY!R311</f>
        <v>47.400000000000006</v>
      </c>
      <c r="J8" s="156">
        <f>HY!S311</f>
        <v>92.7</v>
      </c>
      <c r="K8" s="156">
        <f>HY!T311</f>
        <v>95.999999999999986</v>
      </c>
      <c r="L8" s="156">
        <f>HY!U311</f>
        <v>110.2</v>
      </c>
      <c r="M8" s="156">
        <f>HY!V311</f>
        <v>108.49999999999999</v>
      </c>
      <c r="N8" s="156">
        <f>HY!W311</f>
        <v>131.71365320419702</v>
      </c>
      <c r="O8" s="156">
        <f>HY!X311</f>
        <v>106.30641127075023</v>
      </c>
      <c r="P8" s="156"/>
      <c r="Q8" s="692">
        <f t="shared" si="2"/>
        <v>92.7</v>
      </c>
      <c r="R8" s="156">
        <v>110.2</v>
      </c>
      <c r="S8" s="693">
        <f t="shared" si="3"/>
        <v>0.18878101402373249</v>
      </c>
      <c r="T8" s="692">
        <f t="shared" si="4"/>
        <v>110.2</v>
      </c>
      <c r="U8" s="693">
        <f t="shared" si="5"/>
        <v>0</v>
      </c>
      <c r="V8" s="692">
        <f t="shared" si="6"/>
        <v>86.318090022306208</v>
      </c>
      <c r="W8" s="693">
        <f t="shared" si="7"/>
        <v>0.27667329028622234</v>
      </c>
      <c r="X8" s="157"/>
      <c r="Y8" s="154"/>
      <c r="Z8" s="788">
        <f t="shared" si="8"/>
        <v>86.318090022306208</v>
      </c>
      <c r="AB8" s="145" t="s">
        <v>1352</v>
      </c>
      <c r="AC8" s="145" t="s">
        <v>1085</v>
      </c>
      <c r="AD8" s="146" t="s">
        <v>961</v>
      </c>
      <c r="AE8" s="675">
        <f>_xll.VAData($AB8,AE$3,$AC8,$AD8)</f>
        <v>16.3</v>
      </c>
      <c r="AF8" s="675">
        <f>_xll.VAData($AB8,AF$3,$AC8,$AD8)</f>
        <v>57.9</v>
      </c>
      <c r="AG8" s="675">
        <f>_xll.VAData($AB8,AG$3,$AC8,$AD8)</f>
        <v>73.2</v>
      </c>
      <c r="AH8" s="675">
        <f>_xll.VAData($AB8,AH$3,$AC8,$AD8)</f>
        <v>77.297995050420198</v>
      </c>
      <c r="AI8" s="675">
        <f>_xll.VAData($AB8,AI$3,$AC8,$AD8)</f>
        <v>50</v>
      </c>
      <c r="AJ8" s="675">
        <f>_xll.VAData($AB8,AJ$3,$AC8,$AD8)</f>
        <v>47.4</v>
      </c>
      <c r="AK8" s="675">
        <f>_xll.VAData($AB8,AK$3,$AC8,$AD8)</f>
        <v>92.7</v>
      </c>
      <c r="AL8" s="675">
        <f>_xll.VAData($AB8,AL$3,$AC8,$AD8)</f>
        <v>96</v>
      </c>
      <c r="AM8" s="675">
        <f>_xll.VAData($AB8,AM$3,$AC8,$AD8)</f>
        <v>110.2</v>
      </c>
      <c r="AN8" s="675">
        <f>_xll.VAData($AB8,AN$3,$AC8,$AD8)</f>
        <v>108.5</v>
      </c>
      <c r="AO8" s="675">
        <f>_xll.VAData($AB8,AO$3,$AC8,$AD8)</f>
        <v>129.58016600056754</v>
      </c>
      <c r="AP8" s="675">
        <f>_xll.VAData($AB8,AP$3,$AC8,$AD8)</f>
        <v>105.43670568562943</v>
      </c>
      <c r="AQ8" s="676"/>
      <c r="AR8" s="677">
        <v>16.3</v>
      </c>
      <c r="AS8" s="677">
        <v>57.9</v>
      </c>
      <c r="AT8" s="677">
        <v>73.2</v>
      </c>
      <c r="AU8" s="677">
        <v>77.297995050420198</v>
      </c>
      <c r="AV8" s="677">
        <v>50</v>
      </c>
      <c r="AW8" s="677">
        <v>47.4</v>
      </c>
      <c r="AX8" s="677">
        <v>92.7</v>
      </c>
      <c r="AY8" s="677">
        <v>96</v>
      </c>
      <c r="AZ8" s="677">
        <v>86.318090022306208</v>
      </c>
      <c r="BA8" s="677">
        <v>95.631742568706656</v>
      </c>
      <c r="BB8" s="677">
        <v>109.43267386072154</v>
      </c>
      <c r="BC8" s="677">
        <v>101.31928492672012</v>
      </c>
      <c r="BD8" s="676"/>
      <c r="BE8" s="678">
        <f t="shared" si="9"/>
        <v>-16.3</v>
      </c>
      <c r="BF8" s="678">
        <f t="shared" si="9"/>
        <v>-57.9</v>
      </c>
      <c r="BG8" s="678">
        <f t="shared" si="9"/>
        <v>0</v>
      </c>
      <c r="BH8" s="678">
        <f t="shared" si="9"/>
        <v>2.0049495797991312E-3</v>
      </c>
      <c r="BI8" s="678">
        <f t="shared" si="9"/>
        <v>0</v>
      </c>
      <c r="BJ8" s="678">
        <f t="shared" si="9"/>
        <v>0</v>
      </c>
      <c r="BK8" s="678">
        <f t="shared" si="9"/>
        <v>0</v>
      </c>
      <c r="BL8" s="678">
        <f t="shared" si="9"/>
        <v>0</v>
      </c>
      <c r="BM8" s="678">
        <f t="shared" si="9"/>
        <v>23.881909977693795</v>
      </c>
      <c r="BN8" s="678">
        <f t="shared" si="9"/>
        <v>12.86825743129333</v>
      </c>
      <c r="BO8" s="678">
        <f t="shared" si="9"/>
        <v>22.280979343475479</v>
      </c>
      <c r="BP8" s="678">
        <f t="shared" si="9"/>
        <v>4.9871263440301163</v>
      </c>
      <c r="BT8" s="155" t="s">
        <v>10</v>
      </c>
      <c r="BU8" s="156"/>
      <c r="BV8" s="156">
        <f>FY!D71</f>
        <v>150.5</v>
      </c>
      <c r="BW8" s="156">
        <f>FY!E71</f>
        <v>97.4</v>
      </c>
      <c r="BX8" s="156">
        <f>FY!F71</f>
        <v>188.7</v>
      </c>
      <c r="BY8" s="156">
        <f>FY!G71</f>
        <v>218.7</v>
      </c>
      <c r="BZ8" s="156">
        <f>FY!H71</f>
        <v>238.02006447494725</v>
      </c>
      <c r="CA8" s="156">
        <f>FY!I71</f>
        <v>262.24577074650222</v>
      </c>
      <c r="CB8" s="156">
        <f>FY!J71</f>
        <v>269.16773590500952</v>
      </c>
      <c r="CC8" s="156">
        <f>FY!K71</f>
        <v>285.9061462774722</v>
      </c>
      <c r="CD8" s="156"/>
      <c r="CE8" s="692">
        <f t="shared" si="10"/>
        <v>188.7</v>
      </c>
      <c r="CF8" s="156">
        <v>218.7</v>
      </c>
      <c r="CG8" s="693">
        <f t="shared" si="11"/>
        <v>0.15898251192368851</v>
      </c>
      <c r="CH8" s="692">
        <f t="shared" si="12"/>
        <v>218.7</v>
      </c>
      <c r="CI8" s="693">
        <f t="shared" si="13"/>
        <v>0</v>
      </c>
      <c r="CJ8" s="692">
        <f t="shared" si="14"/>
        <v>207.08996014279327</v>
      </c>
      <c r="CK8" s="693">
        <f t="shared" si="15"/>
        <v>5.6062784739546734E-2</v>
      </c>
      <c r="CL8" s="157"/>
      <c r="CM8" s="154"/>
      <c r="CN8" s="764">
        <f t="shared" si="16"/>
        <v>207.08996014279327</v>
      </c>
      <c r="CP8" s="145" t="s">
        <v>1352</v>
      </c>
      <c r="CQ8" s="145" t="s">
        <v>1085</v>
      </c>
      <c r="CR8" s="146" t="s">
        <v>961</v>
      </c>
      <c r="CS8" s="675">
        <f>_xll.VAData($AB8,CS$3,$AC8,$AD8)</f>
        <v>95.2</v>
      </c>
      <c r="CT8" s="675">
        <f>_xll.VAData($AB8,CT$3,$AC8,$AD8)</f>
        <v>150.5</v>
      </c>
      <c r="CU8" s="675">
        <f>_xll.VAData($AB8,CU$3,$AC8,$AD8)</f>
        <v>97.4</v>
      </c>
      <c r="CV8" s="675">
        <f>_xll.VAData($AB8,CV$3,$AC8,$AD8)</f>
        <v>188.7</v>
      </c>
      <c r="CW8" s="675">
        <f>_xll.VAData($AB8,CW$3,$AC8,$AD8)</f>
        <v>218.7</v>
      </c>
      <c r="CX8" s="675">
        <f>_xll.VAData($AB8,CX$3,$AC8,$AD8)</f>
        <v>235.01687168619688</v>
      </c>
      <c r="CY8" s="675">
        <f>_xll.VAData($AB8,CY$3,$AC8,$AD8)</f>
        <v>251.24654269910499</v>
      </c>
      <c r="CZ8" s="675">
        <f>_xll.VAData($AB8,CZ$3,$AC8,$AD8)</f>
        <v>264.73723703662188</v>
      </c>
      <c r="DA8" s="675">
        <f>_xll.VAData($AB8,DA$3,$AC8,$AD8)</f>
        <v>276.76132464255579</v>
      </c>
      <c r="DB8" s="676"/>
      <c r="DC8" s="677">
        <v>95.2</v>
      </c>
      <c r="DD8" s="677">
        <v>150.5</v>
      </c>
      <c r="DE8" s="677">
        <v>97.4</v>
      </c>
      <c r="DF8" s="677">
        <v>188.7</v>
      </c>
      <c r="DG8" s="677">
        <v>207.08996014279327</v>
      </c>
      <c r="DH8" s="677">
        <v>223.84775266166091</v>
      </c>
      <c r="DI8" s="677">
        <v>237.84595546931246</v>
      </c>
      <c r="DJ8" s="677">
        <v>248.8605345263561</v>
      </c>
      <c r="DK8" s="677">
        <v>261.04487438119861</v>
      </c>
      <c r="DL8" s="676"/>
      <c r="DM8" s="678"/>
      <c r="DN8" s="678">
        <f t="shared" si="17"/>
        <v>0</v>
      </c>
      <c r="DO8" s="678">
        <f t="shared" si="17"/>
        <v>0</v>
      </c>
      <c r="DP8" s="678">
        <f t="shared" si="17"/>
        <v>0</v>
      </c>
      <c r="DQ8" s="678">
        <f t="shared" si="18"/>
        <v>11.610039857206715</v>
      </c>
      <c r="DR8" s="678">
        <f t="shared" si="19"/>
        <v>14.172311813286342</v>
      </c>
      <c r="DS8" s="678">
        <f t="shared" si="20"/>
        <v>24.399815277189759</v>
      </c>
      <c r="DT8" s="678">
        <f t="shared" si="21"/>
        <v>20.307201378653417</v>
      </c>
      <c r="DU8" s="678">
        <f t="shared" si="22"/>
        <v>24.861271896273593</v>
      </c>
    </row>
    <row r="9" spans="3:125">
      <c r="C9" s="155" t="s">
        <v>1351</v>
      </c>
      <c r="D9" s="156"/>
      <c r="E9" s="156"/>
      <c r="F9" s="156">
        <f>HY!O328</f>
        <v>47.3</v>
      </c>
      <c r="G9" s="156">
        <f>HY!P328</f>
        <v>37</v>
      </c>
      <c r="H9" s="156">
        <f>HY!Q328</f>
        <v>17.600000000000001</v>
      </c>
      <c r="I9" s="156">
        <f>HY!R328</f>
        <v>10.399999999999999</v>
      </c>
      <c r="J9" s="156">
        <f>HY!S328</f>
        <v>22.1</v>
      </c>
      <c r="K9" s="156">
        <f>HY!T328</f>
        <v>27.4</v>
      </c>
      <c r="L9" s="156">
        <f>HY!U328</f>
        <v>35.700000000000003</v>
      </c>
      <c r="M9" s="156">
        <f>HY!V328</f>
        <v>35.399999999999991</v>
      </c>
      <c r="N9" s="156">
        <f>HY!W328</f>
        <v>53.806622169093551</v>
      </c>
      <c r="O9" s="156">
        <f>HY!X328</f>
        <v>35.903641853343856</v>
      </c>
      <c r="P9" s="156"/>
      <c r="Q9" s="692">
        <f t="shared" si="2"/>
        <v>22.1</v>
      </c>
      <c r="R9" s="156">
        <v>35.700000000000003</v>
      </c>
      <c r="S9" s="693">
        <f t="shared" si="3"/>
        <v>0.61538461538461542</v>
      </c>
      <c r="T9" s="692">
        <f t="shared" si="4"/>
        <v>35.700000000000003</v>
      </c>
      <c r="U9" s="693">
        <f t="shared" si="5"/>
        <v>0</v>
      </c>
      <c r="V9" s="692">
        <f t="shared" si="6"/>
        <v>25.068204291622141</v>
      </c>
      <c r="W9" s="693">
        <f t="shared" si="7"/>
        <v>0.42411477043575219</v>
      </c>
      <c r="X9" s="157"/>
      <c r="Y9" s="154"/>
      <c r="Z9" s="788">
        <f t="shared" si="8"/>
        <v>25.068204291622141</v>
      </c>
      <c r="AB9" s="145" t="s">
        <v>1352</v>
      </c>
      <c r="AC9" s="145" t="s">
        <v>1088</v>
      </c>
      <c r="AD9" s="146" t="s">
        <v>961</v>
      </c>
      <c r="AE9" s="675">
        <f>_xll.VAData($AB9,AE$3,$AC9,$AD9)</f>
        <v>186.5</v>
      </c>
      <c r="AF9" s="675">
        <f>_xll.VAData($AB9,AF$3,$AC9,$AD9)</f>
        <v>175.4</v>
      </c>
      <c r="AG9" s="675">
        <f>_xll.VAData($AB9,AG$3,$AC9,$AD9)</f>
        <v>47.3</v>
      </c>
      <c r="AH9" s="675">
        <f>_xll.VAData($AB9,AH$3,$AC9,$AD9)</f>
        <v>37</v>
      </c>
      <c r="AI9" s="675">
        <f>_xll.VAData($AB9,AI$3,$AC9,$AD9)</f>
        <v>17.600000000000001</v>
      </c>
      <c r="AJ9" s="675">
        <f>_xll.VAData($AB9,AJ$3,$AC9,$AD9)</f>
        <v>10.4</v>
      </c>
      <c r="AK9" s="675">
        <f>_xll.VAData($AB9,AK$3,$AC9,$AD9)</f>
        <v>22.1</v>
      </c>
      <c r="AL9" s="675">
        <f>_xll.VAData($AB9,AL$3,$AC9,$AD9)</f>
        <v>27.4</v>
      </c>
      <c r="AM9" s="675">
        <f>_xll.VAData($AB9,AM$3,$AC9,$AD9)</f>
        <v>35.700000000000003</v>
      </c>
      <c r="AN9" s="675">
        <f>_xll.VAData($AB9,AN$3,$AC9,$AD9)</f>
        <v>35.4</v>
      </c>
      <c r="AO9" s="675">
        <f>_xll.VAData($AB9,AO$3,$AC9,$AD9)</f>
        <v>52.20675574619279</v>
      </c>
      <c r="AP9" s="675">
        <f>_xll.VAData($AB9,AP$3,$AC9,$AD9)</f>
        <v>36.058029196093933</v>
      </c>
      <c r="AQ9" s="676"/>
      <c r="AR9" s="677">
        <v>186.5</v>
      </c>
      <c r="AS9" s="677">
        <v>175.4</v>
      </c>
      <c r="AT9" s="677">
        <v>47.3</v>
      </c>
      <c r="AU9" s="677">
        <v>37</v>
      </c>
      <c r="AV9" s="677">
        <v>17.600000000000001</v>
      </c>
      <c r="AW9" s="677">
        <v>10.4</v>
      </c>
      <c r="AX9" s="677">
        <v>22.1</v>
      </c>
      <c r="AY9" s="677">
        <v>27.4</v>
      </c>
      <c r="AZ9" s="677">
        <v>25.068204291622141</v>
      </c>
      <c r="BA9" s="677">
        <v>33.062235971244618</v>
      </c>
      <c r="BB9" s="677">
        <v>42.946836669245791</v>
      </c>
      <c r="BC9" s="677">
        <v>39.784283222471387</v>
      </c>
      <c r="BD9" s="676"/>
      <c r="BE9" s="678">
        <f t="shared" si="9"/>
        <v>-186.5</v>
      </c>
      <c r="BF9" s="678">
        <f t="shared" si="9"/>
        <v>-175.4</v>
      </c>
      <c r="BG9" s="678">
        <f t="shared" si="9"/>
        <v>0</v>
      </c>
      <c r="BH9" s="678">
        <f t="shared" si="9"/>
        <v>0</v>
      </c>
      <c r="BI9" s="678">
        <f t="shared" si="9"/>
        <v>0</v>
      </c>
      <c r="BJ9" s="678">
        <f t="shared" si="9"/>
        <v>0</v>
      </c>
      <c r="BK9" s="678">
        <f t="shared" si="9"/>
        <v>0</v>
      </c>
      <c r="BL9" s="678">
        <f t="shared" si="9"/>
        <v>0</v>
      </c>
      <c r="BM9" s="678">
        <f t="shared" si="9"/>
        <v>10.631795708377862</v>
      </c>
      <c r="BN9" s="678">
        <f t="shared" si="9"/>
        <v>2.3377640287553731</v>
      </c>
      <c r="BO9" s="678">
        <f t="shared" si="9"/>
        <v>10.85978549984776</v>
      </c>
      <c r="BP9" s="678">
        <f t="shared" si="9"/>
        <v>-3.880641369127531</v>
      </c>
      <c r="BT9" s="155" t="s">
        <v>1351</v>
      </c>
      <c r="BU9" s="156"/>
      <c r="BV9" s="156">
        <f>FY!D81</f>
        <v>84.3</v>
      </c>
      <c r="BW9" s="156">
        <f>FY!E81</f>
        <v>28</v>
      </c>
      <c r="BX9" s="156">
        <f>FY!F81</f>
        <v>49.5</v>
      </c>
      <c r="BY9" s="156">
        <f>FY!G81</f>
        <v>71.099999999999994</v>
      </c>
      <c r="BZ9" s="156">
        <f>FY!H81</f>
        <v>89.7102640224374</v>
      </c>
      <c r="CA9" s="156">
        <f>FY!I81</f>
        <v>110.08763373471828</v>
      </c>
      <c r="CB9" s="156">
        <f>FY!J81</f>
        <v>120.65762879326125</v>
      </c>
      <c r="CC9" s="156">
        <f>FY!K81</f>
        <v>137.49125689685403</v>
      </c>
      <c r="CD9" s="156"/>
      <c r="CE9" s="692">
        <f t="shared" si="10"/>
        <v>49.5</v>
      </c>
      <c r="CF9" s="156">
        <v>71.099999999999994</v>
      </c>
      <c r="CG9" s="693">
        <f t="shared" si="11"/>
        <v>0.43636363636363629</v>
      </c>
      <c r="CH9" s="692">
        <f t="shared" si="12"/>
        <v>71.099999999999994</v>
      </c>
      <c r="CI9" s="693">
        <f t="shared" si="13"/>
        <v>0</v>
      </c>
      <c r="CJ9" s="692">
        <f t="shared" si="14"/>
        <v>67.058659113840207</v>
      </c>
      <c r="CK9" s="693">
        <f t="shared" si="15"/>
        <v>6.026575746614804E-2</v>
      </c>
      <c r="CL9" s="157"/>
      <c r="CM9" s="154"/>
      <c r="CN9" s="764">
        <f t="shared" si="16"/>
        <v>67.058659113840207</v>
      </c>
      <c r="CP9" s="145" t="s">
        <v>1352</v>
      </c>
      <c r="CQ9" s="145" t="s">
        <v>1088</v>
      </c>
      <c r="CR9" s="146" t="s">
        <v>961</v>
      </c>
      <c r="CS9" s="675">
        <f>_xll.VAData($AB9,CS$3,$AC9,$AD9)</f>
        <v>362.4</v>
      </c>
      <c r="CT9" s="675">
        <f>_xll.VAData($AB9,CT$3,$AC9,$AD9)</f>
        <v>84.3</v>
      </c>
      <c r="CU9" s="675">
        <f>_xll.VAData($AB9,CU$3,$AC9,$AD9)</f>
        <v>28</v>
      </c>
      <c r="CV9" s="675">
        <f>_xll.VAData($AB9,CV$3,$AC9,$AD9)</f>
        <v>49.5</v>
      </c>
      <c r="CW9" s="675">
        <f>_xll.VAData($AB9,CW$3,$AC9,$AD9)</f>
        <v>71.099999999999994</v>
      </c>
      <c r="CX9" s="675">
        <f>_xll.VAData($AB9,CX$3,$AC9,$AD9)</f>
        <v>88.264784942286738</v>
      </c>
      <c r="CY9" s="675">
        <f>_xll.VAData($AB9,CY$3,$AC9,$AD9)</f>
        <v>101.014825946735</v>
      </c>
      <c r="CZ9" s="675">
        <f>_xll.VAData($AB9,CZ$3,$AC9,$AD9)</f>
        <v>115.33058473919968</v>
      </c>
      <c r="DA9" s="675">
        <f>_xll.VAData($AB9,DA$3,$AC9,$AD9)</f>
        <v>129.83597917022777</v>
      </c>
      <c r="DB9" s="676"/>
      <c r="DC9" s="677">
        <v>362.4</v>
      </c>
      <c r="DD9" s="677">
        <v>84.3</v>
      </c>
      <c r="DE9" s="677">
        <v>28</v>
      </c>
      <c r="DF9" s="677">
        <v>49.5</v>
      </c>
      <c r="DG9" s="677">
        <v>67.058659113840207</v>
      </c>
      <c r="DH9" s="677">
        <v>85.126829921046578</v>
      </c>
      <c r="DI9" s="677">
        <v>99.249122645951672</v>
      </c>
      <c r="DJ9" s="677">
        <v>113.29612203264402</v>
      </c>
      <c r="DK9" s="677">
        <v>126.29110306866964</v>
      </c>
      <c r="DL9" s="676"/>
      <c r="DM9" s="678"/>
      <c r="DN9" s="678">
        <f t="shared" si="17"/>
        <v>0</v>
      </c>
      <c r="DO9" s="678">
        <f t="shared" si="17"/>
        <v>0</v>
      </c>
      <c r="DP9" s="678">
        <f t="shared" si="17"/>
        <v>0</v>
      </c>
      <c r="DQ9" s="678">
        <f t="shared" si="18"/>
        <v>4.0413408861597873</v>
      </c>
      <c r="DR9" s="678">
        <f t="shared" si="19"/>
        <v>4.5834341013908215</v>
      </c>
      <c r="DS9" s="678">
        <f t="shared" si="20"/>
        <v>10.838511088766609</v>
      </c>
      <c r="DT9" s="678">
        <f t="shared" si="21"/>
        <v>7.3615067606172317</v>
      </c>
      <c r="DU9" s="678">
        <f t="shared" si="22"/>
        <v>11.200153828184384</v>
      </c>
    </row>
    <row r="10" spans="3:125" hidden="1" outlineLevel="1">
      <c r="C10" s="155" t="s">
        <v>1541</v>
      </c>
      <c r="D10" s="156"/>
      <c r="E10" s="156"/>
      <c r="F10" s="156">
        <f>HY!O621</f>
        <v>2.2000000000000002</v>
      </c>
      <c r="G10" s="156">
        <f>HY!P621</f>
        <v>1.5999999999999996</v>
      </c>
      <c r="H10" s="156">
        <f>HY!Q621</f>
        <v>0.9</v>
      </c>
      <c r="I10" s="156">
        <f>HY!R621</f>
        <v>0.49999999999999989</v>
      </c>
      <c r="J10" s="156">
        <f>HY!S621</f>
        <v>1.9</v>
      </c>
      <c r="K10" s="156">
        <f>HY!T621</f>
        <v>2</v>
      </c>
      <c r="L10" s="156">
        <f>HY!U621</f>
        <v>2.7</v>
      </c>
      <c r="M10" s="156">
        <f>HY!V621</f>
        <v>2.5</v>
      </c>
      <c r="N10" s="156">
        <f>HY!W621</f>
        <v>3.3022167918125076</v>
      </c>
      <c r="O10" s="156">
        <f>HY!X621</f>
        <v>2.4776952740706562</v>
      </c>
      <c r="P10" s="156"/>
      <c r="Q10" s="692">
        <f t="shared" si="2"/>
        <v>1.9</v>
      </c>
      <c r="R10" s="156">
        <v>2.7</v>
      </c>
      <c r="S10" s="693">
        <f t="shared" si="3"/>
        <v>0.42105263157894757</v>
      </c>
      <c r="T10" s="692">
        <f t="shared" si="4"/>
        <v>2.7</v>
      </c>
      <c r="U10" s="693">
        <f t="shared" si="5"/>
        <v>0</v>
      </c>
      <c r="V10" s="692">
        <f t="shared" si="6"/>
        <v>1.0951552798619999</v>
      </c>
      <c r="W10" s="693">
        <f t="shared" si="7"/>
        <v>1.4654038104443292</v>
      </c>
      <c r="X10" s="157"/>
      <c r="Y10" s="154"/>
      <c r="Z10" s="788">
        <f t="shared" si="8"/>
        <v>1.0951552798619999</v>
      </c>
      <c r="AB10" s="145" t="s">
        <v>1352</v>
      </c>
      <c r="AC10" s="145" t="s">
        <v>1354</v>
      </c>
      <c r="AD10" s="146" t="s">
        <v>961</v>
      </c>
      <c r="AE10" s="675">
        <f>_xll.VAData($AB10,AE$3,$AC10,$AD10)</f>
        <v>8.3845126476724001</v>
      </c>
      <c r="AF10" s="675">
        <f>_xll.VAData($AB10,AF$3,$AC10,$AD10)</f>
        <v>2.153665526842</v>
      </c>
      <c r="AG10" s="675">
        <f>_xll.VAData($AB10,AG$3,$AC10,$AD10)</f>
        <v>2.0998424008345999</v>
      </c>
      <c r="AH10" s="675">
        <f>_xll.VAData($AB10,AH$3,$AC10,$AD10)</f>
        <v>1.6207810412423</v>
      </c>
      <c r="AI10" s="675">
        <f>_xll.VAData($AB10,AI$3,$AC10,$AD10)</f>
        <v>0.77139692597169995</v>
      </c>
      <c r="AJ10" s="675">
        <f>_xll.VAData($AB10,AJ$3,$AC10,$AD10)</f>
        <v>0.45554786200809999</v>
      </c>
      <c r="AK10" s="675">
        <f>_xll.VAData($AB10,AK$3,$AC10,$AD10)</f>
        <v>0.96750946293630002</v>
      </c>
      <c r="AL10" s="675">
        <f>_xll.VAData($AB10,AL$3,$AC10,$AD10)</f>
        <v>1.1988543233810001</v>
      </c>
      <c r="AM10" s="675">
        <f>_xll.VAData($AB10,AM$3,$AC10,$AD10)</f>
        <v>1.5605088045514</v>
      </c>
      <c r="AN10" s="675">
        <f>_xll.VAData($AB10,AN$3,$AC10,$AD10)</f>
        <v>1.5439383741132</v>
      </c>
      <c r="AO10" s="675">
        <f>_xll.VAData($AB10,AO$3,$AC10,$AD10)</f>
        <v>2.2635658353807999</v>
      </c>
      <c r="AP10" s="675">
        <f>_xll.VAData($AB10,AP$3,$AC10,$AD10)</f>
        <v>1.5514493513826</v>
      </c>
      <c r="AQ10" s="676"/>
      <c r="AR10" s="677">
        <v>8.3845126476724001</v>
      </c>
      <c r="AS10" s="677">
        <v>2.0859561892770002</v>
      </c>
      <c r="AT10" s="677">
        <v>2.0998424008345999</v>
      </c>
      <c r="AU10" s="677">
        <v>1.6207810412423</v>
      </c>
      <c r="AV10" s="677">
        <v>0.77139692597169995</v>
      </c>
      <c r="AW10" s="677">
        <v>0.45554786200809999</v>
      </c>
      <c r="AX10" s="677">
        <v>0.96750946293630002</v>
      </c>
      <c r="AY10" s="677">
        <v>1.1988543233810001</v>
      </c>
      <c r="AZ10" s="677">
        <v>1.0951552798619999</v>
      </c>
      <c r="BA10" s="677">
        <v>1.4429444125369</v>
      </c>
      <c r="BB10" s="677">
        <v>1.8759807347954001</v>
      </c>
      <c r="BC10" s="677">
        <v>1.7358624356746</v>
      </c>
      <c r="BD10" s="676"/>
      <c r="BE10" s="678">
        <f t="shared" si="9"/>
        <v>-8.3845126476724001</v>
      </c>
      <c r="BF10" s="678">
        <f t="shared" si="9"/>
        <v>-2.0859561892770002</v>
      </c>
      <c r="BG10" s="678">
        <f t="shared" si="9"/>
        <v>0.10015759916540024</v>
      </c>
      <c r="BH10" s="678">
        <f t="shared" si="9"/>
        <v>-2.0781041242300402E-2</v>
      </c>
      <c r="BI10" s="678">
        <f t="shared" si="9"/>
        <v>0.12860307402830007</v>
      </c>
      <c r="BJ10" s="678">
        <f t="shared" si="9"/>
        <v>4.4452137991899898E-2</v>
      </c>
      <c r="BK10" s="678">
        <f t="shared" si="9"/>
        <v>0.93249053706369989</v>
      </c>
      <c r="BL10" s="678">
        <f t="shared" si="9"/>
        <v>0.80114567661899994</v>
      </c>
      <c r="BM10" s="678">
        <f t="shared" si="9"/>
        <v>1.6048447201380003</v>
      </c>
      <c r="BN10" s="678">
        <f t="shared" si="9"/>
        <v>1.0570555874631</v>
      </c>
      <c r="BO10" s="678">
        <f t="shared" si="9"/>
        <v>1.4262360570171075</v>
      </c>
      <c r="BP10" s="678">
        <f t="shared" si="9"/>
        <v>0.74183283839605618</v>
      </c>
      <c r="BT10" s="155" t="s">
        <v>1518</v>
      </c>
      <c r="BU10" s="156"/>
      <c r="BV10" s="156">
        <f>FY!D183</f>
        <v>3.8</v>
      </c>
      <c r="BW10" s="156">
        <f>FY!E183</f>
        <v>1.4</v>
      </c>
      <c r="BX10" s="156">
        <f>FY!F183</f>
        <v>3.9</v>
      </c>
      <c r="BY10" s="156">
        <f>FY!G183</f>
        <v>5.2</v>
      </c>
      <c r="BZ10" s="156">
        <f>FY!H183</f>
        <v>5.7799120658831633</v>
      </c>
      <c r="CA10" s="156">
        <f>FY!I183</f>
        <v>6.188939794762204</v>
      </c>
      <c r="CB10" s="156">
        <f>FY!J183</f>
        <v>6.213802180636014</v>
      </c>
      <c r="CC10" s="156">
        <f>FY!K183</f>
        <v>6.5991126623420584</v>
      </c>
      <c r="CD10" s="156"/>
      <c r="CE10" s="692">
        <f t="shared" si="10"/>
        <v>3.9</v>
      </c>
      <c r="CF10" s="156"/>
      <c r="CG10" s="693">
        <f t="shared" si="11"/>
        <v>-1</v>
      </c>
      <c r="CH10" s="692">
        <f t="shared" si="12"/>
        <v>5.2</v>
      </c>
      <c r="CI10" s="693">
        <f t="shared" si="13"/>
        <v>-1</v>
      </c>
      <c r="CJ10" s="692">
        <f t="shared" si="14"/>
        <v>2.9258617640018998</v>
      </c>
      <c r="CK10" s="693">
        <f t="shared" si="15"/>
        <v>-1</v>
      </c>
      <c r="CL10" s="157"/>
      <c r="CM10" s="154"/>
      <c r="CN10" s="764">
        <f t="shared" si="16"/>
        <v>2.9258617640018998</v>
      </c>
      <c r="CP10" s="145" t="s">
        <v>1352</v>
      </c>
      <c r="CQ10" s="145" t="s">
        <v>1354</v>
      </c>
      <c r="CR10" s="146" t="s">
        <v>961</v>
      </c>
      <c r="CS10" s="675">
        <f>_xll.VAData($AB10,CS$3,$AC10,$AD10)</f>
        <v>16.288372511124098</v>
      </c>
      <c r="CT10" s="675">
        <f>_xll.VAData($AB10,CT$3,$AC10,$AD10)</f>
        <v>3.7174229395423</v>
      </c>
      <c r="CU10" s="675">
        <f>_xll.VAData($AB10,CU$3,$AC10,$AD10)</f>
        <v>1.2266713397003</v>
      </c>
      <c r="CV10" s="675">
        <f>_xll.VAData($AB10,CV$3,$AC10,$AD10)</f>
        <v>2.1570507233746001</v>
      </c>
      <c r="CW10" s="675">
        <f>_xll.VAData($AB10,CW$3,$AC10,$AD10)</f>
        <v>3.0560928433268999</v>
      </c>
      <c r="CX10" s="675">
        <f>_xll.VAData($AB10,CX$3,$AC10,$AD10)</f>
        <v>3.8066274498818999</v>
      </c>
      <c r="CY10" s="675">
        <f>_xll.VAData($AB10,CY$3,$AC10,$AD10)</f>
        <v>4.3149055700811001</v>
      </c>
      <c r="CZ10" s="675">
        <f>_xll.VAData($AB10,CZ$3,$AC10,$AD10)</f>
        <v>4.9247770031006004</v>
      </c>
      <c r="DA10" s="675">
        <f>_xll.VAData($AB10,DA$3,$AC10,$AD10)</f>
        <v>5.5418836493606998</v>
      </c>
      <c r="DB10" s="676"/>
      <c r="DC10" s="677">
        <v>16.288372511124098</v>
      </c>
      <c r="DD10" s="677">
        <v>3.7174229395423</v>
      </c>
      <c r="DE10" s="677">
        <v>1.2266713397003</v>
      </c>
      <c r="DF10" s="677">
        <v>2.1570507233746001</v>
      </c>
      <c r="DG10" s="677">
        <v>2.9258617640018998</v>
      </c>
      <c r="DH10" s="677">
        <v>3.7081348014311</v>
      </c>
      <c r="DI10" s="677">
        <v>4.3047674758454999</v>
      </c>
      <c r="DJ10" s="677">
        <v>4.9130597383580996</v>
      </c>
      <c r="DK10" s="677">
        <v>5.4737281959952</v>
      </c>
      <c r="DL10" s="676"/>
      <c r="DM10" s="678"/>
      <c r="DN10" s="678">
        <f>BV10-DD10</f>
        <v>8.2577060457699858E-2</v>
      </c>
      <c r="DO10" s="678">
        <f t="shared" si="17"/>
        <v>0.17332866029969995</v>
      </c>
      <c r="DP10" s="678">
        <f t="shared" si="17"/>
        <v>1.7429492766253998</v>
      </c>
      <c r="DQ10" s="678">
        <f t="shared" si="18"/>
        <v>2.2741382359981004</v>
      </c>
      <c r="DR10" s="678">
        <f t="shared" si="19"/>
        <v>2.0717772644520633</v>
      </c>
      <c r="DS10" s="678">
        <f t="shared" si="20"/>
        <v>1.8841723189167041</v>
      </c>
      <c r="DT10" s="678">
        <f t="shared" si="21"/>
        <v>1.3007424422779144</v>
      </c>
      <c r="DU10" s="678">
        <f t="shared" si="22"/>
        <v>1.1253844663468584</v>
      </c>
    </row>
    <row r="11" spans="3:125" collapsed="1">
      <c r="C11" s="155" t="s">
        <v>90</v>
      </c>
      <c r="D11" s="156"/>
      <c r="E11" s="156"/>
      <c r="F11" s="156">
        <f>HY!O527</f>
        <v>1.3</v>
      </c>
      <c r="G11" s="156">
        <f>HY!P527</f>
        <v>0.99999999999999978</v>
      </c>
      <c r="H11" s="156">
        <f>HY!Q527</f>
        <v>1</v>
      </c>
      <c r="I11" s="156">
        <f>HY!R527</f>
        <v>0.30000000000000004</v>
      </c>
      <c r="J11" s="156">
        <f>HY!S527</f>
        <v>1</v>
      </c>
      <c r="K11" s="156">
        <f>HY!T527</f>
        <v>1</v>
      </c>
      <c r="L11" s="156">
        <f>HY!U527</f>
        <v>1.5</v>
      </c>
      <c r="M11" s="156">
        <f>HY!V527</f>
        <v>1.5</v>
      </c>
      <c r="N11" s="156">
        <f>HY!W527</f>
        <v>1.6</v>
      </c>
      <c r="O11" s="156">
        <f>HY!X527</f>
        <v>1.6</v>
      </c>
      <c r="P11" s="156"/>
      <c r="Q11" s="692">
        <f t="shared" si="2"/>
        <v>1</v>
      </c>
      <c r="R11" s="156">
        <v>1.5</v>
      </c>
      <c r="S11" s="693">
        <f t="shared" si="3"/>
        <v>0.5</v>
      </c>
      <c r="T11" s="692">
        <f t="shared" si="4"/>
        <v>1.5</v>
      </c>
      <c r="U11" s="693">
        <f t="shared" si="5"/>
        <v>0</v>
      </c>
      <c r="V11" s="692">
        <f t="shared" si="6"/>
        <v>0.83459619545099994</v>
      </c>
      <c r="W11" s="693">
        <f t="shared" si="7"/>
        <v>0.79727634534618086</v>
      </c>
      <c r="X11" s="157"/>
      <c r="Y11" s="154"/>
      <c r="Z11" s="788">
        <f t="shared" si="8"/>
        <v>0.83459619545099994</v>
      </c>
      <c r="AB11" s="145" t="s">
        <v>1352</v>
      </c>
      <c r="AC11" s="145" t="s">
        <v>969</v>
      </c>
      <c r="AD11" s="146" t="s">
        <v>961</v>
      </c>
      <c r="AE11" s="675">
        <f>_xll.VAData($AB11,AE$3,$AC11,$AD11)</f>
        <v>6.5</v>
      </c>
      <c r="AF11" s="675">
        <f>_xll.VAData($AB11,AF$3,$AC11,$AD11)</f>
        <v>6.5</v>
      </c>
      <c r="AG11" s="675">
        <f>_xll.VAData($AB11,AG$3,$AC11,$AD11)</f>
        <v>1.3</v>
      </c>
      <c r="AH11" s="675">
        <f>_xll.VAData($AB11,AH$3,$AC11,$AD11)</f>
        <v>1</v>
      </c>
      <c r="AI11" s="675">
        <f>_xll.VAData($AB11,AI$3,$AC11,$AD11)</f>
        <v>1</v>
      </c>
      <c r="AJ11" s="675">
        <f>_xll.VAData($AB11,AJ$3,$AC11,$AD11)</f>
        <v>0.3</v>
      </c>
      <c r="AK11" s="675">
        <f>_xll.VAData($AB11,AK$3,$AC11,$AD11)</f>
        <v>1</v>
      </c>
      <c r="AL11" s="675">
        <f>_xll.VAData($AB11,AL$3,$AC11,$AD11)</f>
        <v>1</v>
      </c>
      <c r="AM11" s="675">
        <f>_xll.VAData($AB11,AM$3,$AC11,$AD11)</f>
        <v>1.5</v>
      </c>
      <c r="AN11" s="675">
        <f>_xll.VAData($AB11,AN$3,$AC11,$AD11)</f>
        <v>1.5</v>
      </c>
      <c r="AO11" s="675">
        <f>_xll.VAData($AB11,AO$3,$AC11,$AD11)</f>
        <v>1.7613486410142001</v>
      </c>
      <c r="AP11" s="675">
        <f>_xll.VAData($AB11,AP$3,$AC11,$AD11)</f>
        <v>1.4208592432772</v>
      </c>
      <c r="AQ11" s="676"/>
      <c r="AR11" s="677">
        <v>6.5</v>
      </c>
      <c r="AS11" s="677">
        <v>6.5</v>
      </c>
      <c r="AT11" s="677">
        <v>1.3</v>
      </c>
      <c r="AU11" s="677">
        <v>1</v>
      </c>
      <c r="AV11" s="677">
        <v>1</v>
      </c>
      <c r="AW11" s="677">
        <v>0.3</v>
      </c>
      <c r="AX11" s="677">
        <v>1</v>
      </c>
      <c r="AY11" s="677">
        <v>1</v>
      </c>
      <c r="AZ11" s="677">
        <v>0.83459619545099994</v>
      </c>
      <c r="BA11" s="677">
        <v>1.0175184594908999</v>
      </c>
      <c r="BB11" s="677">
        <v>1.3304096646837</v>
      </c>
      <c r="BC11" s="677">
        <v>1.2327436998681001</v>
      </c>
      <c r="BD11" s="676"/>
      <c r="BE11" s="678">
        <f t="shared" si="9"/>
        <v>-6.5</v>
      </c>
      <c r="BF11" s="678">
        <f t="shared" si="9"/>
        <v>-6.5</v>
      </c>
      <c r="BG11" s="678">
        <f t="shared" si="9"/>
        <v>0</v>
      </c>
      <c r="BH11" s="678">
        <f t="shared" si="9"/>
        <v>0</v>
      </c>
      <c r="BI11" s="678">
        <f t="shared" si="9"/>
        <v>0</v>
      </c>
      <c r="BJ11" s="678">
        <f t="shared" si="9"/>
        <v>0</v>
      </c>
      <c r="BK11" s="678">
        <f t="shared" si="9"/>
        <v>0</v>
      </c>
      <c r="BL11" s="678">
        <f t="shared" si="9"/>
        <v>0</v>
      </c>
      <c r="BM11" s="678">
        <f t="shared" si="9"/>
        <v>0.66540380454900006</v>
      </c>
      <c r="BN11" s="678">
        <f t="shared" si="9"/>
        <v>0.48248154050910008</v>
      </c>
      <c r="BO11" s="678">
        <f t="shared" si="9"/>
        <v>0.26959033531630006</v>
      </c>
      <c r="BP11" s="678">
        <f t="shared" si="9"/>
        <v>0.36725630013190003</v>
      </c>
      <c r="BT11" s="155" t="s">
        <v>90</v>
      </c>
      <c r="BU11" s="156"/>
      <c r="BV11" s="156">
        <f>FY!D186</f>
        <v>2.2999999999999998</v>
      </c>
      <c r="BW11" s="156">
        <f>FY!E186</f>
        <v>1.3</v>
      </c>
      <c r="BX11" s="156">
        <f>FY!F186</f>
        <v>2</v>
      </c>
      <c r="BY11" s="156">
        <f>FY!G186</f>
        <v>3</v>
      </c>
      <c r="BZ11" s="156">
        <f>FY!H186</f>
        <v>3.2</v>
      </c>
      <c r="CA11" s="156">
        <f>FY!I186</f>
        <v>3.2</v>
      </c>
      <c r="CB11" s="156">
        <f>FY!J186</f>
        <v>3.7282813083816082</v>
      </c>
      <c r="CC11" s="156">
        <f>FY!K186</f>
        <v>3.2995563311710292</v>
      </c>
      <c r="CD11" s="156"/>
      <c r="CE11" s="692">
        <f t="shared" si="10"/>
        <v>2</v>
      </c>
      <c r="CF11" s="156">
        <v>3</v>
      </c>
      <c r="CG11" s="693">
        <f t="shared" si="11"/>
        <v>0.5</v>
      </c>
      <c r="CH11" s="692">
        <f t="shared" si="12"/>
        <v>3</v>
      </c>
      <c r="CI11" s="693">
        <f t="shared" si="13"/>
        <v>0</v>
      </c>
      <c r="CJ11" s="692">
        <f t="shared" si="14"/>
        <v>2.6905372640695999</v>
      </c>
      <c r="CK11" s="693">
        <f t="shared" si="15"/>
        <v>0.11501893694730669</v>
      </c>
      <c r="CL11" s="157"/>
      <c r="CM11" s="154"/>
      <c r="CN11" s="764">
        <f t="shared" si="16"/>
        <v>2.6905372640695999</v>
      </c>
      <c r="CP11" s="145" t="s">
        <v>1352</v>
      </c>
      <c r="CQ11" s="145" t="s">
        <v>969</v>
      </c>
      <c r="CR11" s="146" t="s">
        <v>961</v>
      </c>
      <c r="CS11" s="675">
        <f>_xll.VAData($AB11,CS$3,$AC11,$AD11)</f>
        <v>13</v>
      </c>
      <c r="CT11" s="675">
        <f>_xll.VAData($AB11,CT$3,$AC11,$AD11)</f>
        <v>2.2999999999999998</v>
      </c>
      <c r="CU11" s="675">
        <f>_xll.VAData($AB11,CU$3,$AC11,$AD11)</f>
        <v>1.3</v>
      </c>
      <c r="CV11" s="675">
        <f>_xll.VAData($AB11,CV$3,$AC11,$AD11)</f>
        <v>2</v>
      </c>
      <c r="CW11" s="675">
        <f>_xll.VAData($AB11,CW$3,$AC11,$AD11)</f>
        <v>3</v>
      </c>
      <c r="CX11" s="675">
        <f>_xll.VAData($AB11,CX$3,$AC11,$AD11)</f>
        <v>3.3014116861148</v>
      </c>
      <c r="CY11" s="675">
        <f>_xll.VAData($AB11,CY$3,$AC11,$AD11)</f>
        <v>3.5969057927715999</v>
      </c>
      <c r="CZ11" s="675">
        <f>_xll.VAData($AB11,CZ$3,$AC11,$AD11)</f>
        <v>4.0664096246827004</v>
      </c>
      <c r="DA11" s="675">
        <f>_xll.VAData($AB11,DA$3,$AC11,$AD11)</f>
        <v>4.4596902975659001</v>
      </c>
      <c r="DB11" s="676"/>
      <c r="DC11" s="677">
        <v>13</v>
      </c>
      <c r="DD11" s="677">
        <v>2.2999999999999998</v>
      </c>
      <c r="DE11" s="677">
        <v>1.3</v>
      </c>
      <c r="DF11" s="677">
        <v>2</v>
      </c>
      <c r="DG11" s="677">
        <v>2.6905372640695999</v>
      </c>
      <c r="DH11" s="677">
        <v>3.0778477173489001</v>
      </c>
      <c r="DI11" s="677">
        <v>3.2810497180190001</v>
      </c>
      <c r="DJ11" s="677">
        <v>3.6919245739806001</v>
      </c>
      <c r="DK11" s="677">
        <v>4.0219095414953996</v>
      </c>
      <c r="DL11" s="676"/>
      <c r="DM11" s="678"/>
      <c r="DN11" s="678">
        <f t="shared" si="17"/>
        <v>0</v>
      </c>
      <c r="DO11" s="678">
        <f t="shared" si="17"/>
        <v>0</v>
      </c>
      <c r="DP11" s="678">
        <f t="shared" si="17"/>
        <v>0</v>
      </c>
      <c r="DQ11" s="678">
        <f t="shared" si="18"/>
        <v>0.30946273593040008</v>
      </c>
      <c r="DR11" s="678">
        <f t="shared" si="19"/>
        <v>0.12215228265110012</v>
      </c>
      <c r="DS11" s="678">
        <f t="shared" si="20"/>
        <v>-8.1049718018999961E-2</v>
      </c>
      <c r="DT11" s="678">
        <f t="shared" si="21"/>
        <v>3.6356734401008062E-2</v>
      </c>
      <c r="DU11" s="678">
        <f t="shared" si="22"/>
        <v>-0.72235321032437039</v>
      </c>
    </row>
    <row r="12" spans="3:125">
      <c r="D12" s="156"/>
      <c r="E12" s="156"/>
      <c r="F12" s="156"/>
      <c r="G12" s="156"/>
      <c r="H12" s="156"/>
      <c r="I12" s="156"/>
      <c r="J12" s="156"/>
      <c r="K12" s="156"/>
      <c r="L12" s="156"/>
      <c r="M12" s="156"/>
      <c r="N12" s="156"/>
      <c r="O12" s="156"/>
      <c r="P12" s="156"/>
      <c r="Q12" s="156"/>
      <c r="R12" s="156"/>
      <c r="S12" s="157"/>
      <c r="T12" s="156"/>
      <c r="U12" s="157"/>
      <c r="V12" s="156"/>
      <c r="W12" s="157"/>
      <c r="X12" s="157"/>
      <c r="Y12" s="154"/>
      <c r="Z12" s="683"/>
      <c r="AR12" s="683"/>
      <c r="AS12" s="683"/>
      <c r="AT12" s="683"/>
      <c r="AU12" s="683"/>
      <c r="AV12" s="683"/>
      <c r="AW12" s="683"/>
      <c r="AX12" s="683"/>
      <c r="AY12" s="683"/>
      <c r="AZ12" s="683"/>
      <c r="BA12" s="683"/>
      <c r="BB12" s="683"/>
      <c r="BC12" s="683"/>
      <c r="BE12" s="683"/>
      <c r="BF12" s="683"/>
      <c r="BG12" s="683"/>
      <c r="BH12" s="683"/>
      <c r="BI12" s="683"/>
      <c r="BJ12" s="683"/>
      <c r="BK12" s="683"/>
      <c r="BL12" s="683"/>
      <c r="BM12" s="683"/>
      <c r="BN12" s="683"/>
      <c r="BO12" s="683"/>
      <c r="BP12" s="683"/>
      <c r="BT12" s="155"/>
      <c r="BU12" s="156"/>
      <c r="BV12" s="156"/>
      <c r="BW12" s="156"/>
      <c r="BX12" s="156"/>
      <c r="BY12" s="156"/>
      <c r="BZ12" s="156"/>
      <c r="CA12" s="156"/>
      <c r="CB12" s="156"/>
      <c r="CC12" s="156"/>
      <c r="CD12" s="156"/>
      <c r="CE12" s="156"/>
      <c r="CF12" s="156"/>
      <c r="CG12" s="157"/>
      <c r="CH12" s="156"/>
      <c r="CI12" s="157"/>
      <c r="CJ12" s="156"/>
      <c r="CK12" s="157"/>
      <c r="CL12" s="157"/>
      <c r="CM12" s="154"/>
      <c r="CN12" s="683"/>
      <c r="DC12" s="683"/>
      <c r="DD12" s="683"/>
      <c r="DE12" s="683"/>
      <c r="DF12" s="683"/>
      <c r="DG12" s="683"/>
      <c r="DH12" s="683"/>
      <c r="DI12" s="683"/>
      <c r="DJ12" s="683"/>
      <c r="DK12" s="683"/>
      <c r="DM12" s="683"/>
      <c r="DN12" s="683"/>
      <c r="DO12" s="683"/>
      <c r="DP12" s="683"/>
      <c r="DQ12" s="683"/>
      <c r="DR12" s="683"/>
      <c r="DS12" s="683"/>
      <c r="DT12" s="683"/>
      <c r="DU12" s="683"/>
    </row>
    <row r="13" spans="3:125" s="665" customFormat="1" ht="20.100000000000001" customHeight="1">
      <c r="C13" s="663" t="s">
        <v>1606</v>
      </c>
      <c r="D13" s="664"/>
      <c r="E13" s="664"/>
      <c r="F13" s="664"/>
      <c r="G13" s="664"/>
      <c r="H13" s="664"/>
      <c r="I13" s="664"/>
      <c r="J13" s="664"/>
      <c r="K13" s="664"/>
      <c r="L13" s="664"/>
      <c r="M13" s="664"/>
      <c r="N13" s="664"/>
      <c r="O13" s="664"/>
      <c r="P13" s="664"/>
      <c r="Q13" s="664"/>
      <c r="R13" s="664"/>
      <c r="S13" s="664"/>
      <c r="T13" s="664"/>
      <c r="U13" s="664"/>
      <c r="V13" s="664"/>
      <c r="W13" s="664"/>
      <c r="X13" s="664"/>
      <c r="Y13" s="664"/>
      <c r="Z13" s="684"/>
      <c r="AR13" s="684"/>
      <c r="AS13" s="684"/>
      <c r="AT13" s="684"/>
      <c r="AU13" s="684"/>
      <c r="AV13" s="684"/>
      <c r="AW13" s="684"/>
      <c r="AX13" s="684"/>
      <c r="AY13" s="684"/>
      <c r="AZ13" s="684"/>
      <c r="BA13" s="684"/>
      <c r="BB13" s="684"/>
      <c r="BC13" s="684"/>
      <c r="BE13" s="684"/>
      <c r="BF13" s="684"/>
      <c r="BG13" s="684"/>
      <c r="BH13" s="684"/>
      <c r="BI13" s="684"/>
      <c r="BJ13" s="684"/>
      <c r="BK13" s="684"/>
      <c r="BL13" s="684"/>
      <c r="BM13" s="684"/>
      <c r="BN13" s="684"/>
      <c r="BO13" s="684"/>
      <c r="BP13" s="684"/>
      <c r="BT13" s="663" t="s">
        <v>1642</v>
      </c>
      <c r="BU13" s="664"/>
      <c r="BV13" s="664"/>
      <c r="BW13" s="664"/>
      <c r="BX13" s="664"/>
      <c r="BY13" s="664"/>
      <c r="BZ13" s="664"/>
      <c r="CA13" s="664"/>
      <c r="CB13" s="664"/>
      <c r="CC13" s="664"/>
      <c r="CD13" s="664"/>
      <c r="CE13" s="664"/>
      <c r="CF13" s="664"/>
      <c r="CG13" s="664"/>
      <c r="CH13" s="664"/>
      <c r="CI13" s="664"/>
      <c r="CJ13" s="664"/>
      <c r="CK13" s="664"/>
      <c r="CL13" s="664"/>
      <c r="CM13" s="664"/>
      <c r="CN13" s="684"/>
      <c r="DC13" s="684"/>
      <c r="DD13" s="684"/>
      <c r="DE13" s="684"/>
      <c r="DF13" s="684"/>
      <c r="DG13" s="684"/>
      <c r="DH13" s="684"/>
      <c r="DI13" s="684"/>
      <c r="DJ13" s="684"/>
      <c r="DK13" s="684"/>
      <c r="DM13" s="684"/>
      <c r="DN13" s="684"/>
      <c r="DO13" s="684"/>
      <c r="DP13" s="684"/>
      <c r="DQ13" s="684"/>
      <c r="DR13" s="684"/>
      <c r="DS13" s="684"/>
      <c r="DT13" s="684"/>
      <c r="DU13" s="684"/>
    </row>
    <row r="14" spans="3:125" ht="30" customHeight="1">
      <c r="C14" s="149"/>
      <c r="D14" s="269" t="str">
        <f>D$3</f>
        <v>1H22A</v>
      </c>
      <c r="E14" s="269" t="str">
        <f>E$3</f>
        <v>2H22A</v>
      </c>
      <c r="F14" s="269" t="str">
        <f>F$3</f>
        <v>1H23A</v>
      </c>
      <c r="G14" s="269" t="str">
        <f t="shared" ref="G14:W14" si="23">G$3</f>
        <v>2H23A</v>
      </c>
      <c r="H14" s="269" t="str">
        <f t="shared" si="23"/>
        <v>1H24A</v>
      </c>
      <c r="I14" s="269" t="str">
        <f t="shared" si="23"/>
        <v>2H24E</v>
      </c>
      <c r="J14" s="269" t="str">
        <f t="shared" si="23"/>
        <v>1H25E</v>
      </c>
      <c r="K14" s="269" t="str">
        <f t="shared" si="23"/>
        <v>2H25E</v>
      </c>
      <c r="L14" s="269" t="str">
        <f t="shared" si="23"/>
        <v>1H26E</v>
      </c>
      <c r="M14" s="269" t="str">
        <f t="shared" si="23"/>
        <v>2H26E</v>
      </c>
      <c r="N14" s="269" t="str">
        <f t="shared" si="23"/>
        <v>1H27E</v>
      </c>
      <c r="O14" s="269" t="str">
        <f t="shared" si="23"/>
        <v>2H27E</v>
      </c>
      <c r="P14" s="674"/>
      <c r="Q14" s="688" t="str">
        <f>Q$3</f>
        <v>1H25A</v>
      </c>
      <c r="R14" s="149" t="str">
        <f t="shared" si="23"/>
        <v>1H26A</v>
      </c>
      <c r="S14" s="689" t="str">
        <f t="shared" si="23"/>
        <v>% change</v>
      </c>
      <c r="T14" s="694" t="str">
        <f t="shared" si="23"/>
        <v>E&amp;Pe 1H26E</v>
      </c>
      <c r="U14" s="689" t="str">
        <f t="shared" si="23"/>
        <v>% diff</v>
      </c>
      <c r="V14" s="694" t="str">
        <f t="shared" si="23"/>
        <v>VA Cons. 1H26E</v>
      </c>
      <c r="W14" s="695" t="str">
        <f t="shared" si="23"/>
        <v>% diff</v>
      </c>
      <c r="X14" s="271"/>
      <c r="Z14" s="685" t="s">
        <v>965</v>
      </c>
      <c r="AB14" s="144"/>
      <c r="AC14" s="144"/>
      <c r="AD14" s="144"/>
      <c r="AE14" s="270" t="s">
        <v>845</v>
      </c>
      <c r="AF14" s="270" t="s">
        <v>962</v>
      </c>
      <c r="AG14" s="270" t="s">
        <v>851</v>
      </c>
      <c r="AH14" s="270" t="s">
        <v>852</v>
      </c>
      <c r="AI14" s="270" t="s">
        <v>963</v>
      </c>
      <c r="AJ14" s="270" t="s">
        <v>964</v>
      </c>
      <c r="AK14" s="270" t="s">
        <v>965</v>
      </c>
      <c r="AL14" s="270" t="s">
        <v>966</v>
      </c>
      <c r="AM14" s="270" t="s">
        <v>1065</v>
      </c>
      <c r="AN14" s="270" t="s">
        <v>1066</v>
      </c>
      <c r="AO14" s="270" t="s">
        <v>1067</v>
      </c>
      <c r="AP14" s="270" t="s">
        <v>1068</v>
      </c>
      <c r="AR14" s="685" t="s">
        <v>845</v>
      </c>
      <c r="AS14" s="685" t="s">
        <v>962</v>
      </c>
      <c r="AT14" s="685" t="s">
        <v>851</v>
      </c>
      <c r="AU14" s="685" t="s">
        <v>852</v>
      </c>
      <c r="AV14" s="685" t="s">
        <v>963</v>
      </c>
      <c r="AW14" s="685" t="s">
        <v>964</v>
      </c>
      <c r="AX14" s="685" t="s">
        <v>965</v>
      </c>
      <c r="AY14" s="685" t="s">
        <v>966</v>
      </c>
      <c r="AZ14" s="685" t="s">
        <v>1065</v>
      </c>
      <c r="BA14" s="685" t="s">
        <v>1066</v>
      </c>
      <c r="BB14" s="685" t="s">
        <v>1067</v>
      </c>
      <c r="BC14" s="685" t="s">
        <v>1068</v>
      </c>
      <c r="BE14" s="685" t="s">
        <v>845</v>
      </c>
      <c r="BF14" s="685" t="s">
        <v>962</v>
      </c>
      <c r="BG14" s="685" t="s">
        <v>851</v>
      </c>
      <c r="BH14" s="685" t="s">
        <v>852</v>
      </c>
      <c r="BI14" s="685" t="s">
        <v>963</v>
      </c>
      <c r="BJ14" s="685" t="s">
        <v>964</v>
      </c>
      <c r="BK14" s="685" t="s">
        <v>965</v>
      </c>
      <c r="BL14" s="685" t="s">
        <v>966</v>
      </c>
      <c r="BM14" s="685" t="s">
        <v>1065</v>
      </c>
      <c r="BN14" s="685" t="s">
        <v>1066</v>
      </c>
      <c r="BO14" s="685" t="s">
        <v>1067</v>
      </c>
      <c r="BP14" s="685" t="s">
        <v>1068</v>
      </c>
      <c r="BT14" s="149"/>
      <c r="BU14" s="269" t="str">
        <f>BU$3</f>
        <v>FY22A</v>
      </c>
      <c r="BV14" s="269" t="str">
        <f>BV$3</f>
        <v>FY23A</v>
      </c>
      <c r="BW14" s="269" t="str">
        <f t="shared" ref="BW14:CK14" si="24">BW$3</f>
        <v>FY24A</v>
      </c>
      <c r="BX14" s="269" t="str">
        <f t="shared" si="24"/>
        <v>FY25E</v>
      </c>
      <c r="BY14" s="269" t="str">
        <f t="shared" si="24"/>
        <v>FY26E</v>
      </c>
      <c r="BZ14" s="269" t="str">
        <f t="shared" si="24"/>
        <v>FY27E</v>
      </c>
      <c r="CA14" s="269" t="str">
        <f t="shared" si="24"/>
        <v>FY28E</v>
      </c>
      <c r="CB14" s="269" t="str">
        <f t="shared" si="24"/>
        <v>FY29E</v>
      </c>
      <c r="CC14" s="269" t="str">
        <f t="shared" si="24"/>
        <v>FY30E</v>
      </c>
      <c r="CD14" s="674"/>
      <c r="CE14" s="688" t="str">
        <f t="shared" si="24"/>
        <v>FY25A</v>
      </c>
      <c r="CF14" s="149" t="str">
        <f t="shared" si="24"/>
        <v>FY26A</v>
      </c>
      <c r="CG14" s="689" t="str">
        <f t="shared" si="24"/>
        <v>% change</v>
      </c>
      <c r="CH14" s="694" t="str">
        <f t="shared" si="24"/>
        <v>E&amp;Pe FY26E</v>
      </c>
      <c r="CI14" s="689" t="str">
        <f t="shared" si="24"/>
        <v>% diff</v>
      </c>
      <c r="CJ14" s="694" t="str">
        <f t="shared" si="24"/>
        <v>VA Cons. FY26E</v>
      </c>
      <c r="CK14" s="695" t="str">
        <f t="shared" si="24"/>
        <v>% diff</v>
      </c>
      <c r="CL14" s="271"/>
      <c r="CN14" s="270" t="str">
        <f>DG14</f>
        <v>FY26</v>
      </c>
      <c r="CP14" s="144"/>
      <c r="CQ14" s="144"/>
      <c r="CR14" s="144"/>
      <c r="CS14" s="270" t="s">
        <v>843</v>
      </c>
      <c r="CT14" s="270" t="s">
        <v>844</v>
      </c>
      <c r="CU14" s="270" t="s">
        <v>1379</v>
      </c>
      <c r="CV14" s="270" t="s">
        <v>1380</v>
      </c>
      <c r="CW14" s="270" t="s">
        <v>1381</v>
      </c>
      <c r="CX14" s="270" t="s">
        <v>1382</v>
      </c>
      <c r="CY14" s="270" t="s">
        <v>1382</v>
      </c>
      <c r="CZ14" s="270" t="s">
        <v>1382</v>
      </c>
      <c r="DA14" s="270" t="s">
        <v>1382</v>
      </c>
      <c r="DC14" s="270" t="s">
        <v>843</v>
      </c>
      <c r="DD14" s="270" t="s">
        <v>844</v>
      </c>
      <c r="DE14" s="270" t="s">
        <v>1379</v>
      </c>
      <c r="DF14" s="270" t="s">
        <v>1380</v>
      </c>
      <c r="DG14" s="270" t="s">
        <v>1381</v>
      </c>
      <c r="DH14" s="270" t="s">
        <v>1382</v>
      </c>
      <c r="DI14" s="270" t="s">
        <v>1382</v>
      </c>
      <c r="DJ14" s="270" t="s">
        <v>1382</v>
      </c>
      <c r="DK14" s="270" t="s">
        <v>1382</v>
      </c>
      <c r="DM14" s="270" t="s">
        <v>843</v>
      </c>
      <c r="DN14" s="270" t="s">
        <v>844</v>
      </c>
      <c r="DO14" s="270" t="s">
        <v>1379</v>
      </c>
      <c r="DP14" s="270" t="s">
        <v>1380</v>
      </c>
      <c r="DQ14" s="270" t="s">
        <v>1381</v>
      </c>
      <c r="DR14" s="270" t="s">
        <v>1382</v>
      </c>
      <c r="DS14" s="270" t="s">
        <v>1480</v>
      </c>
      <c r="DT14" s="270" t="s">
        <v>1481</v>
      </c>
      <c r="DU14" s="270" t="s">
        <v>1482</v>
      </c>
    </row>
    <row r="15" spans="3:125">
      <c r="C15" s="155"/>
      <c r="D15" s="156"/>
      <c r="E15" s="156"/>
      <c r="F15" s="156"/>
      <c r="G15" s="156"/>
      <c r="H15" s="156"/>
      <c r="I15" s="156"/>
      <c r="J15" s="156"/>
      <c r="K15" s="156"/>
      <c r="L15" s="156"/>
      <c r="M15" s="156"/>
      <c r="N15" s="156"/>
      <c r="O15" s="156"/>
      <c r="P15" s="156"/>
      <c r="Q15" s="692"/>
      <c r="R15" s="156"/>
      <c r="S15" s="693"/>
      <c r="T15" s="692"/>
      <c r="U15" s="693"/>
      <c r="V15" s="692"/>
      <c r="W15" s="693"/>
      <c r="X15" s="157"/>
      <c r="Y15" s="154"/>
      <c r="Z15" s="683"/>
      <c r="AR15" s="683"/>
      <c r="AS15" s="683"/>
      <c r="AT15" s="683"/>
      <c r="AU15" s="683"/>
      <c r="AV15" s="683"/>
      <c r="AW15" s="683"/>
      <c r="AX15" s="683"/>
      <c r="AY15" s="683"/>
      <c r="AZ15" s="683"/>
      <c r="BA15" s="683"/>
      <c r="BB15" s="683"/>
      <c r="BC15" s="683"/>
      <c r="BE15" s="683"/>
      <c r="BF15" s="683"/>
      <c r="BG15" s="683"/>
      <c r="BH15" s="683"/>
      <c r="BI15" s="683"/>
      <c r="BJ15" s="683"/>
      <c r="BK15" s="683"/>
      <c r="BL15" s="683"/>
      <c r="BM15" s="683"/>
      <c r="BN15" s="683"/>
      <c r="BO15" s="683"/>
      <c r="BP15" s="683"/>
      <c r="BT15" s="155"/>
      <c r="BU15" s="156"/>
      <c r="BV15" s="156"/>
      <c r="BW15" s="156"/>
      <c r="BX15" s="156"/>
      <c r="BY15" s="156"/>
      <c r="BZ15" s="156"/>
      <c r="CA15" s="156"/>
      <c r="CB15" s="156"/>
      <c r="CC15" s="156"/>
      <c r="CD15" s="156"/>
      <c r="CE15" s="692"/>
      <c r="CF15" s="156"/>
      <c r="CG15" s="693"/>
      <c r="CH15" s="692"/>
      <c r="CI15" s="693"/>
      <c r="CJ15" s="692"/>
      <c r="CK15" s="693"/>
      <c r="CL15" s="157"/>
      <c r="CM15" s="154"/>
      <c r="CN15" s="683"/>
      <c r="CW15" s="847">
        <f>CX17-20</f>
        <v>2500.67527364948</v>
      </c>
      <c r="DC15" s="683"/>
      <c r="DD15" s="683"/>
      <c r="DE15" s="683"/>
      <c r="DF15" s="683"/>
      <c r="DG15" s="683"/>
      <c r="DH15" s="683"/>
      <c r="DI15" s="683"/>
      <c r="DJ15" s="683"/>
      <c r="DK15" s="683"/>
      <c r="DM15" s="683"/>
      <c r="DN15" s="683"/>
      <c r="DO15" s="683"/>
      <c r="DP15" s="683"/>
      <c r="DQ15" s="683"/>
      <c r="DR15" s="683"/>
      <c r="DS15" s="683"/>
      <c r="DT15" s="683"/>
      <c r="DU15" s="683"/>
    </row>
    <row r="16" spans="3:125">
      <c r="C16" s="152" t="s">
        <v>894</v>
      </c>
      <c r="D16" s="151"/>
      <c r="E16" s="151"/>
      <c r="F16" s="151"/>
      <c r="G16" s="151"/>
      <c r="H16" s="151"/>
      <c r="I16" s="151"/>
      <c r="J16" s="151"/>
      <c r="K16" s="151"/>
      <c r="L16" s="151"/>
      <c r="M16" s="151"/>
      <c r="N16" s="151"/>
      <c r="O16" s="151"/>
      <c r="P16" s="151"/>
      <c r="Q16" s="690"/>
      <c r="R16" s="151"/>
      <c r="S16" s="691"/>
      <c r="T16" s="690"/>
      <c r="U16" s="691"/>
      <c r="V16" s="690"/>
      <c r="W16" s="691"/>
      <c r="X16" s="151"/>
      <c r="Z16" s="676"/>
      <c r="AB16" s="144"/>
      <c r="AC16" s="144"/>
      <c r="AD16" s="144"/>
      <c r="AR16" s="676"/>
      <c r="AS16" s="676"/>
      <c r="AT16" s="676"/>
      <c r="AU16" s="676"/>
      <c r="AV16" s="676"/>
      <c r="AW16" s="676"/>
      <c r="AX16" s="676"/>
      <c r="AY16" s="676"/>
      <c r="AZ16" s="676"/>
      <c r="BA16" s="676"/>
      <c r="BB16" s="676"/>
      <c r="BC16" s="676"/>
      <c r="BE16" s="676"/>
      <c r="BF16" s="676"/>
      <c r="BG16" s="676"/>
      <c r="BH16" s="676"/>
      <c r="BI16" s="676"/>
      <c r="BJ16" s="676"/>
      <c r="BK16" s="676"/>
      <c r="BL16" s="676"/>
      <c r="BM16" s="676"/>
      <c r="BN16" s="676"/>
      <c r="BO16" s="676"/>
      <c r="BP16" s="676"/>
      <c r="BT16" s="152" t="s">
        <v>894</v>
      </c>
      <c r="BU16" s="151"/>
      <c r="BV16" s="151"/>
      <c r="BW16" s="151"/>
      <c r="BX16" s="151"/>
      <c r="BY16" s="151"/>
      <c r="BZ16" s="151"/>
      <c r="CA16" s="151"/>
      <c r="CB16" s="151"/>
      <c r="CC16" s="151"/>
      <c r="CD16" s="151"/>
      <c r="CE16" s="690"/>
      <c r="CF16" s="151"/>
      <c r="CG16" s="691"/>
      <c r="CH16" s="690"/>
      <c r="CI16" s="691"/>
      <c r="CJ16" s="690"/>
      <c r="CK16" s="691"/>
      <c r="CL16" s="151"/>
      <c r="CN16" s="676"/>
      <c r="CP16" s="144"/>
      <c r="CQ16" s="144"/>
      <c r="CR16" s="144"/>
      <c r="CW16" s="845">
        <f>CW15/CW17-1</f>
        <v>1.8729487778335496E-2</v>
      </c>
      <c r="CX16" s="846">
        <f>CX17/CW17-1</f>
        <v>2.6877122927233543E-2</v>
      </c>
      <c r="CY16" s="846">
        <f t="shared" ref="CY16:CZ16" si="25">CY17/CX17-1</f>
        <v>2.5503622042063023E-2</v>
      </c>
      <c r="CZ16" s="846">
        <f t="shared" si="25"/>
        <v>1.8435089427512485E-2</v>
      </c>
      <c r="DC16" s="676"/>
      <c r="DD16" s="676"/>
      <c r="DE16" s="676"/>
      <c r="DF16" s="676"/>
      <c r="DG16" s="676"/>
      <c r="DH16" s="676">
        <v>2.7909579965302633E-2</v>
      </c>
      <c r="DI16" s="676">
        <v>2.4634794510233426E-2</v>
      </c>
      <c r="DJ16" s="676">
        <v>2.1579665698062467E-2</v>
      </c>
      <c r="DK16" s="676"/>
      <c r="DM16" s="676"/>
      <c r="DN16" s="676"/>
      <c r="DO16" s="676"/>
      <c r="DP16" s="676"/>
      <c r="DQ16" s="676"/>
      <c r="DR16" s="676"/>
      <c r="DS16" s="676"/>
      <c r="DT16" s="676"/>
      <c r="DU16" s="676"/>
    </row>
    <row r="17" spans="3:125">
      <c r="C17" s="673" t="s">
        <v>1226</v>
      </c>
      <c r="D17" s="156">
        <f>HY!M268</f>
        <v>1073.4000000000001</v>
      </c>
      <c r="E17" s="156">
        <f>HY!N268</f>
        <v>1108.5</v>
      </c>
      <c r="F17" s="156">
        <f>HY!O268</f>
        <v>1165.7</v>
      </c>
      <c r="G17" s="156">
        <f>HY!P268</f>
        <v>1065.1000000000001</v>
      </c>
      <c r="H17" s="156">
        <f>HY!Q268</f>
        <v>1116.5999999999999</v>
      </c>
      <c r="I17" s="156">
        <f>HY!R268</f>
        <v>1046.2000000000003</v>
      </c>
      <c r="J17" s="156">
        <f>HY!S268</f>
        <v>1243.2</v>
      </c>
      <c r="K17" s="156">
        <f>HY!T268</f>
        <v>1195.6000000000001</v>
      </c>
      <c r="L17" s="156">
        <f>HY!U268</f>
        <v>1253.2</v>
      </c>
      <c r="M17" s="156">
        <f>HY!V268</f>
        <v>1201.4999999999998</v>
      </c>
      <c r="N17" s="156">
        <f>HY!W268</f>
        <v>1306.9912626</v>
      </c>
      <c r="O17" s="156">
        <f>HY!X268</f>
        <v>1228.5870538500001</v>
      </c>
      <c r="P17" s="156"/>
      <c r="Q17" s="692">
        <f>J17</f>
        <v>1243.2</v>
      </c>
      <c r="R17" s="156">
        <v>1253.2</v>
      </c>
      <c r="S17" s="693">
        <f>R17/Q17-1</f>
        <v>8.0437580437580092E-3</v>
      </c>
      <c r="T17" s="692">
        <f>L17</f>
        <v>1253.2</v>
      </c>
      <c r="U17" s="693">
        <f>$R17/T17-1</f>
        <v>0</v>
      </c>
      <c r="V17" s="692">
        <f>Z17</f>
        <v>1235.444426834016</v>
      </c>
      <c r="W17" s="693">
        <f>$R17/V17-1</f>
        <v>1.4371810484009373E-2</v>
      </c>
      <c r="X17" s="157"/>
      <c r="Y17" s="154"/>
      <c r="Z17" s="788">
        <f>AZ17</f>
        <v>1235.444426834016</v>
      </c>
      <c r="AB17" s="145" t="s">
        <v>1352</v>
      </c>
      <c r="AC17" s="145" t="s">
        <v>1355</v>
      </c>
      <c r="AD17" s="146" t="s">
        <v>961</v>
      </c>
      <c r="AE17" s="153">
        <f>_xll.VAData($AB17,AE$3,$AC17,$AD17)</f>
        <v>1073.4000000000001</v>
      </c>
      <c r="AF17" s="153">
        <f>_xll.VAData($AB17,AF$3,$AC17,$AD17)</f>
        <v>1108.5</v>
      </c>
      <c r="AG17" s="153">
        <f>_xll.VAData($AB17,AG$3,$AC17,$AD17)</f>
        <v>1165.7</v>
      </c>
      <c r="AH17" s="153">
        <f>_xll.VAData($AB17,AH$3,$AC17,$AD17)</f>
        <v>1065.0999999999999</v>
      </c>
      <c r="AI17" s="153">
        <f>_xll.VAData($AB17,AI$3,$AC17,$AD17)</f>
        <v>1116.7</v>
      </c>
      <c r="AJ17" s="153">
        <f>_xll.VAData($AB17,AJ$3,$AC17,$AD17)</f>
        <v>1045.4000000000001</v>
      </c>
      <c r="AK17" s="153">
        <f>_xll.VAData($AB17,AK$3,$AC17,$AD17)</f>
        <v>1243.2</v>
      </c>
      <c r="AL17" s="153">
        <f>_xll.VAData($AB17,AL$3,$AC17,$AD17)</f>
        <v>1195.5999999999999</v>
      </c>
      <c r="AM17" s="153">
        <f>_xll.VAData($AB17,AM$3,$AC17,$AD17)</f>
        <v>1253.2</v>
      </c>
      <c r="AN17" s="153">
        <f>_xll.VAData($AB17,AN$3,$AC17,$AD17)</f>
        <v>1201.5</v>
      </c>
      <c r="AO17" s="153">
        <f>_xll.VAData($AB17,AO$3,$AC17,$AD17)</f>
        <v>1296.8537828896433</v>
      </c>
      <c r="AP17" s="153">
        <f>_xll.VAData($AB17,AP$3,$AC17,$AD17)</f>
        <v>1223.8214907598378</v>
      </c>
      <c r="AR17" s="677">
        <v>1073.4000000000001</v>
      </c>
      <c r="AS17" s="677">
        <v>1108.5</v>
      </c>
      <c r="AT17" s="677">
        <v>1165.7</v>
      </c>
      <c r="AU17" s="677">
        <v>1065.0999999999999</v>
      </c>
      <c r="AV17" s="677">
        <v>1116.7</v>
      </c>
      <c r="AW17" s="677">
        <v>1046.2</v>
      </c>
      <c r="AX17" s="677">
        <v>1243.2</v>
      </c>
      <c r="AY17" s="677">
        <v>1195.5999999999999</v>
      </c>
      <c r="AZ17" s="677">
        <v>1235.444426834016</v>
      </c>
      <c r="BA17" s="677">
        <v>1212.012344184858</v>
      </c>
      <c r="BB17" s="677">
        <v>1309.3177666094739</v>
      </c>
      <c r="BC17" s="677">
        <v>1239.4594636949089</v>
      </c>
      <c r="BE17" s="678">
        <f t="shared" ref="BE17:BP19" si="26">D17-AR17</f>
        <v>0</v>
      </c>
      <c r="BF17" s="678">
        <f t="shared" si="26"/>
        <v>0</v>
      </c>
      <c r="BG17" s="678">
        <f t="shared" si="26"/>
        <v>0</v>
      </c>
      <c r="BH17" s="678">
        <f t="shared" si="26"/>
        <v>0</v>
      </c>
      <c r="BI17" s="678">
        <f t="shared" si="26"/>
        <v>-0.10000000000013642</v>
      </c>
      <c r="BJ17" s="678">
        <f t="shared" si="26"/>
        <v>0</v>
      </c>
      <c r="BK17" s="678">
        <f t="shared" si="26"/>
        <v>0</v>
      </c>
      <c r="BL17" s="678">
        <f t="shared" si="26"/>
        <v>0</v>
      </c>
      <c r="BM17" s="678">
        <f t="shared" si="26"/>
        <v>17.75557316598406</v>
      </c>
      <c r="BN17" s="678">
        <f t="shared" si="26"/>
        <v>-10.512344184858193</v>
      </c>
      <c r="BO17" s="678">
        <f t="shared" si="26"/>
        <v>-2.3265040094738652</v>
      </c>
      <c r="BP17" s="678">
        <f t="shared" si="26"/>
        <v>-10.872409844908816</v>
      </c>
      <c r="BT17" s="673" t="s">
        <v>1226</v>
      </c>
      <c r="BU17" s="156">
        <f>FY!C8</f>
        <v>2181.9</v>
      </c>
      <c r="BV17" s="156">
        <f>FY!D8</f>
        <v>2230.8000000000002</v>
      </c>
      <c r="BW17" s="156">
        <f>FY!E8</f>
        <v>2162.8000000000002</v>
      </c>
      <c r="BX17" s="156">
        <f>FY!F8</f>
        <v>2438.8000000000002</v>
      </c>
      <c r="BY17" s="156">
        <f>FY!G8</f>
        <v>2454.6999999999998</v>
      </c>
      <c r="BZ17" s="156">
        <f>FY!H8</f>
        <v>2535.5783164499999</v>
      </c>
      <c r="CA17" s="156">
        <f>FY!I8</f>
        <v>2553.5792355250001</v>
      </c>
      <c r="CB17" s="156">
        <f>FY!J8</f>
        <v>2575.9298172777799</v>
      </c>
      <c r="CC17" s="156">
        <f>FY!K8</f>
        <v>2633.1222319379817</v>
      </c>
      <c r="CD17" s="156"/>
      <c r="CE17" s="692">
        <f>BX17</f>
        <v>2438.8000000000002</v>
      </c>
      <c r="CF17" s="156">
        <v>2454.6999999999998</v>
      </c>
      <c r="CG17" s="693">
        <f>CF17/CE17-1</f>
        <v>6.5195998031817304E-3</v>
      </c>
      <c r="CH17" s="692">
        <f>BY17</f>
        <v>2454.6999999999998</v>
      </c>
      <c r="CI17" s="693">
        <f>$CF17/CH17-1</f>
        <v>0</v>
      </c>
      <c r="CJ17" s="692">
        <f>CN17</f>
        <v>2468.3065196114171</v>
      </c>
      <c r="CK17" s="693">
        <f>$CF17/CJ17-1</f>
        <v>-5.5124918657020183E-3</v>
      </c>
      <c r="CL17" s="157"/>
      <c r="CM17" s="154"/>
      <c r="CN17" s="764">
        <f>DG17</f>
        <v>2468.3065196114171</v>
      </c>
      <c r="CP17" s="145" t="s">
        <v>1352</v>
      </c>
      <c r="CQ17" s="145" t="s">
        <v>1355</v>
      </c>
      <c r="CR17" s="146" t="s">
        <v>961</v>
      </c>
      <c r="CS17" s="153">
        <f>_xll.VAData($AB17,CS$3,$AC17,$AD17)</f>
        <v>2181.9</v>
      </c>
      <c r="CT17" s="153">
        <f>_xll.VAData($AB17,CT$3,$AC17,$AD17)</f>
        <v>2230.8000000000002</v>
      </c>
      <c r="CU17" s="153">
        <f>_xll.VAData($AB17,CU$3,$AC17,$AD17)</f>
        <v>2162.8000000000002</v>
      </c>
      <c r="CV17" s="153">
        <f>_xll.VAData($AB17,CV$3,$AC17,$AD17)</f>
        <v>2438.8000000000002</v>
      </c>
      <c r="CW17" s="153">
        <f>_xll.VAData($AB17,CW$3,$AC17,$AD17)</f>
        <v>2454.6999999999998</v>
      </c>
      <c r="CX17" s="153">
        <f>_xll.VAData($AB17,CX$3,$AC17,$AD17)</f>
        <v>2520.67527364948</v>
      </c>
      <c r="CY17" s="153">
        <f>_xll.VAData($AB17,CY$3,$AC17,$AD17)</f>
        <v>2584.96162311941</v>
      </c>
      <c r="CZ17" s="153">
        <f>_xll.VAData($AB17,CZ$3,$AC17,$AD17)</f>
        <v>2632.6156218083042</v>
      </c>
      <c r="DA17" s="153">
        <f>_xll.VAData($AB17,DA$3,$AC17,$AD17)</f>
        <v>2680.5292526075391</v>
      </c>
      <c r="DC17" s="677">
        <v>2181.9</v>
      </c>
      <c r="DD17" s="677">
        <v>2230.8000000000002</v>
      </c>
      <c r="DE17" s="677">
        <v>2162.8000000000002</v>
      </c>
      <c r="DF17" s="677">
        <v>2438.8000000000002</v>
      </c>
      <c r="DG17" s="677">
        <v>2468.3065196114171</v>
      </c>
      <c r="DH17" s="677">
        <v>2537.1959177993899</v>
      </c>
      <c r="DI17" s="677">
        <v>2599.699217866581</v>
      </c>
      <c r="DJ17" s="677">
        <v>2655.7998579036562</v>
      </c>
      <c r="DK17" s="677">
        <v>2711.615103029676</v>
      </c>
      <c r="DM17" s="678">
        <f t="shared" ref="DM17:DP19" si="27">BU17-DC17</f>
        <v>0</v>
      </c>
      <c r="DN17" s="678">
        <f t="shared" si="27"/>
        <v>0</v>
      </c>
      <c r="DO17" s="678">
        <f t="shared" si="27"/>
        <v>0</v>
      </c>
      <c r="DP17" s="678">
        <f t="shared" si="27"/>
        <v>0</v>
      </c>
      <c r="DQ17" s="678">
        <f t="shared" ref="DQ17:DQ19" si="28">BY17-DG17</f>
        <v>-13.606519611417298</v>
      </c>
      <c r="DR17" s="678">
        <f t="shared" ref="DR17:DR19" si="29">BZ17-DH17</f>
        <v>-1.6176013493900427</v>
      </c>
      <c r="DS17" s="678">
        <f t="shared" ref="DS17:DS19" si="30">CA17-DI17</f>
        <v>-46.119982341580908</v>
      </c>
      <c r="DT17" s="678">
        <f t="shared" ref="DT17:DT19" si="31">CB17-DJ17</f>
        <v>-79.8700406258763</v>
      </c>
      <c r="DU17" s="678">
        <f t="shared" ref="DU17:DU19" si="32">CC17-DK17</f>
        <v>-78.492871091694269</v>
      </c>
    </row>
    <row r="18" spans="3:125">
      <c r="C18" s="673" t="s">
        <v>1170</v>
      </c>
      <c r="D18" s="156">
        <f>HY!M269</f>
        <v>79.599999999999994</v>
      </c>
      <c r="E18" s="156">
        <f>HY!N269</f>
        <v>117.30000000000001</v>
      </c>
      <c r="F18" s="156">
        <f>HY!O269</f>
        <v>108.8</v>
      </c>
      <c r="G18" s="156">
        <f>HY!P269</f>
        <v>94.8</v>
      </c>
      <c r="H18" s="156">
        <f>HY!Q269</f>
        <v>80.3</v>
      </c>
      <c r="I18" s="156">
        <f>HY!R269</f>
        <v>83.100000000000009</v>
      </c>
      <c r="J18" s="156">
        <f>HY!S269</f>
        <v>88.1</v>
      </c>
      <c r="K18" s="156">
        <f>HY!T269</f>
        <v>87.700000000000017</v>
      </c>
      <c r="L18" s="156">
        <f>HY!U269</f>
        <v>91.7</v>
      </c>
      <c r="M18" s="156">
        <f>HY!V269</f>
        <v>89.899999999999991</v>
      </c>
      <c r="N18" s="156">
        <f>HY!W269</f>
        <v>93.992499999999993</v>
      </c>
      <c r="O18" s="156">
        <f>HY!X269</f>
        <v>92.14749999999998</v>
      </c>
      <c r="P18" s="156"/>
      <c r="Q18" s="692">
        <f>J18</f>
        <v>88.1</v>
      </c>
      <c r="R18" s="156">
        <v>91.7</v>
      </c>
      <c r="S18" s="693">
        <f>R18/Q18-1</f>
        <v>4.0862656072644832E-2</v>
      </c>
      <c r="T18" s="692">
        <f>L18</f>
        <v>91.7</v>
      </c>
      <c r="U18" s="693">
        <f>$R18/T18-1</f>
        <v>0</v>
      </c>
      <c r="V18" s="692">
        <f>Z18</f>
        <v>90.096277883530504</v>
      </c>
      <c r="W18" s="693">
        <f>$R18/V18-1</f>
        <v>1.7800092902202636E-2</v>
      </c>
      <c r="X18" s="157"/>
      <c r="Y18" s="154"/>
      <c r="Z18" s="788">
        <f>AZ18</f>
        <v>90.096277883530504</v>
      </c>
      <c r="AB18" s="145" t="s">
        <v>1352</v>
      </c>
      <c r="AC18" s="145" t="s">
        <v>1361</v>
      </c>
      <c r="AD18" s="146" t="s">
        <v>961</v>
      </c>
      <c r="AE18" s="153">
        <f>_xll.VAData($AB18,AE$3,$AC18,$AD18)</f>
        <v>79.599999999999994</v>
      </c>
      <c r="AF18" s="153">
        <f>_xll.VAData($AB18,AF$3,$AC18,$AD18)</f>
        <v>117.3</v>
      </c>
      <c r="AG18" s="153">
        <f>_xll.VAData($AB18,AG$3,$AC18,$AD18)</f>
        <v>108.8</v>
      </c>
      <c r="AH18" s="153">
        <f>_xll.VAData($AB18,AH$3,$AC18,$AD18)</f>
        <v>94.8</v>
      </c>
      <c r="AI18" s="153">
        <f>_xll.VAData($AB18,AI$3,$AC18,$AD18)</f>
        <v>80.3</v>
      </c>
      <c r="AJ18" s="153">
        <f>_xll.VAData($AB18,AJ$3,$AC18,$AD18)</f>
        <v>83.1</v>
      </c>
      <c r="AK18" s="153">
        <f>_xll.VAData($AB18,AK$3,$AC18,$AD18)</f>
        <v>88.1</v>
      </c>
      <c r="AL18" s="153">
        <f>_xll.VAData($AB18,AL$3,$AC18,$AD18)</f>
        <v>87.7</v>
      </c>
      <c r="AM18" s="153">
        <f>_xll.VAData($AB18,AM$3,$AC18,$AD18)</f>
        <v>91.7</v>
      </c>
      <c r="AN18" s="153">
        <f>_xll.VAData($AB18,AN$3,$AC18,$AD18)</f>
        <v>89.9</v>
      </c>
      <c r="AO18" s="153">
        <f>_xll.VAData($AB18,AO$3,$AC18,$AD18)</f>
        <v>93.443064857848839</v>
      </c>
      <c r="AP18" s="153">
        <f>_xll.VAData($AB18,AP$3,$AC18,$AD18)</f>
        <v>91.723116772723102</v>
      </c>
      <c r="AR18" s="677">
        <v>79.599999999999994</v>
      </c>
      <c r="AS18" s="677">
        <v>117.3</v>
      </c>
      <c r="AT18" s="677">
        <v>108.8</v>
      </c>
      <c r="AU18" s="677">
        <v>94.8</v>
      </c>
      <c r="AV18" s="677">
        <v>93</v>
      </c>
      <c r="AW18" s="677">
        <v>83.1</v>
      </c>
      <c r="AX18" s="677">
        <v>88.1</v>
      </c>
      <c r="AY18" s="677">
        <v>87.7</v>
      </c>
      <c r="AZ18" s="677">
        <v>90.096277883530504</v>
      </c>
      <c r="BA18" s="677">
        <v>89.817969365770026</v>
      </c>
      <c r="BB18" s="677">
        <v>92.6128244727131</v>
      </c>
      <c r="BC18" s="677">
        <v>92.312926122334545</v>
      </c>
      <c r="BE18" s="678">
        <f t="shared" si="26"/>
        <v>0</v>
      </c>
      <c r="BF18" s="678">
        <f t="shared" si="26"/>
        <v>0</v>
      </c>
      <c r="BG18" s="678">
        <f t="shared" si="26"/>
        <v>0</v>
      </c>
      <c r="BH18" s="678">
        <f t="shared" si="26"/>
        <v>0</v>
      </c>
      <c r="BI18" s="678">
        <f t="shared" si="26"/>
        <v>-12.700000000000003</v>
      </c>
      <c r="BJ18" s="678">
        <f t="shared" si="26"/>
        <v>0</v>
      </c>
      <c r="BK18" s="678">
        <f t="shared" si="26"/>
        <v>0</v>
      </c>
      <c r="BL18" s="678">
        <f t="shared" si="26"/>
        <v>0</v>
      </c>
      <c r="BM18" s="678">
        <f t="shared" si="26"/>
        <v>1.6037221164694984</v>
      </c>
      <c r="BN18" s="678">
        <f t="shared" si="26"/>
        <v>8.2030634229965926E-2</v>
      </c>
      <c r="BO18" s="678">
        <f t="shared" si="26"/>
        <v>1.3796755272868921</v>
      </c>
      <c r="BP18" s="678">
        <f t="shared" si="26"/>
        <v>-0.16542612233456566</v>
      </c>
      <c r="BT18" s="673" t="s">
        <v>1170</v>
      </c>
      <c r="BU18" s="156">
        <f>FY!C9</f>
        <v>196.9</v>
      </c>
      <c r="BV18" s="156">
        <f>FY!D9</f>
        <v>203.6</v>
      </c>
      <c r="BW18" s="156">
        <f>FY!E9</f>
        <v>163.4</v>
      </c>
      <c r="BX18" s="156">
        <f>FY!F9</f>
        <v>175.8</v>
      </c>
      <c r="BY18" s="156">
        <f>FY!G9</f>
        <v>181.6</v>
      </c>
      <c r="BZ18" s="156">
        <f>FY!H9</f>
        <v>186.14</v>
      </c>
      <c r="CA18" s="156">
        <f>FY!I9</f>
        <v>190.79349999999994</v>
      </c>
      <c r="CB18" s="156">
        <f>FY!J9</f>
        <v>196.51730499999996</v>
      </c>
      <c r="CC18" s="156">
        <f>FY!K9</f>
        <v>202.41282414999995</v>
      </c>
      <c r="CD18" s="156"/>
      <c r="CE18" s="692">
        <f>BX18</f>
        <v>175.8</v>
      </c>
      <c r="CF18" s="156">
        <v>181.6</v>
      </c>
      <c r="CG18" s="693">
        <f>CF18/CE18-1</f>
        <v>3.2992036405005587E-2</v>
      </c>
      <c r="CH18" s="692">
        <f>BY18</f>
        <v>181.6</v>
      </c>
      <c r="CI18" s="693">
        <f>$CF18/CH18-1</f>
        <v>0</v>
      </c>
      <c r="CJ18" s="692">
        <f>CN18</f>
        <v>182.14800851110741</v>
      </c>
      <c r="CK18" s="693">
        <f>$CF18/CJ18-1</f>
        <v>-3.0085890896468515E-3</v>
      </c>
      <c r="CL18" s="157"/>
      <c r="CM18" s="154"/>
      <c r="CN18" s="764">
        <f>DG18</f>
        <v>182.14800851110741</v>
      </c>
      <c r="CP18" s="145" t="s">
        <v>1352</v>
      </c>
      <c r="CQ18" s="145" t="s">
        <v>1361</v>
      </c>
      <c r="CR18" s="146" t="s">
        <v>961</v>
      </c>
      <c r="CS18" s="153">
        <f>_xll.VAData($AB18,CS$3,$AC18,$AD18)</f>
        <v>196.9</v>
      </c>
      <c r="CT18" s="153">
        <f>_xll.VAData($AB18,CT$3,$AC18,$AD18)</f>
        <v>203.6</v>
      </c>
      <c r="CU18" s="153">
        <f>_xll.VAData($AB18,CU$3,$AC18,$AD18)</f>
        <v>163.4</v>
      </c>
      <c r="CV18" s="153">
        <f>_xll.VAData($AB18,CV$3,$AC18,$AD18)</f>
        <v>175.8</v>
      </c>
      <c r="CW18" s="153">
        <f>_xll.VAData($AB18,CW$3,$AC18,$AD18)</f>
        <v>181.6</v>
      </c>
      <c r="CX18" s="153">
        <f>_xll.VAData($AB18,CX$3,$AC18,$AD18)</f>
        <v>185.16618163057188</v>
      </c>
      <c r="CY18" s="153">
        <f>_xll.VAData($AB18,CY$3,$AC18,$AD18)</f>
        <v>189.85240003809966</v>
      </c>
      <c r="CZ18" s="153">
        <f>_xll.VAData($AB18,CZ$3,$AC18,$AD18)</f>
        <v>194.58353264324666</v>
      </c>
      <c r="DA18" s="153">
        <f>_xll.VAData($AB18,DA$3,$AC18,$AD18)</f>
        <v>199.53644362544256</v>
      </c>
      <c r="DC18" s="677">
        <v>196.9</v>
      </c>
      <c r="DD18" s="677">
        <v>203.6</v>
      </c>
      <c r="DE18" s="677">
        <v>163.4</v>
      </c>
      <c r="DF18" s="677">
        <v>175.8</v>
      </c>
      <c r="DG18" s="677">
        <v>182.14800851110741</v>
      </c>
      <c r="DH18" s="677">
        <v>187.60246509935729</v>
      </c>
      <c r="DI18" s="677">
        <v>192.69028648742429</v>
      </c>
      <c r="DJ18" s="677">
        <v>197.6848893020736</v>
      </c>
      <c r="DK18" s="677">
        <v>202.94351538647069</v>
      </c>
      <c r="DM18" s="678">
        <f t="shared" si="27"/>
        <v>0</v>
      </c>
      <c r="DN18" s="678">
        <f t="shared" si="27"/>
        <v>0</v>
      </c>
      <c r="DO18" s="678">
        <f t="shared" si="27"/>
        <v>0</v>
      </c>
      <c r="DP18" s="678">
        <f t="shared" si="27"/>
        <v>0</v>
      </c>
      <c r="DQ18" s="678">
        <f t="shared" si="28"/>
        <v>-0.54800851110741178</v>
      </c>
      <c r="DR18" s="678">
        <f t="shared" si="29"/>
        <v>-1.4624650993573027</v>
      </c>
      <c r="DS18" s="678">
        <f t="shared" si="30"/>
        <v>-1.8967864874243503</v>
      </c>
      <c r="DT18" s="678">
        <f t="shared" si="31"/>
        <v>-1.1675843020736352</v>
      </c>
      <c r="DU18" s="678">
        <f t="shared" si="32"/>
        <v>-0.53069123647074434</v>
      </c>
    </row>
    <row r="19" spans="3:125" s="666" customFormat="1">
      <c r="C19" s="672" t="s">
        <v>1</v>
      </c>
      <c r="D19" s="668">
        <f>HY!M271</f>
        <v>1152.3</v>
      </c>
      <c r="E19" s="668">
        <f>HY!N271</f>
        <v>1225.0000000000002</v>
      </c>
      <c r="F19" s="668">
        <f>HY!O271</f>
        <v>1274.5</v>
      </c>
      <c r="G19" s="668">
        <f>HY!P271</f>
        <v>1159.9000000000001</v>
      </c>
      <c r="H19" s="668">
        <f>HY!Q271</f>
        <v>1209.5999999999999</v>
      </c>
      <c r="I19" s="668">
        <f>HY!R271</f>
        <v>1129.3000000000002</v>
      </c>
      <c r="J19" s="668">
        <f>HY!S271</f>
        <v>1331.3</v>
      </c>
      <c r="K19" s="668">
        <f>HY!T271</f>
        <v>1283.3</v>
      </c>
      <c r="L19" s="668">
        <f>HY!U271</f>
        <v>1344.9</v>
      </c>
      <c r="M19" s="668">
        <f>HY!V271</f>
        <v>1291.4000000000001</v>
      </c>
      <c r="N19" s="668">
        <f>HY!W271</f>
        <v>1400.9837626000001</v>
      </c>
      <c r="O19" s="668">
        <f>HY!X271</f>
        <v>1345.9845538500001</v>
      </c>
      <c r="P19" s="668"/>
      <c r="Q19" s="696">
        <f>J19</f>
        <v>1331.3</v>
      </c>
      <c r="R19" s="668">
        <v>1344.9</v>
      </c>
      <c r="S19" s="697">
        <f>R19/Q19-1</f>
        <v>1.0215578757605481E-2</v>
      </c>
      <c r="T19" s="696">
        <f>L19</f>
        <v>1344.9</v>
      </c>
      <c r="U19" s="697">
        <f>$R19/T19-1</f>
        <v>0</v>
      </c>
      <c r="V19" s="696">
        <f>Z19</f>
        <v>1325.1041558345671</v>
      </c>
      <c r="W19" s="697">
        <f>$R19/V19-1</f>
        <v>1.4939085413225639E-2</v>
      </c>
      <c r="X19" s="669"/>
      <c r="Y19" s="670"/>
      <c r="Z19" s="789">
        <f>AZ19</f>
        <v>1325.1041558345671</v>
      </c>
      <c r="AB19" s="147" t="s">
        <v>1352</v>
      </c>
      <c r="AC19" s="147" t="s">
        <v>70</v>
      </c>
      <c r="AD19" s="146" t="s">
        <v>961</v>
      </c>
      <c r="AE19" s="671">
        <f>_xll.VAData($AB19,AE$3,$AC19,$AD19)</f>
        <v>1152.3</v>
      </c>
      <c r="AF19" s="671">
        <f>_xll.VAData($AB19,AF$3,$AC19,$AD19)</f>
        <v>1225</v>
      </c>
      <c r="AG19" s="671">
        <f>_xll.VAData($AB19,AG$3,$AC19,$AD19)</f>
        <v>1274.5</v>
      </c>
      <c r="AH19" s="671">
        <f>_xll.VAData($AB19,AH$3,$AC19,$AD19)</f>
        <v>1159.9000000000001</v>
      </c>
      <c r="AI19" s="671">
        <f>_xll.VAData($AB19,AI$3,$AC19,$AD19)</f>
        <v>1209.5999999999999</v>
      </c>
      <c r="AJ19" s="671">
        <f>_xll.VAData($AB19,AJ$3,$AC19,$AD19)</f>
        <v>1129.3</v>
      </c>
      <c r="AK19" s="671">
        <f>_xll.VAData($AB19,AK$3,$AC19,$AD19)</f>
        <v>1331.3</v>
      </c>
      <c r="AL19" s="671">
        <f>_xll.VAData($AB19,AL$3,$AC19,$AD19)</f>
        <v>1283.3</v>
      </c>
      <c r="AM19" s="671">
        <f>_xll.VAData($AB19,AM$3,$AC19,$AD19)</f>
        <v>1344.9</v>
      </c>
      <c r="AN19" s="671">
        <f>_xll.VAData($AB19,AN$3,$AC19,$AD19)</f>
        <v>1291.4000000000001</v>
      </c>
      <c r="AO19" s="671">
        <f>_xll.VAData($AB19,AO$3,$AC19,$AD19)</f>
        <v>1391.2068816766312</v>
      </c>
      <c r="AP19" s="671">
        <f>_xll.VAData($AB19,AP$3,$AC19,$AD19)</f>
        <v>1320.0772356754023</v>
      </c>
      <c r="AR19" s="686">
        <v>1152.3</v>
      </c>
      <c r="AS19" s="686">
        <v>1225</v>
      </c>
      <c r="AT19" s="686">
        <v>1274.5</v>
      </c>
      <c r="AU19" s="686">
        <v>1159.9000000000001</v>
      </c>
      <c r="AV19" s="686">
        <v>1209.5999999999999</v>
      </c>
      <c r="AW19" s="686">
        <v>1129.3</v>
      </c>
      <c r="AX19" s="686">
        <v>1331.3</v>
      </c>
      <c r="AY19" s="686">
        <v>1283.3</v>
      </c>
      <c r="AZ19" s="686">
        <v>1325.1041558345671</v>
      </c>
      <c r="BA19" s="686">
        <v>1299.1995487660549</v>
      </c>
      <c r="BB19" s="686">
        <v>1403.9843777406179</v>
      </c>
      <c r="BC19" s="686">
        <v>1330.488594972129</v>
      </c>
      <c r="BE19" s="678">
        <f t="shared" si="26"/>
        <v>0</v>
      </c>
      <c r="BF19" s="678">
        <f t="shared" si="26"/>
        <v>0</v>
      </c>
      <c r="BG19" s="678">
        <f t="shared" si="26"/>
        <v>0</v>
      </c>
      <c r="BH19" s="678">
        <f t="shared" si="26"/>
        <v>0</v>
      </c>
      <c r="BI19" s="678">
        <f t="shared" si="26"/>
        <v>0</v>
      </c>
      <c r="BJ19" s="678">
        <f t="shared" si="26"/>
        <v>0</v>
      </c>
      <c r="BK19" s="678">
        <f t="shared" si="26"/>
        <v>0</v>
      </c>
      <c r="BL19" s="678">
        <f t="shared" si="26"/>
        <v>0</v>
      </c>
      <c r="BM19" s="678">
        <f t="shared" si="26"/>
        <v>19.795844165432982</v>
      </c>
      <c r="BN19" s="678">
        <f t="shared" si="26"/>
        <v>-7.7995487660548406</v>
      </c>
      <c r="BO19" s="678">
        <f t="shared" si="26"/>
        <v>-3.0006151406178105</v>
      </c>
      <c r="BP19" s="678">
        <f t="shared" si="26"/>
        <v>15.495958877871089</v>
      </c>
      <c r="BT19" s="672" t="s">
        <v>1</v>
      </c>
      <c r="BU19" s="668">
        <f>FY!C11</f>
        <v>2377.3000000000002</v>
      </c>
      <c r="BV19" s="668">
        <f>FY!D11</f>
        <v>2434.4</v>
      </c>
      <c r="BW19" s="668">
        <f>FY!E11</f>
        <v>2338.9</v>
      </c>
      <c r="BX19" s="668">
        <f>FY!F11</f>
        <v>2614.6</v>
      </c>
      <c r="BY19" s="668">
        <f>FY!G11</f>
        <v>2636.3</v>
      </c>
      <c r="BZ19" s="668">
        <f>FY!H11</f>
        <v>2746.9683164500002</v>
      </c>
      <c r="CA19" s="668">
        <f>FY!I11</f>
        <v>2846.857735525</v>
      </c>
      <c r="CB19" s="668">
        <f>FY!J11</f>
        <v>2878.0066722777797</v>
      </c>
      <c r="CC19" s="668">
        <f>FY!K11</f>
        <v>2944.2613925879818</v>
      </c>
      <c r="CD19" s="668"/>
      <c r="CE19" s="696">
        <f>BX19</f>
        <v>2614.6</v>
      </c>
      <c r="CF19" s="668">
        <v>2636.3</v>
      </c>
      <c r="CG19" s="697">
        <f>CF19/CE19-1</f>
        <v>8.2995486881358715E-3</v>
      </c>
      <c r="CH19" s="696">
        <f>BY19</f>
        <v>2636.3</v>
      </c>
      <c r="CI19" s="697">
        <f>$CF19/CH19-1</f>
        <v>0</v>
      </c>
      <c r="CJ19" s="696">
        <f>CN19</f>
        <v>2648.8625100465283</v>
      </c>
      <c r="CK19" s="697">
        <f>$CF19/CJ19-1</f>
        <v>-4.7426055519610433E-3</v>
      </c>
      <c r="CL19" s="669"/>
      <c r="CM19" s="670"/>
      <c r="CN19" s="764">
        <f>DG19</f>
        <v>2648.8625100465283</v>
      </c>
      <c r="CP19" s="147" t="s">
        <v>1352</v>
      </c>
      <c r="CQ19" s="147" t="s">
        <v>70</v>
      </c>
      <c r="CR19" s="146" t="s">
        <v>961</v>
      </c>
      <c r="CS19" s="671">
        <f>_xll.VAData($AB19,CS$3,$AC19,$AD19)</f>
        <v>2377.3000000000002</v>
      </c>
      <c r="CT19" s="671">
        <f>_xll.VAData($AB19,CT$3,$AC19,$AD19)</f>
        <v>2434.4</v>
      </c>
      <c r="CU19" s="671">
        <f>_xll.VAData($AB19,CU$3,$AC19,$AD19)</f>
        <v>2338.9</v>
      </c>
      <c r="CV19" s="671">
        <f>_xll.VAData($AB19,CV$3,$AC19,$AD19)</f>
        <v>2614.6</v>
      </c>
      <c r="CW19" s="671">
        <f>_xll.VAData($AB19,CW$3,$AC19,$AD19)</f>
        <v>2636.3</v>
      </c>
      <c r="CX19" s="671">
        <f>_xll.VAData($AB19,CX$3,$AC19,$AD19)</f>
        <v>2711.2841173520346</v>
      </c>
      <c r="CY19" s="671">
        <f>_xll.VAData($AB19,CY$3,$AC19,$AD19)</f>
        <v>2814.8079061332687</v>
      </c>
      <c r="CZ19" s="671">
        <f>_xll.VAData($AB19,CZ$3,$AC19,$AD19)</f>
        <v>2868.9247607100488</v>
      </c>
      <c r="DA19" s="671">
        <f>_xll.VAData($AB19,DA$3,$AC19,$AD19)</f>
        <v>2923.4937201861258</v>
      </c>
      <c r="DC19" s="686">
        <v>2377.3000000000002</v>
      </c>
      <c r="DD19" s="686">
        <v>2434.4</v>
      </c>
      <c r="DE19" s="686">
        <v>2338.9</v>
      </c>
      <c r="DF19" s="686">
        <v>2614.6</v>
      </c>
      <c r="DG19" s="686">
        <v>2648.8625100465283</v>
      </c>
      <c r="DH19" s="686">
        <v>2724.7973740723946</v>
      </c>
      <c r="DI19" s="686">
        <v>2805.8885491514989</v>
      </c>
      <c r="DJ19" s="686">
        <v>2866.3853595571491</v>
      </c>
      <c r="DK19" s="686">
        <v>2926.7642647698362</v>
      </c>
      <c r="DM19" s="678">
        <f t="shared" si="27"/>
        <v>0</v>
      </c>
      <c r="DN19" s="678">
        <f t="shared" si="27"/>
        <v>0</v>
      </c>
      <c r="DO19" s="678">
        <f t="shared" si="27"/>
        <v>0</v>
      </c>
      <c r="DP19" s="678">
        <f t="shared" si="27"/>
        <v>0</v>
      </c>
      <c r="DQ19" s="678">
        <f t="shared" si="28"/>
        <v>-12.562510046528132</v>
      </c>
      <c r="DR19" s="678">
        <f t="shared" si="29"/>
        <v>22.17094237760557</v>
      </c>
      <c r="DS19" s="678">
        <f t="shared" si="30"/>
        <v>40.969186373501088</v>
      </c>
      <c r="DT19" s="678">
        <f t="shared" si="31"/>
        <v>11.621312720630613</v>
      </c>
      <c r="DU19" s="678">
        <f t="shared" si="32"/>
        <v>17.4971278181456</v>
      </c>
    </row>
    <row r="20" spans="3:125">
      <c r="C20" s="673"/>
      <c r="D20" s="156"/>
      <c r="E20" s="156"/>
      <c r="F20" s="156"/>
      <c r="G20" s="156"/>
      <c r="H20" s="156"/>
      <c r="I20" s="156"/>
      <c r="J20" s="156"/>
      <c r="K20" s="156"/>
      <c r="L20" s="156"/>
      <c r="M20" s="156"/>
      <c r="N20" s="156"/>
      <c r="O20" s="156"/>
      <c r="P20" s="156"/>
      <c r="Q20" s="692"/>
      <c r="R20" s="156"/>
      <c r="S20" s="693"/>
      <c r="T20" s="692"/>
      <c r="U20" s="693"/>
      <c r="V20" s="692"/>
      <c r="W20" s="693"/>
      <c r="X20" s="157"/>
      <c r="Y20" s="154"/>
      <c r="Z20" s="683"/>
      <c r="AR20" s="683"/>
      <c r="AS20" s="683"/>
      <c r="AT20" s="683"/>
      <c r="AU20" s="683"/>
      <c r="AV20" s="683"/>
      <c r="AW20" s="683"/>
      <c r="AX20" s="683"/>
      <c r="AY20" s="683"/>
      <c r="AZ20" s="683"/>
      <c r="BA20" s="683"/>
      <c r="BB20" s="683"/>
      <c r="BC20" s="683"/>
      <c r="BE20" s="683"/>
      <c r="BF20" s="683"/>
      <c r="BG20" s="683"/>
      <c r="BH20" s="683"/>
      <c r="BI20" s="683"/>
      <c r="BJ20" s="683"/>
      <c r="BK20" s="683"/>
      <c r="BL20" s="683"/>
      <c r="BM20" s="683"/>
      <c r="BN20" s="683"/>
      <c r="BO20" s="683"/>
      <c r="BP20" s="683"/>
      <c r="BT20" s="673"/>
      <c r="BU20" s="156"/>
      <c r="BV20" s="156"/>
      <c r="BW20" s="156"/>
      <c r="BX20" s="156"/>
      <c r="BY20" s="156"/>
      <c r="BZ20" s="156"/>
      <c r="CA20" s="156"/>
      <c r="CB20" s="156"/>
      <c r="CC20" s="156"/>
      <c r="CD20" s="156"/>
      <c r="CE20" s="692"/>
      <c r="CF20" s="156"/>
      <c r="CG20" s="693"/>
      <c r="CH20" s="692"/>
      <c r="CI20" s="693"/>
      <c r="CJ20" s="692"/>
      <c r="CK20" s="693"/>
      <c r="CL20" s="157"/>
      <c r="CM20" s="154"/>
      <c r="CN20" s="683"/>
      <c r="DC20" s="683"/>
      <c r="DD20" s="683"/>
      <c r="DE20" s="683"/>
      <c r="DF20" s="683"/>
      <c r="DG20" s="683"/>
      <c r="DH20" s="683"/>
      <c r="DI20" s="683"/>
      <c r="DJ20" s="683"/>
      <c r="DK20" s="683"/>
      <c r="DM20" s="683"/>
      <c r="DN20" s="683"/>
      <c r="DO20" s="683"/>
      <c r="DP20" s="683"/>
      <c r="DQ20" s="683"/>
      <c r="DR20" s="683"/>
      <c r="DS20" s="683"/>
      <c r="DT20" s="683"/>
      <c r="DU20" s="683"/>
    </row>
    <row r="21" spans="3:125">
      <c r="C21" s="673" t="s">
        <v>1226</v>
      </c>
      <c r="D21" s="156">
        <f>HY!M279</f>
        <v>394.9</v>
      </c>
      <c r="E21" s="156">
        <f>HY!N279</f>
        <v>406.4</v>
      </c>
      <c r="F21" s="156">
        <f>HY!O279</f>
        <v>398.3</v>
      </c>
      <c r="G21" s="156">
        <f>HY!P279</f>
        <v>376.7</v>
      </c>
      <c r="H21" s="156">
        <f>HY!Q279</f>
        <v>393.9</v>
      </c>
      <c r="I21" s="156">
        <f>HY!R279</f>
        <v>364.30000000000007</v>
      </c>
      <c r="J21" s="156">
        <f>HY!S279</f>
        <v>458.1</v>
      </c>
      <c r="K21" s="156">
        <f>HY!T279</f>
        <v>457.79999999999995</v>
      </c>
      <c r="L21" s="156">
        <f>HY!U279</f>
        <v>477.4</v>
      </c>
      <c r="M21" s="156">
        <f>HY!V279</f>
        <v>475.80000000000007</v>
      </c>
      <c r="N21" s="156">
        <f>HY!W279</f>
        <v>516.26154872699999</v>
      </c>
      <c r="O21" s="156">
        <f>HY!X279</f>
        <v>485.29188627075007</v>
      </c>
      <c r="P21" s="156"/>
      <c r="Q21" s="692">
        <f>J21</f>
        <v>458.1</v>
      </c>
      <c r="R21" s="156">
        <v>477.4</v>
      </c>
      <c r="S21" s="693">
        <f>R21/Q21-1</f>
        <v>4.2130539183584226E-2</v>
      </c>
      <c r="T21" s="692">
        <f>L21</f>
        <v>477.4</v>
      </c>
      <c r="U21" s="693">
        <f>$R21/T21-1</f>
        <v>0</v>
      </c>
      <c r="V21" s="692">
        <f>Z21</f>
        <v>472.33448179480644</v>
      </c>
      <c r="W21" s="693">
        <f>$R21/V21-1</f>
        <v>1.0724430251090933E-2</v>
      </c>
      <c r="X21" s="157"/>
      <c r="Y21" s="154"/>
      <c r="Z21" s="788">
        <f>AZ21</f>
        <v>472.33448179480644</v>
      </c>
      <c r="AB21" s="145" t="s">
        <v>1352</v>
      </c>
      <c r="AC21" s="145" t="s">
        <v>1356</v>
      </c>
      <c r="AD21" s="146" t="s">
        <v>961</v>
      </c>
      <c r="AE21" s="153">
        <f>_xll.VAData($AB21,AE$3,$AC21,$AD21)</f>
        <v>394.9</v>
      </c>
      <c r="AF21" s="153">
        <f>_xll.VAData($AB21,AF$3,$AC21,$AD21)</f>
        <v>406.4</v>
      </c>
      <c r="AG21" s="153">
        <f>_xll.VAData($AB21,AG$3,$AC21,$AD21)</f>
        <v>398.3</v>
      </c>
      <c r="AH21" s="153">
        <f>_xll.VAData($AB21,AH$3,$AC21,$AD21)</f>
        <v>376.8</v>
      </c>
      <c r="AI21" s="153">
        <f>_xll.VAData($AB21,AI$3,$AC21,$AD21)</f>
        <v>393.9</v>
      </c>
      <c r="AJ21" s="153">
        <f>_xll.VAData($AB21,AJ$3,$AC21,$AD21)</f>
        <v>364.3</v>
      </c>
      <c r="AK21" s="153">
        <f>_xll.VAData($AB21,AK$3,$AC21,$AD21)</f>
        <v>458.1</v>
      </c>
      <c r="AL21" s="153">
        <f>_xll.VAData($AB21,AL$3,$AC21,$AD21)</f>
        <v>457.8</v>
      </c>
      <c r="AM21" s="153">
        <f>_xll.VAData($AB21,AM$3,$AC21,$AD21)</f>
        <v>477.4</v>
      </c>
      <c r="AN21" s="153">
        <f>_xll.VAData($AB21,AN$3,$AC21,$AD21)</f>
        <v>475.8</v>
      </c>
      <c r="AO21" s="153">
        <f>_xll.VAData($AB21,AO$3,$AC21,$AD21)</f>
        <v>516.20862148164963</v>
      </c>
      <c r="AP21" s="153">
        <f>_xll.VAData($AB21,AP$3,$AC21,$AD21)</f>
        <v>494.14366521657024</v>
      </c>
      <c r="AR21" s="677">
        <v>394.9</v>
      </c>
      <c r="AS21" s="677">
        <v>406.4</v>
      </c>
      <c r="AT21" s="677">
        <v>398.3</v>
      </c>
      <c r="AU21" s="677">
        <v>376.8</v>
      </c>
      <c r="AV21" s="677">
        <v>393.9</v>
      </c>
      <c r="AW21" s="677">
        <v>364.3</v>
      </c>
      <c r="AX21" s="677">
        <v>458.1</v>
      </c>
      <c r="AY21" s="677">
        <v>457.8</v>
      </c>
      <c r="AZ21" s="677">
        <v>472.33448179480644</v>
      </c>
      <c r="BA21" s="677">
        <v>463.97526949669265</v>
      </c>
      <c r="BB21" s="677">
        <v>503.90302929421711</v>
      </c>
      <c r="BC21" s="677">
        <v>475.44141136518243</v>
      </c>
      <c r="BE21" s="678">
        <f t="shared" ref="BE21:BP23" si="33">D21-AR21</f>
        <v>0</v>
      </c>
      <c r="BF21" s="678">
        <f t="shared" si="33"/>
        <v>0</v>
      </c>
      <c r="BG21" s="678">
        <f t="shared" si="33"/>
        <v>0</v>
      </c>
      <c r="BH21" s="678">
        <f t="shared" si="33"/>
        <v>-0.10000000000002274</v>
      </c>
      <c r="BI21" s="678">
        <f t="shared" si="33"/>
        <v>0</v>
      </c>
      <c r="BJ21" s="678">
        <f t="shared" si="33"/>
        <v>0</v>
      </c>
      <c r="BK21" s="678">
        <f t="shared" si="33"/>
        <v>0</v>
      </c>
      <c r="BL21" s="678">
        <f t="shared" si="33"/>
        <v>0</v>
      </c>
      <c r="BM21" s="678">
        <f t="shared" si="33"/>
        <v>5.0655182051935412</v>
      </c>
      <c r="BN21" s="678">
        <f t="shared" si="33"/>
        <v>11.824730503307421</v>
      </c>
      <c r="BO21" s="678">
        <f t="shared" si="33"/>
        <v>12.358519432782884</v>
      </c>
      <c r="BP21" s="678">
        <f t="shared" si="33"/>
        <v>9.8504749055676371</v>
      </c>
      <c r="BT21" s="673" t="s">
        <v>1226</v>
      </c>
      <c r="BU21" s="156">
        <f>FY!C18</f>
        <v>801.3</v>
      </c>
      <c r="BV21" s="156">
        <f>FY!D18</f>
        <v>775</v>
      </c>
      <c r="BW21" s="156">
        <f>FY!E18</f>
        <v>758.2</v>
      </c>
      <c r="BX21" s="156">
        <f>FY!F18</f>
        <v>915.9</v>
      </c>
      <c r="BY21" s="156">
        <f>FY!G18</f>
        <v>953.2</v>
      </c>
      <c r="BZ21" s="156">
        <f>FY!H18</f>
        <v>1001.5534349977501</v>
      </c>
      <c r="CA21" s="156">
        <f>FY!I18</f>
        <v>1008.6637980323751</v>
      </c>
      <c r="CB21" s="156">
        <f>FY!J18</f>
        <v>1017.492277824723</v>
      </c>
      <c r="CC21" s="156">
        <f>FY!K18</f>
        <v>1040.083281615503</v>
      </c>
      <c r="CD21" s="156"/>
      <c r="CE21" s="692">
        <f>BX21</f>
        <v>915.9</v>
      </c>
      <c r="CF21" s="156">
        <v>953.2</v>
      </c>
      <c r="CG21" s="693">
        <f>CF21/CE21-1</f>
        <v>4.072496997488817E-2</v>
      </c>
      <c r="CH21" s="692">
        <f>BY21</f>
        <v>953.2</v>
      </c>
      <c r="CI21" s="693">
        <f>$CF21/CH21-1</f>
        <v>0</v>
      </c>
      <c r="CJ21" s="692">
        <f>CN21</f>
        <v>941.10641274372915</v>
      </c>
      <c r="CK21" s="693">
        <f>$CF21/CJ21-1</f>
        <v>1.285039299754942E-2</v>
      </c>
      <c r="CL21" s="157"/>
      <c r="CM21" s="154"/>
      <c r="CN21" s="764">
        <f>DG21</f>
        <v>941.10641274372915</v>
      </c>
      <c r="CP21" s="145" t="s">
        <v>1352</v>
      </c>
      <c r="CQ21" s="145" t="s">
        <v>1356</v>
      </c>
      <c r="CR21" s="146" t="s">
        <v>961</v>
      </c>
      <c r="CS21" s="153">
        <f>_xll.VAData($AB21,CS$3,$AC21,$AD21)</f>
        <v>801.3</v>
      </c>
      <c r="CT21" s="153">
        <f>_xll.VAData($AB21,CT$3,$AC21,$AD21)</f>
        <v>775.1</v>
      </c>
      <c r="CU21" s="153">
        <f>_xll.VAData($AB21,CU$3,$AC21,$AD21)</f>
        <v>758.2</v>
      </c>
      <c r="CV21" s="153">
        <f>_xll.VAData($AB21,CV$3,$AC21,$AD21)</f>
        <v>915.9</v>
      </c>
      <c r="CW21" s="153">
        <f>_xll.VAData($AB21,CW$3,$AC21,$AD21)</f>
        <v>953.2</v>
      </c>
      <c r="CX21" s="153">
        <f>_xll.VAData($AB21,CX$3,$AC21,$AD21)</f>
        <v>1010.3522866982172</v>
      </c>
      <c r="CY21" s="153">
        <f>_xll.VAData($AB21,CY$3,$AC21,$AD21)</f>
        <v>1040.9467397825463</v>
      </c>
      <c r="CZ21" s="153">
        <f>_xll.VAData($AB21,CZ$3,$AC21,$AD21)</f>
        <v>1062.9216400184775</v>
      </c>
      <c r="DA21" s="153">
        <f>_xll.VAData($AB21,DA$3,$AC21,$AD21)</f>
        <v>1085.1101887249638</v>
      </c>
      <c r="DC21" s="677">
        <v>801.3</v>
      </c>
      <c r="DD21" s="677">
        <v>775.1</v>
      </c>
      <c r="DE21" s="677">
        <v>758.2</v>
      </c>
      <c r="DF21" s="677">
        <v>915.9</v>
      </c>
      <c r="DG21" s="677">
        <v>941.10641274372915</v>
      </c>
      <c r="DH21" s="677">
        <v>975.26253560176156</v>
      </c>
      <c r="DI21" s="677">
        <v>1004.1256301714909</v>
      </c>
      <c r="DJ21" s="677">
        <v>1028.1106495981869</v>
      </c>
      <c r="DK21" s="677">
        <v>1052.2287255157512</v>
      </c>
      <c r="DM21" s="678">
        <f t="shared" ref="DM21:DP23" si="34">BU21-DC21</f>
        <v>0</v>
      </c>
      <c r="DN21" s="678">
        <f t="shared" si="34"/>
        <v>-0.10000000000002274</v>
      </c>
      <c r="DO21" s="678">
        <f t="shared" si="34"/>
        <v>0</v>
      </c>
      <c r="DP21" s="678">
        <f t="shared" si="34"/>
        <v>0</v>
      </c>
      <c r="DQ21" s="678">
        <f t="shared" ref="DQ21:DQ23" si="35">BY21-DG21</f>
        <v>12.093587256270894</v>
      </c>
      <c r="DR21" s="678">
        <f t="shared" ref="DR21:DR23" si="36">BZ21-DH21</f>
        <v>26.290899395988504</v>
      </c>
      <c r="DS21" s="678">
        <f t="shared" ref="DS21:DS23" si="37">CA21-DI21</f>
        <v>4.5381678608841867</v>
      </c>
      <c r="DT21" s="678">
        <f t="shared" ref="DT21:DT23" si="38">CB21-DJ21</f>
        <v>-10.618371773463878</v>
      </c>
      <c r="DU21" s="678">
        <f>CC21-DK21</f>
        <v>-12.14544390024821</v>
      </c>
    </row>
    <row r="22" spans="3:125">
      <c r="C22" s="673" t="s">
        <v>1170</v>
      </c>
      <c r="D22" s="156">
        <f>HY!M280</f>
        <v>74.599999999999994</v>
      </c>
      <c r="E22" s="156">
        <f>HY!N280</f>
        <v>111.70000000000002</v>
      </c>
      <c r="F22" s="156">
        <f>HY!O280</f>
        <v>101.4</v>
      </c>
      <c r="G22" s="156">
        <f>HY!P280</f>
        <v>91.799999999999983</v>
      </c>
      <c r="H22" s="156">
        <f>HY!Q280</f>
        <v>79.900000000000006</v>
      </c>
      <c r="I22" s="156">
        <f>HY!R280</f>
        <v>81.799999999999983</v>
      </c>
      <c r="J22" s="156">
        <f>HY!S280</f>
        <v>86.3</v>
      </c>
      <c r="K22" s="156">
        <f>HY!T280</f>
        <v>86.500000000000014</v>
      </c>
      <c r="L22" s="156">
        <f>HY!U280</f>
        <v>90.2</v>
      </c>
      <c r="M22" s="156">
        <f>HY!V280</f>
        <v>88.999999999999986</v>
      </c>
      <c r="N22" s="156">
        <f>HY!W280</f>
        <v>93.051529477196866</v>
      </c>
      <c r="O22" s="156">
        <f>HY!X280</f>
        <v>91.22499999999998</v>
      </c>
      <c r="P22" s="156"/>
      <c r="Q22" s="692">
        <f>J22</f>
        <v>86.3</v>
      </c>
      <c r="R22" s="156">
        <v>90.2</v>
      </c>
      <c r="S22" s="693">
        <f>R22/Q22-1</f>
        <v>4.5191193511008088E-2</v>
      </c>
      <c r="T22" s="692">
        <f>L22</f>
        <v>90.2</v>
      </c>
      <c r="U22" s="693">
        <f>$R22/T22-1</f>
        <v>0</v>
      </c>
      <c r="V22" s="692">
        <f>Z22</f>
        <v>88.748552101683771</v>
      </c>
      <c r="W22" s="693">
        <f>$R22/V22-1</f>
        <v>1.6354609331014514E-2</v>
      </c>
      <c r="X22" s="157"/>
      <c r="Y22" s="154"/>
      <c r="Z22" s="788">
        <f>AZ22</f>
        <v>88.748552101683771</v>
      </c>
      <c r="AB22" s="145" t="s">
        <v>1352</v>
      </c>
      <c r="AC22" s="145" t="s">
        <v>1362</v>
      </c>
      <c r="AD22" s="146" t="s">
        <v>961</v>
      </c>
      <c r="AE22" s="153">
        <f>_xll.VAData($AB22,AE$3,$AC22,$AD22)</f>
        <v>74.599999999999994</v>
      </c>
      <c r="AF22" s="153">
        <f>_xll.VAData($AB22,AF$3,$AC22,$AD22)</f>
        <v>111.7</v>
      </c>
      <c r="AG22" s="153">
        <f>_xll.VAData($AB22,AG$3,$AC22,$AD22)</f>
        <v>101.4</v>
      </c>
      <c r="AH22" s="153">
        <f>_xll.VAData($AB22,AH$3,$AC22,$AD22)</f>
        <v>91.8</v>
      </c>
      <c r="AI22" s="153">
        <f>_xll.VAData($AB22,AI$3,$AC22,$AD22)</f>
        <v>79.900000000000006</v>
      </c>
      <c r="AJ22" s="153">
        <f>_xll.VAData($AB22,AJ$3,$AC22,$AD22)</f>
        <v>81.8</v>
      </c>
      <c r="AK22" s="153">
        <f>_xll.VAData($AB22,AK$3,$AC22,$AD22)</f>
        <v>86.3</v>
      </c>
      <c r="AL22" s="153">
        <f>_xll.VAData($AB22,AL$3,$AC22,$AD22)</f>
        <v>86.5</v>
      </c>
      <c r="AM22" s="153">
        <f>_xll.VAData($AB22,AM$3,$AC22,$AD22)</f>
        <v>90.2</v>
      </c>
      <c r="AN22" s="153">
        <f>_xll.VAData($AB22,AN$3,$AC22,$AD22)</f>
        <v>89</v>
      </c>
      <c r="AO22" s="153">
        <f>_xll.VAData($AB22,AO$3,$AC22,$AD22)</f>
        <v>92.631544426394882</v>
      </c>
      <c r="AP22" s="153">
        <f>_xll.VAData($AB22,AP$3,$AC22,$AD22)</f>
        <v>91.158632996336095</v>
      </c>
      <c r="AR22" s="677">
        <v>74.599999999999994</v>
      </c>
      <c r="AS22" s="677">
        <v>111.7</v>
      </c>
      <c r="AT22" s="677">
        <v>101.4</v>
      </c>
      <c r="AU22" s="677">
        <v>91.8</v>
      </c>
      <c r="AV22" s="677">
        <v>91.7</v>
      </c>
      <c r="AW22" s="677">
        <v>81.8</v>
      </c>
      <c r="AX22" s="677">
        <v>86.3</v>
      </c>
      <c r="AY22" s="677">
        <v>86.5</v>
      </c>
      <c r="AZ22" s="677">
        <v>88.748552101683771</v>
      </c>
      <c r="BA22" s="677">
        <v>88.841532815156285</v>
      </c>
      <c r="BB22" s="677">
        <v>91.343291441358488</v>
      </c>
      <c r="BC22" s="677">
        <v>91.410007057299552</v>
      </c>
      <c r="BE22" s="678">
        <f t="shared" si="33"/>
        <v>0</v>
      </c>
      <c r="BF22" s="678">
        <f t="shared" si="33"/>
        <v>0</v>
      </c>
      <c r="BG22" s="678">
        <f t="shared" si="33"/>
        <v>0</v>
      </c>
      <c r="BH22" s="678">
        <f t="shared" si="33"/>
        <v>0</v>
      </c>
      <c r="BI22" s="678">
        <f t="shared" si="33"/>
        <v>-11.799999999999997</v>
      </c>
      <c r="BJ22" s="678">
        <f t="shared" si="33"/>
        <v>0</v>
      </c>
      <c r="BK22" s="678">
        <f t="shared" si="33"/>
        <v>0</v>
      </c>
      <c r="BL22" s="678">
        <f t="shared" si="33"/>
        <v>0</v>
      </c>
      <c r="BM22" s="678">
        <f t="shared" si="33"/>
        <v>1.451447898316232</v>
      </c>
      <c r="BN22" s="678">
        <f t="shared" si="33"/>
        <v>0.15846718484370115</v>
      </c>
      <c r="BO22" s="678">
        <f t="shared" si="33"/>
        <v>1.7082380358383773</v>
      </c>
      <c r="BP22" s="678">
        <f t="shared" si="33"/>
        <v>-0.1850070572995719</v>
      </c>
      <c r="BT22" s="673" t="s">
        <v>1170</v>
      </c>
      <c r="BU22" s="156">
        <f>FY!C19</f>
        <v>186.3</v>
      </c>
      <c r="BV22" s="156">
        <f>FY!D19</f>
        <v>193.2</v>
      </c>
      <c r="BW22" s="156">
        <f>FY!E19</f>
        <v>161.69999999999999</v>
      </c>
      <c r="BX22" s="156">
        <f>FY!F19</f>
        <v>172.8</v>
      </c>
      <c r="BY22" s="156">
        <f>FY!G19</f>
        <v>179.2</v>
      </c>
      <c r="BZ22" s="156">
        <f>FY!H19</f>
        <v>184.27652947719685</v>
      </c>
      <c r="CA22" s="156">
        <f>FY!I19</f>
        <v>188.88344271412674</v>
      </c>
      <c r="CB22" s="156">
        <f>FY!J19</f>
        <v>194.54994599555056</v>
      </c>
      <c r="CC22" s="156">
        <f>FY!K19</f>
        <v>200.38644437541706</v>
      </c>
      <c r="CD22" s="156"/>
      <c r="CE22" s="692">
        <f>BX22</f>
        <v>172.8</v>
      </c>
      <c r="CF22" s="156">
        <v>179.2</v>
      </c>
      <c r="CG22" s="693">
        <f>CF22/CE22-1</f>
        <v>3.7037037037036979E-2</v>
      </c>
      <c r="CH22" s="692">
        <f>BY22</f>
        <v>179.2</v>
      </c>
      <c r="CI22" s="693">
        <f>$CF22/CH22-1</f>
        <v>0</v>
      </c>
      <c r="CJ22" s="692">
        <f>CN22</f>
        <v>179.90309430566157</v>
      </c>
      <c r="CK22" s="693">
        <f>$CF22/CJ22-1</f>
        <v>-3.9081835049874503E-3</v>
      </c>
      <c r="CL22" s="157"/>
      <c r="CM22" s="154"/>
      <c r="CN22" s="764">
        <f>DG22</f>
        <v>179.90309430566157</v>
      </c>
      <c r="CP22" s="145" t="s">
        <v>1352</v>
      </c>
      <c r="CQ22" s="145" t="s">
        <v>1362</v>
      </c>
      <c r="CR22" s="146" t="s">
        <v>961</v>
      </c>
      <c r="CS22" s="153">
        <f>_xll.VAData($AB22,CS$3,$AC22,$AD22)</f>
        <v>186.3</v>
      </c>
      <c r="CT22" s="153">
        <f>_xll.VAData($AB22,CT$3,$AC22,$AD22)</f>
        <v>193.2</v>
      </c>
      <c r="CU22" s="153">
        <f>_xll.VAData($AB22,CU$3,$AC22,$AD22)</f>
        <v>161.69999999999999</v>
      </c>
      <c r="CV22" s="153">
        <f>_xll.VAData($AB22,CV$3,$AC22,$AD22)</f>
        <v>172.8</v>
      </c>
      <c r="CW22" s="153">
        <f>_xll.VAData($AB22,CW$3,$AC22,$AD22)</f>
        <v>179.2</v>
      </c>
      <c r="CX22" s="153">
        <f>_xll.VAData($AB22,CX$3,$AC22,$AD22)</f>
        <v>183.79017742273101</v>
      </c>
      <c r="CY22" s="153">
        <f>_xll.VAData($AB22,CY$3,$AC22,$AD22)</f>
        <v>188.63158963004301</v>
      </c>
      <c r="CZ22" s="153">
        <f>_xll.VAData($AB22,CZ$3,$AC22,$AD22)</f>
        <v>193.51462730917663</v>
      </c>
      <c r="DA22" s="153">
        <f>_xll.VAData($AB22,DA$3,$AC22,$AD22)</f>
        <v>198.63536349419701</v>
      </c>
      <c r="DC22" s="677">
        <v>186.3</v>
      </c>
      <c r="DD22" s="677">
        <v>193.2</v>
      </c>
      <c r="DE22" s="677">
        <v>161.69999999999999</v>
      </c>
      <c r="DF22" s="677">
        <v>172.8</v>
      </c>
      <c r="DG22" s="677">
        <v>179.90309430566157</v>
      </c>
      <c r="DH22" s="677">
        <v>185.61277277996933</v>
      </c>
      <c r="DI22" s="677">
        <v>190.85001287434699</v>
      </c>
      <c r="DJ22" s="677">
        <v>195.97781400199344</v>
      </c>
      <c r="DK22" s="677">
        <v>201.38643994972432</v>
      </c>
      <c r="DM22" s="678">
        <f t="shared" si="34"/>
        <v>0</v>
      </c>
      <c r="DN22" s="678">
        <f t="shared" si="34"/>
        <v>0</v>
      </c>
      <c r="DO22" s="678">
        <f t="shared" si="34"/>
        <v>0</v>
      </c>
      <c r="DP22" s="678">
        <f t="shared" si="34"/>
        <v>0</v>
      </c>
      <c r="DQ22" s="678">
        <f t="shared" si="35"/>
        <v>-0.70309430566157971</v>
      </c>
      <c r="DR22" s="678">
        <f t="shared" si="36"/>
        <v>-1.3362433027724876</v>
      </c>
      <c r="DS22" s="678">
        <f t="shared" si="37"/>
        <v>-1.9665701602202432</v>
      </c>
      <c r="DT22" s="678">
        <f t="shared" si="38"/>
        <v>-1.4278680064428784</v>
      </c>
      <c r="DU22" s="678">
        <f t="shared" ref="DU22:DU23" si="39">CC22-DK22</f>
        <v>-0.99999557430726327</v>
      </c>
    </row>
    <row r="23" spans="3:125" s="666" customFormat="1">
      <c r="C23" s="672" t="s">
        <v>1218</v>
      </c>
      <c r="D23" s="668">
        <f>HY!M282</f>
        <v>469.5</v>
      </c>
      <c r="E23" s="668">
        <f>HY!N282</f>
        <v>517.70000000000005</v>
      </c>
      <c r="F23" s="668">
        <f>HY!O282</f>
        <v>499.7</v>
      </c>
      <c r="G23" s="668">
        <f>HY!P282</f>
        <v>468.7</v>
      </c>
      <c r="H23" s="668">
        <f>HY!Q282</f>
        <v>485.6</v>
      </c>
      <c r="I23" s="668">
        <f>HY!R282</f>
        <v>446.1</v>
      </c>
      <c r="J23" s="668">
        <f>HY!S282</f>
        <v>544.4</v>
      </c>
      <c r="K23" s="668">
        <f>HY!T282</f>
        <v>544.30000000000007</v>
      </c>
      <c r="L23" s="668">
        <f>HY!U282</f>
        <v>567.6</v>
      </c>
      <c r="M23" s="668">
        <f>HY!V282</f>
        <v>564.80000000000007</v>
      </c>
      <c r="N23" s="668">
        <f>HY!W282</f>
        <v>609.31307820419681</v>
      </c>
      <c r="O23" s="668">
        <f>HY!X282</f>
        <v>593.41688627075007</v>
      </c>
      <c r="P23" s="668"/>
      <c r="Q23" s="696">
        <f>J23</f>
        <v>544.4</v>
      </c>
      <c r="R23" s="668">
        <v>567.6</v>
      </c>
      <c r="S23" s="697">
        <f>R23/Q23-1</f>
        <v>4.2615723732549737E-2</v>
      </c>
      <c r="T23" s="696">
        <f>L23</f>
        <v>567.6</v>
      </c>
      <c r="U23" s="697">
        <f>$R23/T23-1</f>
        <v>0</v>
      </c>
      <c r="V23" s="696">
        <f>Z23</f>
        <v>561.08303389649018</v>
      </c>
      <c r="W23" s="697">
        <f>$R23/V23-1</f>
        <v>1.1614976233111474E-2</v>
      </c>
      <c r="X23" s="669"/>
      <c r="Y23" s="670"/>
      <c r="Z23" s="789">
        <f>AZ23</f>
        <v>561.08303389649018</v>
      </c>
      <c r="AB23" s="147" t="s">
        <v>1352</v>
      </c>
      <c r="AE23" s="828">
        <f>SUM(AE21:AE22)</f>
        <v>469.5</v>
      </c>
      <c r="AF23" s="828">
        <f t="shared" ref="AF23:AP23" si="40">SUM(AF21:AF22)</f>
        <v>518.1</v>
      </c>
      <c r="AG23" s="828">
        <f t="shared" si="40"/>
        <v>499.70000000000005</v>
      </c>
      <c r="AH23" s="828">
        <f t="shared" si="40"/>
        <v>468.6</v>
      </c>
      <c r="AI23" s="828">
        <f t="shared" si="40"/>
        <v>473.79999999999995</v>
      </c>
      <c r="AJ23" s="828">
        <f t="shared" si="40"/>
        <v>446.1</v>
      </c>
      <c r="AK23" s="828">
        <f t="shared" si="40"/>
        <v>544.4</v>
      </c>
      <c r="AL23" s="828">
        <f t="shared" si="40"/>
        <v>544.29999999999995</v>
      </c>
      <c r="AM23" s="828">
        <f t="shared" si="40"/>
        <v>567.6</v>
      </c>
      <c r="AN23" s="828">
        <f t="shared" si="40"/>
        <v>564.79999999999995</v>
      </c>
      <c r="AO23" s="828">
        <f t="shared" si="40"/>
        <v>608.84016590804447</v>
      </c>
      <c r="AP23" s="828">
        <f t="shared" si="40"/>
        <v>585.30229821290629</v>
      </c>
      <c r="AR23" s="677">
        <v>469.5</v>
      </c>
      <c r="AS23" s="677">
        <v>518.1</v>
      </c>
      <c r="AT23" s="677">
        <v>499.70000000000005</v>
      </c>
      <c r="AU23" s="677">
        <v>468.6</v>
      </c>
      <c r="AV23" s="677">
        <v>485.59999999999997</v>
      </c>
      <c r="AW23" s="677">
        <v>446.1</v>
      </c>
      <c r="AX23" s="677">
        <v>544.4</v>
      </c>
      <c r="AY23" s="677">
        <v>544.29999999999995</v>
      </c>
      <c r="AZ23" s="677">
        <v>561.08303389649018</v>
      </c>
      <c r="BA23" s="677">
        <v>552.81680231184896</v>
      </c>
      <c r="BB23" s="677">
        <v>595.24632073557564</v>
      </c>
      <c r="BC23" s="677">
        <v>566.85141842248197</v>
      </c>
      <c r="BE23" s="678">
        <f t="shared" si="33"/>
        <v>0</v>
      </c>
      <c r="BF23" s="678">
        <f t="shared" si="33"/>
        <v>-0.39999999999997726</v>
      </c>
      <c r="BG23" s="678">
        <f t="shared" si="33"/>
        <v>0</v>
      </c>
      <c r="BH23" s="678">
        <f t="shared" si="33"/>
        <v>9.9999999999965894E-2</v>
      </c>
      <c r="BI23" s="678">
        <f t="shared" si="33"/>
        <v>0</v>
      </c>
      <c r="BJ23" s="678">
        <f t="shared" si="33"/>
        <v>0</v>
      </c>
      <c r="BK23" s="678">
        <f t="shared" si="33"/>
        <v>0</v>
      </c>
      <c r="BL23" s="678">
        <f t="shared" si="33"/>
        <v>0</v>
      </c>
      <c r="BM23" s="678">
        <f t="shared" si="33"/>
        <v>6.5169661035098443</v>
      </c>
      <c r="BN23" s="678">
        <f t="shared" si="33"/>
        <v>11.983197688151108</v>
      </c>
      <c r="BO23" s="678">
        <f t="shared" si="33"/>
        <v>14.066757468621176</v>
      </c>
      <c r="BP23" s="678">
        <f t="shared" si="33"/>
        <v>26.565467848268099</v>
      </c>
      <c r="BT23" s="672" t="s">
        <v>1218</v>
      </c>
      <c r="BU23" s="668">
        <f>FY!C21</f>
        <v>987.2</v>
      </c>
      <c r="BV23" s="668">
        <f>FY!D21</f>
        <v>968.4</v>
      </c>
      <c r="BW23" s="668">
        <f>FY!E21</f>
        <v>931.7</v>
      </c>
      <c r="BX23" s="668">
        <f>FY!F21</f>
        <v>1088.7</v>
      </c>
      <c r="BY23" s="668">
        <f>FY!G21</f>
        <v>1132.4000000000001</v>
      </c>
      <c r="BZ23" s="668">
        <f>FY!H21</f>
        <v>1202.7299644749469</v>
      </c>
      <c r="CA23" s="668">
        <f>FY!I21</f>
        <v>1272.6302407465018</v>
      </c>
      <c r="CB23" s="668">
        <f>FY!J21</f>
        <v>1297.1677138202735</v>
      </c>
      <c r="CC23" s="668">
        <f>FY!K21</f>
        <v>1328.1489806909199</v>
      </c>
      <c r="CD23" s="668"/>
      <c r="CE23" s="696">
        <f>BX23</f>
        <v>1088.7</v>
      </c>
      <c r="CF23" s="668">
        <v>1132.4000000000001</v>
      </c>
      <c r="CG23" s="697">
        <f>CF23/CE23-1</f>
        <v>4.0139616055846483E-2</v>
      </c>
      <c r="CH23" s="696">
        <f>BY23</f>
        <v>1132.4000000000001</v>
      </c>
      <c r="CI23" s="697">
        <f>$CF23/CH23-1</f>
        <v>0</v>
      </c>
      <c r="CJ23" s="696">
        <f>CN23</f>
        <v>1121.0095070493908</v>
      </c>
      <c r="CK23" s="697">
        <f>$CF23/CJ23-1</f>
        <v>1.016092448724204E-2</v>
      </c>
      <c r="CL23" s="669"/>
      <c r="CM23" s="670"/>
      <c r="CN23" s="687">
        <f>SUM(CN21:CN22)</f>
        <v>1121.0095070493908</v>
      </c>
      <c r="CP23" s="147" t="s">
        <v>1352</v>
      </c>
      <c r="DC23" s="687"/>
      <c r="DD23" s="687"/>
      <c r="DE23" s="687"/>
      <c r="DF23" s="687"/>
      <c r="DG23" s="687"/>
      <c r="DH23" s="687"/>
      <c r="DI23" s="687"/>
      <c r="DJ23" s="687"/>
      <c r="DK23" s="687"/>
      <c r="DM23" s="678">
        <f t="shared" si="34"/>
        <v>987.2</v>
      </c>
      <c r="DN23" s="678">
        <f t="shared" si="34"/>
        <v>968.4</v>
      </c>
      <c r="DO23" s="678">
        <f t="shared" si="34"/>
        <v>931.7</v>
      </c>
      <c r="DP23" s="678">
        <f t="shared" si="34"/>
        <v>1088.7</v>
      </c>
      <c r="DQ23" s="678">
        <f t="shared" si="35"/>
        <v>1132.4000000000001</v>
      </c>
      <c r="DR23" s="678">
        <f t="shared" si="36"/>
        <v>1202.7299644749469</v>
      </c>
      <c r="DS23" s="678">
        <f t="shared" si="37"/>
        <v>1272.6302407465018</v>
      </c>
      <c r="DT23" s="678">
        <f t="shared" si="38"/>
        <v>1297.1677138202735</v>
      </c>
      <c r="DU23" s="678">
        <f t="shared" si="39"/>
        <v>1328.1489806909199</v>
      </c>
    </row>
    <row r="24" spans="3:125">
      <c r="C24" s="673"/>
      <c r="D24" s="156"/>
      <c r="E24" s="156"/>
      <c r="F24" s="156"/>
      <c r="G24" s="156"/>
      <c r="H24" s="156"/>
      <c r="I24" s="156"/>
      <c r="J24" s="156"/>
      <c r="K24" s="156"/>
      <c r="L24" s="156"/>
      <c r="M24" s="156"/>
      <c r="N24" s="156"/>
      <c r="O24" s="156"/>
      <c r="P24" s="156"/>
      <c r="Q24" s="692"/>
      <c r="R24" s="156"/>
      <c r="S24" s="693"/>
      <c r="T24" s="692"/>
      <c r="U24" s="693"/>
      <c r="V24" s="692"/>
      <c r="W24" s="693"/>
      <c r="X24" s="157"/>
      <c r="Y24" s="154"/>
      <c r="Z24" s="683"/>
      <c r="AR24" s="683"/>
      <c r="AS24" s="683"/>
      <c r="AT24" s="683"/>
      <c r="AU24" s="683"/>
      <c r="AV24" s="683"/>
      <c r="AW24" s="683"/>
      <c r="AX24" s="683"/>
      <c r="AY24" s="683"/>
      <c r="AZ24" s="683"/>
      <c r="BA24" s="683"/>
      <c r="BB24" s="683"/>
      <c r="BC24" s="683"/>
      <c r="BE24" s="683"/>
      <c r="BF24" s="683"/>
      <c r="BG24" s="683"/>
      <c r="BH24" s="683"/>
      <c r="BI24" s="683"/>
      <c r="BJ24" s="683"/>
      <c r="BK24" s="683"/>
      <c r="BL24" s="683"/>
      <c r="BM24" s="683"/>
      <c r="BN24" s="683"/>
      <c r="BO24" s="683"/>
      <c r="BP24" s="683"/>
      <c r="BT24" s="673"/>
      <c r="BU24" s="156"/>
      <c r="BV24" s="156"/>
      <c r="BW24" s="156"/>
      <c r="BX24" s="156"/>
      <c r="BY24" s="156"/>
      <c r="BZ24" s="156"/>
      <c r="CA24" s="156"/>
      <c r="CB24" s="156"/>
      <c r="CC24" s="156"/>
      <c r="CD24" s="156"/>
      <c r="CE24" s="692"/>
      <c r="CF24" s="156"/>
      <c r="CG24" s="693"/>
      <c r="CH24" s="692"/>
      <c r="CI24" s="693"/>
      <c r="CJ24" s="692"/>
      <c r="CK24" s="693"/>
      <c r="CL24" s="157"/>
      <c r="CM24" s="154"/>
      <c r="CN24" s="683"/>
      <c r="DC24" s="683"/>
      <c r="DD24" s="683"/>
      <c r="DE24" s="683"/>
      <c r="DF24" s="683"/>
      <c r="DG24" s="683"/>
      <c r="DH24" s="683"/>
      <c r="DI24" s="683"/>
      <c r="DJ24" s="683"/>
      <c r="DK24" s="683"/>
      <c r="DM24" s="683"/>
      <c r="DN24" s="683"/>
      <c r="DO24" s="683"/>
      <c r="DP24" s="683"/>
      <c r="DQ24" s="683"/>
      <c r="DR24" s="683"/>
      <c r="DS24" s="683"/>
      <c r="DT24" s="683"/>
      <c r="DU24" s="683"/>
    </row>
    <row r="25" spans="3:125">
      <c r="C25" s="673" t="s">
        <v>1226</v>
      </c>
      <c r="D25" s="156">
        <f>HY!M285</f>
        <v>-257</v>
      </c>
      <c r="E25" s="156">
        <f>HY!N285</f>
        <v>-257.29999999999995</v>
      </c>
      <c r="F25" s="156">
        <f>HY!O285</f>
        <v>-243.9</v>
      </c>
      <c r="G25" s="156">
        <f>HY!P285</f>
        <v>-223.1</v>
      </c>
      <c r="H25" s="156">
        <f>HY!Q285</f>
        <v>-259.89999999999998</v>
      </c>
      <c r="I25" s="156">
        <f>HY!R285</f>
        <v>-247.10000000000002</v>
      </c>
      <c r="J25" s="156">
        <f>HY!S285</f>
        <v>-301.39999999999998</v>
      </c>
      <c r="K25" s="156">
        <f>HY!T285</f>
        <v>-285.39999999999998</v>
      </c>
      <c r="L25" s="156">
        <f>HY!U285</f>
        <v>-296</v>
      </c>
      <c r="M25" s="156">
        <f>HY!V285</f>
        <v>-295.39999999999998</v>
      </c>
      <c r="N25" s="156">
        <f>HY!W285</f>
        <v>-306.06400000000002</v>
      </c>
      <c r="O25" s="156">
        <f>HY!X285</f>
        <v>-305.00049999999999</v>
      </c>
      <c r="P25" s="156"/>
      <c r="Q25" s="692">
        <f>J25</f>
        <v>-301.39999999999998</v>
      </c>
      <c r="R25" s="156">
        <v>-296</v>
      </c>
      <c r="S25" s="693">
        <f>R25/Q25-1</f>
        <v>-1.7916390179163799E-2</v>
      </c>
      <c r="T25" s="692">
        <f>L25</f>
        <v>-296</v>
      </c>
      <c r="U25" s="693">
        <f>$R25/T25-1</f>
        <v>0</v>
      </c>
      <c r="V25" s="692">
        <f>Z25</f>
        <v>-309.0871698408202</v>
      </c>
      <c r="W25" s="693">
        <f>$R25/V25-1</f>
        <v>-4.2341355830331273E-2</v>
      </c>
      <c r="X25" s="157"/>
      <c r="Y25" s="154"/>
      <c r="Z25" s="788">
        <f>AZ25</f>
        <v>-309.0871698408202</v>
      </c>
      <c r="AB25" s="145" t="s">
        <v>1352</v>
      </c>
      <c r="AC25" s="145" t="s">
        <v>1358</v>
      </c>
      <c r="AD25" s="146" t="s">
        <v>961</v>
      </c>
      <c r="AE25" s="153">
        <f>-_xll.VAData($AB25,AE$3,$AC25,$AD25)</f>
        <v>-257</v>
      </c>
      <c r="AF25" s="153">
        <f>-_xll.VAData($AB25,AF$3,$AC25,$AD25)</f>
        <v>-257.3</v>
      </c>
      <c r="AG25" s="153">
        <f>-_xll.VAData($AB25,AG$3,$AC25,$AD25)</f>
        <v>-243.9</v>
      </c>
      <c r="AH25" s="153">
        <f>-_xll.VAData($AB25,AH$3,$AC25,$AD25)</f>
        <v>-223.1</v>
      </c>
      <c r="AI25" s="153">
        <f>-_xll.VAData($AB25,AI$3,$AC25,$AD25)</f>
        <v>-259.89999999999998</v>
      </c>
      <c r="AJ25" s="153">
        <f>-_xll.VAData($AB25,AJ$3,$AC25,$AD25)</f>
        <v>-247.1</v>
      </c>
      <c r="AK25" s="153">
        <f>-_xll.VAData($AB25,AK$3,$AC25,$AD25)</f>
        <v>-301.39999999999998</v>
      </c>
      <c r="AL25" s="153">
        <f>-_xll.VAData($AB25,AL$3,$AC25,$AD25)</f>
        <v>-285.39999999999998</v>
      </c>
      <c r="AM25" s="153">
        <f>-_xll.VAData($AB25,AM$3,$AC25,$AD25)</f>
        <v>-296</v>
      </c>
      <c r="AN25" s="153">
        <f>-_xll.VAData($AB25,AN$3,$AC25,$AD25)</f>
        <v>-295.39999999999998</v>
      </c>
      <c r="AO25" s="153">
        <f>-_xll.VAData($AB25,AO$3,$AC25,$AD25)</f>
        <v>-306.73726897978889</v>
      </c>
      <c r="AP25" s="153">
        <f>-_xll.VAData($AB25,AP$3,$AC25,$AD25)</f>
        <v>-307.53441716285948</v>
      </c>
      <c r="AR25" s="677">
        <v>-257</v>
      </c>
      <c r="AS25" s="677">
        <v>-257.3</v>
      </c>
      <c r="AT25" s="677">
        <v>-243.9</v>
      </c>
      <c r="AU25" s="677">
        <v>-223.1</v>
      </c>
      <c r="AV25" s="677">
        <v>-259.89999999999998</v>
      </c>
      <c r="AW25" s="677">
        <v>-247.1</v>
      </c>
      <c r="AX25" s="677">
        <v>-301.39999999999998</v>
      </c>
      <c r="AY25" s="677">
        <v>-285.39999999999998</v>
      </c>
      <c r="AZ25" s="677">
        <v>-309.0871698408202</v>
      </c>
      <c r="BA25" s="677">
        <v>-289.09663449608047</v>
      </c>
      <c r="BB25" s="677">
        <v>-318.07824821099689</v>
      </c>
      <c r="BC25" s="677">
        <v>-296.24050974538767</v>
      </c>
      <c r="BE25" s="678">
        <f t="shared" ref="BE25:BP27" si="41">D25-AR25</f>
        <v>0</v>
      </c>
      <c r="BF25" s="678">
        <f t="shared" si="41"/>
        <v>0</v>
      </c>
      <c r="BG25" s="678">
        <f t="shared" si="41"/>
        <v>0</v>
      </c>
      <c r="BH25" s="678">
        <f t="shared" si="41"/>
        <v>0</v>
      </c>
      <c r="BI25" s="678">
        <f t="shared" si="41"/>
        <v>0</v>
      </c>
      <c r="BJ25" s="678">
        <f t="shared" si="41"/>
        <v>0</v>
      </c>
      <c r="BK25" s="678">
        <f t="shared" si="41"/>
        <v>0</v>
      </c>
      <c r="BL25" s="678">
        <f t="shared" si="41"/>
        <v>0</v>
      </c>
      <c r="BM25" s="678">
        <f t="shared" si="41"/>
        <v>13.087169840820195</v>
      </c>
      <c r="BN25" s="678">
        <f t="shared" si="41"/>
        <v>-6.3033655039195082</v>
      </c>
      <c r="BO25" s="678">
        <f t="shared" si="41"/>
        <v>12.014248210996868</v>
      </c>
      <c r="BP25" s="678">
        <f t="shared" si="41"/>
        <v>-8.7599902546123189</v>
      </c>
      <c r="BT25" s="673" t="s">
        <v>1226</v>
      </c>
      <c r="BU25" s="156">
        <f>FY!C23</f>
        <v>-514.29999999999995</v>
      </c>
      <c r="BV25" s="156">
        <f>FY!D23</f>
        <v>-467</v>
      </c>
      <c r="BW25" s="156">
        <f>FY!E23</f>
        <v>-507</v>
      </c>
      <c r="BX25" s="156">
        <f>FY!F23</f>
        <v>-586.79999999999995</v>
      </c>
      <c r="BY25" s="156">
        <f>FY!G23</f>
        <v>-591.4</v>
      </c>
      <c r="BZ25" s="156">
        <f>FY!H23</f>
        <v>-611.06449999999995</v>
      </c>
      <c r="CA25" s="156">
        <f>FY!I23</f>
        <v>-629.396435</v>
      </c>
      <c r="CB25" s="156">
        <f>FY!J23</f>
        <v>-648.27832805000003</v>
      </c>
      <c r="CC25" s="156">
        <f>FY!K23</f>
        <v>-667.7266778915</v>
      </c>
      <c r="CD25" s="156"/>
      <c r="CE25" s="692">
        <f>BX25</f>
        <v>-586.79999999999995</v>
      </c>
      <c r="CF25" s="156">
        <v>-591.4</v>
      </c>
      <c r="CG25" s="693">
        <f>CF25/CE25-1</f>
        <v>7.839127471029439E-3</v>
      </c>
      <c r="CH25" s="692">
        <f>BY25</f>
        <v>-591.4</v>
      </c>
      <c r="CI25" s="693">
        <f>$CF25/CH25-1</f>
        <v>0</v>
      </c>
      <c r="CJ25" s="692">
        <f>CN25</f>
        <v>-586.78344221085126</v>
      </c>
      <c r="CK25" s="693">
        <f>$CF25/CJ25-1</f>
        <v>7.8675665621283919E-3</v>
      </c>
      <c r="CL25" s="157"/>
      <c r="CM25" s="154"/>
      <c r="CN25" s="764">
        <f>DG25</f>
        <v>-586.78344221085126</v>
      </c>
      <c r="CP25" s="145" t="s">
        <v>1352</v>
      </c>
      <c r="CQ25" s="145" t="s">
        <v>1358</v>
      </c>
      <c r="CR25" s="146" t="s">
        <v>961</v>
      </c>
      <c r="CS25" s="153">
        <f>-_xll.VAData($AB25,CS$3,$AC25,$AD25)</f>
        <v>-514.29999999999995</v>
      </c>
      <c r="CT25" s="153">
        <f>-_xll.VAData($AB25,CT$3,$AC25,$AD25)</f>
        <v>-467</v>
      </c>
      <c r="CU25" s="153">
        <f>-_xll.VAData($AB25,CU$3,$AC25,$AD25)</f>
        <v>-507</v>
      </c>
      <c r="CV25" s="153">
        <f>-_xll.VAData($AB25,CV$3,$AC25,$AD25)</f>
        <v>-586.79999999999995</v>
      </c>
      <c r="CW25" s="153">
        <f>-_xll.VAData($AB25,CW$3,$AC25,$AD25)</f>
        <v>-591.4</v>
      </c>
      <c r="CX25" s="153">
        <f>-_xll.VAData($AB25,CX$3,$AC25,$AD25)</f>
        <v>-614.27168614264792</v>
      </c>
      <c r="CY25" s="153">
        <f>-_xll.VAData($AB25,CY$3,$AC25,$AD25)</f>
        <v>-632.20707152279249</v>
      </c>
      <c r="CZ25" s="153">
        <f>-_xll.VAData($AB25,CZ$3,$AC25,$AD25)</f>
        <v>-644.11474183363748</v>
      </c>
      <c r="DA25" s="153">
        <f>-_xll.VAData($AB25,DA$3,$AC25,$AD25)</f>
        <v>-655.01183337205248</v>
      </c>
      <c r="DC25" s="677">
        <v>-514.29999999999995</v>
      </c>
      <c r="DD25" s="677">
        <v>-467</v>
      </c>
      <c r="DE25" s="677">
        <v>-507</v>
      </c>
      <c r="DF25" s="677">
        <v>-586.79999999999995</v>
      </c>
      <c r="DG25" s="677">
        <v>-586.78344221085126</v>
      </c>
      <c r="DH25" s="677">
        <v>-603.63727535394469</v>
      </c>
      <c r="DI25" s="677">
        <v>-618.89226451280729</v>
      </c>
      <c r="DJ25" s="677">
        <v>-632.12602230720108</v>
      </c>
      <c r="DK25" s="677">
        <v>-643.80171633941779</v>
      </c>
      <c r="DM25" s="678">
        <f t="shared" ref="DM25:DP27" si="42">BU25-DC25</f>
        <v>0</v>
      </c>
      <c r="DN25" s="678">
        <f t="shared" si="42"/>
        <v>0</v>
      </c>
      <c r="DO25" s="678">
        <f t="shared" si="42"/>
        <v>0</v>
      </c>
      <c r="DP25" s="678">
        <f t="shared" si="42"/>
        <v>0</v>
      </c>
      <c r="DQ25" s="678">
        <f t="shared" ref="DQ25:DQ27" si="43">BY25-DG25</f>
        <v>-4.6165577891487146</v>
      </c>
      <c r="DR25" s="678">
        <f t="shared" ref="DR25:DR27" si="44">BZ25-DH25</f>
        <v>-7.4272246460552651</v>
      </c>
      <c r="DS25" s="678">
        <f t="shared" ref="DS25:DS27" si="45">CA25-DI25</f>
        <v>-10.50417048719271</v>
      </c>
      <c r="DT25" s="678">
        <f t="shared" ref="DT25:DT27" si="46">CB25-DJ25</f>
        <v>-16.152305742798944</v>
      </c>
      <c r="DU25" s="678">
        <f t="shared" ref="DU25:DU27" si="47">CC25-DK25</f>
        <v>-23.924961552082209</v>
      </c>
    </row>
    <row r="26" spans="3:125">
      <c r="C26" s="673" t="s">
        <v>1170</v>
      </c>
      <c r="D26" s="156">
        <f>HY!M286</f>
        <v>-55</v>
      </c>
      <c r="E26" s="156">
        <f>HY!N286</f>
        <v>-58.099999999999994</v>
      </c>
      <c r="F26" s="156">
        <f>HY!O286</f>
        <v>-58.5</v>
      </c>
      <c r="G26" s="156">
        <f>HY!P286</f>
        <v>-51.599999999999994</v>
      </c>
      <c r="H26" s="156">
        <f>HY!Q286</f>
        <v>-51.6</v>
      </c>
      <c r="I26" s="156">
        <f>HY!R286</f>
        <v>-51.1</v>
      </c>
      <c r="J26" s="156">
        <f>HY!S286</f>
        <v>-52.8</v>
      </c>
      <c r="K26" s="156">
        <f>HY!T286</f>
        <v>-57.600000000000009</v>
      </c>
      <c r="L26" s="156">
        <f>HY!U286</f>
        <v>-54.2</v>
      </c>
      <c r="M26" s="156">
        <f>HY!V286</f>
        <v>-55.099999999999994</v>
      </c>
      <c r="N26" s="156">
        <f>HY!W286</f>
        <v>-57.335424999999994</v>
      </c>
      <c r="O26" s="156">
        <f>HY!X286</f>
        <v>-56.209974999999986</v>
      </c>
      <c r="P26" s="156"/>
      <c r="Q26" s="692">
        <f>J26</f>
        <v>-52.8</v>
      </c>
      <c r="R26" s="156">
        <v>-54.2</v>
      </c>
      <c r="S26" s="693">
        <f>R26/Q26-1</f>
        <v>2.6515151515151603E-2</v>
      </c>
      <c r="T26" s="692">
        <f>L26</f>
        <v>-54.2</v>
      </c>
      <c r="U26" s="693">
        <f>$R26/T26-1</f>
        <v>0</v>
      </c>
      <c r="V26" s="692">
        <f>Z26</f>
        <v>-56.193761945306811</v>
      </c>
      <c r="W26" s="693">
        <f>$R26/V26-1</f>
        <v>-3.5480129400258464E-2</v>
      </c>
      <c r="X26" s="157"/>
      <c r="Y26" s="154"/>
      <c r="Z26" s="788">
        <f>AZ26</f>
        <v>-56.193761945306811</v>
      </c>
      <c r="AB26" s="145" t="s">
        <v>1352</v>
      </c>
      <c r="AC26" s="145" t="s">
        <v>1363</v>
      </c>
      <c r="AD26" s="146" t="s">
        <v>961</v>
      </c>
      <c r="AE26" s="153">
        <f>-_xll.VAData($AB26,AE$3,$AC26,$AD26)</f>
        <v>-55</v>
      </c>
      <c r="AF26" s="153">
        <f>-_xll.VAData($AB26,AF$3,$AC26,$AD26)</f>
        <v>-58.1</v>
      </c>
      <c r="AG26" s="153">
        <f>-_xll.VAData($AB26,AG$3,$AC26,$AD26)</f>
        <v>-58.5</v>
      </c>
      <c r="AH26" s="153">
        <f>-_xll.VAData($AB26,AH$3,$AC26,$AD26)</f>
        <v>-51.6</v>
      </c>
      <c r="AI26" s="153">
        <f>-_xll.VAData($AB26,AI$3,$AC26,$AD26)</f>
        <v>-51.6</v>
      </c>
      <c r="AJ26" s="153">
        <f>-_xll.VAData($AB26,AJ$3,$AC26,$AD26)</f>
        <v>-51.1</v>
      </c>
      <c r="AK26" s="153">
        <f>-_xll.VAData($AB26,AK$3,$AC26,$AD26)</f>
        <v>-52.8</v>
      </c>
      <c r="AL26" s="153">
        <f>-_xll.VAData($AB26,AL$3,$AC26,$AD26)</f>
        <v>-57.6</v>
      </c>
      <c r="AM26" s="153">
        <f>-_xll.VAData($AB26,AM$3,$AC26,$AD26)</f>
        <v>-54.2</v>
      </c>
      <c r="AN26" s="153">
        <f>-_xll.VAData($AB26,AN$3,$AC26,$AD26)</f>
        <v>-55.1</v>
      </c>
      <c r="AO26" s="153">
        <f>-_xll.VAData($AB26,AO$3,$AC26,$AD26)</f>
        <v>-56.335496669104799</v>
      </c>
      <c r="AP26" s="153">
        <f>-_xll.VAData($AB26,AP$3,$AC26,$AD26)</f>
        <v>-56.516040066397615</v>
      </c>
      <c r="AR26" s="677">
        <v>-55</v>
      </c>
      <c r="AS26" s="677">
        <v>-58.1</v>
      </c>
      <c r="AT26" s="677">
        <v>-58.5</v>
      </c>
      <c r="AU26" s="677">
        <v>-51.6</v>
      </c>
      <c r="AV26" s="677">
        <v>-55.9</v>
      </c>
      <c r="AW26" s="677">
        <v>-51.1</v>
      </c>
      <c r="AX26" s="677">
        <v>-52.8</v>
      </c>
      <c r="AY26" s="677">
        <v>-57.6</v>
      </c>
      <c r="AZ26" s="677">
        <v>-56.193761945306811</v>
      </c>
      <c r="BA26" s="677">
        <v>-58.054476628238831</v>
      </c>
      <c r="BB26" s="677">
        <v>-57.687874537803047</v>
      </c>
      <c r="BC26" s="677">
        <v>-59.506709901696667</v>
      </c>
      <c r="BE26" s="678">
        <f t="shared" si="41"/>
        <v>0</v>
      </c>
      <c r="BF26" s="678">
        <f t="shared" si="41"/>
        <v>0</v>
      </c>
      <c r="BG26" s="678">
        <f t="shared" si="41"/>
        <v>0</v>
      </c>
      <c r="BH26" s="678">
        <f t="shared" si="41"/>
        <v>0</v>
      </c>
      <c r="BI26" s="678">
        <f t="shared" si="41"/>
        <v>4.2999999999999972</v>
      </c>
      <c r="BJ26" s="678">
        <f t="shared" si="41"/>
        <v>0</v>
      </c>
      <c r="BK26" s="678">
        <f t="shared" si="41"/>
        <v>0</v>
      </c>
      <c r="BL26" s="678">
        <f t="shared" si="41"/>
        <v>0</v>
      </c>
      <c r="BM26" s="678">
        <f t="shared" si="41"/>
        <v>1.9937619453068081</v>
      </c>
      <c r="BN26" s="678">
        <f t="shared" si="41"/>
        <v>2.9544766282388366</v>
      </c>
      <c r="BO26" s="678">
        <f t="shared" si="41"/>
        <v>0.35244953780305366</v>
      </c>
      <c r="BP26" s="678">
        <f t="shared" si="41"/>
        <v>3.2967349016966807</v>
      </c>
      <c r="BT26" s="673" t="s">
        <v>1170</v>
      </c>
      <c r="BU26" s="156">
        <f>FY!C24</f>
        <v>-113.1</v>
      </c>
      <c r="BV26" s="156">
        <f>FY!D24</f>
        <v>-110.1</v>
      </c>
      <c r="BW26" s="156">
        <f>FY!E24</f>
        <v>-102.7</v>
      </c>
      <c r="BX26" s="156">
        <f>FY!F24</f>
        <v>-110.4</v>
      </c>
      <c r="BY26" s="156">
        <f>FY!G24</f>
        <v>-109.3</v>
      </c>
      <c r="BZ26" s="156">
        <f>FY!H24</f>
        <v>-113.54539999999997</v>
      </c>
      <c r="CA26" s="156">
        <f>FY!I24</f>
        <v>-116.38403499999997</v>
      </c>
      <c r="CB26" s="156">
        <f>FY!J24</f>
        <v>-119.87555604999997</v>
      </c>
      <c r="CC26" s="156">
        <f>FY!K24</f>
        <v>-123.47182273149997</v>
      </c>
      <c r="CD26" s="156"/>
      <c r="CE26" s="692">
        <f>BX26</f>
        <v>-110.4</v>
      </c>
      <c r="CF26" s="156">
        <v>-109.3</v>
      </c>
      <c r="CG26" s="693">
        <f>CF26/CE26-1</f>
        <v>-9.9637681159421287E-3</v>
      </c>
      <c r="CH26" s="692">
        <f>BY26</f>
        <v>-109.3</v>
      </c>
      <c r="CI26" s="693">
        <f>$CF26/CH26-1</f>
        <v>0</v>
      </c>
      <c r="CJ26" s="692">
        <f>CN26</f>
        <v>-111.38287676805926</v>
      </c>
      <c r="CK26" s="693">
        <f>$CF26/CJ26-1</f>
        <v>-1.8700152379764745E-2</v>
      </c>
      <c r="CL26" s="157"/>
      <c r="CM26" s="154"/>
      <c r="CN26" s="764">
        <f>DG26</f>
        <v>-111.38287676805926</v>
      </c>
      <c r="CP26" s="145" t="s">
        <v>1352</v>
      </c>
      <c r="CQ26" s="145" t="s">
        <v>1363</v>
      </c>
      <c r="CR26" s="146" t="s">
        <v>961</v>
      </c>
      <c r="CS26" s="153">
        <f>-_xll.VAData($AB26,CS$3,$AC26,$AD26)</f>
        <v>-113.1</v>
      </c>
      <c r="CT26" s="153">
        <f>-_xll.VAData($AB26,CT$3,$AC26,$AD26)</f>
        <v>-110.1</v>
      </c>
      <c r="CU26" s="153">
        <f>-_xll.VAData($AB26,CU$3,$AC26,$AD26)</f>
        <v>-102.7</v>
      </c>
      <c r="CV26" s="153">
        <f>-_xll.VAData($AB26,CV$3,$AC26,$AD26)</f>
        <v>-110.4</v>
      </c>
      <c r="CW26" s="153">
        <f>-_xll.VAData($AB26,CW$3,$AC26,$AD26)</f>
        <v>-109.3</v>
      </c>
      <c r="CX26" s="153">
        <f>-_xll.VAData($AB26,CX$3,$AC26,$AD26)</f>
        <v>-112.85153673550234</v>
      </c>
      <c r="CY26" s="153">
        <f>-_xll.VAData($AB26,CY$3,$AC26,$AD26)</f>
        <v>-115.37987825451732</v>
      </c>
      <c r="CZ26" s="153">
        <f>-_xll.VAData($AB26,CZ$3,$AC26,$AD26)</f>
        <v>-117.93849994319413</v>
      </c>
      <c r="DA26" s="153">
        <f>-_xll.VAData($AB26,DA$3,$AC26,$AD26)</f>
        <v>-120.61189620055281</v>
      </c>
      <c r="DC26" s="677">
        <v>-113.1</v>
      </c>
      <c r="DD26" s="677">
        <v>-110.1</v>
      </c>
      <c r="DE26" s="677">
        <v>-102.7</v>
      </c>
      <c r="DF26" s="677">
        <v>-110.4</v>
      </c>
      <c r="DG26" s="677">
        <v>-111.38287676805926</v>
      </c>
      <c r="DH26" s="677">
        <v>-114.75520497196997</v>
      </c>
      <c r="DI26" s="677">
        <v>-117.58141946558543</v>
      </c>
      <c r="DJ26" s="677">
        <v>-120.39669742208936</v>
      </c>
      <c r="DK26" s="677">
        <v>-123.32600876688014</v>
      </c>
      <c r="DM26" s="678">
        <f t="shared" si="42"/>
        <v>0</v>
      </c>
      <c r="DN26" s="678">
        <f t="shared" si="42"/>
        <v>0</v>
      </c>
      <c r="DO26" s="678">
        <f t="shared" si="42"/>
        <v>0</v>
      </c>
      <c r="DP26" s="678">
        <f t="shared" si="42"/>
        <v>0</v>
      </c>
      <c r="DQ26" s="678">
        <f t="shared" si="43"/>
        <v>2.0828767680592648</v>
      </c>
      <c r="DR26" s="678">
        <f t="shared" si="44"/>
        <v>1.2098049719700015</v>
      </c>
      <c r="DS26" s="678">
        <f t="shared" si="45"/>
        <v>1.1973844655854577</v>
      </c>
      <c r="DT26" s="678">
        <f t="shared" si="46"/>
        <v>0.52114137208938871</v>
      </c>
      <c r="DU26" s="678">
        <f t="shared" si="47"/>
        <v>-0.14581396461983331</v>
      </c>
    </row>
    <row r="27" spans="3:125" s="666" customFormat="1">
      <c r="C27" s="672" t="s">
        <v>4</v>
      </c>
      <c r="D27" s="668">
        <f>HY!M288</f>
        <v>-310.5</v>
      </c>
      <c r="E27" s="668">
        <f>HY!N288</f>
        <v>-316.10000000000002</v>
      </c>
      <c r="F27" s="668">
        <f>HY!O288</f>
        <v>-303.10000000000002</v>
      </c>
      <c r="G27" s="668">
        <f>HY!P288</f>
        <v>-274.29999999999995</v>
      </c>
      <c r="H27" s="668">
        <f>HY!Q288</f>
        <v>-315.8</v>
      </c>
      <c r="I27" s="668">
        <f>HY!R288</f>
        <v>-298.2</v>
      </c>
      <c r="J27" s="668">
        <f>HY!S288</f>
        <v>-354.2</v>
      </c>
      <c r="K27" s="668">
        <f>HY!T288</f>
        <v>-343.00000000000006</v>
      </c>
      <c r="L27" s="668">
        <f>HY!U288</f>
        <v>-350.2</v>
      </c>
      <c r="M27" s="668">
        <f>HY!V288</f>
        <v>-350.50000000000006</v>
      </c>
      <c r="N27" s="668">
        <f>HY!W288</f>
        <v>-363.39942500000001</v>
      </c>
      <c r="O27" s="668">
        <f>HY!X288</f>
        <v>-372.91047499999996</v>
      </c>
      <c r="P27" s="668"/>
      <c r="Q27" s="696">
        <f>J27</f>
        <v>-354.2</v>
      </c>
      <c r="R27" s="668">
        <v>-350.2</v>
      </c>
      <c r="S27" s="697">
        <f>R27/Q27-1</f>
        <v>-1.1293054771315592E-2</v>
      </c>
      <c r="T27" s="696">
        <f>L27</f>
        <v>-350.2</v>
      </c>
      <c r="U27" s="697">
        <f>$R27/T27-1</f>
        <v>0</v>
      </c>
      <c r="V27" s="696">
        <f>Z27</f>
        <v>-365.28093178612698</v>
      </c>
      <c r="W27" s="697">
        <f>$R27/V27-1</f>
        <v>-4.1285844602906741E-2</v>
      </c>
      <c r="X27" s="669"/>
      <c r="Y27" s="670"/>
      <c r="Z27" s="789">
        <f>AZ27</f>
        <v>-365.28093178612698</v>
      </c>
      <c r="AB27" s="147" t="s">
        <v>1352</v>
      </c>
      <c r="AC27" s="147"/>
      <c r="AD27" s="146" t="s">
        <v>961</v>
      </c>
      <c r="AE27" s="828">
        <f t="shared" ref="AE27:AP27" si="48">SUM(AE25:AE26)</f>
        <v>-312</v>
      </c>
      <c r="AF27" s="828">
        <f t="shared" si="48"/>
        <v>-315.40000000000003</v>
      </c>
      <c r="AG27" s="828">
        <f t="shared" si="48"/>
        <v>-302.39999999999998</v>
      </c>
      <c r="AH27" s="828">
        <f t="shared" si="48"/>
        <v>-274.7</v>
      </c>
      <c r="AI27" s="828">
        <f t="shared" si="48"/>
        <v>-311.5</v>
      </c>
      <c r="AJ27" s="828">
        <f t="shared" si="48"/>
        <v>-298.2</v>
      </c>
      <c r="AK27" s="828">
        <f t="shared" si="48"/>
        <v>-354.2</v>
      </c>
      <c r="AL27" s="828">
        <f t="shared" si="48"/>
        <v>-343</v>
      </c>
      <c r="AM27" s="828">
        <f t="shared" si="48"/>
        <v>-350.2</v>
      </c>
      <c r="AN27" s="828">
        <f t="shared" si="48"/>
        <v>-350.5</v>
      </c>
      <c r="AO27" s="828">
        <f t="shared" si="48"/>
        <v>-363.07276564889366</v>
      </c>
      <c r="AP27" s="828">
        <f t="shared" si="48"/>
        <v>-364.05045722925712</v>
      </c>
      <c r="AR27" s="677">
        <v>-312</v>
      </c>
      <c r="AS27" s="677">
        <v>-315.40000000000003</v>
      </c>
      <c r="AT27" s="677">
        <v>-302.39999999999998</v>
      </c>
      <c r="AU27" s="677">
        <v>-274.7</v>
      </c>
      <c r="AV27" s="677">
        <v>-315.79999999999995</v>
      </c>
      <c r="AW27" s="677">
        <v>-298.2</v>
      </c>
      <c r="AX27" s="677">
        <v>-354.2</v>
      </c>
      <c r="AY27" s="677">
        <v>-343</v>
      </c>
      <c r="AZ27" s="677">
        <v>-365.28093178612698</v>
      </c>
      <c r="BA27" s="677">
        <v>-347.1511111243193</v>
      </c>
      <c r="BB27" s="677">
        <v>-375.76612274879994</v>
      </c>
      <c r="BC27" s="677">
        <v>-355.74721964708431</v>
      </c>
      <c r="BE27" s="678">
        <f t="shared" si="41"/>
        <v>1.5</v>
      </c>
      <c r="BF27" s="678">
        <f t="shared" si="41"/>
        <v>-0.69999999999998863</v>
      </c>
      <c r="BG27" s="678">
        <f t="shared" si="41"/>
        <v>-0.70000000000004547</v>
      </c>
      <c r="BH27" s="678">
        <f t="shared" si="41"/>
        <v>0.40000000000003411</v>
      </c>
      <c r="BI27" s="678">
        <f t="shared" si="41"/>
        <v>0</v>
      </c>
      <c r="BJ27" s="678">
        <f t="shared" si="41"/>
        <v>0</v>
      </c>
      <c r="BK27" s="678">
        <f t="shared" si="41"/>
        <v>0</v>
      </c>
      <c r="BL27" s="678">
        <f t="shared" si="41"/>
        <v>0</v>
      </c>
      <c r="BM27" s="678">
        <f t="shared" si="41"/>
        <v>15.080931786126996</v>
      </c>
      <c r="BN27" s="678">
        <f t="shared" si="41"/>
        <v>-3.3488888756807569</v>
      </c>
      <c r="BO27" s="678">
        <f t="shared" si="41"/>
        <v>12.366697748799936</v>
      </c>
      <c r="BP27" s="678">
        <f t="shared" si="41"/>
        <v>-17.163255352915655</v>
      </c>
      <c r="BT27" s="672" t="s">
        <v>4</v>
      </c>
      <c r="BU27" s="668">
        <f>FY!C26</f>
        <v>-626.6</v>
      </c>
      <c r="BV27" s="668">
        <f>FY!D26</f>
        <v>-577.4</v>
      </c>
      <c r="BW27" s="668">
        <f>FY!E26</f>
        <v>-614</v>
      </c>
      <c r="BX27" s="668">
        <f>FY!F26</f>
        <v>-697.2</v>
      </c>
      <c r="BY27" s="668">
        <f>FY!G26</f>
        <v>-700.7</v>
      </c>
      <c r="BZ27" s="668">
        <f>FY!H26</f>
        <v>-736.30989999999997</v>
      </c>
      <c r="CA27" s="668">
        <f>FY!I26</f>
        <v>-786.98446999999987</v>
      </c>
      <c r="CB27" s="668">
        <f>FY!J26</f>
        <v>-802.80400409999993</v>
      </c>
      <c r="CC27" s="668">
        <f>FY!K26</f>
        <v>-826.88812422299998</v>
      </c>
      <c r="CD27" s="668"/>
      <c r="CE27" s="696">
        <f>BX27</f>
        <v>-697.2</v>
      </c>
      <c r="CF27" s="668">
        <v>-700.7</v>
      </c>
      <c r="CG27" s="697">
        <f>CF27/CE27-1</f>
        <v>5.020080321285203E-3</v>
      </c>
      <c r="CH27" s="696">
        <f>BY27</f>
        <v>-700.7</v>
      </c>
      <c r="CI27" s="697">
        <f>$CF27/CH27-1</f>
        <v>0</v>
      </c>
      <c r="CJ27" s="696">
        <f>CN27</f>
        <v>-698.16631897891057</v>
      </c>
      <c r="CK27" s="697">
        <f>$CF27/CJ27-1</f>
        <v>3.6290507751721712E-3</v>
      </c>
      <c r="CL27" s="669"/>
      <c r="CM27" s="670"/>
      <c r="CN27" s="687">
        <f>SUM(CN25:CN26)</f>
        <v>-698.16631897891057</v>
      </c>
      <c r="CP27" s="147" t="s">
        <v>1352</v>
      </c>
      <c r="CQ27" s="147"/>
      <c r="CR27" s="146" t="s">
        <v>961</v>
      </c>
      <c r="DC27" s="687"/>
      <c r="DD27" s="687"/>
      <c r="DE27" s="687"/>
      <c r="DF27" s="687"/>
      <c r="DG27" s="687"/>
      <c r="DH27" s="687"/>
      <c r="DI27" s="687"/>
      <c r="DJ27" s="687"/>
      <c r="DK27" s="687"/>
      <c r="DM27" s="678">
        <f t="shared" si="42"/>
        <v>-626.6</v>
      </c>
      <c r="DN27" s="678">
        <f t="shared" si="42"/>
        <v>-577.4</v>
      </c>
      <c r="DO27" s="678">
        <f t="shared" si="42"/>
        <v>-614</v>
      </c>
      <c r="DP27" s="678">
        <f t="shared" si="42"/>
        <v>-697.2</v>
      </c>
      <c r="DQ27" s="678">
        <f t="shared" si="43"/>
        <v>-700.7</v>
      </c>
      <c r="DR27" s="678">
        <f t="shared" si="44"/>
        <v>-736.30989999999997</v>
      </c>
      <c r="DS27" s="678">
        <f t="shared" si="45"/>
        <v>-786.98446999999987</v>
      </c>
      <c r="DT27" s="678">
        <f t="shared" si="46"/>
        <v>-802.80400409999993</v>
      </c>
      <c r="DU27" s="678">
        <f t="shared" si="47"/>
        <v>-826.88812422299998</v>
      </c>
    </row>
    <row r="28" spans="3:125">
      <c r="C28" s="673"/>
      <c r="D28" s="156"/>
      <c r="E28" s="156"/>
      <c r="F28" s="156"/>
      <c r="G28" s="156"/>
      <c r="H28" s="156"/>
      <c r="I28" s="156"/>
      <c r="J28" s="156"/>
      <c r="K28" s="156"/>
      <c r="L28" s="156"/>
      <c r="M28" s="156"/>
      <c r="N28" s="156"/>
      <c r="O28" s="156"/>
      <c r="P28" s="156"/>
      <c r="Q28" s="692"/>
      <c r="R28" s="156"/>
      <c r="S28" s="693"/>
      <c r="T28" s="692"/>
      <c r="U28" s="693"/>
      <c r="V28" s="692"/>
      <c r="W28" s="693"/>
      <c r="X28" s="157"/>
      <c r="Y28" s="154"/>
      <c r="Z28" s="683"/>
      <c r="AR28" s="683"/>
      <c r="AS28" s="683"/>
      <c r="AT28" s="683"/>
      <c r="AU28" s="683"/>
      <c r="AV28" s="683"/>
      <c r="AW28" s="683"/>
      <c r="AX28" s="683"/>
      <c r="AY28" s="683"/>
      <c r="AZ28" s="683"/>
      <c r="BA28" s="683"/>
      <c r="BB28" s="683"/>
      <c r="BC28" s="683"/>
      <c r="BE28" s="683"/>
      <c r="BF28" s="683"/>
      <c r="BG28" s="683"/>
      <c r="BH28" s="683"/>
      <c r="BI28" s="683"/>
      <c r="BJ28" s="683"/>
      <c r="BK28" s="683"/>
      <c r="BL28" s="683"/>
      <c r="BM28" s="683"/>
      <c r="BN28" s="683"/>
      <c r="BO28" s="683"/>
      <c r="BP28" s="683"/>
      <c r="BT28" s="673"/>
      <c r="BU28" s="156"/>
      <c r="BV28" s="156"/>
      <c r="BW28" s="156"/>
      <c r="BX28" s="156"/>
      <c r="BY28" s="156"/>
      <c r="BZ28" s="156"/>
      <c r="CA28" s="156"/>
      <c r="CB28" s="156"/>
      <c r="CC28" s="156"/>
      <c r="CD28" s="156"/>
      <c r="CE28" s="692"/>
      <c r="CF28" s="156"/>
      <c r="CG28" s="693"/>
      <c r="CH28" s="692"/>
      <c r="CI28" s="693"/>
      <c r="CJ28" s="692"/>
      <c r="CK28" s="693"/>
      <c r="CL28" s="157"/>
      <c r="CM28" s="154"/>
      <c r="CN28" s="683"/>
      <c r="DC28" s="683"/>
      <c r="DD28" s="683"/>
      <c r="DE28" s="683"/>
      <c r="DF28" s="683"/>
      <c r="DG28" s="683"/>
      <c r="DH28" s="683"/>
      <c r="DI28" s="683"/>
      <c r="DJ28" s="683"/>
      <c r="DK28" s="683"/>
      <c r="DM28" s="683"/>
      <c r="DN28" s="683"/>
      <c r="DO28" s="683"/>
      <c r="DP28" s="683"/>
      <c r="DQ28" s="683"/>
      <c r="DR28" s="683"/>
      <c r="DS28" s="683"/>
      <c r="DT28" s="683"/>
      <c r="DU28" s="683"/>
    </row>
    <row r="29" spans="3:125">
      <c r="C29" s="673" t="s">
        <v>1226</v>
      </c>
      <c r="D29" s="156">
        <f>HY!M292</f>
        <v>137.9</v>
      </c>
      <c r="E29" s="156">
        <f>HY!N292</f>
        <v>149.1</v>
      </c>
      <c r="F29" s="156">
        <f>HY!O292</f>
        <v>154.4</v>
      </c>
      <c r="G29" s="156">
        <f>HY!P292</f>
        <v>153.6</v>
      </c>
      <c r="H29" s="156">
        <f>HY!Q292</f>
        <v>134</v>
      </c>
      <c r="I29" s="156">
        <f>HY!R292</f>
        <v>117.19999999999999</v>
      </c>
      <c r="J29" s="156">
        <f>HY!S292</f>
        <v>156.69999999999999</v>
      </c>
      <c r="K29" s="156">
        <f>HY!T292</f>
        <v>172.40000000000003</v>
      </c>
      <c r="L29" s="156">
        <f>HY!U292</f>
        <v>181.4</v>
      </c>
      <c r="M29" s="156">
        <f>HY!V292</f>
        <v>180.4</v>
      </c>
      <c r="N29" s="156">
        <f>HY!W292</f>
        <v>210.19754872699997</v>
      </c>
      <c r="O29" s="156">
        <f>HY!X292</f>
        <v>180.29138627075008</v>
      </c>
      <c r="P29" s="156"/>
      <c r="Q29" s="692">
        <f>J29</f>
        <v>156.69999999999999</v>
      </c>
      <c r="R29" s="156">
        <v>181.4</v>
      </c>
      <c r="S29" s="693">
        <f>R29/Q29-1</f>
        <v>0.1576260370134015</v>
      </c>
      <c r="T29" s="692">
        <f>L29</f>
        <v>181.4</v>
      </c>
      <c r="U29" s="693">
        <f t="shared" ref="U29:U39" si="49">$R29/T29-1</f>
        <v>0</v>
      </c>
      <c r="V29" s="692">
        <f>Z29</f>
        <v>163.0889664281562</v>
      </c>
      <c r="W29" s="693">
        <f t="shared" ref="W29:W39" si="50">$R29/V29-1</f>
        <v>0.11227634813609644</v>
      </c>
      <c r="X29" s="157"/>
      <c r="Y29" s="154"/>
      <c r="Z29" s="788">
        <f>AZ29</f>
        <v>163.0889664281562</v>
      </c>
      <c r="AB29" s="145" t="s">
        <v>1352</v>
      </c>
      <c r="AC29" s="145" t="s">
        <v>1357</v>
      </c>
      <c r="AD29" s="146" t="s">
        <v>961</v>
      </c>
      <c r="AE29" s="153">
        <f>_xll.VAData($AB29,AE$3,$AC29,$AD29)</f>
        <v>137.9</v>
      </c>
      <c r="AF29" s="153">
        <f>_xll.VAData($AB29,AF$3,$AC29,$AD29)</f>
        <v>149.1</v>
      </c>
      <c r="AG29" s="153">
        <f>_xll.VAData($AB29,AG$3,$AC29,$AD29)</f>
        <v>154.4</v>
      </c>
      <c r="AH29" s="153">
        <f>_xll.VAData($AB29,AH$3,$AC29,$AD29)</f>
        <v>153.6</v>
      </c>
      <c r="AI29" s="153">
        <f>_xll.VAData($AB29,AI$3,$AC29,$AD29)</f>
        <v>134</v>
      </c>
      <c r="AJ29" s="153">
        <f>_xll.VAData($AB29,AJ$3,$AC29,$AD29)</f>
        <v>117.2</v>
      </c>
      <c r="AK29" s="153">
        <f>_xll.VAData($AB29,AK$3,$AC29,$AD29)</f>
        <v>156.69999999999999</v>
      </c>
      <c r="AL29" s="153">
        <f>_xll.VAData($AB29,AL$3,$AC29,$AD29)</f>
        <v>172.4</v>
      </c>
      <c r="AM29" s="153">
        <f>_xll.VAData($AB29,AM$3,$AC29,$AD29)</f>
        <v>181.4</v>
      </c>
      <c r="AN29" s="153">
        <f>_xll.VAData($AB29,AN$3,$AC29,$AD29)</f>
        <v>180.4</v>
      </c>
      <c r="AO29" s="153">
        <f>_xll.VAData($AB29,AO$3,$AC29,$AD29)</f>
        <v>204.2861177648021</v>
      </c>
      <c r="AP29" s="153">
        <f>_xll.VAData($AB29,AP$3,$AC29,$AD29)</f>
        <v>183.23248180002599</v>
      </c>
      <c r="AR29" s="677">
        <v>137.9</v>
      </c>
      <c r="AS29" s="677">
        <v>149.1</v>
      </c>
      <c r="AT29" s="677">
        <v>154.4</v>
      </c>
      <c r="AU29" s="677">
        <v>153.6</v>
      </c>
      <c r="AV29" s="677">
        <v>134</v>
      </c>
      <c r="AW29" s="677">
        <v>117.2</v>
      </c>
      <c r="AX29" s="677">
        <v>156.69999999999999</v>
      </c>
      <c r="AY29" s="677">
        <v>172.4</v>
      </c>
      <c r="AZ29" s="677">
        <v>163.0889664281562</v>
      </c>
      <c r="BA29" s="677">
        <v>172.80149565833329</v>
      </c>
      <c r="BB29" s="677">
        <v>183.52272696173151</v>
      </c>
      <c r="BC29" s="677">
        <v>176.90264663487019</v>
      </c>
      <c r="BE29" s="678">
        <f t="shared" ref="BE29:BP31" si="51">D29-AR29</f>
        <v>0</v>
      </c>
      <c r="BF29" s="678">
        <f t="shared" si="51"/>
        <v>0</v>
      </c>
      <c r="BG29" s="678">
        <f t="shared" si="51"/>
        <v>0</v>
      </c>
      <c r="BH29" s="678">
        <f t="shared" si="51"/>
        <v>0</v>
      </c>
      <c r="BI29" s="678">
        <f t="shared" si="51"/>
        <v>0</v>
      </c>
      <c r="BJ29" s="678">
        <f t="shared" si="51"/>
        <v>0</v>
      </c>
      <c r="BK29" s="678">
        <f t="shared" si="51"/>
        <v>0</v>
      </c>
      <c r="BL29" s="678">
        <f t="shared" si="51"/>
        <v>0</v>
      </c>
      <c r="BM29" s="678">
        <f t="shared" si="51"/>
        <v>18.311033571843808</v>
      </c>
      <c r="BN29" s="678">
        <f t="shared" si="51"/>
        <v>7.5985043416667111</v>
      </c>
      <c r="BO29" s="678">
        <f t="shared" si="51"/>
        <v>26.674821765268462</v>
      </c>
      <c r="BP29" s="678">
        <f t="shared" si="51"/>
        <v>3.3887396358798867</v>
      </c>
      <c r="BT29" s="673" t="s">
        <v>1226</v>
      </c>
      <c r="BU29" s="156">
        <f>FY!C30</f>
        <v>287</v>
      </c>
      <c r="BV29" s="156">
        <f>FY!D30</f>
        <v>308</v>
      </c>
      <c r="BW29" s="156">
        <f>FY!E30</f>
        <v>251.2</v>
      </c>
      <c r="BX29" s="156">
        <f>FY!F30</f>
        <v>329.1</v>
      </c>
      <c r="BY29" s="156">
        <f>FY!G30</f>
        <v>361.8</v>
      </c>
      <c r="BZ29" s="156">
        <f>FY!H30</f>
        <v>390.48893499775005</v>
      </c>
      <c r="CA29" s="156">
        <f>FY!I30</f>
        <v>379.2673630323751</v>
      </c>
      <c r="CB29" s="156">
        <f>FY!J30</f>
        <v>369.21394977472295</v>
      </c>
      <c r="CC29" s="156">
        <f>FY!K30</f>
        <v>372.35660372400287</v>
      </c>
      <c r="CD29" s="156"/>
      <c r="CE29" s="692">
        <f>BX29</f>
        <v>329.1</v>
      </c>
      <c r="CF29" s="156">
        <v>361.8</v>
      </c>
      <c r="CG29" s="693">
        <f>CF29/CE29-1</f>
        <v>9.9361896080218726E-2</v>
      </c>
      <c r="CH29" s="692">
        <f>BY29</f>
        <v>361.8</v>
      </c>
      <c r="CI29" s="693">
        <f>$CF29/CH29-1</f>
        <v>0</v>
      </c>
      <c r="CJ29" s="692">
        <f>CN29</f>
        <v>350.4677833069407</v>
      </c>
      <c r="CK29" s="693">
        <f>$CF29/CJ29-1</f>
        <v>3.2334546091885796E-2</v>
      </c>
      <c r="CL29" s="157"/>
      <c r="CM29" s="154"/>
      <c r="CN29" s="764">
        <f>DG29</f>
        <v>350.4677833069407</v>
      </c>
      <c r="CP29" s="145" t="s">
        <v>1352</v>
      </c>
      <c r="CQ29" s="145" t="s">
        <v>1357</v>
      </c>
      <c r="CR29" s="146" t="s">
        <v>961</v>
      </c>
      <c r="CS29" s="153">
        <f>_xll.VAData($AB29,CS$3,$AC29,$AD29)</f>
        <v>287</v>
      </c>
      <c r="CT29" s="153">
        <f>_xll.VAData($AB29,CT$3,$AC29,$AD29)</f>
        <v>308</v>
      </c>
      <c r="CU29" s="153">
        <f>_xll.VAData($AB29,CU$3,$AC29,$AD29)</f>
        <v>251.2</v>
      </c>
      <c r="CV29" s="153">
        <f>_xll.VAData($AB29,CV$3,$AC29,$AD29)</f>
        <v>329.1</v>
      </c>
      <c r="CW29" s="153">
        <f>_xll.VAData($AB29,CW$3,$AC29,$AD29)</f>
        <v>361.8</v>
      </c>
      <c r="CX29" s="153">
        <f>_xll.VAData($AB29,CX$3,$AC29,$AD29)</f>
        <v>387.51859956482798</v>
      </c>
      <c r="CY29" s="153">
        <f>_xll.VAData($AB29,CY$3,$AC29,$AD29)</f>
        <v>398.00594951247621</v>
      </c>
      <c r="CZ29" s="153">
        <f>_xll.VAData($AB29,CZ$3,$AC29,$AD29)</f>
        <v>407.15707416205169</v>
      </c>
      <c r="DA29" s="153">
        <f>_xll.VAData($AB29,DA$3,$AC29,$AD29)</f>
        <v>417.41204509008344</v>
      </c>
      <c r="DC29" s="677">
        <v>287</v>
      </c>
      <c r="DD29" s="677">
        <v>308</v>
      </c>
      <c r="DE29" s="677">
        <v>251.2</v>
      </c>
      <c r="DF29" s="677">
        <v>329.1</v>
      </c>
      <c r="DG29" s="677">
        <v>350.4677833069407</v>
      </c>
      <c r="DH29" s="677">
        <v>366.36499338692329</v>
      </c>
      <c r="DI29" s="677">
        <v>377.92364904624139</v>
      </c>
      <c r="DJ29" s="677">
        <v>387.78201275986089</v>
      </c>
      <c r="DK29" s="677">
        <v>399.17646455744551</v>
      </c>
      <c r="DM29" s="678">
        <f t="shared" ref="DM29:DP31" si="52">BU29-DC29</f>
        <v>0</v>
      </c>
      <c r="DN29" s="678">
        <f t="shared" si="52"/>
        <v>0</v>
      </c>
      <c r="DO29" s="678">
        <f t="shared" si="52"/>
        <v>0</v>
      </c>
      <c r="DP29" s="678">
        <f t="shared" si="52"/>
        <v>0</v>
      </c>
      <c r="DQ29" s="678">
        <f t="shared" ref="DQ29:DQ31" si="53">BY29-DG29</f>
        <v>11.332216693059308</v>
      </c>
      <c r="DR29" s="678">
        <f t="shared" ref="DR29:DR31" si="54">BZ29-DH29</f>
        <v>24.123941610826762</v>
      </c>
      <c r="DS29" s="678">
        <f t="shared" ref="DS29:DS31" si="55">CA29-DI29</f>
        <v>1.3437139861337073</v>
      </c>
      <c r="DT29" s="678">
        <f t="shared" ref="DT29:DT31" si="56">CB29-DJ29</f>
        <v>-18.568062985137942</v>
      </c>
      <c r="DU29" s="678">
        <f t="shared" ref="DU29:DU31" si="57">CC29-DK29</f>
        <v>-26.819860833442647</v>
      </c>
    </row>
    <row r="30" spans="3:125">
      <c r="C30" s="673" t="s">
        <v>1170</v>
      </c>
      <c r="D30" s="156">
        <f>HY!M293</f>
        <v>19.600000000000001</v>
      </c>
      <c r="E30" s="156">
        <f>HY!N293</f>
        <v>53.6</v>
      </c>
      <c r="F30" s="156">
        <f>HY!O293</f>
        <v>42.9</v>
      </c>
      <c r="G30" s="156">
        <f>HY!P293</f>
        <v>40.199999999999996</v>
      </c>
      <c r="H30" s="156">
        <f>HY!Q293</f>
        <v>28.3</v>
      </c>
      <c r="I30" s="156">
        <f>HY!R293</f>
        <v>30.7</v>
      </c>
      <c r="J30" s="156">
        <f>HY!S293</f>
        <v>33.5</v>
      </c>
      <c r="K30" s="156">
        <f>HY!T293</f>
        <v>28.9</v>
      </c>
      <c r="L30" s="156">
        <f>HY!U293</f>
        <v>36</v>
      </c>
      <c r="M30" s="156">
        <f>HY!V293</f>
        <v>33.900000000000006</v>
      </c>
      <c r="N30" s="156">
        <f>HY!W293</f>
        <v>35.716104477196872</v>
      </c>
      <c r="O30" s="156">
        <f>HY!X293</f>
        <v>35.015024999999994</v>
      </c>
      <c r="P30" s="156"/>
      <c r="Q30" s="692">
        <f>J30</f>
        <v>33.5</v>
      </c>
      <c r="R30" s="156">
        <v>36</v>
      </c>
      <c r="S30" s="693">
        <f>R30/Q30-1</f>
        <v>7.4626865671641784E-2</v>
      </c>
      <c r="T30" s="692">
        <f>L30</f>
        <v>36</v>
      </c>
      <c r="U30" s="693">
        <f t="shared" si="49"/>
        <v>0</v>
      </c>
      <c r="V30" s="692">
        <f>Z30</f>
        <v>32.767104711310658</v>
      </c>
      <c r="W30" s="693">
        <f t="shared" si="50"/>
        <v>9.8662830212563835E-2</v>
      </c>
      <c r="X30" s="157"/>
      <c r="Y30" s="154"/>
      <c r="Z30" s="788">
        <f>AZ30</f>
        <v>32.767104711310658</v>
      </c>
      <c r="AB30" s="145" t="s">
        <v>1352</v>
      </c>
      <c r="AC30" s="145" t="s">
        <v>1364</v>
      </c>
      <c r="AD30" s="146" t="s">
        <v>961</v>
      </c>
      <c r="AE30" s="153">
        <f>_xll.VAData($AB30,AE$3,$AC30,$AD30)</f>
        <v>19.600000000000001</v>
      </c>
      <c r="AF30" s="153">
        <f>_xll.VAData($AB30,AF$3,$AC30,$AD30)</f>
        <v>53.6</v>
      </c>
      <c r="AG30" s="153">
        <f>_xll.VAData($AB30,AG$3,$AC30,$AD30)</f>
        <v>42.9</v>
      </c>
      <c r="AH30" s="153">
        <f>_xll.VAData($AB30,AH$3,$AC30,$AD30)</f>
        <v>40.200000000000003</v>
      </c>
      <c r="AI30" s="153">
        <f>_xll.VAData($AB30,AI$3,$AC30,$AD30)</f>
        <v>28.3</v>
      </c>
      <c r="AJ30" s="153">
        <f>_xll.VAData($AB30,AJ$3,$AC30,$AD30)</f>
        <v>30.7</v>
      </c>
      <c r="AK30" s="153">
        <f>_xll.VAData($AB30,AK$3,$AC30,$AD30)</f>
        <v>33.5</v>
      </c>
      <c r="AL30" s="153">
        <f>_xll.VAData($AB30,AL$3,$AC30,$AD30)</f>
        <v>28.9</v>
      </c>
      <c r="AM30" s="153">
        <f>_xll.VAData($AB30,AM$3,$AC30,$AD30)</f>
        <v>36</v>
      </c>
      <c r="AN30" s="153">
        <f>_xll.VAData($AB30,AN$3,$AC30,$AD30)</f>
        <v>33.9</v>
      </c>
      <c r="AO30" s="153">
        <f>_xll.VAData($AB30,AO$3,$AC30,$AD30)</f>
        <v>36.17484294885903</v>
      </c>
      <c r="AP30" s="153">
        <f>_xll.VAData($AB30,AP$3,$AC30,$AD30)</f>
        <v>34.517044600938725</v>
      </c>
      <c r="AR30" s="677">
        <v>19.600000000000001</v>
      </c>
      <c r="AS30" s="677">
        <v>53.6</v>
      </c>
      <c r="AT30" s="677">
        <v>42.9</v>
      </c>
      <c r="AU30" s="677">
        <v>40.200000000000003</v>
      </c>
      <c r="AV30" s="677">
        <v>35.799999999999997</v>
      </c>
      <c r="AW30" s="677">
        <v>30.7</v>
      </c>
      <c r="AX30" s="677">
        <v>33.5</v>
      </c>
      <c r="AY30" s="677">
        <v>28.9</v>
      </c>
      <c r="AZ30" s="677">
        <v>32.767104711310658</v>
      </c>
      <c r="BA30" s="677">
        <v>31.006173199230052</v>
      </c>
      <c r="BB30" s="677">
        <v>33.810395661340969</v>
      </c>
      <c r="BC30" s="677">
        <v>32.064233236936637</v>
      </c>
      <c r="BE30" s="678">
        <f t="shared" si="51"/>
        <v>0</v>
      </c>
      <c r="BF30" s="678">
        <f t="shared" si="51"/>
        <v>0</v>
      </c>
      <c r="BG30" s="678">
        <f t="shared" si="51"/>
        <v>0</v>
      </c>
      <c r="BH30" s="678">
        <f t="shared" si="51"/>
        <v>0</v>
      </c>
      <c r="BI30" s="678">
        <f t="shared" si="51"/>
        <v>-7.4999999999999964</v>
      </c>
      <c r="BJ30" s="678">
        <f t="shared" si="51"/>
        <v>0</v>
      </c>
      <c r="BK30" s="678">
        <f t="shared" si="51"/>
        <v>0</v>
      </c>
      <c r="BL30" s="678">
        <f t="shared" si="51"/>
        <v>0</v>
      </c>
      <c r="BM30" s="678">
        <f t="shared" si="51"/>
        <v>3.2328952886893418</v>
      </c>
      <c r="BN30" s="678">
        <f t="shared" si="51"/>
        <v>2.8938268007699541</v>
      </c>
      <c r="BO30" s="678">
        <f t="shared" si="51"/>
        <v>1.9057088158559026</v>
      </c>
      <c r="BP30" s="678">
        <f t="shared" si="51"/>
        <v>2.9507917630633571</v>
      </c>
      <c r="BT30" s="673" t="s">
        <v>1170</v>
      </c>
      <c r="BU30" s="156">
        <f>FY!C31</f>
        <v>73.2</v>
      </c>
      <c r="BV30" s="156">
        <f>FY!D31</f>
        <v>83.1</v>
      </c>
      <c r="BW30" s="156">
        <f>FY!E31</f>
        <v>59</v>
      </c>
      <c r="BX30" s="156">
        <f>FY!F31</f>
        <v>62.4</v>
      </c>
      <c r="BY30" s="156">
        <f>FY!G31</f>
        <v>69.900000000000006</v>
      </c>
      <c r="BZ30" s="156">
        <f>FY!H31</f>
        <v>70.731129477196873</v>
      </c>
      <c r="CA30" s="156">
        <f>FY!I31</f>
        <v>72.499407714126775</v>
      </c>
      <c r="CB30" s="156">
        <f>FY!J31</f>
        <v>74.674389945550587</v>
      </c>
      <c r="CC30" s="156">
        <f>FY!K31</f>
        <v>76.914621643917101</v>
      </c>
      <c r="CD30" s="156"/>
      <c r="CE30" s="692">
        <f>BX30</f>
        <v>62.4</v>
      </c>
      <c r="CF30" s="156">
        <v>69.900000000000006</v>
      </c>
      <c r="CG30" s="693">
        <f>CF30/CE30-1</f>
        <v>0.12019230769230771</v>
      </c>
      <c r="CH30" s="692">
        <f>BY30</f>
        <v>69.900000000000006</v>
      </c>
      <c r="CI30" s="693">
        <f>$CF30/CH30-1</f>
        <v>0</v>
      </c>
      <c r="CJ30" s="692">
        <f>CN30</f>
        <v>68.433811985417847</v>
      </c>
      <c r="CK30" s="693">
        <f>$CF30/CJ30-1</f>
        <v>2.1424906373688213E-2</v>
      </c>
      <c r="CL30" s="157"/>
      <c r="CM30" s="154"/>
      <c r="CN30" s="764">
        <f>DG30</f>
        <v>68.433811985417847</v>
      </c>
      <c r="CP30" s="145" t="s">
        <v>1352</v>
      </c>
      <c r="CQ30" s="145" t="s">
        <v>1364</v>
      </c>
      <c r="CR30" s="146" t="s">
        <v>961</v>
      </c>
      <c r="CS30" s="153">
        <f>_xll.VAData($AB30,CS$3,$AC30,$AD30)</f>
        <v>73.2</v>
      </c>
      <c r="CT30" s="153">
        <f>_xll.VAData($AB30,CT$3,$AC30,$AD30)</f>
        <v>83.1</v>
      </c>
      <c r="CU30" s="153">
        <f>_xll.VAData($AB30,CU$3,$AC30,$AD30)</f>
        <v>59</v>
      </c>
      <c r="CV30" s="153">
        <f>_xll.VAData($AB30,CV$3,$AC30,$AD30)</f>
        <v>62.4</v>
      </c>
      <c r="CW30" s="153">
        <f>_xll.VAData($AB30,CW$3,$AC30,$AD30)</f>
        <v>69.900000000000006</v>
      </c>
      <c r="CX30" s="153">
        <f>_xll.VAData($AB30,CX$3,$AC30,$AD30)</f>
        <v>70.691887549797769</v>
      </c>
      <c r="CY30" s="153">
        <f>_xll.VAData($AB30,CY$3,$AC30,$AD30)</f>
        <v>72.868839416024713</v>
      </c>
      <c r="CZ30" s="153">
        <f>_xll.VAData($AB30,CZ$3,$AC30,$AD30)</f>
        <v>75.058870847604709</v>
      </c>
      <c r="DA30" s="153">
        <f>_xll.VAData($AB30,DA$3,$AC30,$AD30)</f>
        <v>77.361237191748955</v>
      </c>
      <c r="DC30" s="677">
        <v>73.2</v>
      </c>
      <c r="DD30" s="677">
        <v>83.1</v>
      </c>
      <c r="DE30" s="677">
        <v>59</v>
      </c>
      <c r="DF30" s="677">
        <v>62.4</v>
      </c>
      <c r="DG30" s="677">
        <v>68.433811985417847</v>
      </c>
      <c r="DH30" s="677">
        <v>70.643597272234658</v>
      </c>
      <c r="DI30" s="677">
        <v>72.922320441887024</v>
      </c>
      <c r="DJ30" s="677">
        <v>75.115086791971976</v>
      </c>
      <c r="DK30" s="677">
        <v>77.460727702218449</v>
      </c>
      <c r="DM30" s="678">
        <f t="shared" si="52"/>
        <v>0</v>
      </c>
      <c r="DN30" s="678">
        <f t="shared" si="52"/>
        <v>0</v>
      </c>
      <c r="DO30" s="678">
        <f t="shared" si="52"/>
        <v>0</v>
      </c>
      <c r="DP30" s="678">
        <f t="shared" si="52"/>
        <v>0</v>
      </c>
      <c r="DQ30" s="678">
        <f t="shared" si="53"/>
        <v>1.4661880145821584</v>
      </c>
      <c r="DR30" s="678">
        <f t="shared" si="54"/>
        <v>8.7532204962215587E-2</v>
      </c>
      <c r="DS30" s="678">
        <f t="shared" si="55"/>
        <v>-0.42291272776024869</v>
      </c>
      <c r="DT30" s="678">
        <f t="shared" si="56"/>
        <v>-0.44069684642138895</v>
      </c>
      <c r="DU30" s="678">
        <f t="shared" si="57"/>
        <v>-0.54610605830134773</v>
      </c>
    </row>
    <row r="31" spans="3:125" s="666" customFormat="1">
      <c r="C31" s="672" t="s">
        <v>2</v>
      </c>
      <c r="D31" s="668">
        <f>HY!M295</f>
        <v>159</v>
      </c>
      <c r="E31" s="668">
        <f>HY!N295</f>
        <v>201.60000000000002</v>
      </c>
      <c r="F31" s="668">
        <f>HY!O295</f>
        <v>196.6</v>
      </c>
      <c r="G31" s="668">
        <f>HY!P295</f>
        <v>194.4</v>
      </c>
      <c r="H31" s="668">
        <f>HY!Q295</f>
        <v>169.8</v>
      </c>
      <c r="I31" s="668">
        <f>HY!R295</f>
        <v>147.89999999999998</v>
      </c>
      <c r="J31" s="668">
        <f>HY!S295</f>
        <v>190.2</v>
      </c>
      <c r="K31" s="668">
        <f>HY!T295</f>
        <v>201.3</v>
      </c>
      <c r="L31" s="668">
        <f>HY!U295</f>
        <v>217.4</v>
      </c>
      <c r="M31" s="668">
        <f>HY!V295</f>
        <v>214.29999999999998</v>
      </c>
      <c r="N31" s="668">
        <f>HY!W295</f>
        <v>245.91365320419683</v>
      </c>
      <c r="O31" s="668">
        <f>HY!X295</f>
        <v>220.50641127075005</v>
      </c>
      <c r="P31" s="668"/>
      <c r="Q31" s="696">
        <f>J31</f>
        <v>190.2</v>
      </c>
      <c r="R31" s="668">
        <v>217.4</v>
      </c>
      <c r="S31" s="697">
        <f>R31/Q31-1</f>
        <v>0.14300736067297581</v>
      </c>
      <c r="T31" s="696">
        <f>L31</f>
        <v>217.4</v>
      </c>
      <c r="U31" s="697">
        <f t="shared" si="49"/>
        <v>0</v>
      </c>
      <c r="V31" s="696">
        <f>Z31</f>
        <v>195.97400742699281</v>
      </c>
      <c r="W31" s="697">
        <f t="shared" si="50"/>
        <v>0.1093307875585956</v>
      </c>
      <c r="X31" s="669"/>
      <c r="Y31" s="670"/>
      <c r="Z31" s="789">
        <f>AZ31</f>
        <v>195.97400742699281</v>
      </c>
      <c r="AB31" s="147" t="s">
        <v>1352</v>
      </c>
      <c r="AC31" s="147" t="s">
        <v>1083</v>
      </c>
      <c r="AD31" s="146" t="s">
        <v>961</v>
      </c>
      <c r="AE31" s="671">
        <f>_xll.VAData($AB31,AE$3,$AC31,$AD31)</f>
        <v>159</v>
      </c>
      <c r="AF31" s="671">
        <f>_xll.VAData($AB31,AF$3,$AC31,$AD31)</f>
        <v>201.6</v>
      </c>
      <c r="AG31" s="671">
        <f>_xll.VAData($AB31,AG$3,$AC31,$AD31)</f>
        <v>196.6</v>
      </c>
      <c r="AH31" s="671">
        <f>_xll.VAData($AB31,AH$3,$AC31,$AD31)</f>
        <v>194.4</v>
      </c>
      <c r="AI31" s="671">
        <f>_xll.VAData($AB31,AI$3,$AC31,$AD31)</f>
        <v>169.8</v>
      </c>
      <c r="AJ31" s="671">
        <f>_xll.VAData($AB31,AJ$3,$AC31,$AD31)</f>
        <v>147.9</v>
      </c>
      <c r="AK31" s="671">
        <f>_xll.VAData($AB31,AK$3,$AC31,$AD31)</f>
        <v>190.2</v>
      </c>
      <c r="AL31" s="671">
        <f>_xll.VAData($AB31,AL$3,$AC31,$AD31)</f>
        <v>201.3</v>
      </c>
      <c r="AM31" s="671">
        <f>_xll.VAData($AB31,AM$3,$AC31,$AD31)</f>
        <v>217.4</v>
      </c>
      <c r="AN31" s="671">
        <f>_xll.VAData($AB31,AN$3,$AC31,$AD31)</f>
        <v>214.3</v>
      </c>
      <c r="AO31" s="671">
        <f>_xll.VAData($AB31,AO$3,$AC31,$AD31)</f>
        <v>244.83987963567512</v>
      </c>
      <c r="AP31" s="671">
        <f>_xll.VAData($AB31,AP$3,$AC31,$AD31)</f>
        <v>221.70115691508445</v>
      </c>
      <c r="AR31" s="686">
        <v>159</v>
      </c>
      <c r="AS31" s="686">
        <v>201.6</v>
      </c>
      <c r="AT31" s="686">
        <v>196.6</v>
      </c>
      <c r="AU31" s="686">
        <v>194.4</v>
      </c>
      <c r="AV31" s="686">
        <v>169.8</v>
      </c>
      <c r="AW31" s="686">
        <v>147.9</v>
      </c>
      <c r="AX31" s="686">
        <v>190.2</v>
      </c>
      <c r="AY31" s="686">
        <v>201.3</v>
      </c>
      <c r="AZ31" s="686">
        <v>195.97400742699281</v>
      </c>
      <c r="BA31" s="686">
        <v>205.36810845809489</v>
      </c>
      <c r="BB31" s="686">
        <v>218.323809578252</v>
      </c>
      <c r="BC31" s="686">
        <v>211.0627556678418</v>
      </c>
      <c r="BE31" s="678">
        <f t="shared" si="51"/>
        <v>0</v>
      </c>
      <c r="BF31" s="678">
        <f t="shared" si="51"/>
        <v>0</v>
      </c>
      <c r="BG31" s="678">
        <f t="shared" si="51"/>
        <v>0</v>
      </c>
      <c r="BH31" s="678">
        <f t="shared" si="51"/>
        <v>0</v>
      </c>
      <c r="BI31" s="678">
        <f t="shared" si="51"/>
        <v>0</v>
      </c>
      <c r="BJ31" s="678">
        <f t="shared" si="51"/>
        <v>0</v>
      </c>
      <c r="BK31" s="678">
        <f t="shared" si="51"/>
        <v>0</v>
      </c>
      <c r="BL31" s="678">
        <f t="shared" si="51"/>
        <v>0</v>
      </c>
      <c r="BM31" s="678">
        <f t="shared" si="51"/>
        <v>21.425992573007193</v>
      </c>
      <c r="BN31" s="678">
        <f t="shared" si="51"/>
        <v>8.9318915419050882</v>
      </c>
      <c r="BO31" s="678">
        <f t="shared" si="51"/>
        <v>27.589843625944837</v>
      </c>
      <c r="BP31" s="678">
        <f t="shared" si="51"/>
        <v>9.443655602908251</v>
      </c>
      <c r="BT31" s="672" t="s">
        <v>2</v>
      </c>
      <c r="BU31" s="668">
        <f>FY!C33</f>
        <v>360.6</v>
      </c>
      <c r="BV31" s="668">
        <f>FY!D33</f>
        <v>391</v>
      </c>
      <c r="BW31" s="668">
        <f>FY!E33</f>
        <v>317.7</v>
      </c>
      <c r="BX31" s="668">
        <f>FY!F33</f>
        <v>391.5</v>
      </c>
      <c r="BY31" s="668">
        <f>FY!G33</f>
        <v>431.7</v>
      </c>
      <c r="BZ31" s="668">
        <f>FY!H33</f>
        <v>466.42006447494691</v>
      </c>
      <c r="CA31" s="668">
        <f>FY!I33</f>
        <v>485.64577074650185</v>
      </c>
      <c r="CB31" s="668">
        <f>FY!J33</f>
        <v>494.3637097202735</v>
      </c>
      <c r="CC31" s="668">
        <f>FY!K33</f>
        <v>501.26085646792001</v>
      </c>
      <c r="CD31" s="668"/>
      <c r="CE31" s="696">
        <f>BX31</f>
        <v>391.5</v>
      </c>
      <c r="CF31" s="668">
        <v>431.7</v>
      </c>
      <c r="CG31" s="697">
        <f>CF31/CE31-1</f>
        <v>0.10268199233716468</v>
      </c>
      <c r="CH31" s="696">
        <f>BY31</f>
        <v>431.7</v>
      </c>
      <c r="CI31" s="697">
        <f>$CF31/CH31-1</f>
        <v>0</v>
      </c>
      <c r="CJ31" s="696">
        <f>CN31</f>
        <v>423.04047043525537</v>
      </c>
      <c r="CK31" s="697">
        <f>$CF31/CJ31-1</f>
        <v>2.0469742660400803E-2</v>
      </c>
      <c r="CL31" s="669"/>
      <c r="CM31" s="670"/>
      <c r="CN31" s="764">
        <f>DG31</f>
        <v>423.04047043525537</v>
      </c>
      <c r="CP31" s="147" t="s">
        <v>1352</v>
      </c>
      <c r="CQ31" s="147" t="s">
        <v>1083</v>
      </c>
      <c r="CR31" s="146" t="s">
        <v>961</v>
      </c>
      <c r="CS31" s="671">
        <f>_xll.VAData($AB31,CS$3,$AC31,$AD31)</f>
        <v>381.6</v>
      </c>
      <c r="CT31" s="671">
        <f>_xll.VAData($AB31,CT$3,$AC31,$AD31)</f>
        <v>391</v>
      </c>
      <c r="CU31" s="671">
        <f>_xll.VAData($AB31,CU$3,$AC31,$AD31)</f>
        <v>317.7</v>
      </c>
      <c r="CV31" s="671">
        <f>_xll.VAData($AB31,CV$3,$AC31,$AD31)</f>
        <v>391.5</v>
      </c>
      <c r="CW31" s="671">
        <f>_xll.VAData($AB31,CW$3,$AC31,$AD31)</f>
        <v>431.7</v>
      </c>
      <c r="CX31" s="671">
        <f>_xll.VAData($AB31,CX$3,$AC31,$AD31)</f>
        <v>466.54103655075943</v>
      </c>
      <c r="CY31" s="671">
        <f>_xll.VAData($AB31,CY$3,$AC31,$AD31)</f>
        <v>489.57369726243365</v>
      </c>
      <c r="CZ31" s="671">
        <f>_xll.VAData($AB31,CZ$3,$AC31,$AD31)</f>
        <v>505.18114586768235</v>
      </c>
      <c r="DA31" s="671">
        <f>_xll.VAData($AB31,DA$3,$AC31,$AD31)</f>
        <v>518.40629665364895</v>
      </c>
      <c r="DC31" s="686">
        <v>381.6</v>
      </c>
      <c r="DD31" s="686">
        <v>391</v>
      </c>
      <c r="DE31" s="686">
        <v>317.7</v>
      </c>
      <c r="DF31" s="686">
        <v>391.5</v>
      </c>
      <c r="DG31" s="686">
        <v>423.04047043525537</v>
      </c>
      <c r="DH31" s="686">
        <v>440.67814529431462</v>
      </c>
      <c r="DI31" s="686">
        <v>458.80962787804026</v>
      </c>
      <c r="DJ31" s="686">
        <v>470.63363903698792</v>
      </c>
      <c r="DK31" s="686">
        <v>483.28421886340118</v>
      </c>
      <c r="DM31" s="678">
        <f t="shared" si="52"/>
        <v>-21</v>
      </c>
      <c r="DN31" s="678">
        <f t="shared" si="52"/>
        <v>0</v>
      </c>
      <c r="DO31" s="678">
        <f t="shared" si="52"/>
        <v>0</v>
      </c>
      <c r="DP31" s="678">
        <f t="shared" si="52"/>
        <v>0</v>
      </c>
      <c r="DQ31" s="678">
        <f t="shared" si="53"/>
        <v>8.6595295647446164</v>
      </c>
      <c r="DR31" s="678">
        <f t="shared" si="54"/>
        <v>25.741919180632294</v>
      </c>
      <c r="DS31" s="678">
        <f t="shared" si="55"/>
        <v>26.836142868461593</v>
      </c>
      <c r="DT31" s="678">
        <f t="shared" si="56"/>
        <v>23.730070683285589</v>
      </c>
      <c r="DU31" s="678">
        <f t="shared" si="57"/>
        <v>17.976637604518828</v>
      </c>
    </row>
    <row r="32" spans="3:125">
      <c r="C32" s="155"/>
      <c r="D32" s="156"/>
      <c r="E32" s="156"/>
      <c r="F32" s="156"/>
      <c r="G32" s="156"/>
      <c r="H32" s="156"/>
      <c r="I32" s="156"/>
      <c r="J32" s="156"/>
      <c r="K32" s="156"/>
      <c r="L32" s="156"/>
      <c r="M32" s="156"/>
      <c r="N32" s="156"/>
      <c r="O32" s="156"/>
      <c r="P32" s="156"/>
      <c r="Q32" s="692"/>
      <c r="R32" s="156"/>
      <c r="S32" s="693"/>
      <c r="T32" s="692"/>
      <c r="U32" s="693"/>
      <c r="V32" s="692"/>
      <c r="W32" s="693"/>
      <c r="X32" s="157"/>
      <c r="Y32" s="154"/>
      <c r="Z32" s="683"/>
      <c r="AR32" s="683"/>
      <c r="AS32" s="683"/>
      <c r="AT32" s="683"/>
      <c r="AU32" s="683"/>
      <c r="AV32" s="683"/>
      <c r="AW32" s="683"/>
      <c r="AX32" s="683"/>
      <c r="AY32" s="683"/>
      <c r="AZ32" s="683"/>
      <c r="BA32" s="683"/>
      <c r="BB32" s="683"/>
      <c r="BC32" s="683"/>
      <c r="BE32" s="683"/>
      <c r="BF32" s="683"/>
      <c r="BG32" s="683"/>
      <c r="BH32" s="683"/>
      <c r="BI32" s="683"/>
      <c r="BJ32" s="683"/>
      <c r="BK32" s="683"/>
      <c r="BL32" s="683"/>
      <c r="BM32" s="683"/>
      <c r="BN32" s="683"/>
      <c r="BO32" s="683"/>
      <c r="BP32" s="683"/>
      <c r="BT32" s="155"/>
      <c r="BU32" s="156"/>
      <c r="BV32" s="156"/>
      <c r="BW32" s="156"/>
      <c r="BX32" s="156"/>
      <c r="BY32" s="156"/>
      <c r="BZ32" s="156"/>
      <c r="CA32" s="156"/>
      <c r="CB32" s="156"/>
      <c r="CC32" s="156"/>
      <c r="CD32" s="156"/>
      <c r="CE32" s="692"/>
      <c r="CF32" s="156"/>
      <c r="CG32" s="693"/>
      <c r="CH32" s="692"/>
      <c r="CI32" s="693"/>
      <c r="CJ32" s="692"/>
      <c r="CK32" s="693"/>
      <c r="CL32" s="157"/>
      <c r="CM32" s="154"/>
      <c r="CN32" s="683"/>
      <c r="DC32" s="683"/>
      <c r="DD32" s="683"/>
      <c r="DE32" s="683"/>
      <c r="DF32" s="683"/>
      <c r="DG32" s="683"/>
      <c r="DH32" s="683"/>
      <c r="DI32" s="683"/>
      <c r="DJ32" s="683"/>
      <c r="DK32" s="683"/>
      <c r="DM32" s="683"/>
      <c r="DN32" s="683"/>
      <c r="DO32" s="683"/>
      <c r="DP32" s="683"/>
      <c r="DQ32" s="683"/>
      <c r="DR32" s="683"/>
      <c r="DS32" s="683"/>
      <c r="DT32" s="683"/>
      <c r="DU32" s="683"/>
    </row>
    <row r="33" spans="3:127" hidden="1" outlineLevel="1">
      <c r="C33" s="673" t="s">
        <v>1226</v>
      </c>
      <c r="D33" s="156"/>
      <c r="E33" s="156"/>
      <c r="F33" s="156"/>
      <c r="G33" s="156"/>
      <c r="H33" s="156"/>
      <c r="I33" s="156"/>
      <c r="J33" s="156"/>
      <c r="K33" s="156"/>
      <c r="L33" s="156"/>
      <c r="M33" s="156"/>
      <c r="N33" s="156"/>
      <c r="O33" s="156"/>
      <c r="P33" s="156"/>
      <c r="Q33" s="692"/>
      <c r="R33" s="156"/>
      <c r="S33" s="693"/>
      <c r="T33" s="692"/>
      <c r="U33" s="693"/>
      <c r="V33" s="692"/>
      <c r="W33" s="693"/>
      <c r="X33" s="157"/>
      <c r="Y33" s="154"/>
      <c r="Z33" s="677">
        <v>-91.070612059427845</v>
      </c>
      <c r="AB33" s="145" t="s">
        <v>1352</v>
      </c>
      <c r="AC33" s="145" t="s">
        <v>1359</v>
      </c>
      <c r="AD33" s="146" t="s">
        <v>961</v>
      </c>
      <c r="AE33" s="153">
        <f>-_xll.VAData($AB33,AE$3,$AC33,$AD33)</f>
        <v>-105.2</v>
      </c>
      <c r="AF33" s="153">
        <f>-_xll.VAData($AB33,AF$3,$AC33,$AD33)</f>
        <v>-109.8</v>
      </c>
      <c r="AG33" s="153">
        <f>-_xll.VAData($AB33,AG$3,$AC33,$AD33)</f>
        <v>-96.5</v>
      </c>
      <c r="AH33" s="153">
        <f>-_xll.VAData($AB33,AH$3,$AC33,$AD33)</f>
        <v>-95.3</v>
      </c>
      <c r="AI33" s="153">
        <f>-_xll.VAData($AB33,AI$3,$AC33,$AD33)</f>
        <v>-100.7</v>
      </c>
      <c r="AJ33" s="153">
        <f>-_xll.VAData($AB33,AJ$3,$AC33,$AD33)</f>
        <v>-80.2</v>
      </c>
      <c r="AK33" s="153">
        <f>-_xll.VAData($AB33,AK$3,$AC33,$AD33)</f>
        <v>-77.3</v>
      </c>
      <c r="AL33" s="153">
        <f>-_xll.VAData($AB33,AL$3,$AC33,$AD33)</f>
        <v>-83.6</v>
      </c>
      <c r="AM33" s="153">
        <f>-_xll.VAData($AB33,AM$3,$AC33,$AD33)</f>
        <v>-86.1</v>
      </c>
      <c r="AN33" s="153">
        <f>-_xll.VAData($AB33,AN$3,$AC33,$AD33)</f>
        <v>-84.5</v>
      </c>
      <c r="AO33" s="153">
        <f>-_xll.VAData($AB33,AO$3,$AC33,$AD33)</f>
        <v>-93.151300907468126</v>
      </c>
      <c r="AP33" s="153">
        <f>-_xll.VAData($AB33,AP$3,$AC33,$AD33)</f>
        <v>-94.076916423378037</v>
      </c>
      <c r="AR33" s="677">
        <v>-105.2</v>
      </c>
      <c r="AS33" s="677">
        <v>-109.8</v>
      </c>
      <c r="AT33" s="677">
        <v>-96.5</v>
      </c>
      <c r="AU33" s="677">
        <v>-95.3</v>
      </c>
      <c r="AV33" s="677">
        <v>-100.7</v>
      </c>
      <c r="AW33" s="677">
        <v>-80.2</v>
      </c>
      <c r="AX33" s="677">
        <v>-77.3</v>
      </c>
      <c r="AY33" s="677">
        <v>-83.6</v>
      </c>
      <c r="AZ33" s="677">
        <v>-88.521205429340412</v>
      </c>
      <c r="BA33" s="677">
        <v>-87.849553534052674</v>
      </c>
      <c r="BB33" s="677">
        <v>-87.67695572605011</v>
      </c>
      <c r="BC33" s="677">
        <v>-87.730127603522931</v>
      </c>
      <c r="BE33" s="683"/>
      <c r="BF33" s="683"/>
      <c r="BG33" s="683"/>
      <c r="BH33" s="683"/>
      <c r="BI33" s="683"/>
      <c r="BJ33" s="683"/>
      <c r="BK33" s="683"/>
      <c r="BL33" s="683"/>
      <c r="BM33" s="683"/>
      <c r="BN33" s="683"/>
      <c r="BO33" s="683"/>
      <c r="BP33" s="683"/>
      <c r="BT33" s="673" t="s">
        <v>1226</v>
      </c>
      <c r="BU33" s="156"/>
      <c r="BV33" s="156"/>
      <c r="BW33" s="156"/>
      <c r="BX33" s="156"/>
      <c r="BY33" s="156"/>
      <c r="BZ33" s="156"/>
      <c r="CA33" s="156"/>
      <c r="CB33" s="156"/>
      <c r="CC33" s="156"/>
      <c r="CD33" s="156"/>
      <c r="CE33" s="692"/>
      <c r="CF33" s="156"/>
      <c r="CG33" s="693"/>
      <c r="CH33" s="692"/>
      <c r="CI33" s="693"/>
      <c r="CJ33" s="692"/>
      <c r="CK33" s="693"/>
      <c r="CL33" s="157"/>
      <c r="CM33" s="154"/>
      <c r="CN33" s="764">
        <f>DG33</f>
        <v>-172.92965757488656</v>
      </c>
      <c r="CP33" s="145" t="s">
        <v>1352</v>
      </c>
      <c r="CQ33" s="145" t="s">
        <v>1359</v>
      </c>
      <c r="CR33" s="146" t="s">
        <v>961</v>
      </c>
      <c r="CS33" s="153">
        <f>-_xll.VAData($AB33,CS$3,$AC33,$AD33)</f>
        <v>-215</v>
      </c>
      <c r="CT33" s="153">
        <f>-_xll.VAData($AB33,CT$3,$AC33,$AD33)</f>
        <v>-191.8</v>
      </c>
      <c r="CU33" s="153">
        <f>-_xll.VAData($AB33,CU$3,$AC33,$AD33)</f>
        <v>-180.9</v>
      </c>
      <c r="CV33" s="153">
        <f>-_xll.VAData($AB33,CV$3,$AC33,$AD33)</f>
        <v>-160.9</v>
      </c>
      <c r="CW33" s="153">
        <f>-_xll.VAData($AB33,CW$3,$AC33,$AD33)</f>
        <v>-170.6</v>
      </c>
      <c r="CX33" s="153">
        <f>-_xll.VAData($AB33,CX$3,$AC33,$AD33)</f>
        <v>-187.22821733084626</v>
      </c>
      <c r="CY33" s="153">
        <f>-_xll.VAData($AB33,CY$3,$AC33,$AD33)</f>
        <v>-190.69892011968324</v>
      </c>
      <c r="CZ33" s="153">
        <f>-_xll.VAData($AB33,CZ$3,$AC33,$AD33)</f>
        <v>-191.78458610098062</v>
      </c>
      <c r="DA33" s="153">
        <f>-_xll.VAData($AB33,DA$3,$AC33,$AD33)</f>
        <v>-192.6821346806</v>
      </c>
      <c r="DC33" s="677">
        <v>-215</v>
      </c>
      <c r="DD33" s="677">
        <v>-191.8</v>
      </c>
      <c r="DE33" s="677">
        <v>-180.9</v>
      </c>
      <c r="DF33" s="677">
        <v>-160.9</v>
      </c>
      <c r="DG33" s="677">
        <v>-172.92965757488656</v>
      </c>
      <c r="DH33" s="677">
        <v>-173.29547952548165</v>
      </c>
      <c r="DI33" s="677">
        <v>-175.96894231832468</v>
      </c>
      <c r="DJ33" s="677">
        <v>-176.80913323385278</v>
      </c>
      <c r="DK33" s="677">
        <v>-177.6617984736601</v>
      </c>
      <c r="DM33" s="683"/>
      <c r="DN33" s="683"/>
      <c r="DO33" s="683"/>
      <c r="DP33" s="683"/>
      <c r="DQ33" s="683"/>
      <c r="DR33" s="683"/>
      <c r="DS33" s="683"/>
      <c r="DT33" s="683"/>
      <c r="DU33" s="683"/>
    </row>
    <row r="34" spans="3:127" hidden="1" outlineLevel="1">
      <c r="C34" s="673" t="s">
        <v>1170</v>
      </c>
      <c r="D34" s="156"/>
      <c r="E34" s="156"/>
      <c r="F34" s="156"/>
      <c r="G34" s="156"/>
      <c r="H34" s="156"/>
      <c r="I34" s="156"/>
      <c r="J34" s="156"/>
      <c r="K34" s="156"/>
      <c r="L34" s="156"/>
      <c r="M34" s="156"/>
      <c r="N34" s="156"/>
      <c r="O34" s="156"/>
      <c r="P34" s="156"/>
      <c r="Q34" s="692"/>
      <c r="R34" s="156"/>
      <c r="S34" s="693"/>
      <c r="T34" s="692"/>
      <c r="U34" s="693"/>
      <c r="V34" s="692"/>
      <c r="W34" s="693"/>
      <c r="X34" s="157"/>
      <c r="Y34" s="154"/>
      <c r="Z34" s="677">
        <v>-17.668489739035749</v>
      </c>
      <c r="AB34" s="145" t="s">
        <v>1352</v>
      </c>
      <c r="AC34" s="145" t="s">
        <v>1365</v>
      </c>
      <c r="AD34" s="146" t="s">
        <v>961</v>
      </c>
      <c r="AE34" s="153">
        <f>-_xll.VAData($AB34,AE$3,$AC34,$AD34)</f>
        <v>-37.5</v>
      </c>
      <c r="AF34" s="153">
        <f>-_xll.VAData($AB34,AF$3,$AC34,$AD34)</f>
        <v>-33.9</v>
      </c>
      <c r="AG34" s="153">
        <f>-_xll.VAData($AB34,AG$3,$AC34,$AD34)</f>
        <v>-26.9</v>
      </c>
      <c r="AH34" s="153">
        <f>-_xll.VAData($AB34,AH$3,$AC34,$AD34)</f>
        <v>-21.8</v>
      </c>
      <c r="AI34" s="153">
        <f>-_xll.VAData($AB34,AI$3,$AC34,$AD34)</f>
        <v>-18.7</v>
      </c>
      <c r="AJ34" s="153">
        <f>-_xll.VAData($AB34,AJ$3,$AC34,$AD34)</f>
        <v>-20.3</v>
      </c>
      <c r="AK34" s="153">
        <f>-_xll.VAData($AB34,AK$3,$AC34,$AD34)</f>
        <v>-20.2</v>
      </c>
      <c r="AL34" s="153">
        <f>-_xll.VAData($AB34,AL$3,$AC34,$AD34)</f>
        <v>-21.7</v>
      </c>
      <c r="AM34" s="153">
        <f>-_xll.VAData($AB34,AM$3,$AC34,$AD34)</f>
        <v>-21.1</v>
      </c>
      <c r="AN34" s="153">
        <f>-_xll.VAData($AB34,AN$3,$AC34,$AD34)</f>
        <v>-21.3</v>
      </c>
      <c r="AO34" s="153">
        <f>-_xll.VAData($AB34,AO$3,$AC34,$AD34)</f>
        <v>-21.483615303552401</v>
      </c>
      <c r="AP34" s="153">
        <f>-_xll.VAData($AB34,AP$3,$AC34,$AD34)</f>
        <v>-21.025933983886375</v>
      </c>
      <c r="AR34" s="677">
        <v>-37.5</v>
      </c>
      <c r="AS34" s="677">
        <v>-33.9</v>
      </c>
      <c r="AT34" s="677">
        <v>-26.9</v>
      </c>
      <c r="AU34" s="677">
        <v>-21.8</v>
      </c>
      <c r="AV34" s="677">
        <v>-19.100000000000001</v>
      </c>
      <c r="AW34" s="677">
        <v>-20.3</v>
      </c>
      <c r="AX34" s="677">
        <v>-20.2</v>
      </c>
      <c r="AY34" s="677">
        <v>-21.7</v>
      </c>
      <c r="AZ34" s="677">
        <v>-20.925868449767822</v>
      </c>
      <c r="BA34" s="677">
        <v>-21.550108878120145</v>
      </c>
      <c r="BB34" s="677">
        <v>-21.371317301540845</v>
      </c>
      <c r="BC34" s="677">
        <v>-22.044558677826998</v>
      </c>
      <c r="BE34" s="683"/>
      <c r="BF34" s="683"/>
      <c r="BG34" s="683"/>
      <c r="BH34" s="683"/>
      <c r="BI34" s="683"/>
      <c r="BJ34" s="683"/>
      <c r="BK34" s="683"/>
      <c r="BL34" s="683"/>
      <c r="BM34" s="683"/>
      <c r="BN34" s="683"/>
      <c r="BO34" s="683"/>
      <c r="BP34" s="683"/>
      <c r="BT34" s="673" t="s">
        <v>1170</v>
      </c>
      <c r="BU34" s="156"/>
      <c r="BV34" s="156"/>
      <c r="BW34" s="156"/>
      <c r="BX34" s="156"/>
      <c r="BY34" s="156"/>
      <c r="BZ34" s="156"/>
      <c r="CA34" s="156"/>
      <c r="CB34" s="156"/>
      <c r="CC34" s="156"/>
      <c r="CD34" s="156"/>
      <c r="CE34" s="692"/>
      <c r="CF34" s="156"/>
      <c r="CG34" s="693"/>
      <c r="CH34" s="692"/>
      <c r="CI34" s="693"/>
      <c r="CJ34" s="692"/>
      <c r="CK34" s="693"/>
      <c r="CL34" s="157"/>
      <c r="CM34" s="154"/>
      <c r="CN34" s="764">
        <f>DG34</f>
        <v>-42.275216649807511</v>
      </c>
      <c r="CP34" s="145" t="s">
        <v>1352</v>
      </c>
      <c r="CQ34" s="145" t="s">
        <v>1365</v>
      </c>
      <c r="CR34" s="146" t="s">
        <v>961</v>
      </c>
      <c r="CS34" s="153">
        <f>-_xll.VAData($AB34,CS$3,$AC34,$AD34)</f>
        <v>-71.400000000000006</v>
      </c>
      <c r="CT34" s="153">
        <f>-_xll.VAData($AB34,CT$3,$AC34,$AD34)</f>
        <v>-48.7</v>
      </c>
      <c r="CU34" s="153">
        <f>-_xll.VAData($AB34,CU$3,$AC34,$AD34)</f>
        <v>-39</v>
      </c>
      <c r="CV34" s="153">
        <f>-_xll.VAData($AB34,CV$3,$AC34,$AD34)</f>
        <v>-41.9</v>
      </c>
      <c r="CW34" s="153">
        <f>-_xll.VAData($AB34,CW$3,$AC34,$AD34)</f>
        <v>-42.4</v>
      </c>
      <c r="CX34" s="153">
        <f>-_xll.VAData($AB34,CX$3,$AC34,$AD34)</f>
        <v>-42.509549287438773</v>
      </c>
      <c r="CY34" s="153">
        <f>-_xll.VAData($AB34,CY$3,$AC34,$AD34)</f>
        <v>-42.814856443948351</v>
      </c>
      <c r="CZ34" s="153">
        <f>-_xll.VAData($AB34,CZ$3,$AC34,$AD34)</f>
        <v>-43.323011586625086</v>
      </c>
      <c r="DA34" s="153">
        <f>-_xll.VAData($AB34,DA$3,$AC34,$AD34)</f>
        <v>-44.046064188303525</v>
      </c>
      <c r="DC34" s="677">
        <v>-71.400000000000006</v>
      </c>
      <c r="DD34" s="677">
        <v>-48.7</v>
      </c>
      <c r="DE34" s="677">
        <v>-39</v>
      </c>
      <c r="DF34" s="677">
        <v>-41.9</v>
      </c>
      <c r="DG34" s="677">
        <v>-42.275216649807511</v>
      </c>
      <c r="DH34" s="677">
        <v>-43.366178896499243</v>
      </c>
      <c r="DI34" s="677">
        <v>-44.108171608990297</v>
      </c>
      <c r="DJ34" s="677">
        <v>-44.835331786020532</v>
      </c>
      <c r="DK34" s="677">
        <v>-45.714900425612853</v>
      </c>
      <c r="DM34" s="683"/>
      <c r="DN34" s="683"/>
      <c r="DO34" s="683"/>
      <c r="DP34" s="683"/>
      <c r="DQ34" s="683"/>
      <c r="DR34" s="683"/>
      <c r="DS34" s="683"/>
      <c r="DT34" s="683"/>
      <c r="DU34" s="683"/>
    </row>
    <row r="35" spans="3:127" s="666" customFormat="1" hidden="1" outlineLevel="1">
      <c r="C35" s="672" t="s">
        <v>48</v>
      </c>
      <c r="D35" s="668">
        <f>HY!M301</f>
        <v>-142.69999999999999</v>
      </c>
      <c r="E35" s="668">
        <f>HY!N301</f>
        <v>-143.69999999999999</v>
      </c>
      <c r="F35" s="668">
        <f>HY!O301</f>
        <v>-123.4</v>
      </c>
      <c r="G35" s="668">
        <f>HY!P301</f>
        <v>-117.1</v>
      </c>
      <c r="H35" s="668">
        <f>HY!Q301</f>
        <v>-119.8</v>
      </c>
      <c r="I35" s="668">
        <f>HY!R301</f>
        <v>-100.50000000000001</v>
      </c>
      <c r="J35" s="668">
        <f>HY!S301</f>
        <v>-97.5</v>
      </c>
      <c r="K35" s="668">
        <f>HY!T301</f>
        <v>-105.30000000000001</v>
      </c>
      <c r="L35" s="668">
        <f>HY!U301</f>
        <v>-107.2</v>
      </c>
      <c r="M35" s="668">
        <f>HY!V301</f>
        <v>-105.8</v>
      </c>
      <c r="N35" s="668">
        <f>HY!W301</f>
        <v>-114.19999999999982</v>
      </c>
      <c r="O35" s="668">
        <f>HY!X301</f>
        <v>-114.19999999999982</v>
      </c>
      <c r="P35" s="668"/>
      <c r="Q35" s="696">
        <f>J35</f>
        <v>-97.5</v>
      </c>
      <c r="R35" s="668"/>
      <c r="S35" s="697">
        <f>R35/Q35-1</f>
        <v>-1</v>
      </c>
      <c r="T35" s="696">
        <f>L35</f>
        <v>-107.2</v>
      </c>
      <c r="U35" s="697">
        <f t="shared" si="49"/>
        <v>-1</v>
      </c>
      <c r="V35" s="696">
        <f>Z35</f>
        <v>-108.73910179846349</v>
      </c>
      <c r="W35" s="697">
        <f t="shared" si="50"/>
        <v>-1</v>
      </c>
      <c r="X35" s="669"/>
      <c r="Y35" s="670"/>
      <c r="Z35" s="686">
        <v>-108.73910179846349</v>
      </c>
      <c r="AB35" s="147" t="s">
        <v>1352</v>
      </c>
      <c r="AC35" s="147" t="s">
        <v>1367</v>
      </c>
      <c r="AD35" s="146" t="s">
        <v>961</v>
      </c>
      <c r="AE35" s="671">
        <f>-_xll.VAData($AB35,AE$3,$AC35,$AD35)</f>
        <v>-142.69999999999999</v>
      </c>
      <c r="AF35" s="671">
        <f>-_xll.VAData($AB35,AF$3,$AC35,$AD35)</f>
        <v>-143.69999999999999</v>
      </c>
      <c r="AG35" s="671">
        <f>-_xll.VAData($AB35,AG$3,$AC35,$AD35)</f>
        <v>-123.4</v>
      </c>
      <c r="AH35" s="671">
        <f>-_xll.VAData($AB35,AH$3,$AC35,$AD35)</f>
        <v>-117.1</v>
      </c>
      <c r="AI35" s="671">
        <f>-_xll.VAData($AB35,AI$3,$AC35,$AD35)</f>
        <v>-119.8</v>
      </c>
      <c r="AJ35" s="671">
        <f>-_xll.VAData($AB35,AJ$3,$AC35,$AD35)</f>
        <v>-100.5</v>
      </c>
      <c r="AK35" s="671">
        <f>-_xll.VAData($AB35,AK$3,$AC35,$AD35)</f>
        <v>-97.5</v>
      </c>
      <c r="AL35" s="671">
        <f>-_xll.VAData($AB35,AL$3,$AC35,$AD35)</f>
        <v>-105.3</v>
      </c>
      <c r="AM35" s="671">
        <f>-_xll.VAData($AB35,AM$3,$AC35,$AD35)</f>
        <v>-107.2</v>
      </c>
      <c r="AN35" s="671">
        <f>-_xll.VAData($AB35,AN$3,$AC35,$AD35)</f>
        <v>-105.8</v>
      </c>
      <c r="AO35" s="671">
        <f>-_xll.VAData($AB35,AO$3,$AC35,$AD35)</f>
        <v>-115.25971363510753</v>
      </c>
      <c r="AP35" s="671">
        <f>-_xll.VAData($AB35,AP$3,$AC35,$AD35)</f>
        <v>-116.26445122945498</v>
      </c>
      <c r="AR35" s="686">
        <v>-142.69999999999999</v>
      </c>
      <c r="AS35" s="686">
        <v>-143.69999999999999</v>
      </c>
      <c r="AT35" s="686">
        <v>-123.4</v>
      </c>
      <c r="AU35" s="686">
        <v>-117.1</v>
      </c>
      <c r="AV35" s="686">
        <v>-119.8</v>
      </c>
      <c r="AW35" s="686">
        <v>-100.5</v>
      </c>
      <c r="AX35" s="686">
        <v>-97.5</v>
      </c>
      <c r="AY35" s="686">
        <v>-105.3</v>
      </c>
      <c r="AZ35" s="686">
        <v>-109.65591740468656</v>
      </c>
      <c r="BA35" s="686">
        <v>-109.73636588938825</v>
      </c>
      <c r="BB35" s="686">
        <v>-108.89113571753057</v>
      </c>
      <c r="BC35" s="686">
        <v>-109.74347074112141</v>
      </c>
      <c r="BE35" s="678">
        <f t="shared" ref="BE35:BP35" si="58">D35-AR35</f>
        <v>0</v>
      </c>
      <c r="BF35" s="678">
        <f t="shared" si="58"/>
        <v>0</v>
      </c>
      <c r="BG35" s="678">
        <f t="shared" si="58"/>
        <v>0</v>
      </c>
      <c r="BH35" s="678">
        <f t="shared" si="58"/>
        <v>0</v>
      </c>
      <c r="BI35" s="678">
        <f t="shared" si="58"/>
        <v>0</v>
      </c>
      <c r="BJ35" s="678">
        <f t="shared" si="58"/>
        <v>0</v>
      </c>
      <c r="BK35" s="678">
        <f t="shared" si="58"/>
        <v>0</v>
      </c>
      <c r="BL35" s="678">
        <f t="shared" si="58"/>
        <v>0</v>
      </c>
      <c r="BM35" s="678">
        <f t="shared" si="58"/>
        <v>2.4559174046865593</v>
      </c>
      <c r="BN35" s="678">
        <f t="shared" si="58"/>
        <v>3.9363658893882558</v>
      </c>
      <c r="BO35" s="678">
        <f t="shared" si="58"/>
        <v>-5.3088642824692442</v>
      </c>
      <c r="BP35" s="678">
        <f t="shared" si="58"/>
        <v>-4.4565292588784047</v>
      </c>
      <c r="BT35" s="672" t="s">
        <v>48</v>
      </c>
      <c r="BU35" s="668">
        <f>FY!C47</f>
        <v>-286.39999999999998</v>
      </c>
      <c r="BV35" s="668">
        <f>FY!D47</f>
        <v>-240.5</v>
      </c>
      <c r="BW35" s="668">
        <f>FY!E47</f>
        <v>-220.3</v>
      </c>
      <c r="BX35" s="668">
        <f>FY!F47</f>
        <v>-202.8</v>
      </c>
      <c r="BY35" s="668">
        <f>FY!G47</f>
        <v>-213</v>
      </c>
      <c r="BZ35" s="668">
        <f>FY!H47</f>
        <v>-228.39999999999964</v>
      </c>
      <c r="CA35" s="668">
        <f>FY!I47</f>
        <v>-223.39999999999964</v>
      </c>
      <c r="CB35" s="668">
        <f>FY!J47</f>
        <v>-225.19597381526398</v>
      </c>
      <c r="CC35" s="668">
        <f>FY!K47</f>
        <v>-215.35471019044775</v>
      </c>
      <c r="CD35" s="668"/>
      <c r="CE35" s="696">
        <f>BX35</f>
        <v>-202.8</v>
      </c>
      <c r="CF35" s="668"/>
      <c r="CG35" s="697">
        <f>CF35/CE35-1</f>
        <v>-1</v>
      </c>
      <c r="CH35" s="696">
        <f>BY35</f>
        <v>-213</v>
      </c>
      <c r="CI35" s="697">
        <f>$CF35/CH35-1</f>
        <v>-1</v>
      </c>
      <c r="CJ35" s="696">
        <f>CN35</f>
        <v>-215.95051029246218</v>
      </c>
      <c r="CK35" s="697">
        <f>$CF35/CJ35-1</f>
        <v>-1</v>
      </c>
      <c r="CL35" s="669"/>
      <c r="CM35" s="670"/>
      <c r="CN35" s="764">
        <f>DG35</f>
        <v>-215.95051029246218</v>
      </c>
      <c r="CP35" s="147" t="s">
        <v>1352</v>
      </c>
      <c r="CQ35" s="147" t="s">
        <v>1367</v>
      </c>
      <c r="CR35" s="146" t="s">
        <v>961</v>
      </c>
      <c r="CS35" s="671">
        <f>-_xll.VAData($AB35,CS$3,$AC35,$AD35)</f>
        <v>-286.39999999999998</v>
      </c>
      <c r="CT35" s="671">
        <f>-_xll.VAData($AB35,CT$3,$AC35,$AD35)</f>
        <v>-240.5</v>
      </c>
      <c r="CU35" s="671">
        <f>-_xll.VAData($AB35,CU$3,$AC35,$AD35)</f>
        <v>-220.3</v>
      </c>
      <c r="CV35" s="671">
        <f>-_xll.VAData($AB35,CV$3,$AC35,$AD35)</f>
        <v>-202.8</v>
      </c>
      <c r="CW35" s="671">
        <f>-_xll.VAData($AB35,CW$3,$AC35,$AD35)</f>
        <v>-213</v>
      </c>
      <c r="CX35" s="671">
        <f>-_xll.VAData($AB35,CX$3,$AC35,$AD35)</f>
        <v>-231.52416486456255</v>
      </c>
      <c r="CY35" s="671">
        <f>-_xll.VAData($AB35,CY$3,$AC35,$AD35)</f>
        <v>-238.32715456332866</v>
      </c>
      <c r="CZ35" s="671">
        <f>-_xll.VAData($AB35,CZ$3,$AC35,$AD35)</f>
        <v>-240.44390883106055</v>
      </c>
      <c r="DA35" s="671">
        <f>-_xll.VAData($AB35,DA$3,$AC35,$AD35)</f>
        <v>-241.64497201109322</v>
      </c>
      <c r="DC35" s="686">
        <v>-286.39999999999998</v>
      </c>
      <c r="DD35" s="686">
        <v>-240.5</v>
      </c>
      <c r="DE35" s="686">
        <v>-220.3</v>
      </c>
      <c r="DF35" s="686">
        <v>-202.8</v>
      </c>
      <c r="DG35" s="686">
        <v>-215.95051029246218</v>
      </c>
      <c r="DH35" s="686">
        <v>-216.83039263265363</v>
      </c>
      <c r="DI35" s="686">
        <v>-220.96367240872792</v>
      </c>
      <c r="DJ35" s="686">
        <v>-221.77310451063218</v>
      </c>
      <c r="DK35" s="686">
        <v>-222.23934448220254</v>
      </c>
      <c r="DM35" s="678">
        <f t="shared" ref="DM35:DR35" si="59">BU35-DC35</f>
        <v>0</v>
      </c>
      <c r="DN35" s="678">
        <f t="shared" si="59"/>
        <v>0</v>
      </c>
      <c r="DO35" s="678">
        <f t="shared" si="59"/>
        <v>0</v>
      </c>
      <c r="DP35" s="678">
        <f t="shared" si="59"/>
        <v>0</v>
      </c>
      <c r="DQ35" s="678">
        <f t="shared" si="59"/>
        <v>2.9505102924621838</v>
      </c>
      <c r="DR35" s="678">
        <f t="shared" si="59"/>
        <v>-11.569607367346009</v>
      </c>
      <c r="DS35" s="678">
        <f>CD35-DI35</f>
        <v>220.96367240872792</v>
      </c>
      <c r="DT35" s="678">
        <f>CE35-DJ35</f>
        <v>18.973104510632169</v>
      </c>
      <c r="DU35" s="678">
        <f>CF35-DK35</f>
        <v>222.23934448220254</v>
      </c>
    </row>
    <row r="36" spans="3:127" hidden="1" outlineLevel="1">
      <c r="C36" s="155"/>
      <c r="D36" s="156"/>
      <c r="E36" s="156"/>
      <c r="F36" s="156"/>
      <c r="G36" s="156"/>
      <c r="H36" s="156"/>
      <c r="I36" s="156"/>
      <c r="J36" s="156"/>
      <c r="K36" s="156"/>
      <c r="L36" s="156"/>
      <c r="M36" s="156"/>
      <c r="N36" s="156"/>
      <c r="O36" s="156"/>
      <c r="P36" s="156"/>
      <c r="Q36" s="692"/>
      <c r="R36" s="156"/>
      <c r="S36" s="693"/>
      <c r="T36" s="692"/>
      <c r="U36" s="693"/>
      <c r="V36" s="692"/>
      <c r="W36" s="693"/>
      <c r="X36" s="157"/>
      <c r="Y36" s="154"/>
      <c r="Z36" s="683"/>
      <c r="AR36" s="683"/>
      <c r="AS36" s="683"/>
      <c r="AT36" s="683"/>
      <c r="AU36" s="683"/>
      <c r="AV36" s="683"/>
      <c r="AW36" s="683"/>
      <c r="AX36" s="683"/>
      <c r="AY36" s="683"/>
      <c r="AZ36" s="683"/>
      <c r="BA36" s="683"/>
      <c r="BB36" s="683"/>
      <c r="BC36" s="683"/>
      <c r="BE36" s="683"/>
      <c r="BF36" s="683"/>
      <c r="BG36" s="683"/>
      <c r="BH36" s="683"/>
      <c r="BI36" s="683"/>
      <c r="BJ36" s="683"/>
      <c r="BK36" s="683"/>
      <c r="BL36" s="683"/>
      <c r="BM36" s="683"/>
      <c r="BN36" s="683"/>
      <c r="BO36" s="683"/>
      <c r="BP36" s="683"/>
      <c r="BT36" s="155"/>
      <c r="BU36" s="156"/>
      <c r="BV36" s="156"/>
      <c r="BW36" s="156"/>
      <c r="BX36" s="156"/>
      <c r="BY36" s="156"/>
      <c r="BZ36" s="156"/>
      <c r="CA36" s="156"/>
      <c r="CB36" s="156"/>
      <c r="CC36" s="156"/>
      <c r="CD36" s="156"/>
      <c r="CE36" s="692"/>
      <c r="CF36" s="156"/>
      <c r="CG36" s="693"/>
      <c r="CH36" s="692"/>
      <c r="CI36" s="693"/>
      <c r="CJ36" s="692"/>
      <c r="CK36" s="693"/>
      <c r="CL36" s="157"/>
      <c r="CM36" s="154"/>
      <c r="CN36" s="683"/>
      <c r="DC36" s="683"/>
      <c r="DD36" s="683"/>
      <c r="DE36" s="683"/>
      <c r="DF36" s="683"/>
      <c r="DG36" s="683"/>
      <c r="DH36" s="683"/>
      <c r="DI36" s="683"/>
      <c r="DJ36" s="683"/>
      <c r="DK36" s="683"/>
      <c r="DM36" s="683"/>
      <c r="DN36" s="683"/>
      <c r="DO36" s="683"/>
      <c r="DP36" s="683"/>
      <c r="DQ36" s="683"/>
      <c r="DR36" s="683"/>
      <c r="DS36" s="683"/>
      <c r="DT36" s="683"/>
      <c r="DU36" s="683"/>
    </row>
    <row r="37" spans="3:127" hidden="1" outlineLevel="1">
      <c r="C37" s="673" t="s">
        <v>1226</v>
      </c>
      <c r="D37" s="156"/>
      <c r="E37" s="156"/>
      <c r="F37" s="156"/>
      <c r="G37" s="156"/>
      <c r="H37" s="156"/>
      <c r="I37" s="156"/>
      <c r="J37" s="156"/>
      <c r="K37" s="156"/>
      <c r="L37" s="156"/>
      <c r="M37" s="156"/>
      <c r="N37" s="156"/>
      <c r="O37" s="156"/>
      <c r="P37" s="156"/>
      <c r="Q37" s="692"/>
      <c r="R37" s="156"/>
      <c r="S37" s="693"/>
      <c r="T37" s="692"/>
      <c r="U37" s="693"/>
      <c r="V37" s="692"/>
      <c r="W37" s="693"/>
      <c r="X37" s="157"/>
      <c r="Y37" s="154"/>
      <c r="Z37" s="677">
        <v>106.5263331351953</v>
      </c>
      <c r="AB37" s="145" t="s">
        <v>1352</v>
      </c>
      <c r="AC37" s="145" t="s">
        <v>1360</v>
      </c>
      <c r="AD37" s="146" t="s">
        <v>961</v>
      </c>
      <c r="AE37" s="153">
        <v>57.9</v>
      </c>
      <c r="AF37" s="153">
        <f>_xll.VAData($AB37,AF$3,$AC37,$AD37)</f>
        <v>39.299999999999997</v>
      </c>
      <c r="AG37" s="153">
        <v>57.9</v>
      </c>
      <c r="AH37" s="153">
        <f>_xll.VAData($AB37,AH$3,$AC37,$AD37)</f>
        <v>58.3</v>
      </c>
      <c r="AI37" s="153">
        <f>_xll.VAData($AB37,AI$3,$AC37,$AD37)</f>
        <v>33.299999999999997</v>
      </c>
      <c r="AJ37" s="153">
        <f>_xll.VAData($AB37,AJ$3,$AC37,$AD37)</f>
        <v>37</v>
      </c>
      <c r="AK37" s="153">
        <f>_xll.VAData($AB37,AK$3,$AC37,$AD37)</f>
        <v>79.400000000000006</v>
      </c>
      <c r="AL37" s="153">
        <f>_xll.VAData($AB37,AL$3,$AC37,$AD37)</f>
        <v>88.8</v>
      </c>
      <c r="AM37" s="153">
        <f>_xll.VAData($AB37,AM$3,$AC37,$AD37)</f>
        <v>95.3</v>
      </c>
      <c r="AN37" s="153">
        <f>_xll.VAData($AB37,AN$3,$AC37,$AD37)</f>
        <v>95.9</v>
      </c>
      <c r="AO37" s="153">
        <f>_xll.VAData($AB37,AO$3,$AC37,$AD37)</f>
        <v>110.39588798705914</v>
      </c>
      <c r="AP37" s="153">
        <f>_xll.VAData($AB37,AP$3,$AC37,$AD37)</f>
        <v>89.523202317807431</v>
      </c>
      <c r="AR37" s="677">
        <v>57.9</v>
      </c>
      <c r="AS37" s="677">
        <v>39.299999999999997</v>
      </c>
      <c r="AT37" s="677">
        <v>57.9</v>
      </c>
      <c r="AU37" s="677">
        <v>58.3</v>
      </c>
      <c r="AV37" s="677">
        <v>33.299999999999997</v>
      </c>
      <c r="AW37" s="677">
        <v>37</v>
      </c>
      <c r="AX37" s="677">
        <v>79.400000000000006</v>
      </c>
      <c r="AY37" s="677">
        <v>88.8</v>
      </c>
      <c r="AZ37" s="677">
        <v>74.358824252527697</v>
      </c>
      <c r="BA37" s="677">
        <v>84.694989276828707</v>
      </c>
      <c r="BB37" s="677">
        <v>94.740989617792266</v>
      </c>
      <c r="BC37" s="677">
        <v>89.574316264749115</v>
      </c>
      <c r="BE37" s="683"/>
      <c r="BF37" s="683"/>
      <c r="BG37" s="683"/>
      <c r="BH37" s="683"/>
      <c r="BI37" s="683"/>
      <c r="BJ37" s="683"/>
      <c r="BK37" s="683"/>
      <c r="BL37" s="683"/>
      <c r="BM37" s="683"/>
      <c r="BN37" s="683"/>
      <c r="BO37" s="683"/>
      <c r="BP37" s="683"/>
      <c r="BT37" s="673" t="s">
        <v>1226</v>
      </c>
      <c r="BU37" s="156"/>
      <c r="BV37" s="156"/>
      <c r="BW37" s="156"/>
      <c r="BX37" s="156"/>
      <c r="BY37" s="156"/>
      <c r="BZ37" s="156"/>
      <c r="CA37" s="156"/>
      <c r="CB37" s="156"/>
      <c r="CC37" s="156"/>
      <c r="CD37" s="156"/>
      <c r="CE37" s="692"/>
      <c r="CF37" s="156"/>
      <c r="CG37" s="693"/>
      <c r="CH37" s="692"/>
      <c r="CI37" s="693"/>
      <c r="CJ37" s="692"/>
      <c r="CK37" s="693"/>
      <c r="CL37" s="157"/>
      <c r="CM37" s="154"/>
      <c r="CN37" s="764">
        <f>DG37</f>
        <v>177.32624885582089</v>
      </c>
      <c r="CP37" s="145" t="s">
        <v>1352</v>
      </c>
      <c r="CQ37" s="145" t="s">
        <v>1360</v>
      </c>
      <c r="CR37" s="146" t="s">
        <v>961</v>
      </c>
      <c r="CS37" s="153">
        <v>57.9</v>
      </c>
      <c r="CT37" s="153">
        <f>_xll.VAData($AB37,CT$3,$AC37,$AD37)</f>
        <v>116.2</v>
      </c>
      <c r="CU37" s="153">
        <v>57.9</v>
      </c>
      <c r="CV37" s="153">
        <f>_xll.VAData($AB37,CV$3,$AC37,$AD37)</f>
        <v>168.2</v>
      </c>
      <c r="CW37" s="153">
        <f>_xll.VAData($AB37,CW$3,$AC37,$AD37)</f>
        <v>191.2</v>
      </c>
      <c r="CX37" s="153">
        <f>_xll.VAData($AB37,CX$3,$AC37,$AD37)</f>
        <v>199.91909030486661</v>
      </c>
      <c r="CY37" s="153">
        <f>_xll.VAData($AB37,CY$3,$AC37,$AD37)</f>
        <v>209.64935270280563</v>
      </c>
      <c r="CZ37" s="153">
        <f>_xll.VAData($AB37,CZ$3,$AC37,$AD37)</f>
        <v>220.11537860948724</v>
      </c>
      <c r="DA37" s="153">
        <f>_xll.VAData($AB37,DA$3,$AC37,$AD37)</f>
        <v>230.36184058024349</v>
      </c>
      <c r="DC37" s="677">
        <v>57.9</v>
      </c>
      <c r="DD37" s="677">
        <v>116.2</v>
      </c>
      <c r="DE37" s="677">
        <v>57.9</v>
      </c>
      <c r="DF37" s="677">
        <v>168.2</v>
      </c>
      <c r="DG37" s="677">
        <v>177.32624885582089</v>
      </c>
      <c r="DH37" s="677">
        <v>192.7013537665799</v>
      </c>
      <c r="DI37" s="677">
        <v>204.96136429785344</v>
      </c>
      <c r="DJ37" s="677">
        <v>214.8530097224909</v>
      </c>
      <c r="DK37" s="677">
        <v>225.94543375072755</v>
      </c>
      <c r="DM37" s="683"/>
      <c r="DN37" s="683"/>
      <c r="DO37" s="683"/>
      <c r="DP37" s="683"/>
      <c r="DQ37" s="683"/>
      <c r="DR37" s="683"/>
      <c r="DS37" s="683"/>
      <c r="DT37" s="683"/>
      <c r="DU37" s="683"/>
    </row>
    <row r="38" spans="3:127" hidden="1" outlineLevel="1">
      <c r="C38" s="673" t="s">
        <v>1170</v>
      </c>
      <c r="D38" s="156"/>
      <c r="E38" s="156"/>
      <c r="F38" s="156"/>
      <c r="G38" s="156"/>
      <c r="H38" s="156"/>
      <c r="I38" s="156"/>
      <c r="J38" s="156"/>
      <c r="K38" s="156"/>
      <c r="L38" s="156"/>
      <c r="M38" s="156"/>
      <c r="N38" s="156"/>
      <c r="O38" s="156"/>
      <c r="P38" s="156"/>
      <c r="Q38" s="692"/>
      <c r="R38" s="156"/>
      <c r="S38" s="693"/>
      <c r="T38" s="692"/>
      <c r="U38" s="693"/>
      <c r="V38" s="692"/>
      <c r="W38" s="693"/>
      <c r="X38" s="157"/>
      <c r="Y38" s="154"/>
      <c r="Z38" s="677">
        <v>14.337752918309462</v>
      </c>
      <c r="AB38" s="145" t="s">
        <v>1352</v>
      </c>
      <c r="AC38" s="145" t="s">
        <v>1366</v>
      </c>
      <c r="AD38" s="146" t="s">
        <v>961</v>
      </c>
      <c r="AE38" s="153">
        <f>_xll.VAData($AB38,AE$3,$AC38,$AD38)</f>
        <v>-17.899999999999999</v>
      </c>
      <c r="AF38" s="153">
        <f>_xll.VAData($AB38,AF$3,$AC38,$AD38)</f>
        <v>19.7</v>
      </c>
      <c r="AG38" s="153">
        <f>_xll.VAData($AB38,AG$3,$AC38,$AD38)</f>
        <v>16</v>
      </c>
      <c r="AH38" s="153">
        <f>_xll.VAData($AB38,AH$3,$AC38,$AD38)</f>
        <v>18.399999999999999</v>
      </c>
      <c r="AI38" s="153">
        <f>_xll.VAData($AB38,AI$3,$AC38,$AD38)</f>
        <v>9.6</v>
      </c>
      <c r="AJ38" s="153">
        <f>_xll.VAData($AB38,AJ$3,$AC38,$AD38)</f>
        <v>10.4</v>
      </c>
      <c r="AK38" s="153">
        <f>_xll.VAData($AB38,AK$3,$AC38,$AD38)</f>
        <v>13.3</v>
      </c>
      <c r="AL38" s="153">
        <f>_xll.VAData($AB38,AL$3,$AC38,$AD38)</f>
        <v>7.2</v>
      </c>
      <c r="AM38" s="153">
        <f>_xll.VAData($AB38,AM$3,$AC38,$AD38)</f>
        <v>14.9</v>
      </c>
      <c r="AN38" s="153">
        <f>_xll.VAData($AB38,AN$3,$AC38,$AD38)</f>
        <v>12.6</v>
      </c>
      <c r="AO38" s="153">
        <f>_xll.VAData($AB38,AO$3,$AC38,$AD38)</f>
        <v>14.748569954264413</v>
      </c>
      <c r="AP38" s="153">
        <f>_xll.VAData($AB38,AP$3,$AC38,$AD38)</f>
        <v>13.428863067169676</v>
      </c>
      <c r="AR38" s="677">
        <v>-17.899999999999999</v>
      </c>
      <c r="AS38" s="677">
        <v>19.7</v>
      </c>
      <c r="AT38" s="677">
        <v>16</v>
      </c>
      <c r="AU38" s="677">
        <v>18.399999999999999</v>
      </c>
      <c r="AV38" s="677">
        <v>16.7</v>
      </c>
      <c r="AW38" s="677">
        <v>10.4</v>
      </c>
      <c r="AX38" s="677">
        <v>13.3</v>
      </c>
      <c r="AY38" s="677">
        <v>7.2</v>
      </c>
      <c r="AZ38" s="677">
        <v>11.990265385047154</v>
      </c>
      <c r="BA38" s="677">
        <v>9.4252880099132472</v>
      </c>
      <c r="BB38" s="677">
        <v>12.599275891308539</v>
      </c>
      <c r="BC38" s="677">
        <v>10.002183274324837</v>
      </c>
      <c r="BE38" s="683"/>
      <c r="BF38" s="683"/>
      <c r="BG38" s="683"/>
      <c r="BH38" s="683"/>
      <c r="BI38" s="683"/>
      <c r="BJ38" s="683"/>
      <c r="BK38" s="683"/>
      <c r="BL38" s="683"/>
      <c r="BM38" s="683"/>
      <c r="BN38" s="683"/>
      <c r="BO38" s="683"/>
      <c r="BP38" s="683"/>
      <c r="BT38" s="673" t="s">
        <v>1170</v>
      </c>
      <c r="BU38" s="156"/>
      <c r="BV38" s="156"/>
      <c r="BW38" s="156"/>
      <c r="BX38" s="156"/>
      <c r="BY38" s="156"/>
      <c r="BZ38" s="156"/>
      <c r="CA38" s="156"/>
      <c r="CB38" s="156"/>
      <c r="CC38" s="156"/>
      <c r="CD38" s="156"/>
      <c r="CE38" s="692"/>
      <c r="CF38" s="156"/>
      <c r="CG38" s="693"/>
      <c r="CH38" s="692"/>
      <c r="CI38" s="693"/>
      <c r="CJ38" s="692"/>
      <c r="CK38" s="693"/>
      <c r="CL38" s="157"/>
      <c r="CM38" s="154"/>
      <c r="CN38" s="764">
        <f>DG38</f>
        <v>26.084207209429334</v>
      </c>
      <c r="CP38" s="145" t="s">
        <v>1352</v>
      </c>
      <c r="CQ38" s="145" t="s">
        <v>1366</v>
      </c>
      <c r="CR38" s="146" t="s">
        <v>961</v>
      </c>
      <c r="CS38" s="153">
        <f>_xll.VAData($AB38,CS$3,$AC38,$AD38)</f>
        <v>1.8</v>
      </c>
      <c r="CT38" s="153">
        <f>_xll.VAData($AB38,CT$3,$AC38,$AD38)</f>
        <v>34.4</v>
      </c>
      <c r="CU38" s="153">
        <f>_xll.VAData($AB38,CU$3,$AC38,$AD38)</f>
        <v>20</v>
      </c>
      <c r="CV38" s="153">
        <f>_xll.VAData($AB38,CV$3,$AC38,$AD38)</f>
        <v>20.5</v>
      </c>
      <c r="CW38" s="153">
        <f>_xll.VAData($AB38,CW$3,$AC38,$AD38)</f>
        <v>27.5</v>
      </c>
      <c r="CX38" s="153">
        <f>_xll.VAData($AB38,CX$3,$AC38,$AD38)</f>
        <v>28.177433021434087</v>
      </c>
      <c r="CY38" s="153">
        <f>_xll.VAData($AB38,CY$3,$AC38,$AD38)</f>
        <v>30.100161934813599</v>
      </c>
      <c r="CZ38" s="153">
        <f>_xll.VAData($AB38,CZ$3,$AC38,$AD38)</f>
        <v>31.783919373736399</v>
      </c>
      <c r="DA38" s="153">
        <f>_xll.VAData($AB38,DA$3,$AC38,$AD38)</f>
        <v>33.370999946924449</v>
      </c>
      <c r="DC38" s="677">
        <v>1.8</v>
      </c>
      <c r="DD38" s="677">
        <v>34.4</v>
      </c>
      <c r="DE38" s="677">
        <v>20</v>
      </c>
      <c r="DF38" s="677">
        <v>20.5</v>
      </c>
      <c r="DG38" s="677">
        <v>26.084207209429334</v>
      </c>
      <c r="DH38" s="677">
        <v>26.916692654014721</v>
      </c>
      <c r="DI38" s="677">
        <v>28.460314145245011</v>
      </c>
      <c r="DJ38" s="677">
        <v>29.915871581762211</v>
      </c>
      <c r="DK38" s="677">
        <v>31.381270494855968</v>
      </c>
      <c r="DM38" s="683"/>
      <c r="DN38" s="683"/>
      <c r="DO38" s="683"/>
      <c r="DP38" s="683"/>
      <c r="DQ38" s="683"/>
      <c r="DR38" s="683"/>
      <c r="DS38" s="683"/>
      <c r="DT38" s="683"/>
      <c r="DU38" s="683"/>
    </row>
    <row r="39" spans="3:127" s="666" customFormat="1" hidden="1" outlineLevel="1">
      <c r="C39" s="672" t="s">
        <v>10</v>
      </c>
      <c r="D39" s="668">
        <f>HY!M311</f>
        <v>16.3</v>
      </c>
      <c r="E39" s="668">
        <f>HY!N311</f>
        <v>57.900000000000006</v>
      </c>
      <c r="F39" s="668">
        <f>HY!O311</f>
        <v>73.2</v>
      </c>
      <c r="G39" s="668">
        <f>HY!P416</f>
        <v>-78.900000000000006</v>
      </c>
      <c r="H39" s="668">
        <f>HY!Q416</f>
        <v>-74.599999999999994</v>
      </c>
      <c r="I39" s="668">
        <f>HY!R416</f>
        <v>-74.599999999999994</v>
      </c>
      <c r="J39" s="668">
        <f>HY!S416</f>
        <v>-32.950000000000003</v>
      </c>
      <c r="K39" s="668">
        <f>HY!T416</f>
        <v>-53.75</v>
      </c>
      <c r="L39" s="668">
        <f>HY!U416</f>
        <v>-55.049999999999955</v>
      </c>
      <c r="M39" s="668">
        <f>HY!V416</f>
        <v>-39.650000000000048</v>
      </c>
      <c r="N39" s="668">
        <f>HY!W416</f>
        <v>-49</v>
      </c>
      <c r="O39" s="668">
        <f>HY!X416</f>
        <v>-49</v>
      </c>
      <c r="P39" s="668"/>
      <c r="Q39" s="696">
        <f>J39</f>
        <v>-32.950000000000003</v>
      </c>
      <c r="R39" s="668"/>
      <c r="S39" s="697">
        <f>R39/Q39-1</f>
        <v>-1</v>
      </c>
      <c r="T39" s="696">
        <f>L39</f>
        <v>-55.049999999999955</v>
      </c>
      <c r="U39" s="697">
        <f t="shared" si="49"/>
        <v>-1</v>
      </c>
      <c r="V39" s="696">
        <f>Z39</f>
        <v>120.86408605350488</v>
      </c>
      <c r="W39" s="697">
        <f t="shared" si="50"/>
        <v>-1</v>
      </c>
      <c r="X39" s="669"/>
      <c r="Y39" s="670"/>
      <c r="Z39" s="686">
        <v>120.86408605350488</v>
      </c>
      <c r="AB39" s="147" t="s">
        <v>1352</v>
      </c>
      <c r="AC39" s="147" t="s">
        <v>1085</v>
      </c>
      <c r="AD39" s="146" t="s">
        <v>961</v>
      </c>
      <c r="AE39" s="671">
        <f>_xll.VAData($AB39,AE$3,$AC39,$AD39)</f>
        <v>16.3</v>
      </c>
      <c r="AF39" s="671">
        <f>_xll.VAData($AB39,AF$3,$AC39,$AD39)</f>
        <v>57.9</v>
      </c>
      <c r="AG39" s="671">
        <f>_xll.VAData($AB39,AG$3,$AC39,$AD39)</f>
        <v>73.2</v>
      </c>
      <c r="AH39" s="671">
        <f>_xll.VAData($AB39,AH$3,$AC39,$AD39)</f>
        <v>77.297995050420198</v>
      </c>
      <c r="AI39" s="671">
        <f>_xll.VAData($AB39,AI$3,$AC39,$AD39)</f>
        <v>50</v>
      </c>
      <c r="AJ39" s="671">
        <f>_xll.VAData($AB39,AJ$3,$AC39,$AD39)</f>
        <v>47.4</v>
      </c>
      <c r="AK39" s="671">
        <f>_xll.VAData($AB39,AK$3,$AC39,$AD39)</f>
        <v>92.7</v>
      </c>
      <c r="AL39" s="671">
        <f>_xll.VAData($AB39,AL$3,$AC39,$AD39)</f>
        <v>96</v>
      </c>
      <c r="AM39" s="671">
        <f>_xll.VAData($AB39,AM$3,$AC39,$AD39)</f>
        <v>110.2</v>
      </c>
      <c r="AN39" s="671">
        <f>_xll.VAData($AB39,AN$3,$AC39,$AD39)</f>
        <v>108.5</v>
      </c>
      <c r="AO39" s="671">
        <f>_xll.VAData($AB39,AO$3,$AC39,$AD39)</f>
        <v>129.58016600056754</v>
      </c>
      <c r="AP39" s="671">
        <f>_xll.VAData($AB39,AP$3,$AC39,$AD39)</f>
        <v>105.43670568562943</v>
      </c>
      <c r="AR39" s="686">
        <v>16.3</v>
      </c>
      <c r="AS39" s="686">
        <v>57.9</v>
      </c>
      <c r="AT39" s="686">
        <v>73.2</v>
      </c>
      <c r="AU39" s="686">
        <v>77.297995050420198</v>
      </c>
      <c r="AV39" s="686">
        <v>50</v>
      </c>
      <c r="AW39" s="686">
        <v>47.4</v>
      </c>
      <c r="AX39" s="686">
        <v>92.7</v>
      </c>
      <c r="AY39" s="686">
        <v>96</v>
      </c>
      <c r="AZ39" s="686">
        <v>86.318090022306208</v>
      </c>
      <c r="BA39" s="686">
        <v>95.631742568706656</v>
      </c>
      <c r="BB39" s="686">
        <v>109.43267386072154</v>
      </c>
      <c r="BC39" s="686">
        <v>101.31928492672012</v>
      </c>
      <c r="BE39" s="678">
        <f t="shared" ref="BE39:BP39" si="60">D39-AR39</f>
        <v>0</v>
      </c>
      <c r="BF39" s="678">
        <f t="shared" si="60"/>
        <v>0</v>
      </c>
      <c r="BG39" s="678">
        <f t="shared" si="60"/>
        <v>0</v>
      </c>
      <c r="BH39" s="678">
        <f t="shared" si="60"/>
        <v>-156.19799505042022</v>
      </c>
      <c r="BI39" s="678">
        <f t="shared" si="60"/>
        <v>-124.6</v>
      </c>
      <c r="BJ39" s="678">
        <f t="shared" si="60"/>
        <v>-122</v>
      </c>
      <c r="BK39" s="678">
        <f t="shared" si="60"/>
        <v>-125.65</v>
      </c>
      <c r="BL39" s="678">
        <f t="shared" si="60"/>
        <v>-149.75</v>
      </c>
      <c r="BM39" s="678">
        <f t="shared" si="60"/>
        <v>-141.36809002230615</v>
      </c>
      <c r="BN39" s="678">
        <f t="shared" si="60"/>
        <v>-135.2817425687067</v>
      </c>
      <c r="BO39" s="678">
        <f t="shared" si="60"/>
        <v>-158.43267386072154</v>
      </c>
      <c r="BP39" s="678">
        <f t="shared" si="60"/>
        <v>-150.31928492672012</v>
      </c>
      <c r="BT39" s="672" t="s">
        <v>10</v>
      </c>
      <c r="BU39" s="668">
        <f>FY!C49</f>
        <v>74.2</v>
      </c>
      <c r="BV39" s="668">
        <f>FY!D49</f>
        <v>150.5</v>
      </c>
      <c r="BW39" s="668">
        <f>FY!E49</f>
        <v>97.4</v>
      </c>
      <c r="BX39" s="668">
        <f>FY!F49</f>
        <v>188.7</v>
      </c>
      <c r="BY39" s="668">
        <f>FY!G49</f>
        <v>218.7</v>
      </c>
      <c r="BZ39" s="668">
        <f>FY!H49</f>
        <v>238.02006447494725</v>
      </c>
      <c r="CA39" s="668">
        <f>FY!I49</f>
        <v>262.24577074650222</v>
      </c>
      <c r="CB39" s="668">
        <f>FY!J49</f>
        <v>269.16773590500952</v>
      </c>
      <c r="CC39" s="668">
        <f>FY!K49</f>
        <v>285.9061462774722</v>
      </c>
      <c r="CD39" s="668"/>
      <c r="CE39" s="696">
        <f>BX39</f>
        <v>188.7</v>
      </c>
      <c r="CF39" s="668"/>
      <c r="CG39" s="697">
        <f>CF39/CE39-1</f>
        <v>-1</v>
      </c>
      <c r="CH39" s="696">
        <f>BY39</f>
        <v>218.7</v>
      </c>
      <c r="CI39" s="697">
        <f>$CF39/CH39-1</f>
        <v>-1</v>
      </c>
      <c r="CJ39" s="696">
        <f>CN39</f>
        <v>207.08996014279327</v>
      </c>
      <c r="CK39" s="697">
        <f>$CF39/CJ39-1</f>
        <v>-1</v>
      </c>
      <c r="CL39" s="669"/>
      <c r="CM39" s="670"/>
      <c r="CN39" s="764">
        <f>DG39</f>
        <v>207.08996014279327</v>
      </c>
      <c r="CP39" s="147" t="s">
        <v>1352</v>
      </c>
      <c r="CQ39" s="147" t="s">
        <v>1085</v>
      </c>
      <c r="CR39" s="146" t="s">
        <v>961</v>
      </c>
      <c r="CS39" s="671">
        <f>_xll.VAData($AB39,CS$3,$AC39,$AD39)</f>
        <v>95.2</v>
      </c>
      <c r="CT39" s="671">
        <f>_xll.VAData($AB39,CT$3,$AC39,$AD39)</f>
        <v>150.5</v>
      </c>
      <c r="CU39" s="671">
        <f>_xll.VAData($AB39,CU$3,$AC39,$AD39)</f>
        <v>97.4</v>
      </c>
      <c r="CV39" s="671">
        <f>_xll.VAData($AB39,CV$3,$AC39,$AD39)</f>
        <v>188.7</v>
      </c>
      <c r="CW39" s="671">
        <f>_xll.VAData($AB39,CW$3,$AC39,$AD39)</f>
        <v>218.7</v>
      </c>
      <c r="CX39" s="671">
        <f>_xll.VAData($AB39,CX$3,$AC39,$AD39)</f>
        <v>235.01687168619688</v>
      </c>
      <c r="CY39" s="671">
        <f>_xll.VAData($AB39,CY$3,$AC39,$AD39)</f>
        <v>251.24654269910499</v>
      </c>
      <c r="CZ39" s="671">
        <f>_xll.VAData($AB39,CZ$3,$AC39,$AD39)</f>
        <v>264.73723703662188</v>
      </c>
      <c r="DA39" s="671">
        <f>_xll.VAData($AB39,DA$3,$AC39,$AD39)</f>
        <v>276.76132464255579</v>
      </c>
      <c r="DC39" s="686">
        <v>95.2</v>
      </c>
      <c r="DD39" s="686">
        <v>150.5</v>
      </c>
      <c r="DE39" s="686">
        <v>97.4</v>
      </c>
      <c r="DF39" s="686">
        <v>188.7</v>
      </c>
      <c r="DG39" s="686">
        <v>207.08996014279327</v>
      </c>
      <c r="DH39" s="686">
        <v>223.84775266166091</v>
      </c>
      <c r="DI39" s="686">
        <v>237.84595546931246</v>
      </c>
      <c r="DJ39" s="686">
        <v>248.8605345263561</v>
      </c>
      <c r="DK39" s="686">
        <v>261.04487438119861</v>
      </c>
      <c r="DM39" s="678">
        <f t="shared" ref="DM39:DR39" si="61">BU39-DC39</f>
        <v>-21</v>
      </c>
      <c r="DN39" s="678">
        <f t="shared" si="61"/>
        <v>0</v>
      </c>
      <c r="DO39" s="678">
        <f t="shared" si="61"/>
        <v>0</v>
      </c>
      <c r="DP39" s="678">
        <f t="shared" si="61"/>
        <v>0</v>
      </c>
      <c r="DQ39" s="678">
        <f t="shared" si="61"/>
        <v>11.610039857206715</v>
      </c>
      <c r="DR39" s="678">
        <f t="shared" si="61"/>
        <v>14.172311813286342</v>
      </c>
      <c r="DS39" s="678">
        <f>CD39-DI39</f>
        <v>-237.84595546931246</v>
      </c>
      <c r="DT39" s="678">
        <f>CE39-DJ39</f>
        <v>-60.160534526356116</v>
      </c>
      <c r="DU39" s="678">
        <f>CF39-DK39</f>
        <v>-261.04487438119861</v>
      </c>
    </row>
    <row r="40" spans="3:127" hidden="1" outlineLevel="1">
      <c r="C40" s="155"/>
      <c r="D40" s="156"/>
      <c r="E40" s="156"/>
      <c r="F40" s="156"/>
      <c r="G40" s="156"/>
      <c r="H40" s="156"/>
      <c r="I40" s="156"/>
      <c r="J40" s="156"/>
      <c r="K40" s="156"/>
      <c r="L40" s="156"/>
      <c r="M40" s="156"/>
      <c r="N40" s="156"/>
      <c r="O40" s="156"/>
      <c r="P40" s="156"/>
      <c r="Q40" s="692"/>
      <c r="R40" s="156"/>
      <c r="S40" s="693"/>
      <c r="T40" s="692"/>
      <c r="U40" s="693"/>
      <c r="V40" s="692"/>
      <c r="W40" s="693"/>
      <c r="X40" s="157"/>
      <c r="Y40" s="154"/>
      <c r="Z40" s="667"/>
      <c r="AR40" s="667"/>
      <c r="AS40" s="667"/>
      <c r="AT40" s="667"/>
      <c r="AU40" s="667"/>
      <c r="AV40" s="667"/>
      <c r="AW40" s="667"/>
      <c r="AX40" s="667"/>
      <c r="AY40" s="667"/>
      <c r="AZ40" s="667"/>
      <c r="BA40" s="667"/>
      <c r="BB40" s="667"/>
      <c r="BC40" s="667"/>
      <c r="BE40" s="667"/>
      <c r="BF40" s="667"/>
      <c r="BG40" s="667"/>
      <c r="BH40" s="667"/>
      <c r="BI40" s="667"/>
      <c r="BJ40" s="667"/>
      <c r="BK40" s="667"/>
      <c r="BL40" s="667"/>
      <c r="BM40" s="667"/>
      <c r="BN40" s="667"/>
      <c r="BO40" s="667"/>
      <c r="BP40" s="667"/>
      <c r="BT40" s="155"/>
      <c r="BU40" s="156"/>
      <c r="BV40" s="156"/>
      <c r="BW40" s="156"/>
      <c r="BX40" s="156"/>
      <c r="BY40" s="156"/>
      <c r="BZ40" s="156"/>
      <c r="CA40" s="156"/>
      <c r="CB40" s="156"/>
      <c r="CC40" s="156"/>
      <c r="CD40" s="156"/>
      <c r="CE40" s="692"/>
      <c r="CF40" s="156"/>
      <c r="CG40" s="693"/>
      <c r="CH40" s="692"/>
      <c r="CI40" s="693"/>
      <c r="CJ40" s="692"/>
      <c r="CK40" s="693"/>
      <c r="CL40" s="157"/>
      <c r="CM40" s="154"/>
      <c r="CN40" s="667"/>
      <c r="DC40" s="667"/>
      <c r="DD40" s="667"/>
      <c r="DE40" s="667"/>
      <c r="DF40" s="667"/>
      <c r="DG40" s="667"/>
      <c r="DH40" s="667"/>
      <c r="DI40" s="667"/>
      <c r="DJ40" s="667"/>
      <c r="DK40" s="667"/>
      <c r="DM40" s="667"/>
      <c r="DN40" s="667"/>
      <c r="DO40" s="667"/>
      <c r="DP40" s="667"/>
      <c r="DQ40" s="667"/>
      <c r="DR40" s="667"/>
      <c r="DS40" s="667"/>
      <c r="DT40" s="667"/>
      <c r="DU40" s="667"/>
    </row>
    <row r="41" spans="3:127" collapsed="1">
      <c r="C41" s="152" t="s">
        <v>689</v>
      </c>
      <c r="D41" s="156"/>
      <c r="E41" s="156"/>
      <c r="F41" s="156"/>
      <c r="G41" s="156"/>
      <c r="H41" s="156"/>
      <c r="I41" s="156"/>
      <c r="J41" s="156"/>
      <c r="K41" s="156"/>
      <c r="L41" s="156"/>
      <c r="M41" s="156"/>
      <c r="N41" s="156"/>
      <c r="O41" s="156"/>
      <c r="P41" s="156"/>
      <c r="Q41" s="692"/>
      <c r="R41" s="156"/>
      <c r="S41" s="693"/>
      <c r="T41" s="692"/>
      <c r="U41" s="693"/>
      <c r="V41" s="692"/>
      <c r="W41" s="693"/>
      <c r="X41" s="157"/>
      <c r="Y41" s="154"/>
      <c r="Z41" s="667"/>
      <c r="AR41" s="667"/>
      <c r="AS41" s="667"/>
      <c r="AT41" s="667"/>
      <c r="AU41" s="667"/>
      <c r="AV41" s="667"/>
      <c r="AW41" s="667"/>
      <c r="AX41" s="667"/>
      <c r="AY41" s="667"/>
      <c r="AZ41" s="667"/>
      <c r="BA41" s="667"/>
      <c r="BB41" s="667"/>
      <c r="BC41" s="667"/>
      <c r="BE41" s="667"/>
      <c r="BF41" s="667"/>
      <c r="BG41" s="667"/>
      <c r="BH41" s="667"/>
      <c r="BI41" s="667"/>
      <c r="BJ41" s="667"/>
      <c r="BK41" s="667"/>
      <c r="BL41" s="667"/>
      <c r="BM41" s="667"/>
      <c r="BN41" s="667"/>
      <c r="BO41" s="667"/>
      <c r="BP41" s="667"/>
      <c r="BT41" s="152" t="s">
        <v>689</v>
      </c>
      <c r="BU41" s="156"/>
      <c r="BV41" s="156"/>
      <c r="BW41" s="156"/>
      <c r="BX41" s="156"/>
      <c r="BY41" s="156"/>
      <c r="BZ41" s="156"/>
      <c r="CA41" s="156"/>
      <c r="CB41" s="156"/>
      <c r="CC41" s="156"/>
      <c r="CD41" s="156"/>
      <c r="CE41" s="692"/>
      <c r="CF41" s="156"/>
      <c r="CG41" s="693"/>
      <c r="CH41" s="692"/>
      <c r="CI41" s="693"/>
      <c r="CJ41" s="692"/>
      <c r="CK41" s="693"/>
      <c r="CL41" s="157"/>
      <c r="CM41" s="154"/>
      <c r="CN41" s="667"/>
      <c r="DC41" s="667"/>
      <c r="DD41" s="667"/>
      <c r="DE41" s="667"/>
      <c r="DF41" s="667"/>
      <c r="DG41" s="667"/>
      <c r="DH41" s="667"/>
      <c r="DI41" s="667"/>
      <c r="DJ41" s="667"/>
      <c r="DK41" s="667"/>
      <c r="DM41" s="667"/>
      <c r="DN41" s="667"/>
      <c r="DO41" s="667"/>
      <c r="DP41" s="667"/>
      <c r="DQ41" s="667"/>
      <c r="DR41" s="667"/>
      <c r="DS41" s="667"/>
      <c r="DT41" s="667"/>
      <c r="DU41" s="667"/>
    </row>
    <row r="42" spans="3:127">
      <c r="C42" s="673" t="s">
        <v>1226</v>
      </c>
      <c r="D42" s="157">
        <f t="shared" ref="D42:O44" si="62">D21/D17</f>
        <v>0.36789640395006518</v>
      </c>
      <c r="E42" s="157">
        <f t="shared" si="62"/>
        <v>0.36662156066756879</v>
      </c>
      <c r="F42" s="157">
        <f t="shared" si="62"/>
        <v>0.34168310886162823</v>
      </c>
      <c r="G42" s="157">
        <f t="shared" si="62"/>
        <v>0.35367571120082614</v>
      </c>
      <c r="H42" s="157">
        <f t="shared" si="62"/>
        <v>0.35276732939279959</v>
      </c>
      <c r="I42" s="157">
        <f t="shared" si="62"/>
        <v>0.34821257885681511</v>
      </c>
      <c r="J42" s="157">
        <f t="shared" si="62"/>
        <v>0.36848455598455598</v>
      </c>
      <c r="K42" s="157">
        <f t="shared" si="62"/>
        <v>0.38290398126463693</v>
      </c>
      <c r="L42" s="157">
        <f t="shared" si="62"/>
        <v>0.3809447813597191</v>
      </c>
      <c r="M42" s="157">
        <f t="shared" si="62"/>
        <v>0.3960049937578029</v>
      </c>
      <c r="N42" s="157">
        <f t="shared" si="62"/>
        <v>0.39499999999999996</v>
      </c>
      <c r="O42" s="157">
        <f t="shared" si="62"/>
        <v>0.39500000000000002</v>
      </c>
      <c r="P42" s="156"/>
      <c r="Q42" s="698">
        <f t="shared" ref="Q42:R44" si="63">Q21/Q17</f>
        <v>0.36848455598455598</v>
      </c>
      <c r="R42" s="157">
        <f t="shared" si="63"/>
        <v>0.3809447813597191</v>
      </c>
      <c r="S42" s="699">
        <f>($R42-Q42)*100</f>
        <v>1.2460225375163114</v>
      </c>
      <c r="T42" s="157">
        <f>T21/T17</f>
        <v>0.3809447813597191</v>
      </c>
      <c r="U42" s="699">
        <f>($R42-T42)*100</f>
        <v>0</v>
      </c>
      <c r="V42" s="157">
        <f>V21/V17</f>
        <v>0.38231948887027145</v>
      </c>
      <c r="W42" s="699">
        <f>($R42-V42)*100</f>
        <v>-0.13747075105523532</v>
      </c>
      <c r="X42" s="157"/>
      <c r="Y42" s="154"/>
      <c r="Z42" s="157">
        <f>Z21/Z17</f>
        <v>0.38231948887027145</v>
      </c>
      <c r="AR42" s="157"/>
      <c r="AS42" s="157"/>
      <c r="AT42" s="157"/>
      <c r="AU42" s="157"/>
      <c r="AV42" s="157"/>
      <c r="AW42" s="157"/>
      <c r="AX42" s="157"/>
      <c r="AY42" s="157"/>
      <c r="AZ42" s="157"/>
      <c r="BA42" s="157"/>
      <c r="BB42" s="157"/>
      <c r="BC42" s="157"/>
      <c r="BE42" s="678">
        <f t="shared" ref="BE42:BP44" si="64">D42-AR42</f>
        <v>0.36789640395006518</v>
      </c>
      <c r="BF42" s="678">
        <f t="shared" si="64"/>
        <v>0.36662156066756879</v>
      </c>
      <c r="BG42" s="678">
        <f t="shared" si="64"/>
        <v>0.34168310886162823</v>
      </c>
      <c r="BH42" s="678">
        <f t="shared" si="64"/>
        <v>0.35367571120082614</v>
      </c>
      <c r="BI42" s="678">
        <f t="shared" si="64"/>
        <v>0.35276732939279959</v>
      </c>
      <c r="BJ42" s="678">
        <f t="shared" si="64"/>
        <v>0.34821257885681511</v>
      </c>
      <c r="BK42" s="678">
        <f t="shared" si="64"/>
        <v>0.36848455598455598</v>
      </c>
      <c r="BL42" s="678">
        <f t="shared" si="64"/>
        <v>0.38290398126463693</v>
      </c>
      <c r="BM42" s="678">
        <f t="shared" si="64"/>
        <v>0.3809447813597191</v>
      </c>
      <c r="BN42" s="678">
        <f t="shared" si="64"/>
        <v>0.3960049937578029</v>
      </c>
      <c r="BO42" s="678">
        <f t="shared" si="64"/>
        <v>0.39499999999999996</v>
      </c>
      <c r="BP42" s="678">
        <f t="shared" si="64"/>
        <v>0.39500000000000002</v>
      </c>
      <c r="BT42" s="673" t="s">
        <v>1226</v>
      </c>
      <c r="BU42" s="157">
        <f t="shared" ref="BU42:BZ44" si="65">BU21/BU17</f>
        <v>0.36724872817269349</v>
      </c>
      <c r="BV42" s="157">
        <f t="shared" si="65"/>
        <v>0.34740900125515506</v>
      </c>
      <c r="BW42" s="157">
        <f t="shared" si="65"/>
        <v>0.35056408359533936</v>
      </c>
      <c r="BX42" s="157">
        <f t="shared" si="65"/>
        <v>0.37555355092668524</v>
      </c>
      <c r="BY42" s="157">
        <f t="shared" si="65"/>
        <v>0.38831629119648026</v>
      </c>
      <c r="BZ42" s="157">
        <f t="shared" si="65"/>
        <v>0.39500000000000002</v>
      </c>
      <c r="CA42" s="157">
        <f t="shared" ref="CA42:CC44" si="66">CA21/CA17</f>
        <v>0.39500000000000002</v>
      </c>
      <c r="CB42" s="157">
        <f t="shared" si="66"/>
        <v>0.39500000000000002</v>
      </c>
      <c r="CC42" s="157">
        <f t="shared" si="66"/>
        <v>0.39500000000000007</v>
      </c>
      <c r="CD42" s="156"/>
      <c r="CE42" s="698">
        <f t="shared" ref="CE42:CF44" si="67">CE21/CE17</f>
        <v>0.37555355092668524</v>
      </c>
      <c r="CF42" s="157">
        <f t="shared" si="67"/>
        <v>0.38831629119648026</v>
      </c>
      <c r="CG42" s="699">
        <f>($CF42-CE42)*100</f>
        <v>1.2762740269795014</v>
      </c>
      <c r="CH42" s="157">
        <f>CH21/CH17</f>
        <v>0.38831629119648026</v>
      </c>
      <c r="CI42" s="699">
        <f>($CF42-CH42)*100</f>
        <v>0</v>
      </c>
      <c r="CJ42" s="157">
        <f>CJ21/CJ17</f>
        <v>0.38127615240099377</v>
      </c>
      <c r="CK42" s="699">
        <f>($CF42-CJ42)*100</f>
        <v>0.70401387954864836</v>
      </c>
      <c r="CL42" s="157"/>
      <c r="CM42" s="154"/>
      <c r="CN42" s="157">
        <f>CN21/CN17</f>
        <v>0.38127615240099377</v>
      </c>
      <c r="DC42" s="157"/>
      <c r="DD42" s="157"/>
      <c r="DE42" s="157"/>
      <c r="DF42" s="157"/>
      <c r="DG42" s="157"/>
      <c r="DH42" s="157"/>
      <c r="DI42" s="157"/>
      <c r="DJ42" s="157"/>
      <c r="DK42" s="157"/>
      <c r="DL42" s="157"/>
      <c r="DM42" s="157"/>
      <c r="DN42" s="157"/>
      <c r="DO42" s="157"/>
      <c r="DP42" s="157"/>
      <c r="DQ42" s="157"/>
      <c r="DR42" s="157"/>
      <c r="DS42" s="157"/>
      <c r="DT42" s="157"/>
      <c r="DU42" s="157"/>
      <c r="DV42" s="157"/>
      <c r="DW42" s="157"/>
    </row>
    <row r="43" spans="3:127">
      <c r="C43" s="673" t="s">
        <v>1170</v>
      </c>
      <c r="D43" s="157">
        <f t="shared" si="62"/>
        <v>0.93718592964824121</v>
      </c>
      <c r="E43" s="157">
        <f t="shared" si="62"/>
        <v>0.9522591645353794</v>
      </c>
      <c r="F43" s="157">
        <f t="shared" si="62"/>
        <v>0.93198529411764719</v>
      </c>
      <c r="G43" s="157">
        <f t="shared" si="62"/>
        <v>0.96835443037974667</v>
      </c>
      <c r="H43" s="157">
        <f t="shared" si="62"/>
        <v>0.99501867995018689</v>
      </c>
      <c r="I43" s="157">
        <f t="shared" si="62"/>
        <v>0.98435619735258695</v>
      </c>
      <c r="J43" s="157">
        <f t="shared" si="62"/>
        <v>0.9795686719636777</v>
      </c>
      <c r="K43" s="157">
        <f t="shared" si="62"/>
        <v>0.98631698973774229</v>
      </c>
      <c r="L43" s="157">
        <f t="shared" si="62"/>
        <v>0.98364231188658668</v>
      </c>
      <c r="M43" s="157">
        <f t="shared" si="62"/>
        <v>0.98998887652947709</v>
      </c>
      <c r="N43" s="157">
        <f t="shared" si="62"/>
        <v>0.98998887652947709</v>
      </c>
      <c r="O43" s="157">
        <f t="shared" si="62"/>
        <v>0.9899888765294772</v>
      </c>
      <c r="P43" s="156"/>
      <c r="Q43" s="698">
        <f t="shared" si="63"/>
        <v>0.9795686719636777</v>
      </c>
      <c r="R43" s="157">
        <f t="shared" si="63"/>
        <v>0.98364231188658668</v>
      </c>
      <c r="S43" s="699">
        <f>($R43-Q43)*100</f>
        <v>0.40736399229089892</v>
      </c>
      <c r="T43" s="157">
        <f>T22/T18</f>
        <v>0.98364231188658668</v>
      </c>
      <c r="U43" s="699">
        <f t="shared" ref="U43:W44" si="68">($R43-T43)*100</f>
        <v>0</v>
      </c>
      <c r="V43" s="157">
        <f>V22/V18</f>
        <v>0.98504127125441332</v>
      </c>
      <c r="W43" s="699">
        <f t="shared" si="68"/>
        <v>-0.13989593678266354</v>
      </c>
      <c r="X43" s="157"/>
      <c r="Y43" s="154"/>
      <c r="Z43" s="157">
        <f>Z22/Z18</f>
        <v>0.98504127125441332</v>
      </c>
      <c r="AR43" s="157"/>
      <c r="AS43" s="157"/>
      <c r="AT43" s="157"/>
      <c r="AU43" s="157"/>
      <c r="AV43" s="157"/>
      <c r="AW43" s="157"/>
      <c r="AX43" s="157"/>
      <c r="AY43" s="157"/>
      <c r="AZ43" s="157"/>
      <c r="BA43" s="157"/>
      <c r="BB43" s="157"/>
      <c r="BC43" s="157"/>
      <c r="BE43" s="678">
        <f t="shared" si="64"/>
        <v>0.93718592964824121</v>
      </c>
      <c r="BF43" s="678">
        <f t="shared" si="64"/>
        <v>0.9522591645353794</v>
      </c>
      <c r="BG43" s="678">
        <f t="shared" si="64"/>
        <v>0.93198529411764719</v>
      </c>
      <c r="BH43" s="678">
        <f t="shared" si="64"/>
        <v>0.96835443037974667</v>
      </c>
      <c r="BI43" s="678">
        <f t="shared" si="64"/>
        <v>0.99501867995018689</v>
      </c>
      <c r="BJ43" s="678">
        <f t="shared" si="64"/>
        <v>0.98435619735258695</v>
      </c>
      <c r="BK43" s="678">
        <f t="shared" si="64"/>
        <v>0.9795686719636777</v>
      </c>
      <c r="BL43" s="678">
        <f t="shared" si="64"/>
        <v>0.98631698973774229</v>
      </c>
      <c r="BM43" s="678">
        <f t="shared" si="64"/>
        <v>0.98364231188658668</v>
      </c>
      <c r="BN43" s="678">
        <f t="shared" si="64"/>
        <v>0.98998887652947709</v>
      </c>
      <c r="BO43" s="678">
        <f t="shared" si="64"/>
        <v>0.98998887652947709</v>
      </c>
      <c r="BP43" s="678">
        <f t="shared" si="64"/>
        <v>0.9899888765294772</v>
      </c>
      <c r="BT43" s="673" t="s">
        <v>1170</v>
      </c>
      <c r="BU43" s="157">
        <f t="shared" si="65"/>
        <v>0.9461655662772982</v>
      </c>
      <c r="BV43" s="157">
        <f t="shared" si="65"/>
        <v>0.94891944990176813</v>
      </c>
      <c r="BW43" s="157">
        <f t="shared" si="65"/>
        <v>0.98959608323133408</v>
      </c>
      <c r="BX43" s="157">
        <f t="shared" si="65"/>
        <v>0.98293515358361772</v>
      </c>
      <c r="BY43" s="157">
        <f t="shared" si="65"/>
        <v>0.986784140969163</v>
      </c>
      <c r="BZ43" s="157">
        <f t="shared" si="65"/>
        <v>0.98998887652947709</v>
      </c>
      <c r="CA43" s="157">
        <f t="shared" si="66"/>
        <v>0.9899888765294772</v>
      </c>
      <c r="CB43" s="157">
        <f t="shared" si="66"/>
        <v>0.98998887652947709</v>
      </c>
      <c r="CC43" s="157">
        <f t="shared" si="66"/>
        <v>0.98998887652947709</v>
      </c>
      <c r="CD43" s="156"/>
      <c r="CE43" s="698">
        <f t="shared" si="67"/>
        <v>0.98293515358361772</v>
      </c>
      <c r="CF43" s="157">
        <f t="shared" si="67"/>
        <v>0.986784140969163</v>
      </c>
      <c r="CG43" s="699">
        <f>($CF43-CE43)*100</f>
        <v>0.38489873855452883</v>
      </c>
      <c r="CH43" s="157">
        <f>CH22/CH18</f>
        <v>0.986784140969163</v>
      </c>
      <c r="CI43" s="699">
        <f>($CF43-CH43)*100</f>
        <v>0</v>
      </c>
      <c r="CJ43" s="157">
        <f>CJ22/CJ18</f>
        <v>0.98767532939944858</v>
      </c>
      <c r="CK43" s="699">
        <f>($CF43-CJ43)*100</f>
        <v>-8.9118843028557215E-2</v>
      </c>
      <c r="CL43" s="157"/>
      <c r="CM43" s="154"/>
      <c r="CN43" s="157">
        <f>CN22/CN18</f>
        <v>0.98767532939944858</v>
      </c>
      <c r="DC43" s="157"/>
      <c r="DD43" s="157"/>
      <c r="DE43" s="157"/>
      <c r="DF43" s="157"/>
      <c r="DG43" s="157"/>
      <c r="DH43" s="157"/>
      <c r="DI43" s="157"/>
      <c r="DJ43" s="157"/>
      <c r="DK43" s="157"/>
      <c r="DL43" s="157"/>
      <c r="DM43" s="157"/>
      <c r="DN43" s="157"/>
      <c r="DO43" s="157"/>
      <c r="DP43" s="157"/>
      <c r="DQ43" s="157"/>
      <c r="DR43" s="157"/>
      <c r="DS43" s="157"/>
      <c r="DT43" s="157"/>
      <c r="DU43" s="157"/>
      <c r="DV43" s="157"/>
      <c r="DW43" s="157"/>
    </row>
    <row r="44" spans="3:127" s="666" customFormat="1">
      <c r="C44" s="672" t="s">
        <v>1218</v>
      </c>
      <c r="D44" s="669">
        <f t="shared" si="62"/>
        <v>0.4074459776099974</v>
      </c>
      <c r="E44" s="669">
        <f t="shared" si="62"/>
        <v>0.42261224489795912</v>
      </c>
      <c r="F44" s="669">
        <f t="shared" si="62"/>
        <v>0.39207532365633579</v>
      </c>
      <c r="G44" s="669">
        <f t="shared" si="62"/>
        <v>0.40408655918613667</v>
      </c>
      <c r="H44" s="669">
        <f t="shared" si="62"/>
        <v>0.40145502645502651</v>
      </c>
      <c r="I44" s="669">
        <f t="shared" si="62"/>
        <v>0.39502346586380938</v>
      </c>
      <c r="J44" s="669">
        <f t="shared" si="62"/>
        <v>0.408923608502967</v>
      </c>
      <c r="K44" s="669">
        <f t="shared" si="62"/>
        <v>0.42414088677627998</v>
      </c>
      <c r="L44" s="669">
        <f t="shared" si="62"/>
        <v>0.42203881329466875</v>
      </c>
      <c r="M44" s="669">
        <f t="shared" si="62"/>
        <v>0.43735480873470656</v>
      </c>
      <c r="N44" s="669">
        <f t="shared" si="62"/>
        <v>0.43491801580441586</v>
      </c>
      <c r="O44" s="669">
        <f t="shared" si="62"/>
        <v>0.44087941765257577</v>
      </c>
      <c r="P44" s="668"/>
      <c r="Q44" s="700">
        <f t="shared" si="63"/>
        <v>0.408923608502967</v>
      </c>
      <c r="R44" s="669">
        <f t="shared" si="63"/>
        <v>0.42203881329466875</v>
      </c>
      <c r="S44" s="701">
        <f>($R44-Q44)*100</f>
        <v>1.3115204791701751</v>
      </c>
      <c r="T44" s="669">
        <f>T23/T19</f>
        <v>0.42203881329466875</v>
      </c>
      <c r="U44" s="701">
        <f t="shared" si="68"/>
        <v>0</v>
      </c>
      <c r="V44" s="669">
        <f>V23/V19</f>
        <v>0.42342560879156937</v>
      </c>
      <c r="W44" s="701">
        <f t="shared" si="68"/>
        <v>-0.1386795496900628</v>
      </c>
      <c r="X44" s="669"/>
      <c r="Y44" s="670"/>
      <c r="Z44" s="669">
        <f>Z23/Z19</f>
        <v>0.42342560879156937</v>
      </c>
      <c r="AB44"/>
      <c r="AC44"/>
      <c r="AD44"/>
      <c r="AE44"/>
      <c r="AF44"/>
      <c r="AG44"/>
      <c r="AH44"/>
      <c r="AI44"/>
      <c r="AJ44"/>
      <c r="AK44"/>
      <c r="AL44"/>
      <c r="AM44"/>
      <c r="AN44"/>
      <c r="AO44"/>
      <c r="AP44"/>
      <c r="AR44" s="669"/>
      <c r="AS44" s="669"/>
      <c r="AT44" s="669"/>
      <c r="AU44" s="669"/>
      <c r="AV44" s="669"/>
      <c r="AW44" s="669"/>
      <c r="AX44" s="669"/>
      <c r="AY44" s="669"/>
      <c r="AZ44" s="669"/>
      <c r="BA44" s="669"/>
      <c r="BB44" s="669"/>
      <c r="BC44" s="669"/>
      <c r="BE44" s="678">
        <f t="shared" si="64"/>
        <v>0.4074459776099974</v>
      </c>
      <c r="BF44" s="678">
        <f t="shared" si="64"/>
        <v>0.42261224489795912</v>
      </c>
      <c r="BG44" s="678">
        <f t="shared" si="64"/>
        <v>0.39207532365633579</v>
      </c>
      <c r="BH44" s="678">
        <f t="shared" si="64"/>
        <v>0.40408655918613667</v>
      </c>
      <c r="BI44" s="678">
        <f t="shared" si="64"/>
        <v>0.40145502645502651</v>
      </c>
      <c r="BJ44" s="678">
        <f t="shared" si="64"/>
        <v>0.39502346586380938</v>
      </c>
      <c r="BK44" s="678">
        <f t="shared" si="64"/>
        <v>0.408923608502967</v>
      </c>
      <c r="BL44" s="678">
        <f t="shared" si="64"/>
        <v>0.42414088677627998</v>
      </c>
      <c r="BM44" s="678">
        <f t="shared" si="64"/>
        <v>0.42203881329466875</v>
      </c>
      <c r="BN44" s="678">
        <f t="shared" si="64"/>
        <v>0.43735480873470656</v>
      </c>
      <c r="BO44" s="678">
        <f t="shared" si="64"/>
        <v>0.43491801580441586</v>
      </c>
      <c r="BP44" s="678">
        <f t="shared" si="64"/>
        <v>0.44087941765257577</v>
      </c>
      <c r="BT44" s="672" t="s">
        <v>1218</v>
      </c>
      <c r="BU44" s="669">
        <f t="shared" si="65"/>
        <v>0.41526101038993818</v>
      </c>
      <c r="BV44" s="669">
        <f t="shared" si="65"/>
        <v>0.39779822543542553</v>
      </c>
      <c r="BW44" s="669">
        <f t="shared" si="65"/>
        <v>0.39834965154559837</v>
      </c>
      <c r="BX44" s="669">
        <f t="shared" si="65"/>
        <v>0.41639256482827203</v>
      </c>
      <c r="BY44" s="669">
        <f t="shared" si="65"/>
        <v>0.42954140272351404</v>
      </c>
      <c r="BZ44" s="669">
        <f t="shared" si="65"/>
        <v>0.4378390377757525</v>
      </c>
      <c r="CA44" s="669">
        <f t="shared" si="66"/>
        <v>0.4470297988079166</v>
      </c>
      <c r="CB44" s="669">
        <f t="shared" si="66"/>
        <v>0.45071741018363887</v>
      </c>
      <c r="CC44" s="669">
        <f t="shared" si="66"/>
        <v>0.45109750922063607</v>
      </c>
      <c r="CD44" s="668"/>
      <c r="CE44" s="700">
        <f t="shared" si="67"/>
        <v>0.41639256482827203</v>
      </c>
      <c r="CF44" s="669">
        <f t="shared" si="67"/>
        <v>0.42954140272351404</v>
      </c>
      <c r="CG44" s="701">
        <f>($CF44-CE44)*100</f>
        <v>1.3148837895242016</v>
      </c>
      <c r="CH44" s="669">
        <f>CH23/CH19</f>
        <v>0.42954140272351404</v>
      </c>
      <c r="CI44" s="701">
        <f>($CF44-CH44)*100</f>
        <v>0</v>
      </c>
      <c r="CJ44" s="669">
        <f>CJ23/CJ19</f>
        <v>0.4232041122548485</v>
      </c>
      <c r="CK44" s="701">
        <f>($CF44-CJ44)*100</f>
        <v>0.63372904686655462</v>
      </c>
      <c r="CL44" s="669"/>
      <c r="CM44" s="670"/>
      <c r="CN44" s="669">
        <f>CN23/CN19</f>
        <v>0.4232041122548485</v>
      </c>
      <c r="CP44"/>
      <c r="CQ44"/>
      <c r="CR44"/>
      <c r="CS44"/>
      <c r="CT44"/>
      <c r="CU44"/>
      <c r="CV44"/>
      <c r="CW44"/>
      <c r="CX44"/>
      <c r="CY44"/>
      <c r="CZ44"/>
      <c r="DA44"/>
      <c r="DC44" s="669"/>
      <c r="DD44" s="669"/>
      <c r="DE44" s="669"/>
      <c r="DF44" s="669"/>
      <c r="DG44" s="669"/>
      <c r="DH44" s="669"/>
      <c r="DI44" s="669"/>
      <c r="DJ44" s="669"/>
      <c r="DK44" s="669"/>
      <c r="DL44" s="669"/>
      <c r="DM44" s="669"/>
      <c r="DN44" s="669"/>
      <c r="DO44" s="669"/>
      <c r="DP44" s="669"/>
      <c r="DQ44" s="669"/>
      <c r="DR44" s="669"/>
      <c r="DS44" s="669"/>
      <c r="DT44" s="669"/>
      <c r="DU44" s="669"/>
      <c r="DV44" s="669"/>
      <c r="DW44" s="669"/>
    </row>
    <row r="45" spans="3:127">
      <c r="C45" s="673"/>
      <c r="D45" s="156"/>
      <c r="E45" s="156"/>
      <c r="F45" s="156"/>
      <c r="G45" s="156"/>
      <c r="H45" s="156"/>
      <c r="I45" s="156"/>
      <c r="J45" s="156"/>
      <c r="K45" s="156"/>
      <c r="L45" s="156"/>
      <c r="M45" s="156"/>
      <c r="N45" s="156"/>
      <c r="O45" s="156"/>
      <c r="P45" s="156"/>
      <c r="Q45" s="692"/>
      <c r="R45" s="156"/>
      <c r="S45" s="699"/>
      <c r="T45" s="156"/>
      <c r="U45" s="699"/>
      <c r="V45" s="156"/>
      <c r="W45" s="699"/>
      <c r="X45" s="157"/>
      <c r="Y45" s="154"/>
      <c r="Z45" s="156"/>
      <c r="AR45" s="156"/>
      <c r="AS45" s="156"/>
      <c r="AT45" s="156"/>
      <c r="AU45" s="156"/>
      <c r="AV45" s="156"/>
      <c r="AW45" s="156"/>
      <c r="AX45" s="156"/>
      <c r="AY45" s="156"/>
      <c r="AZ45" s="156"/>
      <c r="BA45" s="156"/>
      <c r="BB45" s="156"/>
      <c r="BC45" s="156"/>
      <c r="BE45" s="667"/>
      <c r="BF45" s="667"/>
      <c r="BG45" s="667"/>
      <c r="BH45" s="667"/>
      <c r="BI45" s="667"/>
      <c r="BJ45" s="667"/>
      <c r="BK45" s="667"/>
      <c r="BL45" s="667"/>
      <c r="BM45" s="667"/>
      <c r="BN45" s="667"/>
      <c r="BO45" s="667"/>
      <c r="BP45" s="667"/>
      <c r="BT45" s="673"/>
      <c r="BU45" s="156"/>
      <c r="BV45" s="156"/>
      <c r="BW45" s="156"/>
      <c r="BX45" s="156"/>
      <c r="BY45" s="156"/>
      <c r="BZ45" s="156"/>
      <c r="CA45" s="156"/>
      <c r="CB45" s="156"/>
      <c r="CC45" s="156"/>
      <c r="CD45" s="156"/>
      <c r="CE45" s="692"/>
      <c r="CF45" s="156"/>
      <c r="CG45" s="699"/>
      <c r="CH45" s="156"/>
      <c r="CI45" s="699"/>
      <c r="CJ45" s="156"/>
      <c r="CK45" s="699"/>
      <c r="CL45" s="157"/>
      <c r="CM45" s="154"/>
      <c r="CN45" s="156"/>
      <c r="DC45" s="156"/>
      <c r="DD45" s="156"/>
      <c r="DE45" s="156"/>
      <c r="DF45" s="156"/>
      <c r="DG45" s="156"/>
      <c r="DH45" s="156"/>
      <c r="DI45" s="156"/>
      <c r="DJ45" s="156"/>
      <c r="DK45" s="156"/>
      <c r="DL45" s="156"/>
      <c r="DM45" s="156"/>
      <c r="DN45" s="156"/>
      <c r="DO45" s="156"/>
      <c r="DP45" s="156"/>
      <c r="DQ45" s="156"/>
      <c r="DR45" s="156"/>
      <c r="DS45" s="156"/>
      <c r="DT45" s="156"/>
      <c r="DU45" s="156"/>
      <c r="DV45" s="156"/>
      <c r="DW45" s="156"/>
    </row>
    <row r="46" spans="3:127">
      <c r="C46" s="673" t="s">
        <v>1226</v>
      </c>
      <c r="D46" s="157">
        <f t="shared" ref="D46:O48" si="69">D29/D17</f>
        <v>0.12847028134898453</v>
      </c>
      <c r="E46" s="157">
        <f t="shared" si="69"/>
        <v>0.1345060893098782</v>
      </c>
      <c r="F46" s="157">
        <f t="shared" si="69"/>
        <v>0.13245260358582825</v>
      </c>
      <c r="G46" s="157">
        <f t="shared" si="69"/>
        <v>0.14421181109754949</v>
      </c>
      <c r="H46" s="157">
        <f t="shared" si="69"/>
        <v>0.12000716460684221</v>
      </c>
      <c r="I46" s="157">
        <f t="shared" si="69"/>
        <v>0.1120244695086981</v>
      </c>
      <c r="J46" s="157">
        <f t="shared" si="69"/>
        <v>0.12604568854568854</v>
      </c>
      <c r="K46" s="157">
        <f t="shared" si="69"/>
        <v>0.14419538307126131</v>
      </c>
      <c r="L46" s="157">
        <f t="shared" si="69"/>
        <v>0.14474944142993937</v>
      </c>
      <c r="M46" s="157">
        <f t="shared" si="69"/>
        <v>0.15014565126924681</v>
      </c>
      <c r="N46" s="157">
        <f t="shared" si="69"/>
        <v>0.16082551945209919</v>
      </c>
      <c r="O46" s="157">
        <f t="shared" si="69"/>
        <v>0.14674693641429346</v>
      </c>
      <c r="P46" s="156"/>
      <c r="Q46" s="698">
        <f t="shared" ref="Q46:R48" si="70">Q29/Q17</f>
        <v>0.12604568854568854</v>
      </c>
      <c r="R46" s="157">
        <f t="shared" si="70"/>
        <v>0.14474944142993937</v>
      </c>
      <c r="S46" s="699">
        <f>($R46-Q46)*100</f>
        <v>1.870375288425083</v>
      </c>
      <c r="T46" s="157">
        <f>T29/T17</f>
        <v>0.14474944142993937</v>
      </c>
      <c r="U46" s="699">
        <f t="shared" ref="U46:W48" si="71">($R46-T46)*100</f>
        <v>0</v>
      </c>
      <c r="V46" s="157">
        <f>V29/V17</f>
        <v>0.13200833876930626</v>
      </c>
      <c r="W46" s="699">
        <f t="shared" si="71"/>
        <v>1.2741102660633108</v>
      </c>
      <c r="X46" s="157"/>
      <c r="Y46" s="154"/>
      <c r="Z46" s="157">
        <f>Z29/Z17</f>
        <v>0.13200833876930626</v>
      </c>
      <c r="AR46" s="157"/>
      <c r="AS46" s="157"/>
      <c r="AT46" s="157"/>
      <c r="AU46" s="157"/>
      <c r="AV46" s="157"/>
      <c r="AW46" s="157"/>
      <c r="AX46" s="157"/>
      <c r="AY46" s="157"/>
      <c r="AZ46" s="157"/>
      <c r="BA46" s="157"/>
      <c r="BB46" s="157"/>
      <c r="BC46" s="157"/>
      <c r="BE46" s="678">
        <f t="shared" ref="BE46:BP48" si="72">D46-AR46</f>
        <v>0.12847028134898453</v>
      </c>
      <c r="BF46" s="678">
        <f t="shared" si="72"/>
        <v>0.1345060893098782</v>
      </c>
      <c r="BG46" s="678">
        <f t="shared" si="72"/>
        <v>0.13245260358582825</v>
      </c>
      <c r="BH46" s="678">
        <f t="shared" si="72"/>
        <v>0.14421181109754949</v>
      </c>
      <c r="BI46" s="678">
        <f t="shared" si="72"/>
        <v>0.12000716460684221</v>
      </c>
      <c r="BJ46" s="678">
        <f t="shared" si="72"/>
        <v>0.1120244695086981</v>
      </c>
      <c r="BK46" s="678">
        <f t="shared" si="72"/>
        <v>0.12604568854568854</v>
      </c>
      <c r="BL46" s="678">
        <f t="shared" si="72"/>
        <v>0.14419538307126131</v>
      </c>
      <c r="BM46" s="678">
        <f t="shared" si="72"/>
        <v>0.14474944142993937</v>
      </c>
      <c r="BN46" s="678">
        <f t="shared" si="72"/>
        <v>0.15014565126924681</v>
      </c>
      <c r="BO46" s="678">
        <f t="shared" si="72"/>
        <v>0.16082551945209919</v>
      </c>
      <c r="BP46" s="678">
        <f t="shared" si="72"/>
        <v>0.14674693641429346</v>
      </c>
      <c r="BT46" s="673" t="s">
        <v>1226</v>
      </c>
      <c r="BU46" s="157">
        <f t="shared" ref="BU46:BZ48" si="73">BU29/BU17</f>
        <v>0.13153673403914018</v>
      </c>
      <c r="BV46" s="157">
        <f t="shared" si="73"/>
        <v>0.1380670611439842</v>
      </c>
      <c r="BW46" s="157">
        <f t="shared" si="73"/>
        <v>0.11614573700758275</v>
      </c>
      <c r="BX46" s="157">
        <f t="shared" si="73"/>
        <v>0.13494341479416105</v>
      </c>
      <c r="BY46" s="157">
        <f t="shared" si="73"/>
        <v>0.14739071984356542</v>
      </c>
      <c r="BZ46" s="157">
        <f t="shared" si="73"/>
        <v>0.15400389428493927</v>
      </c>
      <c r="CA46" s="157">
        <f t="shared" ref="CA46:CC48" si="74">CA29/CA17</f>
        <v>0.148523827949439</v>
      </c>
      <c r="CB46" s="157">
        <f t="shared" si="74"/>
        <v>0.14333230171810543</v>
      </c>
      <c r="CC46" s="157">
        <f t="shared" si="74"/>
        <v>0.14141257827212519</v>
      </c>
      <c r="CD46" s="156"/>
      <c r="CE46" s="698">
        <f t="shared" ref="CE46:CF48" si="75">CE29/CE17</f>
        <v>0.13494341479416105</v>
      </c>
      <c r="CF46" s="157">
        <f t="shared" si="75"/>
        <v>0.14739071984356542</v>
      </c>
      <c r="CG46" s="699">
        <f>($CF46-CE46)*100</f>
        <v>1.2447305049404362</v>
      </c>
      <c r="CH46" s="157">
        <f>CH29/CH17</f>
        <v>0.14739071984356542</v>
      </c>
      <c r="CI46" s="699">
        <f>($CF46-CH46)*100</f>
        <v>0</v>
      </c>
      <c r="CJ46" s="157">
        <f>CJ29/CJ17</f>
        <v>0.14198713997729687</v>
      </c>
      <c r="CK46" s="699">
        <f>($CF46-CJ46)*100</f>
        <v>0.54035798662685486</v>
      </c>
      <c r="CL46" s="157"/>
      <c r="CM46" s="154"/>
      <c r="CN46" s="157">
        <f>CN29/CN17</f>
        <v>0.14198713997729687</v>
      </c>
      <c r="DC46" s="157"/>
      <c r="DD46" s="157"/>
      <c r="DE46" s="157"/>
      <c r="DF46" s="157"/>
      <c r="DG46" s="157"/>
      <c r="DH46" s="157"/>
      <c r="DI46" s="157"/>
      <c r="DJ46" s="157"/>
      <c r="DK46" s="157"/>
      <c r="DL46" s="157"/>
      <c r="DM46" s="157"/>
      <c r="DN46" s="157"/>
      <c r="DO46" s="157"/>
      <c r="DP46" s="157"/>
      <c r="DQ46" s="157"/>
      <c r="DR46" s="157"/>
      <c r="DS46" s="157"/>
      <c r="DT46" s="157"/>
      <c r="DU46" s="157"/>
      <c r="DV46" s="157"/>
      <c r="DW46" s="157"/>
    </row>
    <row r="47" spans="3:127">
      <c r="C47" s="673" t="s">
        <v>1170</v>
      </c>
      <c r="D47" s="157">
        <f t="shared" si="69"/>
        <v>0.24623115577889451</v>
      </c>
      <c r="E47" s="157">
        <f t="shared" si="69"/>
        <v>0.45694799658994029</v>
      </c>
      <c r="F47" s="157">
        <f t="shared" si="69"/>
        <v>0.39430147058823528</v>
      </c>
      <c r="G47" s="157">
        <f t="shared" si="69"/>
        <v>0.42405063291139239</v>
      </c>
      <c r="H47" s="157">
        <f t="shared" si="69"/>
        <v>0.35242839352428396</v>
      </c>
      <c r="I47" s="157">
        <f t="shared" si="69"/>
        <v>0.36943441636582425</v>
      </c>
      <c r="J47" s="157">
        <f t="shared" si="69"/>
        <v>0.38024971623155507</v>
      </c>
      <c r="K47" s="157">
        <f t="shared" si="69"/>
        <v>0.32953249714937277</v>
      </c>
      <c r="L47" s="157">
        <f t="shared" si="69"/>
        <v>0.3925845147219193</v>
      </c>
      <c r="M47" s="157">
        <f t="shared" si="69"/>
        <v>0.37708565072302569</v>
      </c>
      <c r="N47" s="157">
        <f t="shared" si="69"/>
        <v>0.3799888765294771</v>
      </c>
      <c r="O47" s="157">
        <f t="shared" si="69"/>
        <v>0.37998887652947722</v>
      </c>
      <c r="P47" s="156"/>
      <c r="Q47" s="698">
        <f t="shared" si="70"/>
        <v>0.38024971623155507</v>
      </c>
      <c r="R47" s="157">
        <f t="shared" si="70"/>
        <v>0.3925845147219193</v>
      </c>
      <c r="S47" s="699">
        <f>($R47-Q47)*100</f>
        <v>1.2334798490364229</v>
      </c>
      <c r="T47" s="157">
        <f>T30/T18</f>
        <v>0.3925845147219193</v>
      </c>
      <c r="U47" s="699">
        <f t="shared" si="71"/>
        <v>0</v>
      </c>
      <c r="V47" s="157">
        <f>V30/V18</f>
        <v>0.36368988243520378</v>
      </c>
      <c r="W47" s="699">
        <f t="shared" si="71"/>
        <v>2.8894632286715516</v>
      </c>
      <c r="X47" s="157"/>
      <c r="Y47" s="154"/>
      <c r="Z47" s="157">
        <f>Z30/Z18</f>
        <v>0.36368988243520378</v>
      </c>
      <c r="AR47" s="157"/>
      <c r="AS47" s="157"/>
      <c r="AT47" s="157"/>
      <c r="AU47" s="157"/>
      <c r="AV47" s="157"/>
      <c r="AW47" s="157"/>
      <c r="AX47" s="157"/>
      <c r="AY47" s="157"/>
      <c r="AZ47" s="157"/>
      <c r="BA47" s="157"/>
      <c r="BB47" s="157"/>
      <c r="BC47" s="157"/>
      <c r="BE47" s="678">
        <f t="shared" si="72"/>
        <v>0.24623115577889451</v>
      </c>
      <c r="BF47" s="678">
        <f t="shared" si="72"/>
        <v>0.45694799658994029</v>
      </c>
      <c r="BG47" s="678">
        <f t="shared" si="72"/>
        <v>0.39430147058823528</v>
      </c>
      <c r="BH47" s="678">
        <f t="shared" si="72"/>
        <v>0.42405063291139239</v>
      </c>
      <c r="BI47" s="678">
        <f t="shared" si="72"/>
        <v>0.35242839352428396</v>
      </c>
      <c r="BJ47" s="678">
        <f t="shared" si="72"/>
        <v>0.36943441636582425</v>
      </c>
      <c r="BK47" s="678">
        <f t="shared" si="72"/>
        <v>0.38024971623155507</v>
      </c>
      <c r="BL47" s="678">
        <f t="shared" si="72"/>
        <v>0.32953249714937277</v>
      </c>
      <c r="BM47" s="678">
        <f t="shared" si="72"/>
        <v>0.3925845147219193</v>
      </c>
      <c r="BN47" s="678">
        <f t="shared" si="72"/>
        <v>0.37708565072302569</v>
      </c>
      <c r="BO47" s="678">
        <f t="shared" si="72"/>
        <v>0.3799888765294771</v>
      </c>
      <c r="BP47" s="678">
        <f t="shared" si="72"/>
        <v>0.37998887652947722</v>
      </c>
      <c r="BT47" s="673" t="s">
        <v>1170</v>
      </c>
      <c r="BU47" s="157">
        <f t="shared" si="73"/>
        <v>0.37176231589639414</v>
      </c>
      <c r="BV47" s="157">
        <f t="shared" si="73"/>
        <v>0.40815324165029465</v>
      </c>
      <c r="BW47" s="157">
        <f t="shared" si="73"/>
        <v>0.36107711138310894</v>
      </c>
      <c r="BX47" s="157">
        <f t="shared" si="73"/>
        <v>0.3549488054607508</v>
      </c>
      <c r="BY47" s="157">
        <f t="shared" si="73"/>
        <v>0.38491189427312777</v>
      </c>
      <c r="BZ47" s="157">
        <f t="shared" si="73"/>
        <v>0.37998887652947716</v>
      </c>
      <c r="CA47" s="157">
        <f t="shared" si="74"/>
        <v>0.37998887652947716</v>
      </c>
      <c r="CB47" s="157">
        <f t="shared" si="74"/>
        <v>0.37998887652947716</v>
      </c>
      <c r="CC47" s="157">
        <f t="shared" si="74"/>
        <v>0.37998887652947716</v>
      </c>
      <c r="CD47" s="156"/>
      <c r="CE47" s="698">
        <f t="shared" si="75"/>
        <v>0.3549488054607508</v>
      </c>
      <c r="CF47" s="157">
        <f t="shared" si="75"/>
        <v>0.38491189427312777</v>
      </c>
      <c r="CG47" s="699">
        <f>($CF47-CE47)*100</f>
        <v>2.996308881237697</v>
      </c>
      <c r="CH47" s="157">
        <f>CH30/CH18</f>
        <v>0.38491189427312777</v>
      </c>
      <c r="CI47" s="699">
        <f>($CF47-CH47)*100</f>
        <v>0</v>
      </c>
      <c r="CJ47" s="157">
        <f>CJ30/CJ18</f>
        <v>0.37570442051385233</v>
      </c>
      <c r="CK47" s="699">
        <f>($CF47-CJ47)*100</f>
        <v>0.92074737592754419</v>
      </c>
      <c r="CL47" s="157"/>
      <c r="CM47" s="154"/>
      <c r="CN47" s="157">
        <f>CN30/CN18</f>
        <v>0.37570442051385233</v>
      </c>
      <c r="DC47" s="157"/>
      <c r="DD47" s="157"/>
      <c r="DE47" s="157"/>
      <c r="DF47" s="157"/>
      <c r="DG47" s="157"/>
      <c r="DH47" s="157"/>
      <c r="DI47" s="157"/>
      <c r="DJ47" s="157"/>
      <c r="DK47" s="157"/>
      <c r="DL47" s="157"/>
      <c r="DM47" s="157"/>
      <c r="DN47" s="157"/>
      <c r="DO47" s="157"/>
      <c r="DP47" s="157"/>
      <c r="DQ47" s="157"/>
      <c r="DR47" s="157"/>
      <c r="DS47" s="157"/>
      <c r="DT47" s="157"/>
      <c r="DU47" s="157"/>
      <c r="DV47" s="157"/>
      <c r="DW47" s="157"/>
    </row>
    <row r="48" spans="3:127" s="666" customFormat="1">
      <c r="C48" s="672" t="s">
        <v>2</v>
      </c>
      <c r="D48" s="669">
        <f t="shared" si="69"/>
        <v>0.13798489976568604</v>
      </c>
      <c r="E48" s="669">
        <f t="shared" si="69"/>
        <v>0.16457142857142856</v>
      </c>
      <c r="F48" s="669">
        <f t="shared" si="69"/>
        <v>0.15425657120439387</v>
      </c>
      <c r="G48" s="669">
        <f t="shared" si="69"/>
        <v>0.16760065522889903</v>
      </c>
      <c r="H48" s="669">
        <f t="shared" si="69"/>
        <v>0.14037698412698416</v>
      </c>
      <c r="I48" s="669">
        <f t="shared" si="69"/>
        <v>0.13096608518551311</v>
      </c>
      <c r="J48" s="669">
        <f t="shared" si="69"/>
        <v>0.14286787350709831</v>
      </c>
      <c r="K48" s="669">
        <f t="shared" si="69"/>
        <v>0.15686121717447207</v>
      </c>
      <c r="L48" s="669">
        <f t="shared" si="69"/>
        <v>0.16164770614915605</v>
      </c>
      <c r="M48" s="669">
        <f t="shared" si="69"/>
        <v>0.16594393681276132</v>
      </c>
      <c r="N48" s="669">
        <f t="shared" si="69"/>
        <v>0.17552926719708781</v>
      </c>
      <c r="O48" s="669">
        <f t="shared" si="69"/>
        <v>0.16382536533574801</v>
      </c>
      <c r="P48" s="668"/>
      <c r="Q48" s="700">
        <f t="shared" si="70"/>
        <v>0.14286787350709831</v>
      </c>
      <c r="R48" s="669">
        <f t="shared" si="70"/>
        <v>0.16164770614915605</v>
      </c>
      <c r="S48" s="701">
        <f>($R48-Q48)*100</f>
        <v>1.8779832642057737</v>
      </c>
      <c r="T48" s="669">
        <f>T31/T19</f>
        <v>0.16164770614915605</v>
      </c>
      <c r="U48" s="701">
        <f t="shared" si="71"/>
        <v>0</v>
      </c>
      <c r="V48" s="669">
        <f>V31/V19</f>
        <v>0.14789328564407522</v>
      </c>
      <c r="W48" s="701">
        <f t="shared" si="71"/>
        <v>1.3754420505080827</v>
      </c>
      <c r="X48" s="669"/>
      <c r="Y48" s="670"/>
      <c r="Z48" s="669">
        <f>Z31/Z19</f>
        <v>0.14789328564407522</v>
      </c>
      <c r="AB48"/>
      <c r="AC48"/>
      <c r="AD48"/>
      <c r="AE48"/>
      <c r="AF48"/>
      <c r="AG48"/>
      <c r="AH48"/>
      <c r="AI48"/>
      <c r="AJ48"/>
      <c r="AK48"/>
      <c r="AL48"/>
      <c r="AM48"/>
      <c r="AN48"/>
      <c r="AO48"/>
      <c r="AP48"/>
      <c r="AR48" s="669"/>
      <c r="AS48" s="669"/>
      <c r="AT48" s="669"/>
      <c r="AU48" s="669"/>
      <c r="AV48" s="669"/>
      <c r="AW48" s="669"/>
      <c r="AX48" s="669"/>
      <c r="AY48" s="669"/>
      <c r="AZ48" s="669"/>
      <c r="BA48" s="669"/>
      <c r="BB48" s="669"/>
      <c r="BC48" s="669"/>
      <c r="BE48" s="678">
        <f t="shared" si="72"/>
        <v>0.13798489976568604</v>
      </c>
      <c r="BF48" s="678">
        <f t="shared" si="72"/>
        <v>0.16457142857142856</v>
      </c>
      <c r="BG48" s="678">
        <f t="shared" si="72"/>
        <v>0.15425657120439387</v>
      </c>
      <c r="BH48" s="678">
        <f t="shared" si="72"/>
        <v>0.16760065522889903</v>
      </c>
      <c r="BI48" s="678">
        <f t="shared" si="72"/>
        <v>0.14037698412698416</v>
      </c>
      <c r="BJ48" s="678">
        <f t="shared" si="72"/>
        <v>0.13096608518551311</v>
      </c>
      <c r="BK48" s="678">
        <f t="shared" si="72"/>
        <v>0.14286787350709831</v>
      </c>
      <c r="BL48" s="678">
        <f t="shared" si="72"/>
        <v>0.15686121717447207</v>
      </c>
      <c r="BM48" s="678">
        <f t="shared" si="72"/>
        <v>0.16164770614915605</v>
      </c>
      <c r="BN48" s="678">
        <f t="shared" si="72"/>
        <v>0.16594393681276132</v>
      </c>
      <c r="BO48" s="678">
        <f t="shared" si="72"/>
        <v>0.17552926719708781</v>
      </c>
      <c r="BP48" s="678">
        <f t="shared" si="72"/>
        <v>0.16382536533574801</v>
      </c>
      <c r="BT48" s="672" t="s">
        <v>2</v>
      </c>
      <c r="BU48" s="669">
        <f t="shared" si="73"/>
        <v>0.15168468430572499</v>
      </c>
      <c r="BV48" s="669">
        <f t="shared" si="73"/>
        <v>0.16061452513966479</v>
      </c>
      <c r="BW48" s="669">
        <f t="shared" si="73"/>
        <v>0.13583308392834237</v>
      </c>
      <c r="BX48" s="669">
        <f t="shared" si="73"/>
        <v>0.14973609729977819</v>
      </c>
      <c r="BY48" s="669">
        <f t="shared" si="73"/>
        <v>0.16375222850206728</v>
      </c>
      <c r="BZ48" s="669">
        <f t="shared" si="73"/>
        <v>0.1697944827691778</v>
      </c>
      <c r="CA48" s="669">
        <f t="shared" si="74"/>
        <v>0.17059010876668976</v>
      </c>
      <c r="CB48" s="669">
        <f t="shared" si="74"/>
        <v>0.17177295469194051</v>
      </c>
      <c r="CC48" s="669">
        <f t="shared" si="74"/>
        <v>0.17025012036289203</v>
      </c>
      <c r="CD48" s="668"/>
      <c r="CE48" s="700">
        <f t="shared" si="75"/>
        <v>0.14973609729977819</v>
      </c>
      <c r="CF48" s="669">
        <f t="shared" si="75"/>
        <v>0.16375222850206728</v>
      </c>
      <c r="CG48" s="701">
        <f>($CF48-CE48)*100</f>
        <v>1.4016131202289088</v>
      </c>
      <c r="CH48" s="669">
        <f>CH31/CH19</f>
        <v>0.16375222850206728</v>
      </c>
      <c r="CI48" s="701">
        <f>($CF48-CH48)*100</f>
        <v>0</v>
      </c>
      <c r="CJ48" s="669">
        <f>CJ31/CJ19</f>
        <v>0.15970646601352839</v>
      </c>
      <c r="CK48" s="701">
        <f>($CF48-CJ48)*100</f>
        <v>0.40457624885388843</v>
      </c>
      <c r="CL48" s="669"/>
      <c r="CM48" s="670"/>
      <c r="CN48" s="669">
        <f>CN31/CN19</f>
        <v>0.15970646601352839</v>
      </c>
      <c r="CP48"/>
      <c r="CQ48"/>
      <c r="CR48"/>
      <c r="CS48"/>
      <c r="CT48"/>
      <c r="CU48"/>
      <c r="CV48"/>
      <c r="CW48"/>
      <c r="CX48"/>
      <c r="CY48"/>
      <c r="CZ48"/>
      <c r="DA48"/>
      <c r="DC48" s="669"/>
      <c r="DD48" s="669"/>
      <c r="DE48" s="669"/>
      <c r="DF48" s="669"/>
      <c r="DG48" s="669"/>
      <c r="DH48" s="669"/>
      <c r="DI48" s="669"/>
      <c r="DJ48" s="669"/>
      <c r="DK48" s="669"/>
      <c r="DL48" s="669"/>
      <c r="DM48" s="669"/>
      <c r="DN48" s="669"/>
      <c r="DO48" s="669"/>
      <c r="DP48" s="669"/>
      <c r="DQ48" s="669"/>
      <c r="DR48" s="669"/>
      <c r="DS48" s="669"/>
      <c r="DT48" s="669"/>
      <c r="DU48" s="669"/>
      <c r="DV48" s="669"/>
      <c r="DW48" s="669"/>
    </row>
    <row r="49" spans="3:127" s="666" customFormat="1">
      <c r="C49" s="155"/>
      <c r="D49" s="669"/>
      <c r="E49" s="669"/>
      <c r="F49" s="669"/>
      <c r="G49" s="669"/>
      <c r="H49" s="669"/>
      <c r="I49" s="669"/>
      <c r="J49" s="669"/>
      <c r="K49" s="669"/>
      <c r="L49" s="669"/>
      <c r="M49" s="669"/>
      <c r="N49" s="669"/>
      <c r="O49" s="669"/>
      <c r="P49" s="668"/>
      <c r="Q49" s="669"/>
      <c r="R49" s="669"/>
      <c r="S49" s="790"/>
      <c r="T49" s="669"/>
      <c r="U49" s="790"/>
      <c r="V49" s="669"/>
      <c r="W49" s="790"/>
      <c r="X49" s="669"/>
      <c r="Y49" s="670"/>
      <c r="Z49" s="669"/>
      <c r="AB49"/>
      <c r="AC49"/>
      <c r="AD49"/>
      <c r="AE49"/>
      <c r="AF49"/>
      <c r="AG49"/>
      <c r="AH49"/>
      <c r="AI49"/>
      <c r="AJ49"/>
      <c r="AK49"/>
      <c r="AL49"/>
      <c r="AM49"/>
      <c r="AN49"/>
      <c r="AO49"/>
      <c r="AP49"/>
      <c r="AR49" s="669"/>
      <c r="AS49" s="669"/>
      <c r="AT49" s="669"/>
      <c r="AU49" s="669"/>
      <c r="AV49" s="669"/>
      <c r="AW49" s="669"/>
      <c r="AX49" s="669"/>
      <c r="AY49" s="669"/>
      <c r="AZ49" s="669"/>
      <c r="BA49" s="669"/>
      <c r="BB49" s="669"/>
      <c r="BC49" s="669"/>
      <c r="BE49" s="678"/>
      <c r="BF49" s="678"/>
      <c r="BG49" s="678"/>
      <c r="BH49" s="678"/>
      <c r="BI49" s="678"/>
      <c r="BJ49" s="678"/>
      <c r="BK49" s="678"/>
      <c r="BL49" s="678"/>
      <c r="BM49" s="678"/>
      <c r="BN49" s="678"/>
      <c r="BO49" s="678"/>
      <c r="BP49" s="678"/>
      <c r="BT49" s="672"/>
      <c r="BU49" s="669"/>
      <c r="BV49" s="669"/>
      <c r="BW49" s="669"/>
      <c r="BX49" s="669"/>
      <c r="BY49" s="669"/>
      <c r="BZ49" s="669"/>
      <c r="CA49" s="669"/>
      <c r="CB49" s="669"/>
      <c r="CC49" s="669"/>
      <c r="CD49" s="668"/>
      <c r="CE49" s="669"/>
      <c r="CF49" s="669"/>
      <c r="CG49" s="790"/>
      <c r="CH49" s="669"/>
      <c r="CI49" s="790"/>
      <c r="CJ49" s="669"/>
      <c r="CK49" s="790"/>
      <c r="CL49" s="669"/>
      <c r="CM49" s="670"/>
      <c r="CN49" s="669"/>
      <c r="CP49"/>
      <c r="CQ49"/>
      <c r="CR49"/>
      <c r="CS49"/>
      <c r="CT49"/>
      <c r="CU49"/>
      <c r="CV49"/>
      <c r="CW49"/>
      <c r="CX49"/>
      <c r="CY49"/>
      <c r="CZ49"/>
      <c r="DA49"/>
      <c r="DC49" s="669"/>
      <c r="DD49" s="669"/>
      <c r="DE49" s="669"/>
      <c r="DF49" s="669"/>
      <c r="DG49" s="669"/>
      <c r="DH49" s="669"/>
      <c r="DI49" s="669"/>
      <c r="DJ49" s="669"/>
      <c r="DK49" s="669"/>
      <c r="DL49" s="669"/>
      <c r="DM49" s="669"/>
      <c r="DN49" s="669"/>
      <c r="DO49" s="669"/>
      <c r="DP49" s="669"/>
      <c r="DQ49" s="669"/>
      <c r="DR49" s="669"/>
      <c r="DS49" s="669"/>
      <c r="DT49" s="669"/>
      <c r="DU49" s="669"/>
      <c r="DV49" s="669"/>
      <c r="DW49" s="669"/>
    </row>
    <row r="50" spans="3:127" s="666" customFormat="1">
      <c r="C50" s="155" t="s">
        <v>1678</v>
      </c>
      <c r="D50" s="669"/>
      <c r="E50" s="669"/>
      <c r="F50" s="669"/>
      <c r="G50" s="669"/>
      <c r="H50" s="669"/>
      <c r="I50" s="669"/>
      <c r="J50" s="669"/>
      <c r="K50" s="669"/>
      <c r="L50" s="669"/>
      <c r="M50" s="669"/>
      <c r="N50" s="669"/>
      <c r="O50" s="669"/>
      <c r="P50" s="668"/>
      <c r="Q50" s="669"/>
      <c r="R50" s="669"/>
      <c r="S50" s="790"/>
      <c r="T50" s="669"/>
      <c r="U50" s="790"/>
      <c r="V50" s="669"/>
      <c r="W50" s="790"/>
      <c r="X50" s="669"/>
      <c r="Y50" s="670"/>
      <c r="Z50" s="669"/>
      <c r="AB50"/>
      <c r="AC50"/>
      <c r="AD50"/>
      <c r="AE50"/>
      <c r="AF50"/>
      <c r="AG50"/>
      <c r="AH50"/>
      <c r="AI50"/>
      <c r="AJ50"/>
      <c r="AK50"/>
      <c r="AL50"/>
      <c r="AM50"/>
      <c r="AN50"/>
      <c r="AO50"/>
      <c r="AP50"/>
      <c r="AR50" s="669"/>
      <c r="AS50" s="669"/>
      <c r="AT50" s="669"/>
      <c r="AU50" s="669"/>
      <c r="AV50" s="669"/>
      <c r="AW50" s="669"/>
      <c r="AX50" s="669"/>
      <c r="AY50" s="669"/>
      <c r="AZ50" s="669"/>
      <c r="BA50" s="669"/>
      <c r="BB50" s="669"/>
      <c r="BC50" s="669"/>
      <c r="BE50" s="678"/>
      <c r="BF50" s="678"/>
      <c r="BG50" s="678"/>
      <c r="BH50" s="678"/>
      <c r="BI50" s="678"/>
      <c r="BJ50" s="678"/>
      <c r="BK50" s="678"/>
      <c r="BL50" s="678"/>
      <c r="BM50" s="678"/>
      <c r="BN50" s="678"/>
      <c r="BO50" s="678"/>
      <c r="BP50" s="678"/>
      <c r="BT50" s="672"/>
      <c r="BU50" s="669"/>
      <c r="BV50" s="669"/>
      <c r="BW50" s="669"/>
      <c r="BX50" s="669"/>
      <c r="BY50" s="669"/>
      <c r="BZ50" s="669"/>
      <c r="CA50" s="669"/>
      <c r="CB50" s="669"/>
      <c r="CC50" s="669"/>
      <c r="CD50" s="668"/>
      <c r="CE50" s="669"/>
      <c r="CF50" s="669"/>
      <c r="CG50" s="790"/>
      <c r="CH50" s="669"/>
      <c r="CI50" s="790"/>
      <c r="CJ50" s="669"/>
      <c r="CK50" s="790"/>
      <c r="CL50" s="669"/>
      <c r="CM50" s="670"/>
      <c r="CN50" s="669"/>
      <c r="CP50"/>
      <c r="CQ50"/>
      <c r="CR50"/>
      <c r="CS50"/>
      <c r="CT50"/>
      <c r="CU50"/>
      <c r="CV50"/>
      <c r="CW50"/>
      <c r="CX50"/>
      <c r="CY50"/>
      <c r="CZ50"/>
      <c r="DA50"/>
      <c r="DC50" s="669"/>
      <c r="DD50" s="669"/>
      <c r="DE50" s="669"/>
      <c r="DF50" s="669"/>
      <c r="DG50" s="669"/>
      <c r="DH50" s="669"/>
      <c r="DI50" s="669"/>
      <c r="DJ50" s="669"/>
      <c r="DK50" s="669"/>
      <c r="DL50" s="669"/>
      <c r="DM50" s="669"/>
      <c r="DN50" s="669"/>
      <c r="DO50" s="669"/>
      <c r="DP50" s="669"/>
      <c r="DQ50" s="669"/>
      <c r="DR50" s="669"/>
      <c r="DS50" s="669"/>
      <c r="DT50" s="669"/>
      <c r="DU50" s="669"/>
      <c r="DV50" s="669"/>
      <c r="DW50" s="669"/>
    </row>
    <row r="51" spans="3:127" s="666" customFormat="1">
      <c r="C51" s="155"/>
      <c r="D51" s="669"/>
      <c r="E51" s="669"/>
      <c r="F51" s="669"/>
      <c r="G51" s="669"/>
      <c r="H51" s="669"/>
      <c r="I51" s="669"/>
      <c r="J51" s="669"/>
      <c r="K51" s="669"/>
      <c r="L51" s="669"/>
      <c r="M51" s="669"/>
      <c r="N51" s="669"/>
      <c r="O51" s="669"/>
      <c r="P51" s="668"/>
      <c r="Q51" s="669"/>
      <c r="R51" s="669"/>
      <c r="S51" s="790"/>
      <c r="T51" s="669"/>
      <c r="U51" s="790"/>
      <c r="V51" s="669"/>
      <c r="W51" s="790"/>
      <c r="X51" s="669"/>
      <c r="Y51" s="670"/>
      <c r="Z51" s="669"/>
      <c r="AB51"/>
      <c r="AC51"/>
      <c r="AD51"/>
      <c r="AE51"/>
      <c r="AF51"/>
      <c r="AG51"/>
      <c r="AH51"/>
      <c r="AI51"/>
      <c r="AJ51"/>
      <c r="AK51"/>
      <c r="AL51"/>
      <c r="AM51"/>
      <c r="AN51"/>
      <c r="AO51"/>
      <c r="AP51"/>
      <c r="AR51" s="669"/>
      <c r="AS51" s="669"/>
      <c r="AT51" s="669"/>
      <c r="AU51" s="669"/>
      <c r="AV51" s="669"/>
      <c r="AW51" s="669"/>
      <c r="AX51" s="669"/>
      <c r="AY51" s="669"/>
      <c r="AZ51" s="669"/>
      <c r="BA51" s="669"/>
      <c r="BB51" s="669"/>
      <c r="BC51" s="669"/>
      <c r="BE51" s="678"/>
      <c r="BF51" s="678"/>
      <c r="BG51" s="678"/>
      <c r="BH51" s="678"/>
      <c r="BI51" s="678"/>
      <c r="BJ51" s="678"/>
      <c r="BK51" s="678"/>
      <c r="BL51" s="678"/>
      <c r="BM51" s="678"/>
      <c r="BN51" s="678"/>
      <c r="BO51" s="678"/>
      <c r="BP51" s="678"/>
      <c r="BT51" s="672"/>
      <c r="BU51" s="669"/>
      <c r="BV51" s="669"/>
      <c r="BW51" s="669"/>
      <c r="BX51" s="669"/>
      <c r="BY51" s="669"/>
      <c r="BZ51" s="669"/>
      <c r="CA51" s="669"/>
      <c r="CB51" s="669"/>
      <c r="CC51" s="669"/>
      <c r="CD51" s="668"/>
      <c r="CE51" s="669"/>
      <c r="CF51" s="669"/>
      <c r="CG51" s="790"/>
      <c r="CH51" s="669"/>
      <c r="CI51" s="790"/>
      <c r="CJ51" s="669"/>
      <c r="CK51" s="790"/>
      <c r="CL51" s="669"/>
      <c r="CM51" s="670"/>
      <c r="CN51" s="669"/>
      <c r="CP51"/>
      <c r="CQ51"/>
      <c r="CR51"/>
      <c r="CS51"/>
      <c r="CT51"/>
      <c r="CU51"/>
      <c r="CV51"/>
      <c r="CW51"/>
      <c r="CX51"/>
      <c r="CY51"/>
      <c r="CZ51"/>
      <c r="DA51"/>
      <c r="DC51" s="669"/>
      <c r="DD51" s="669"/>
      <c r="DE51" s="669"/>
      <c r="DF51" s="669"/>
      <c r="DG51" s="669"/>
      <c r="DH51" s="669"/>
      <c r="DI51" s="669"/>
      <c r="DJ51" s="669"/>
      <c r="DK51" s="669"/>
      <c r="DL51" s="669"/>
      <c r="DM51" s="669"/>
      <c r="DN51" s="669"/>
      <c r="DO51" s="669"/>
      <c r="DP51" s="669"/>
      <c r="DQ51" s="669"/>
      <c r="DR51" s="669"/>
      <c r="DS51" s="669"/>
      <c r="DT51" s="669"/>
      <c r="DU51" s="669"/>
      <c r="DV51" s="669"/>
      <c r="DW51" s="669"/>
    </row>
    <row r="52" spans="3:127" s="666" customFormat="1">
      <c r="C52" s="155"/>
      <c r="D52" s="669"/>
      <c r="E52" s="669"/>
      <c r="F52" s="669"/>
      <c r="G52" s="669"/>
      <c r="H52" s="669"/>
      <c r="I52" s="669"/>
      <c r="J52" s="669"/>
      <c r="K52" s="669"/>
      <c r="L52" s="669"/>
      <c r="M52" s="669"/>
      <c r="N52" s="669"/>
      <c r="O52" s="669"/>
      <c r="P52" s="668"/>
      <c r="Q52" s="669"/>
      <c r="R52" s="669"/>
      <c r="S52" s="790"/>
      <c r="T52" s="669"/>
      <c r="U52" s="790"/>
      <c r="V52" s="669"/>
      <c r="W52" s="790"/>
      <c r="X52" s="669"/>
      <c r="Y52" s="670"/>
      <c r="Z52" s="669"/>
      <c r="AB52"/>
      <c r="AC52"/>
      <c r="AD52"/>
      <c r="AE52"/>
      <c r="AF52"/>
      <c r="AG52"/>
      <c r="AH52"/>
      <c r="AI52"/>
      <c r="AJ52"/>
      <c r="AK52"/>
      <c r="AL52"/>
      <c r="AM52"/>
      <c r="AN52"/>
      <c r="AO52"/>
      <c r="AP52"/>
      <c r="AR52" s="669"/>
      <c r="AS52" s="669"/>
      <c r="AT52" s="669"/>
      <c r="AU52" s="669"/>
      <c r="AV52" s="669"/>
      <c r="AW52" s="669"/>
      <c r="AX52" s="669"/>
      <c r="AY52" s="669"/>
      <c r="AZ52" s="669"/>
      <c r="BA52" s="669"/>
      <c r="BB52" s="669"/>
      <c r="BC52" s="669"/>
      <c r="BE52" s="678"/>
      <c r="BF52" s="678"/>
      <c r="BG52" s="678"/>
      <c r="BH52" s="678"/>
      <c r="BI52" s="678"/>
      <c r="BJ52" s="678"/>
      <c r="BK52" s="678"/>
      <c r="BL52" s="678"/>
      <c r="BM52" s="678"/>
      <c r="BN52" s="678"/>
      <c r="BO52" s="678"/>
      <c r="BP52" s="678"/>
      <c r="BT52" s="672"/>
      <c r="BU52" s="669"/>
      <c r="BV52" s="669"/>
      <c r="BW52" s="669"/>
      <c r="BX52" s="669"/>
      <c r="BY52" s="669"/>
      <c r="BZ52" s="669"/>
      <c r="CA52" s="669"/>
      <c r="CB52" s="669"/>
      <c r="CC52" s="669"/>
      <c r="CD52" s="668"/>
      <c r="CE52" s="669"/>
      <c r="CF52" s="669"/>
      <c r="CG52" s="790"/>
      <c r="CH52" s="669"/>
      <c r="CI52" s="790"/>
      <c r="CJ52" s="669"/>
      <c r="CK52" s="790"/>
      <c r="CL52" s="669"/>
      <c r="CM52" s="670"/>
      <c r="CN52" s="669"/>
      <c r="CP52"/>
      <c r="CQ52"/>
      <c r="CR52"/>
      <c r="CS52"/>
      <c r="CT52"/>
      <c r="CU52"/>
      <c r="CV52"/>
      <c r="CW52"/>
      <c r="CX52"/>
      <c r="CY52"/>
      <c r="CZ52"/>
      <c r="DA52"/>
      <c r="DC52" s="669"/>
      <c r="DD52" s="669"/>
      <c r="DE52" s="669"/>
      <c r="DF52" s="669"/>
      <c r="DG52" s="669"/>
      <c r="DH52" s="669"/>
      <c r="DI52" s="669"/>
      <c r="DJ52" s="669"/>
      <c r="DK52" s="669"/>
      <c r="DL52" s="669"/>
      <c r="DM52" s="669"/>
      <c r="DN52" s="669"/>
      <c r="DO52" s="669"/>
      <c r="DP52" s="669"/>
      <c r="DQ52" s="669"/>
      <c r="DR52" s="669"/>
      <c r="DS52" s="669"/>
      <c r="DT52" s="669"/>
      <c r="DU52" s="669"/>
      <c r="DV52" s="669"/>
      <c r="DW52" s="669"/>
    </row>
    <row r="53" spans="3:127">
      <c r="D53" s="156"/>
      <c r="E53" s="156"/>
      <c r="F53" s="156"/>
      <c r="G53" s="156"/>
      <c r="H53" s="156"/>
      <c r="I53" s="156"/>
      <c r="J53" s="156"/>
      <c r="K53" s="156"/>
      <c r="L53" s="156"/>
      <c r="M53" s="156"/>
      <c r="N53" s="156"/>
      <c r="O53" s="156"/>
      <c r="P53" s="156"/>
      <c r="Q53" s="156"/>
      <c r="R53" s="156"/>
      <c r="S53" s="157"/>
      <c r="T53" s="156"/>
      <c r="U53" s="157"/>
      <c r="V53" s="156"/>
      <c r="W53" s="157"/>
      <c r="X53" s="157"/>
      <c r="Y53" s="154"/>
      <c r="Z53" s="667"/>
      <c r="AR53" s="667"/>
      <c r="AS53" s="667"/>
      <c r="AT53" s="667"/>
      <c r="AU53" s="667"/>
      <c r="AV53" s="667"/>
      <c r="AW53" s="667"/>
      <c r="AX53" s="667"/>
      <c r="AY53" s="667"/>
      <c r="AZ53" s="667"/>
      <c r="BA53" s="667"/>
      <c r="BB53" s="667"/>
      <c r="BC53" s="667"/>
      <c r="BE53" s="667"/>
      <c r="BF53" s="667"/>
      <c r="BG53" s="667"/>
      <c r="BH53" s="667"/>
      <c r="BI53" s="667"/>
      <c r="BJ53" s="667"/>
      <c r="BK53" s="667"/>
      <c r="BL53" s="667"/>
      <c r="BM53" s="667"/>
      <c r="BN53" s="667"/>
      <c r="BO53" s="667"/>
      <c r="BP53" s="667"/>
      <c r="BU53" s="156"/>
      <c r="BV53" s="156"/>
      <c r="BW53" s="156"/>
      <c r="BX53" s="156"/>
      <c r="BY53" s="156"/>
      <c r="BZ53" s="156"/>
      <c r="CA53" s="156"/>
      <c r="CB53" s="156"/>
      <c r="CC53" s="156"/>
      <c r="CD53" s="156"/>
      <c r="CE53" s="156"/>
      <c r="CF53" s="156"/>
      <c r="CG53" s="157"/>
      <c r="CH53" s="156"/>
      <c r="CI53" s="157"/>
      <c r="CJ53" s="156"/>
      <c r="CK53" s="157"/>
      <c r="CL53" s="157"/>
      <c r="CM53" s="154"/>
      <c r="CN53" s="667"/>
      <c r="DC53" s="667"/>
      <c r="DD53" s="667"/>
      <c r="DE53" s="667"/>
      <c r="DF53" s="667"/>
      <c r="DG53" s="667"/>
      <c r="DH53" s="667"/>
      <c r="DI53" s="667"/>
      <c r="DJ53" s="667"/>
      <c r="DK53" s="667"/>
      <c r="DM53" s="667"/>
      <c r="DN53" s="667"/>
      <c r="DO53" s="667"/>
      <c r="DP53" s="667"/>
      <c r="DQ53" s="667"/>
      <c r="DR53" s="667"/>
      <c r="DS53" s="667"/>
      <c r="DT53" s="667"/>
      <c r="DU53" s="667"/>
    </row>
    <row r="54" spans="3:127" s="665" customFormat="1" ht="20.100000000000001" customHeight="1">
      <c r="C54" s="663" t="s">
        <v>1607</v>
      </c>
      <c r="D54" s="664"/>
      <c r="E54" s="664"/>
      <c r="F54" s="664"/>
      <c r="G54" s="664"/>
      <c r="H54" s="664"/>
      <c r="I54" s="664"/>
      <c r="J54" s="664"/>
      <c r="K54" s="664"/>
      <c r="L54" s="664"/>
      <c r="M54" s="664"/>
      <c r="N54" s="664"/>
      <c r="O54" s="664"/>
      <c r="P54" s="664"/>
      <c r="Q54" s="664"/>
      <c r="R54" s="664"/>
      <c r="S54" s="664"/>
      <c r="T54" s="664"/>
      <c r="U54" s="664"/>
      <c r="V54" s="664"/>
      <c r="W54" s="664"/>
      <c r="X54" s="664"/>
      <c r="Y54" s="664"/>
      <c r="Z54" s="664"/>
      <c r="AR54" s="664"/>
      <c r="AS54" s="664"/>
      <c r="AT54" s="664"/>
      <c r="AU54" s="664"/>
      <c r="AV54" s="664"/>
      <c r="AW54" s="664"/>
      <c r="AX54" s="664"/>
      <c r="AY54" s="664"/>
      <c r="AZ54" s="664"/>
      <c r="BA54" s="664"/>
      <c r="BB54" s="664"/>
      <c r="BC54" s="664"/>
      <c r="BE54" s="664"/>
      <c r="BF54" s="664"/>
      <c r="BG54" s="664"/>
      <c r="BH54" s="664"/>
      <c r="BI54" s="664"/>
      <c r="BJ54" s="664"/>
      <c r="BK54" s="664"/>
      <c r="BL54" s="664"/>
      <c r="BM54" s="664"/>
      <c r="BN54" s="664"/>
      <c r="BO54" s="664"/>
      <c r="BP54" s="664"/>
      <c r="BT54" s="663" t="s">
        <v>1645</v>
      </c>
      <c r="BU54" s="664"/>
      <c r="BV54" s="664"/>
      <c r="BW54" s="664"/>
      <c r="BX54" s="664"/>
      <c r="BY54" s="664"/>
      <c r="BZ54" s="664"/>
      <c r="CA54" s="664"/>
      <c r="CB54" s="664"/>
      <c r="CC54" s="664"/>
      <c r="CD54" s="664"/>
      <c r="CE54" s="664"/>
      <c r="CF54" s="664"/>
      <c r="CG54" s="664"/>
      <c r="CH54" s="664"/>
      <c r="CI54" s="664"/>
      <c r="CJ54" s="664"/>
      <c r="CK54" s="664"/>
      <c r="CL54" s="664"/>
      <c r="CM54" s="664"/>
      <c r="CN54" s="664"/>
      <c r="DC54" s="664"/>
      <c r="DD54" s="664"/>
      <c r="DE54" s="664"/>
      <c r="DF54" s="664"/>
      <c r="DG54" s="664"/>
      <c r="DH54" s="664"/>
      <c r="DI54" s="664"/>
      <c r="DJ54" s="664"/>
      <c r="DK54" s="664"/>
      <c r="DM54" s="664"/>
      <c r="DN54" s="664"/>
      <c r="DO54" s="664"/>
      <c r="DP54" s="664"/>
      <c r="DQ54" s="664"/>
      <c r="DR54" s="664"/>
      <c r="DS54" s="664"/>
      <c r="DT54" s="664"/>
      <c r="DU54" s="664"/>
    </row>
    <row r="55" spans="3:127" ht="30" customHeight="1">
      <c r="C55" s="149"/>
      <c r="D55" s="269" t="str">
        <f>D$3</f>
        <v>1H22A</v>
      </c>
      <c r="E55" s="269" t="str">
        <f>E$3</f>
        <v>2H22A</v>
      </c>
      <c r="F55" s="269" t="str">
        <f>F$3</f>
        <v>1H23A</v>
      </c>
      <c r="G55" s="269" t="str">
        <f t="shared" ref="G55:W55" si="76">G$3</f>
        <v>2H23A</v>
      </c>
      <c r="H55" s="269" t="str">
        <f t="shared" si="76"/>
        <v>1H24A</v>
      </c>
      <c r="I55" s="269" t="str">
        <f t="shared" si="76"/>
        <v>2H24E</v>
      </c>
      <c r="J55" s="269" t="str">
        <f t="shared" si="76"/>
        <v>1H25E</v>
      </c>
      <c r="K55" s="269" t="str">
        <f t="shared" si="76"/>
        <v>2H25E</v>
      </c>
      <c r="L55" s="269" t="str">
        <f t="shared" si="76"/>
        <v>1H26E</v>
      </c>
      <c r="M55" s="269" t="str">
        <f t="shared" si="76"/>
        <v>2H26E</v>
      </c>
      <c r="N55" s="269" t="str">
        <f t="shared" si="76"/>
        <v>1H27E</v>
      </c>
      <c r="O55" s="269" t="str">
        <f t="shared" si="76"/>
        <v>2H27E</v>
      </c>
      <c r="P55" s="674"/>
      <c r="Q55" s="688" t="str">
        <f>Q$3</f>
        <v>1H25A</v>
      </c>
      <c r="R55" s="149" t="str">
        <f t="shared" si="76"/>
        <v>1H26A</v>
      </c>
      <c r="S55" s="689" t="str">
        <f t="shared" si="76"/>
        <v>% change</v>
      </c>
      <c r="T55" s="694" t="str">
        <f t="shared" si="76"/>
        <v>E&amp;Pe 1H26E</v>
      </c>
      <c r="U55" s="689" t="str">
        <f t="shared" si="76"/>
        <v>% diff</v>
      </c>
      <c r="V55" s="694" t="str">
        <f t="shared" si="76"/>
        <v>VA Cons. 1H26E</v>
      </c>
      <c r="W55" s="695" t="str">
        <f t="shared" si="76"/>
        <v>% diff</v>
      </c>
      <c r="X55" s="271"/>
      <c r="Z55" s="270" t="s">
        <v>965</v>
      </c>
      <c r="AB55" s="144"/>
      <c r="AC55" s="144"/>
      <c r="AD55" s="144"/>
      <c r="AE55" s="270" t="s">
        <v>845</v>
      </c>
      <c r="AF55" s="270" t="s">
        <v>962</v>
      </c>
      <c r="AG55" s="270" t="s">
        <v>851</v>
      </c>
      <c r="AH55" s="270" t="s">
        <v>852</v>
      </c>
      <c r="AI55" s="270" t="s">
        <v>963</v>
      </c>
      <c r="AJ55" s="270" t="s">
        <v>964</v>
      </c>
      <c r="AK55" s="270" t="s">
        <v>965</v>
      </c>
      <c r="AL55" s="270" t="s">
        <v>966</v>
      </c>
      <c r="AM55" s="270" t="s">
        <v>1065</v>
      </c>
      <c r="AN55" s="270" t="s">
        <v>1066</v>
      </c>
      <c r="AO55" s="270" t="s">
        <v>1067</v>
      </c>
      <c r="AP55" s="270" t="s">
        <v>1068</v>
      </c>
      <c r="AR55" s="270" t="s">
        <v>845</v>
      </c>
      <c r="AS55" s="270" t="s">
        <v>962</v>
      </c>
      <c r="AT55" s="270" t="s">
        <v>851</v>
      </c>
      <c r="AU55" s="270" t="s">
        <v>852</v>
      </c>
      <c r="AV55" s="270" t="s">
        <v>963</v>
      </c>
      <c r="AW55" s="270" t="s">
        <v>964</v>
      </c>
      <c r="AX55" s="270" t="s">
        <v>965</v>
      </c>
      <c r="AY55" s="270" t="s">
        <v>966</v>
      </c>
      <c r="AZ55" s="270" t="s">
        <v>1065</v>
      </c>
      <c r="BA55" s="270" t="s">
        <v>1066</v>
      </c>
      <c r="BB55" s="270" t="s">
        <v>1067</v>
      </c>
      <c r="BC55" s="270" t="s">
        <v>1068</v>
      </c>
      <c r="BE55" s="270" t="s">
        <v>845</v>
      </c>
      <c r="BF55" s="270" t="s">
        <v>962</v>
      </c>
      <c r="BG55" s="270" t="s">
        <v>851</v>
      </c>
      <c r="BH55" s="270" t="s">
        <v>852</v>
      </c>
      <c r="BI55" s="270" t="s">
        <v>963</v>
      </c>
      <c r="BJ55" s="270" t="s">
        <v>964</v>
      </c>
      <c r="BK55" s="270" t="s">
        <v>965</v>
      </c>
      <c r="BL55" s="270" t="s">
        <v>966</v>
      </c>
      <c r="BM55" s="270" t="s">
        <v>1065</v>
      </c>
      <c r="BN55" s="270" t="s">
        <v>1066</v>
      </c>
      <c r="BO55" s="270" t="s">
        <v>1067</v>
      </c>
      <c r="BP55" s="270" t="s">
        <v>1068</v>
      </c>
      <c r="BT55" s="149"/>
      <c r="BU55" s="269" t="str">
        <f>BU$3</f>
        <v>FY22A</v>
      </c>
      <c r="BV55" s="269" t="str">
        <f>BV$3</f>
        <v>FY23A</v>
      </c>
      <c r="BW55" s="269" t="str">
        <f t="shared" ref="BW55:CK55" si="77">BW$3</f>
        <v>FY24A</v>
      </c>
      <c r="BX55" s="269" t="str">
        <f t="shared" si="77"/>
        <v>FY25E</v>
      </c>
      <c r="BY55" s="269" t="str">
        <f t="shared" si="77"/>
        <v>FY26E</v>
      </c>
      <c r="BZ55" s="269" t="str">
        <f t="shared" si="77"/>
        <v>FY27E</v>
      </c>
      <c r="CA55" s="269" t="str">
        <f t="shared" si="77"/>
        <v>FY28E</v>
      </c>
      <c r="CB55" s="269" t="str">
        <f t="shared" si="77"/>
        <v>FY29E</v>
      </c>
      <c r="CC55" s="269" t="str">
        <f t="shared" si="77"/>
        <v>FY30E</v>
      </c>
      <c r="CD55" s="674"/>
      <c r="CE55" s="688" t="str">
        <f t="shared" si="77"/>
        <v>FY25A</v>
      </c>
      <c r="CF55" s="149" t="str">
        <f t="shared" si="77"/>
        <v>FY26A</v>
      </c>
      <c r="CG55" s="689" t="str">
        <f t="shared" si="77"/>
        <v>% change</v>
      </c>
      <c r="CH55" s="694" t="str">
        <f t="shared" si="77"/>
        <v>E&amp;Pe FY26E</v>
      </c>
      <c r="CI55" s="689" t="str">
        <f t="shared" si="77"/>
        <v>% diff</v>
      </c>
      <c r="CJ55" s="694" t="str">
        <f t="shared" si="77"/>
        <v>VA Cons. FY26E</v>
      </c>
      <c r="CK55" s="695" t="str">
        <f t="shared" si="77"/>
        <v>% diff</v>
      </c>
      <c r="CL55" s="271"/>
      <c r="CN55" s="270" t="str">
        <f>DG55</f>
        <v>FY26</v>
      </c>
      <c r="CP55" s="144"/>
      <c r="CQ55" s="144"/>
      <c r="CR55" s="144"/>
      <c r="CS55" s="270" t="s">
        <v>843</v>
      </c>
      <c r="CT55" s="270" t="s">
        <v>844</v>
      </c>
      <c r="CU55" s="270" t="s">
        <v>1379</v>
      </c>
      <c r="CV55" s="270" t="s">
        <v>1380</v>
      </c>
      <c r="CW55" s="270" t="s">
        <v>1381</v>
      </c>
      <c r="CX55" s="270" t="s">
        <v>1382</v>
      </c>
      <c r="CY55" s="270" t="s">
        <v>1382</v>
      </c>
      <c r="CZ55" s="270" t="s">
        <v>1382</v>
      </c>
      <c r="DA55" s="270" t="s">
        <v>1382</v>
      </c>
      <c r="DC55" s="270" t="s">
        <v>843</v>
      </c>
      <c r="DD55" s="270" t="s">
        <v>844</v>
      </c>
      <c r="DE55" s="270" t="s">
        <v>1379</v>
      </c>
      <c r="DF55" s="270" t="s">
        <v>1380</v>
      </c>
      <c r="DG55" s="270" t="s">
        <v>1381</v>
      </c>
      <c r="DH55" s="270" t="s">
        <v>1382</v>
      </c>
      <c r="DI55" s="270" t="s">
        <v>1382</v>
      </c>
      <c r="DJ55" s="270" t="s">
        <v>1382</v>
      </c>
      <c r="DK55" s="270" t="s">
        <v>1382</v>
      </c>
      <c r="DM55" s="270" t="s">
        <v>843</v>
      </c>
      <c r="DN55" s="270" t="s">
        <v>844</v>
      </c>
      <c r="DO55" s="270" t="s">
        <v>1379</v>
      </c>
      <c r="DP55" s="270" t="s">
        <v>1380</v>
      </c>
      <c r="DQ55" s="270" t="s">
        <v>1381</v>
      </c>
      <c r="DR55" s="270" t="s">
        <v>1382</v>
      </c>
      <c r="DS55" s="270" t="s">
        <v>1480</v>
      </c>
      <c r="DT55" s="270" t="s">
        <v>1481</v>
      </c>
      <c r="DU55" s="270" t="s">
        <v>1482</v>
      </c>
    </row>
    <row r="56" spans="3:127">
      <c r="C56" s="155"/>
      <c r="D56" s="156"/>
      <c r="E56" s="156"/>
      <c r="F56" s="156"/>
      <c r="G56" s="156"/>
      <c r="H56" s="156"/>
      <c r="I56" s="156"/>
      <c r="J56" s="156"/>
      <c r="K56" s="156"/>
      <c r="L56" s="156"/>
      <c r="M56" s="156"/>
      <c r="N56" s="156"/>
      <c r="O56" s="156"/>
      <c r="P56" s="156"/>
      <c r="Q56" s="692"/>
      <c r="R56" s="156"/>
      <c r="S56" s="693"/>
      <c r="T56" s="692"/>
      <c r="U56" s="693"/>
      <c r="V56" s="692"/>
      <c r="W56" s="693"/>
      <c r="X56" s="157"/>
      <c r="Y56" s="154"/>
      <c r="Z56" s="667"/>
      <c r="AR56" s="667"/>
      <c r="AS56" s="667"/>
      <c r="AT56" s="667"/>
      <c r="AU56" s="667"/>
      <c r="AV56" s="667"/>
      <c r="AW56" s="667"/>
      <c r="AX56" s="667"/>
      <c r="AY56" s="667"/>
      <c r="AZ56" s="667"/>
      <c r="BA56" s="667"/>
      <c r="BB56" s="667"/>
      <c r="BC56" s="667"/>
      <c r="BE56" s="667"/>
      <c r="BF56" s="667"/>
      <c r="BG56" s="667"/>
      <c r="BH56" s="667"/>
      <c r="BI56" s="667"/>
      <c r="BJ56" s="667"/>
      <c r="BK56" s="667"/>
      <c r="BL56" s="667"/>
      <c r="BM56" s="667"/>
      <c r="BN56" s="667"/>
      <c r="BO56" s="667"/>
      <c r="BP56" s="667"/>
      <c r="BT56" s="155"/>
      <c r="BU56" s="156"/>
      <c r="BV56" s="156"/>
      <c r="BW56" s="156"/>
      <c r="BX56" s="156"/>
      <c r="BY56" s="156"/>
      <c r="BZ56" s="156"/>
      <c r="CA56" s="156"/>
      <c r="CB56" s="156"/>
      <c r="CC56" s="156"/>
      <c r="CD56" s="156"/>
      <c r="CE56" s="692"/>
      <c r="CF56" s="156"/>
      <c r="CG56" s="693"/>
      <c r="CH56" s="692"/>
      <c r="CI56" s="693"/>
      <c r="CJ56" s="692"/>
      <c r="CK56" s="693"/>
      <c r="CL56" s="157"/>
      <c r="CM56" s="154"/>
      <c r="CN56" s="667"/>
      <c r="DC56" s="667"/>
      <c r="DD56" s="667"/>
      <c r="DE56" s="667"/>
      <c r="DF56" s="667"/>
      <c r="DG56" s="667"/>
      <c r="DH56" s="667"/>
      <c r="DI56" s="667"/>
      <c r="DJ56" s="667"/>
      <c r="DK56" s="667"/>
      <c r="DM56" s="667"/>
      <c r="DN56" s="667"/>
      <c r="DO56" s="667"/>
      <c r="DP56" s="667"/>
      <c r="DQ56" s="667"/>
      <c r="DR56" s="667"/>
      <c r="DS56" s="667"/>
      <c r="DT56" s="667"/>
      <c r="DU56" s="667"/>
    </row>
    <row r="57" spans="3:127">
      <c r="C57" s="152" t="s">
        <v>981</v>
      </c>
      <c r="D57" s="151"/>
      <c r="E57" s="151"/>
      <c r="F57" s="151"/>
      <c r="G57" s="151"/>
      <c r="H57" s="151"/>
      <c r="I57" s="151"/>
      <c r="J57" s="151"/>
      <c r="K57" s="151"/>
      <c r="L57" s="151"/>
      <c r="M57" s="151"/>
      <c r="N57" s="151"/>
      <c r="O57" s="151"/>
      <c r="P57" s="151"/>
      <c r="Q57" s="690"/>
      <c r="R57" s="151"/>
      <c r="S57" s="691"/>
      <c r="T57" s="690"/>
      <c r="U57" s="691"/>
      <c r="V57" s="690"/>
      <c r="W57" s="691"/>
      <c r="X57" s="151"/>
      <c r="AB57" s="144"/>
      <c r="AC57" s="144"/>
      <c r="AD57" s="144"/>
      <c r="BT57" s="152" t="s">
        <v>981</v>
      </c>
      <c r="BU57" s="151"/>
      <c r="BV57" s="151"/>
      <c r="BW57" s="151"/>
      <c r="BX57" s="151"/>
      <c r="BY57" s="151"/>
      <c r="BZ57" s="151"/>
      <c r="CA57" s="151"/>
      <c r="CB57" s="151"/>
      <c r="CC57" s="151"/>
      <c r="CD57" s="151"/>
      <c r="CE57" s="690"/>
      <c r="CF57" s="151"/>
      <c r="CG57" s="691"/>
      <c r="CH57" s="690"/>
      <c r="CI57" s="691"/>
      <c r="CJ57" s="690"/>
      <c r="CK57" s="691"/>
      <c r="CL57" s="151"/>
      <c r="CP57" s="144"/>
      <c r="CQ57" s="144"/>
      <c r="CR57" s="144"/>
    </row>
    <row r="58" spans="3:127">
      <c r="C58" s="155" t="s">
        <v>1369</v>
      </c>
      <c r="D58" s="682">
        <f>HY!M78</f>
        <v>5259</v>
      </c>
      <c r="E58" s="682">
        <f>HY!N78</f>
        <v>4438</v>
      </c>
      <c r="F58" s="682">
        <f>HY!O78</f>
        <v>4920.5</v>
      </c>
      <c r="G58" s="682">
        <f>HY!P78</f>
        <v>4346.2000000000007</v>
      </c>
      <c r="H58" s="682">
        <f>HY!Q78</f>
        <v>4731.2</v>
      </c>
      <c r="I58" s="682">
        <f>HY!R78</f>
        <v>4077.9000000000005</v>
      </c>
      <c r="J58" s="682">
        <f>HY!S78</f>
        <v>4353.8999999999996</v>
      </c>
      <c r="K58" s="682">
        <f>HY!T78</f>
        <v>4028</v>
      </c>
      <c r="L58" s="682">
        <f>HY!U78</f>
        <v>4343.3999999999996</v>
      </c>
      <c r="M58" s="682">
        <f>HY!V78</f>
        <v>4102.8999999999996</v>
      </c>
      <c r="N58" s="682">
        <f>HY!W78</f>
        <v>4421.5811999999996</v>
      </c>
      <c r="O58" s="682">
        <f>HY!X78</f>
        <v>4139.8260999999993</v>
      </c>
      <c r="P58" s="156"/>
      <c r="Q58" s="702">
        <f>J58</f>
        <v>4353.8999999999996</v>
      </c>
      <c r="R58" s="682">
        <v>4343.3999999999996</v>
      </c>
      <c r="S58" s="693">
        <f t="shared" ref="S58:S63" si="78">R58/Q58-1</f>
        <v>-2.4116309515607171E-3</v>
      </c>
      <c r="T58" s="702">
        <f>L58</f>
        <v>4343.3999999999996</v>
      </c>
      <c r="U58" s="693">
        <f>$R58/T58-1</f>
        <v>0</v>
      </c>
      <c r="V58" s="702"/>
      <c r="W58" s="693"/>
      <c r="X58" s="157"/>
      <c r="Y58" s="154"/>
      <c r="AB58" s="145" t="s">
        <v>1352</v>
      </c>
      <c r="AC58" s="145"/>
      <c r="AD58" s="144"/>
      <c r="BT58" s="155" t="s">
        <v>1369</v>
      </c>
      <c r="BU58" s="682">
        <f>FY!C212</f>
        <v>9697</v>
      </c>
      <c r="BV58" s="682">
        <f>FY!D212</f>
        <v>9266.7000000000007</v>
      </c>
      <c r="BW58" s="682">
        <f>FY!E212</f>
        <v>8809.1</v>
      </c>
      <c r="BX58" s="682">
        <f>FY!F212</f>
        <v>8381.9</v>
      </c>
      <c r="BY58" s="682">
        <f>FY!G212</f>
        <v>8446.2999999999993</v>
      </c>
      <c r="BZ58" s="682">
        <f>FY!H212</f>
        <v>8561.4072999999989</v>
      </c>
      <c r="CA58" s="682">
        <f>FY!I212</f>
        <v>8729.8178950000001</v>
      </c>
      <c r="CB58" s="682">
        <f>FY!J212</f>
        <v>8904.4142528999982</v>
      </c>
      <c r="CC58" s="682">
        <f>FY!K212</f>
        <v>9171.5466804869993</v>
      </c>
      <c r="CD58" s="156"/>
      <c r="CE58" s="702">
        <f>BX58</f>
        <v>8381.9</v>
      </c>
      <c r="CF58" s="682">
        <v>8446.2999999999993</v>
      </c>
      <c r="CG58" s="693">
        <f>CF58/CE58-1</f>
        <v>7.6832221811282686E-3</v>
      </c>
      <c r="CH58" s="702">
        <f>BY58</f>
        <v>8446.2999999999993</v>
      </c>
      <c r="CI58" s="693">
        <f>$CF58/CH58-1</f>
        <v>0</v>
      </c>
      <c r="CJ58" s="702"/>
      <c r="CK58" s="693"/>
      <c r="CL58" s="157"/>
      <c r="CM58" s="154"/>
      <c r="CP58" s="145" t="s">
        <v>1352</v>
      </c>
      <c r="CQ58" s="145"/>
      <c r="CR58" s="144"/>
    </row>
    <row r="59" spans="3:127">
      <c r="C59" s="155" t="s">
        <v>1370</v>
      </c>
      <c r="D59" s="682">
        <f>HY!M79</f>
        <v>1720.5</v>
      </c>
      <c r="E59" s="682">
        <f>HY!N79</f>
        <v>2476.1999999999998</v>
      </c>
      <c r="F59" s="682">
        <f>HY!O79</f>
        <v>2839</v>
      </c>
      <c r="G59" s="682">
        <f>HY!P79</f>
        <v>2445.1000000000004</v>
      </c>
      <c r="H59" s="682">
        <f>HY!Q79</f>
        <v>2732.4</v>
      </c>
      <c r="I59" s="682">
        <f>HY!R79</f>
        <v>2516.2000000000003</v>
      </c>
      <c r="J59" s="682">
        <f>HY!S79</f>
        <v>2791.8</v>
      </c>
      <c r="K59" s="682">
        <f>HY!T79</f>
        <v>2569.1999999999998</v>
      </c>
      <c r="L59" s="682">
        <f>HY!U79</f>
        <v>2825.1</v>
      </c>
      <c r="M59" s="682">
        <f>HY!V79</f>
        <v>2590.0000000000005</v>
      </c>
      <c r="N59" s="682">
        <f>HY!W79</f>
        <v>2844.8756999999996</v>
      </c>
      <c r="O59" s="682">
        <f>HY!X79</f>
        <v>2584.8200000000006</v>
      </c>
      <c r="P59" s="156"/>
      <c r="Q59" s="702">
        <f>J59</f>
        <v>2791.8</v>
      </c>
      <c r="R59" s="682">
        <v>2825.1</v>
      </c>
      <c r="S59" s="693">
        <f t="shared" si="78"/>
        <v>1.1927788523533156E-2</v>
      </c>
      <c r="T59" s="702">
        <f>L59</f>
        <v>2825.1</v>
      </c>
      <c r="U59" s="693">
        <f>$R59/T59-1</f>
        <v>0</v>
      </c>
      <c r="V59" s="702"/>
      <c r="W59" s="693"/>
      <c r="X59" s="157"/>
      <c r="Y59" s="154"/>
      <c r="AB59" s="145" t="s">
        <v>1352</v>
      </c>
      <c r="AC59" s="145"/>
      <c r="AD59" s="144"/>
      <c r="BT59" s="155" t="s">
        <v>1370</v>
      </c>
      <c r="BU59" s="682">
        <f>FY!C213</f>
        <v>4196.7</v>
      </c>
      <c r="BV59" s="682">
        <f>FY!D213</f>
        <v>5284.1</v>
      </c>
      <c r="BW59" s="682">
        <f>FY!E213</f>
        <v>5248.6</v>
      </c>
      <c r="BX59" s="682">
        <f>FY!F213</f>
        <v>5361</v>
      </c>
      <c r="BY59" s="682">
        <f>FY!G213</f>
        <v>5415.1</v>
      </c>
      <c r="BZ59" s="682">
        <f>FY!H213</f>
        <v>5429.6957000000002</v>
      </c>
      <c r="CA59" s="682">
        <f>FY!I213</f>
        <v>5348.2502645000004</v>
      </c>
      <c r="CB59" s="682">
        <f>FY!J213</f>
        <v>5268.0265105324997</v>
      </c>
      <c r="CC59" s="682">
        <f>FY!K213</f>
        <v>5320.7067756378256</v>
      </c>
      <c r="CD59" s="156"/>
      <c r="CE59" s="702">
        <f>BX59</f>
        <v>5361</v>
      </c>
      <c r="CF59" s="682">
        <v>5415.1</v>
      </c>
      <c r="CG59" s="693">
        <f>CF59/CE59-1</f>
        <v>1.0091400858049049E-2</v>
      </c>
      <c r="CH59" s="702">
        <f>BY59</f>
        <v>5415.1</v>
      </c>
      <c r="CI59" s="693">
        <f>$CF59/CH59-1</f>
        <v>0</v>
      </c>
      <c r="CJ59" s="702"/>
      <c r="CK59" s="693"/>
      <c r="CL59" s="157"/>
      <c r="CM59" s="154"/>
      <c r="CP59" s="145" t="s">
        <v>1352</v>
      </c>
      <c r="CQ59" s="145"/>
      <c r="CR59" s="144"/>
    </row>
    <row r="60" spans="3:127">
      <c r="C60" s="155"/>
      <c r="D60" s="156"/>
      <c r="E60" s="156"/>
      <c r="F60" s="156"/>
      <c r="G60" s="156"/>
      <c r="H60" s="156"/>
      <c r="I60" s="156"/>
      <c r="J60" s="156"/>
      <c r="K60" s="156"/>
      <c r="L60" s="156"/>
      <c r="M60" s="156"/>
      <c r="N60" s="156"/>
      <c r="O60" s="156"/>
      <c r="P60" s="156"/>
      <c r="Q60" s="702"/>
      <c r="R60" s="682"/>
      <c r="S60" s="693"/>
      <c r="T60" s="702"/>
      <c r="U60" s="693"/>
      <c r="V60" s="702"/>
      <c r="W60" s="693"/>
      <c r="X60" s="157"/>
      <c r="Y60" s="154"/>
      <c r="AD60" s="144"/>
      <c r="BT60" s="155"/>
      <c r="BU60" s="156"/>
      <c r="BV60" s="156"/>
      <c r="BW60" s="156"/>
      <c r="BX60" s="156"/>
      <c r="BY60" s="156"/>
      <c r="BZ60" s="156"/>
      <c r="CA60" s="156"/>
      <c r="CB60" s="156"/>
      <c r="CC60" s="156"/>
      <c r="CD60" s="156"/>
      <c r="CE60" s="702"/>
      <c r="CF60" s="682"/>
      <c r="CG60" s="693"/>
      <c r="CH60" s="702"/>
      <c r="CI60" s="693"/>
      <c r="CJ60" s="702"/>
      <c r="CK60" s="693"/>
      <c r="CL60" s="157"/>
      <c r="CM60" s="154"/>
      <c r="CR60" s="144"/>
    </row>
    <row r="61" spans="3:127">
      <c r="C61" s="155" t="s">
        <v>1199</v>
      </c>
      <c r="D61" s="682">
        <f>HY!M69</f>
        <v>6032.2</v>
      </c>
      <c r="E61" s="682">
        <f>HY!N69</f>
        <v>5737.5000000000009</v>
      </c>
      <c r="F61" s="682">
        <f>HY!O69</f>
        <v>6500.8</v>
      </c>
      <c r="G61" s="682">
        <f>HY!P69</f>
        <v>5445.7</v>
      </c>
      <c r="H61" s="682">
        <f>HY!Q69</f>
        <v>6120.1</v>
      </c>
      <c r="I61" s="682">
        <f>HY!R69</f>
        <v>5241.1000000000004</v>
      </c>
      <c r="J61" s="682">
        <f>HY!S69</f>
        <v>5798.3</v>
      </c>
      <c r="K61" s="682">
        <f>HY!T69</f>
        <v>5104.7</v>
      </c>
      <c r="L61" s="682"/>
      <c r="M61" s="682"/>
      <c r="N61" s="682"/>
      <c r="O61" s="682"/>
      <c r="P61" s="156"/>
      <c r="Q61" s="702">
        <f>J61</f>
        <v>5798.3</v>
      </c>
      <c r="R61" s="682">
        <v>5728.3</v>
      </c>
      <c r="S61" s="693">
        <f>R61/Q61-1</f>
        <v>-1.2072504009795981E-2</v>
      </c>
      <c r="T61" s="702"/>
      <c r="U61" s="693"/>
      <c r="V61" s="702"/>
      <c r="W61" s="693"/>
      <c r="X61" s="157"/>
      <c r="Y61" s="154"/>
      <c r="AB61" s="145" t="s">
        <v>1352</v>
      </c>
      <c r="AC61" s="145"/>
      <c r="AD61" s="144"/>
      <c r="BT61" s="155" t="s">
        <v>1199</v>
      </c>
      <c r="BU61" s="682">
        <f>FY!C215</f>
        <v>11769.7</v>
      </c>
      <c r="BV61" s="682">
        <f>FY!D215</f>
        <v>11946.5</v>
      </c>
      <c r="BW61" s="682">
        <f>FY!E215</f>
        <v>11361.2</v>
      </c>
      <c r="BX61" s="682">
        <f>FY!F215</f>
        <v>10903</v>
      </c>
      <c r="BY61" s="682"/>
      <c r="BZ61" s="682"/>
      <c r="CA61" s="682"/>
      <c r="CB61" s="682"/>
      <c r="CC61" s="682"/>
      <c r="CD61" s="156"/>
      <c r="CE61" s="702">
        <f>BX61</f>
        <v>10903</v>
      </c>
      <c r="CF61" s="682">
        <v>10785</v>
      </c>
      <c r="CG61" s="693">
        <f>CF61/CE61-1</f>
        <v>-1.0822709346051562E-2</v>
      </c>
      <c r="CH61" s="702"/>
      <c r="CI61" s="693"/>
      <c r="CJ61" s="702"/>
      <c r="CK61" s="693"/>
      <c r="CL61" s="157"/>
      <c r="CM61" s="154"/>
      <c r="CP61" s="145" t="s">
        <v>1352</v>
      </c>
      <c r="CQ61" s="145"/>
      <c r="CR61" s="144"/>
    </row>
    <row r="62" spans="3:127">
      <c r="C62" s="155" t="s">
        <v>1205</v>
      </c>
      <c r="D62" s="682">
        <f>HY!M70</f>
        <v>947.3</v>
      </c>
      <c r="E62" s="682">
        <f>HY!N70</f>
        <v>1176.7</v>
      </c>
      <c r="F62" s="682">
        <f>HY!O70</f>
        <v>1258.7</v>
      </c>
      <c r="G62" s="682">
        <f>HY!P70</f>
        <v>1345.6000000000001</v>
      </c>
      <c r="H62" s="682">
        <f>HY!Q70</f>
        <v>1343.5</v>
      </c>
      <c r="I62" s="682">
        <f>HY!R70</f>
        <v>1353</v>
      </c>
      <c r="J62" s="682">
        <f>HY!S70</f>
        <v>1347.4</v>
      </c>
      <c r="K62" s="682">
        <f>HY!T70</f>
        <v>1492.6</v>
      </c>
      <c r="L62" s="682"/>
      <c r="M62" s="682"/>
      <c r="N62" s="682"/>
      <c r="O62" s="682"/>
      <c r="P62" s="156"/>
      <c r="Q62" s="702">
        <f>J62</f>
        <v>1347.4</v>
      </c>
      <c r="R62" s="682">
        <v>1440.2</v>
      </c>
      <c r="S62" s="693">
        <f>R62/Q62-1</f>
        <v>6.8873385780020779E-2</v>
      </c>
      <c r="T62" s="702"/>
      <c r="U62" s="693"/>
      <c r="V62" s="702"/>
      <c r="W62" s="693"/>
      <c r="X62" s="157"/>
      <c r="Y62" s="154"/>
      <c r="AB62" s="145" t="s">
        <v>1352</v>
      </c>
      <c r="AC62" s="145"/>
      <c r="AD62" s="144"/>
      <c r="BT62" s="155" t="s">
        <v>1205</v>
      </c>
      <c r="BU62" s="682">
        <f>FY!C216</f>
        <v>2124</v>
      </c>
      <c r="BV62" s="682">
        <f>FY!D216</f>
        <v>2604.3000000000002</v>
      </c>
      <c r="BW62" s="682">
        <f>FY!E216</f>
        <v>2696.5</v>
      </c>
      <c r="BX62" s="682">
        <f>FY!F216</f>
        <v>2840</v>
      </c>
      <c r="BY62" s="682"/>
      <c r="BZ62" s="682"/>
      <c r="CA62" s="682"/>
      <c r="CB62" s="682"/>
      <c r="CC62" s="682"/>
      <c r="CD62" s="156"/>
      <c r="CE62" s="702">
        <f>BX62</f>
        <v>2840</v>
      </c>
      <c r="CF62" s="682">
        <v>3076</v>
      </c>
      <c r="CG62" s="693">
        <f>CF62/CE62-1</f>
        <v>8.3098591549295664E-2</v>
      </c>
      <c r="CH62" s="702"/>
      <c r="CI62" s="693"/>
      <c r="CJ62" s="702"/>
      <c r="CK62" s="693"/>
      <c r="CL62" s="157"/>
      <c r="CM62" s="154"/>
      <c r="CP62" s="145" t="s">
        <v>1352</v>
      </c>
      <c r="CQ62" s="145"/>
      <c r="CR62" s="144"/>
    </row>
    <row r="63" spans="3:127">
      <c r="C63" s="155" t="s">
        <v>1371</v>
      </c>
      <c r="D63" s="682">
        <f>HY!M62</f>
        <v>780</v>
      </c>
      <c r="E63" s="682">
        <f>HY!N62</f>
        <v>783</v>
      </c>
      <c r="F63" s="682">
        <f>HY!O62</f>
        <v>797</v>
      </c>
      <c r="G63" s="682">
        <f>HY!P62</f>
        <v>805</v>
      </c>
      <c r="H63" s="682">
        <f>HY!Q62</f>
        <v>786</v>
      </c>
      <c r="I63" s="682">
        <f>HY!R62</f>
        <v>798</v>
      </c>
      <c r="J63" s="682">
        <f>HY!S62</f>
        <v>801</v>
      </c>
      <c r="K63" s="682">
        <f>HY!T62</f>
        <v>792</v>
      </c>
      <c r="L63" s="156"/>
      <c r="M63" s="156"/>
      <c r="N63" s="156"/>
      <c r="O63" s="156"/>
      <c r="P63" s="156"/>
      <c r="Q63" s="702">
        <f>J63</f>
        <v>801</v>
      </c>
      <c r="R63" s="682">
        <v>766</v>
      </c>
      <c r="S63" s="693">
        <f t="shared" si="78"/>
        <v>-4.3695380774032455E-2</v>
      </c>
      <c r="T63" s="702"/>
      <c r="U63" s="693"/>
      <c r="V63" s="702"/>
      <c r="W63" s="693"/>
      <c r="X63" s="157"/>
      <c r="Y63" s="154"/>
      <c r="AB63" s="145" t="s">
        <v>1352</v>
      </c>
      <c r="AC63" s="145"/>
      <c r="AD63" s="144"/>
      <c r="BT63" s="155" t="s">
        <v>1371</v>
      </c>
      <c r="BU63" s="682">
        <f>FY!C217</f>
        <v>783</v>
      </c>
      <c r="BV63" s="682">
        <f>FY!D217</f>
        <v>805</v>
      </c>
      <c r="BW63" s="682">
        <f>FY!E217</f>
        <v>798</v>
      </c>
      <c r="BX63" s="682">
        <f>FY!F217</f>
        <v>792</v>
      </c>
      <c r="BY63" s="682"/>
      <c r="BZ63" s="682"/>
      <c r="CA63" s="682"/>
      <c r="CB63" s="682"/>
      <c r="CC63" s="682"/>
      <c r="CD63" s="156"/>
      <c r="CE63" s="702">
        <f>BX63</f>
        <v>792</v>
      </c>
      <c r="CF63" s="682">
        <v>786</v>
      </c>
      <c r="CG63" s="693">
        <f>CF63/CE63-1</f>
        <v>-7.575757575757569E-3</v>
      </c>
      <c r="CH63" s="702"/>
      <c r="CI63" s="693"/>
      <c r="CJ63" s="702"/>
      <c r="CK63" s="693"/>
      <c r="CL63" s="157"/>
      <c r="CM63" s="154"/>
      <c r="CP63" s="145" t="s">
        <v>1352</v>
      </c>
      <c r="CQ63" s="145"/>
      <c r="CR63" s="144"/>
    </row>
    <row r="64" spans="3:127">
      <c r="C64" s="155"/>
      <c r="D64" s="156"/>
      <c r="E64" s="156"/>
      <c r="F64" s="156"/>
      <c r="G64" s="156"/>
      <c r="H64" s="156"/>
      <c r="I64" s="156"/>
      <c r="J64" s="156"/>
      <c r="K64" s="156"/>
      <c r="L64" s="156"/>
      <c r="M64" s="156"/>
      <c r="N64" s="156"/>
      <c r="O64" s="156"/>
      <c r="P64" s="156"/>
      <c r="Q64" s="692"/>
      <c r="R64" s="156"/>
      <c r="S64" s="693"/>
      <c r="T64" s="692"/>
      <c r="U64" s="693"/>
      <c r="V64" s="692"/>
      <c r="W64" s="693"/>
      <c r="X64" s="157"/>
      <c r="Y64" s="154"/>
      <c r="AD64" s="144"/>
      <c r="BT64" s="155"/>
      <c r="BU64" s="156"/>
      <c r="BV64" s="156"/>
      <c r="BW64" s="156"/>
      <c r="BX64" s="156"/>
      <c r="BY64" s="156"/>
      <c r="BZ64" s="156"/>
      <c r="CA64" s="156"/>
      <c r="CB64" s="156"/>
      <c r="CC64" s="156"/>
      <c r="CD64" s="156"/>
      <c r="CE64" s="692"/>
      <c r="CF64" s="156"/>
      <c r="CG64" s="693"/>
      <c r="CH64" s="692"/>
      <c r="CI64" s="693"/>
      <c r="CJ64" s="692"/>
      <c r="CK64" s="693"/>
      <c r="CL64" s="157"/>
      <c r="CM64" s="154"/>
      <c r="CR64" s="144"/>
    </row>
    <row r="65" spans="3:125">
      <c r="C65" s="152" t="s">
        <v>1</v>
      </c>
      <c r="D65" s="151"/>
      <c r="E65" s="151"/>
      <c r="F65" s="151"/>
      <c r="G65" s="151"/>
      <c r="H65" s="151"/>
      <c r="I65" s="151"/>
      <c r="J65" s="151"/>
      <c r="K65" s="151"/>
      <c r="L65" s="151"/>
      <c r="M65" s="151"/>
      <c r="N65" s="151"/>
      <c r="O65" s="151"/>
      <c r="P65" s="151"/>
      <c r="Q65" s="690"/>
      <c r="R65" s="151"/>
      <c r="S65" s="691"/>
      <c r="T65" s="690"/>
      <c r="U65" s="691"/>
      <c r="V65" s="690"/>
      <c r="W65" s="691"/>
      <c r="X65" s="151"/>
      <c r="AB65" s="144"/>
      <c r="AC65" s="144"/>
      <c r="AD65" s="144"/>
      <c r="BT65" s="152" t="s">
        <v>1</v>
      </c>
      <c r="BU65" s="151"/>
      <c r="BV65" s="151"/>
      <c r="BW65" s="151"/>
      <c r="BX65" s="151"/>
      <c r="BY65" s="151"/>
      <c r="BZ65" s="151"/>
      <c r="CA65" s="151"/>
      <c r="CB65" s="151"/>
      <c r="CC65" s="151"/>
      <c r="CD65" s="151"/>
      <c r="CE65" s="690"/>
      <c r="CF65" s="151"/>
      <c r="CG65" s="691"/>
      <c r="CH65" s="690"/>
      <c r="CI65" s="691"/>
      <c r="CJ65" s="690"/>
      <c r="CK65" s="691"/>
      <c r="CL65" s="151"/>
      <c r="CP65" s="144"/>
      <c r="CQ65" s="144"/>
      <c r="CR65" s="144"/>
    </row>
    <row r="66" spans="3:125">
      <c r="C66" s="811" t="s">
        <v>1377</v>
      </c>
      <c r="D66" s="156"/>
      <c r="E66" s="156"/>
      <c r="F66" s="156">
        <f>HY!O175</f>
        <v>493</v>
      </c>
      <c r="G66" s="156">
        <f>HY!P175</f>
        <v>449.70000000000005</v>
      </c>
      <c r="H66" s="156">
        <f>HY!Q175</f>
        <v>473.4</v>
      </c>
      <c r="I66" s="156">
        <f>HY!R175</f>
        <v>448.6</v>
      </c>
      <c r="J66" s="156">
        <f>HY!S175</f>
        <v>539.6</v>
      </c>
      <c r="K66" s="156">
        <f>HY!T175</f>
        <v>530.1</v>
      </c>
      <c r="L66" s="156">
        <f>HY!U175</f>
        <v>536.9</v>
      </c>
      <c r="M66" s="156">
        <f>HY!V175</f>
        <v>535.9</v>
      </c>
      <c r="N66" s="156">
        <f>HY!W175</f>
        <v>571.16239360000009</v>
      </c>
      <c r="O66" s="156">
        <f>HY!X175</f>
        <v>537.16765384999997</v>
      </c>
      <c r="P66" s="156"/>
      <c r="Q66" s="692">
        <f t="shared" ref="Q66:Q72" si="79">J66</f>
        <v>539.6</v>
      </c>
      <c r="R66">
        <v>536.9</v>
      </c>
      <c r="S66" s="693">
        <f t="shared" ref="S66:S72" si="80">R66/Q66-1</f>
        <v>-5.0037064492217675E-3</v>
      </c>
      <c r="T66" s="692">
        <f t="shared" ref="T66:T72" si="81">L66</f>
        <v>536.9</v>
      </c>
      <c r="U66" s="693">
        <f t="shared" ref="U66:U72" si="82">$R66/T66-1</f>
        <v>0</v>
      </c>
      <c r="V66" s="692">
        <f t="shared" ref="V66:V72" si="83">Z66</f>
        <v>530.11766868308132</v>
      </c>
      <c r="W66" s="693">
        <f t="shared" ref="W66:W72" si="84">$R66/V66-1</f>
        <v>1.2794011061293853E-2</v>
      </c>
      <c r="X66" s="157"/>
      <c r="Y66" s="154"/>
      <c r="Z66" s="788">
        <f t="shared" ref="Z66:Z72" si="85">AZ66</f>
        <v>530.11766868308132</v>
      </c>
      <c r="AB66" s="145" t="s">
        <v>1352</v>
      </c>
      <c r="AC66" s="145" t="s">
        <v>1538</v>
      </c>
      <c r="AD66" s="146" t="s">
        <v>961</v>
      </c>
      <c r="AE66" s="675">
        <f>_xll.VAData($AB66,AE$3,$AC66,$AD66)</f>
        <v>579.9</v>
      </c>
      <c r="AF66" s="675">
        <f>_xll.VAData($AB66,AF$3,$AC66,$AD66)</f>
        <v>493.6</v>
      </c>
      <c r="AG66" s="675">
        <f>_xll.VAData($AB66,AG$3,$AC66,$AD66)</f>
        <v>493</v>
      </c>
      <c r="AH66" s="675">
        <f>_xll.VAData($AB66,AH$3,$AC66,$AD66)</f>
        <v>449.7</v>
      </c>
      <c r="AI66" s="675">
        <f>_xll.VAData($AB66,AI$3,$AC66,$AD66)</f>
        <v>473.4</v>
      </c>
      <c r="AJ66" s="675">
        <f>_xll.VAData($AB66,AJ$3,$AC66,$AD66)</f>
        <v>448.6</v>
      </c>
      <c r="AK66" s="675">
        <f>_xll.VAData($AB66,AK$3,$AC66,$AD66)</f>
        <v>539.6</v>
      </c>
      <c r="AL66" s="675">
        <f>_xll.VAData($AB66,AL$3,$AC66,$AD66)</f>
        <v>530.1</v>
      </c>
      <c r="AM66" s="675">
        <f>_xll.VAData($AB66,AM$3,$AC66,$AD66)</f>
        <v>536.9</v>
      </c>
      <c r="AN66" s="675">
        <f>_xll.VAData($AB66,AN$3,$AC66,$AD66)</f>
        <v>535.9</v>
      </c>
      <c r="AO66" s="675">
        <f>_xll.VAData($AB66,AO$3,$AC66,$AD66)</f>
        <v>563.43819598996981</v>
      </c>
      <c r="AP66" s="675">
        <f>_xll.VAData($AB66,AP$3,$AC66,$AD66)</f>
        <v>534.23182454172672</v>
      </c>
      <c r="AR66" s="677">
        <v>579.9</v>
      </c>
      <c r="AS66" s="677">
        <v>493.6</v>
      </c>
      <c r="AT66" s="677">
        <v>493</v>
      </c>
      <c r="AU66" s="677">
        <v>449.7</v>
      </c>
      <c r="AV66" s="677">
        <v>473.4</v>
      </c>
      <c r="AW66" s="677">
        <v>448.6</v>
      </c>
      <c r="AX66" s="677">
        <v>539.6</v>
      </c>
      <c r="AY66" s="677">
        <v>530.1</v>
      </c>
      <c r="AZ66" s="677">
        <v>530.11766868308132</v>
      </c>
      <c r="BA66" s="677">
        <v>533.51528471030224</v>
      </c>
      <c r="BB66" s="677">
        <v>582.65665905290655</v>
      </c>
      <c r="BC66" s="677">
        <v>549.39258232246357</v>
      </c>
      <c r="BE66" s="678">
        <f t="shared" ref="BE66:BP68" si="86">D66-AR66</f>
        <v>-579.9</v>
      </c>
      <c r="BF66" s="678">
        <f t="shared" si="86"/>
        <v>-493.6</v>
      </c>
      <c r="BG66" s="678">
        <f t="shared" si="86"/>
        <v>0</v>
      </c>
      <c r="BH66" s="678">
        <f t="shared" si="86"/>
        <v>0</v>
      </c>
      <c r="BI66" s="678">
        <f t="shared" si="86"/>
        <v>0</v>
      </c>
      <c r="BJ66" s="678">
        <f t="shared" si="86"/>
        <v>0</v>
      </c>
      <c r="BK66" s="678">
        <f t="shared" si="86"/>
        <v>0</v>
      </c>
      <c r="BL66" s="678">
        <f t="shared" si="86"/>
        <v>0</v>
      </c>
      <c r="BM66" s="678">
        <f t="shared" si="86"/>
        <v>6.7823313169186576</v>
      </c>
      <c r="BN66" s="678">
        <f t="shared" si="86"/>
        <v>2.3847152896977377</v>
      </c>
      <c r="BO66" s="678">
        <f t="shared" si="86"/>
        <v>-11.494265452906461</v>
      </c>
      <c r="BP66" s="678">
        <f t="shared" si="86"/>
        <v>-12.224928472463603</v>
      </c>
      <c r="BT66" s="673" t="s">
        <v>1377</v>
      </c>
      <c r="BU66" s="156"/>
      <c r="BV66" s="156">
        <f>FY!D220</f>
        <v>942.7</v>
      </c>
      <c r="BW66" s="156">
        <f>FY!E220</f>
        <v>922</v>
      </c>
      <c r="BX66" s="156">
        <f>FY!F220</f>
        <v>1069.7</v>
      </c>
      <c r="BY66" s="156">
        <f>FY!G220</f>
        <v>1072.8</v>
      </c>
      <c r="BZ66" s="156">
        <f>FY!H220</f>
        <v>1108.3300474500002</v>
      </c>
      <c r="CA66" s="156">
        <f>FY!I220</f>
        <v>1127.8166905599999</v>
      </c>
      <c r="CB66" s="156">
        <f>FY!J220</f>
        <v>1150.1650243712002</v>
      </c>
      <c r="CC66" s="156">
        <f>FY!K220</f>
        <v>1184.3579751023362</v>
      </c>
      <c r="CD66" s="156"/>
      <c r="CE66" s="692">
        <f t="shared" ref="CE66:CE72" si="87">BX66</f>
        <v>1069.7</v>
      </c>
      <c r="CF66" s="156">
        <v>1072.8</v>
      </c>
      <c r="CG66" s="693">
        <f t="shared" ref="CG66:CG72" si="88">CF66/CE66-1</f>
        <v>2.8980087875103422E-3</v>
      </c>
      <c r="CH66" s="692">
        <f t="shared" ref="CH66:CH72" si="89">BY66</f>
        <v>1072.8</v>
      </c>
      <c r="CI66" s="693">
        <f t="shared" ref="CI66:CI72" si="90">$CF66/CH66-1</f>
        <v>0</v>
      </c>
      <c r="CJ66" s="692">
        <f t="shared" ref="CJ66:CJ72" si="91">CN66</f>
        <v>1067.208465239815</v>
      </c>
      <c r="CK66" s="693">
        <f t="shared" ref="CK66:CK72" si="92">$CF66/CJ66-1</f>
        <v>5.2394025556463664E-3</v>
      </c>
      <c r="CL66" s="157"/>
      <c r="CM66" s="154"/>
      <c r="CN66" s="764">
        <f t="shared" ref="CN66:CN72" si="93">DG66</f>
        <v>1067.208465239815</v>
      </c>
      <c r="CP66" s="145" t="s">
        <v>1352</v>
      </c>
      <c r="CQ66" s="145" t="s">
        <v>1538</v>
      </c>
      <c r="CR66" s="146" t="s">
        <v>961</v>
      </c>
      <c r="CS66" s="675">
        <f>_xll.VAData($AB66,CS$3,$AC66,$AD66)</f>
        <v>1073.5</v>
      </c>
      <c r="CT66" s="675">
        <f>_xll.VAData($AB66,CT$3,$AC66,$AD66)</f>
        <v>942.7</v>
      </c>
      <c r="CU66" s="675">
        <f>_xll.VAData($AB66,CU$3,$AC66,$AD66)</f>
        <v>922</v>
      </c>
      <c r="CV66" s="675">
        <f>_xll.VAData($AB66,CV$3,$AC66,$AD66)</f>
        <v>1069.7</v>
      </c>
      <c r="CW66" s="675">
        <f>_xll.VAData($AB66,CW$3,$AC66,$AD66)</f>
        <v>1072.8</v>
      </c>
      <c r="CX66" s="675">
        <f>_xll.VAData($AB66,CX$3,$AC66,$AD66)</f>
        <v>1097.6700205316972</v>
      </c>
      <c r="CY66" s="675">
        <f>_xll.VAData($AB66,CY$3,$AC66,$AD66)</f>
        <v>1126.5639659663329</v>
      </c>
      <c r="CZ66" s="675">
        <f>_xll.VAData($AB66,CZ$3,$AC66,$AD66)</f>
        <v>1156.5075475497642</v>
      </c>
      <c r="DA66" s="675">
        <f>_xll.VAData($AB66,DA$3,$AC66,$AD66)</f>
        <v>1187.48388076744</v>
      </c>
      <c r="DB66" s="676"/>
      <c r="DC66" s="677">
        <v>1073.5</v>
      </c>
      <c r="DD66" s="677">
        <v>942.7</v>
      </c>
      <c r="DE66" s="677">
        <v>922</v>
      </c>
      <c r="DF66" s="677">
        <v>1069.7</v>
      </c>
      <c r="DG66" s="677">
        <v>1067.208465239815</v>
      </c>
      <c r="DH66" s="677">
        <v>1114.7953355722875</v>
      </c>
      <c r="DI66" s="677">
        <v>1153.52070514771</v>
      </c>
      <c r="DJ66" s="677">
        <v>1193.2855230599737</v>
      </c>
      <c r="DK66" s="677">
        <v>1233.1468362195187</v>
      </c>
      <c r="DL66" s="676"/>
      <c r="DM66" s="678">
        <f t="shared" ref="DM66:DR68" si="94">BU66-DC66</f>
        <v>-1073.5</v>
      </c>
      <c r="DN66" s="678">
        <f t="shared" si="94"/>
        <v>0</v>
      </c>
      <c r="DO66" s="678">
        <f t="shared" si="94"/>
        <v>0</v>
      </c>
      <c r="DP66" s="678">
        <f t="shared" si="94"/>
        <v>0</v>
      </c>
      <c r="DQ66" s="678">
        <f t="shared" si="94"/>
        <v>5.5915347601849135</v>
      </c>
      <c r="DR66" s="678">
        <f t="shared" si="94"/>
        <v>-6.4652881222873475</v>
      </c>
      <c r="DS66" s="678">
        <f t="shared" ref="DS66:DU68" si="95">CD66-DI66</f>
        <v>-1153.52070514771</v>
      </c>
      <c r="DT66" s="678">
        <f t="shared" si="95"/>
        <v>-123.58552305997364</v>
      </c>
      <c r="DU66" s="678">
        <f t="shared" si="95"/>
        <v>-160.34683621951876</v>
      </c>
    </row>
    <row r="67" spans="3:125">
      <c r="C67" s="811" t="s">
        <v>1612</v>
      </c>
      <c r="D67" s="156"/>
      <c r="E67" s="156"/>
      <c r="F67" s="156">
        <f>HY!O176</f>
        <v>437.4</v>
      </c>
      <c r="G67" s="156">
        <f>HY!P176</f>
        <v>381</v>
      </c>
      <c r="H67" s="156">
        <f>HY!Q176</f>
        <v>420.6</v>
      </c>
      <c r="I67" s="156">
        <f>HY!R176</f>
        <v>401.19999999999993</v>
      </c>
      <c r="J67" s="156">
        <f>HY!S176</f>
        <v>497.1</v>
      </c>
      <c r="K67" s="156">
        <f>HY!T176</f>
        <v>468.6</v>
      </c>
      <c r="L67" s="156">
        <f>HY!U176</f>
        <v>511.1</v>
      </c>
      <c r="M67" s="156">
        <f>HY!V176</f>
        <v>470.1</v>
      </c>
      <c r="N67" s="156">
        <f>HY!W176</f>
        <v>530.82886899999994</v>
      </c>
      <c r="O67" s="156">
        <f>HY!X176</f>
        <v>484.41940000000011</v>
      </c>
      <c r="P67" s="156"/>
      <c r="Q67" s="692">
        <f t="shared" si="79"/>
        <v>497.1</v>
      </c>
      <c r="R67" s="156">
        <v>511.1</v>
      </c>
      <c r="S67" s="693">
        <f t="shared" si="80"/>
        <v>2.8163347415007145E-2</v>
      </c>
      <c r="T67" s="692">
        <f t="shared" si="81"/>
        <v>511.1</v>
      </c>
      <c r="U67" s="693">
        <f t="shared" si="82"/>
        <v>0</v>
      </c>
      <c r="V67" s="692">
        <f t="shared" si="83"/>
        <v>488.26483499936501</v>
      </c>
      <c r="W67" s="693">
        <f t="shared" si="84"/>
        <v>4.6767990163913309E-2</v>
      </c>
      <c r="X67" s="157"/>
      <c r="Y67" s="154"/>
      <c r="Z67" s="788">
        <f t="shared" si="85"/>
        <v>488.26483499936501</v>
      </c>
      <c r="AB67" s="145" t="s">
        <v>1352</v>
      </c>
      <c r="AC67" s="145" t="s">
        <v>1539</v>
      </c>
      <c r="AD67" s="146" t="s">
        <v>961</v>
      </c>
      <c r="AE67" s="675">
        <f>_xll.VAData($AB67,AE$3,$AC67,$AD67)</f>
        <v>276.60000000000002</v>
      </c>
      <c r="AF67" s="675">
        <f>_xll.VAData($AB67,AF$3,$AC67,$AD67)</f>
        <v>377.4</v>
      </c>
      <c r="AG67" s="675">
        <f>_xll.VAData($AB67,AG$3,$AC67,$AD67)</f>
        <v>437.4</v>
      </c>
      <c r="AH67" s="675">
        <f>_xll.VAData($AB67,AH$3,$AC67,$AD67)</f>
        <v>381</v>
      </c>
      <c r="AI67" s="675">
        <f>_xll.VAData($AB67,AI$3,$AC67,$AD67)</f>
        <v>420.6</v>
      </c>
      <c r="AJ67" s="675">
        <f>_xll.VAData($AB67,AJ$3,$AC67,$AD67)</f>
        <v>401.2</v>
      </c>
      <c r="AK67" s="675">
        <f>_xll.VAData($AB67,AK$3,$AC67,$AD67)</f>
        <v>497.1</v>
      </c>
      <c r="AL67" s="675">
        <f>_xll.VAData($AB67,AL$3,$AC67,$AD67)</f>
        <v>468.6</v>
      </c>
      <c r="AM67" s="675">
        <f>_xll.VAData($AB67,AM$3,$AC67,$AD67)</f>
        <v>511.1</v>
      </c>
      <c r="AN67" s="675">
        <f>_xll.VAData($AB67,AN$3,$AC67,$AD67)</f>
        <v>470.1</v>
      </c>
      <c r="AO67" s="675">
        <f>_xll.VAData($AB67,AO$3,$AC67,$AD67)</f>
        <v>526.11841204103871</v>
      </c>
      <c r="AP67" s="675">
        <f>_xll.VAData($AB67,AP$3,$AC67,$AD67)</f>
        <v>479.17947454923774</v>
      </c>
      <c r="AR67" s="677">
        <v>276.60000000000002</v>
      </c>
      <c r="AS67" s="677">
        <v>377.4</v>
      </c>
      <c r="AT67" s="677">
        <v>437.4</v>
      </c>
      <c r="AU67" s="677">
        <v>381</v>
      </c>
      <c r="AV67" s="677">
        <v>420.6</v>
      </c>
      <c r="AW67" s="677">
        <v>401.2</v>
      </c>
      <c r="AX67" s="677">
        <v>497.1</v>
      </c>
      <c r="AY67" s="677">
        <v>468.6</v>
      </c>
      <c r="AZ67" s="677">
        <v>488.26483499936501</v>
      </c>
      <c r="BA67" s="677">
        <v>470.76149405549256</v>
      </c>
      <c r="BB67" s="677">
        <v>515.97406884739644</v>
      </c>
      <c r="BC67" s="677">
        <v>479.63889451153341</v>
      </c>
      <c r="BE67" s="678">
        <f t="shared" si="86"/>
        <v>-276.60000000000002</v>
      </c>
      <c r="BF67" s="678">
        <f t="shared" si="86"/>
        <v>-377.4</v>
      </c>
      <c r="BG67" s="678">
        <f t="shared" si="86"/>
        <v>0</v>
      </c>
      <c r="BH67" s="678">
        <f t="shared" si="86"/>
        <v>0</v>
      </c>
      <c r="BI67" s="678">
        <f t="shared" si="86"/>
        <v>0</v>
      </c>
      <c r="BJ67" s="678">
        <f t="shared" si="86"/>
        <v>0</v>
      </c>
      <c r="BK67" s="678">
        <f t="shared" si="86"/>
        <v>0</v>
      </c>
      <c r="BL67" s="678">
        <f t="shared" si="86"/>
        <v>0</v>
      </c>
      <c r="BM67" s="678">
        <f t="shared" si="86"/>
        <v>22.835165000635016</v>
      </c>
      <c r="BN67" s="678">
        <f t="shared" si="86"/>
        <v>-0.6614940554925397</v>
      </c>
      <c r="BO67" s="678">
        <f t="shared" si="86"/>
        <v>14.854800152603502</v>
      </c>
      <c r="BP67" s="678">
        <f t="shared" si="86"/>
        <v>4.7805054884667015</v>
      </c>
      <c r="BT67" s="797" t="s">
        <v>1612</v>
      </c>
      <c r="BU67" s="156"/>
      <c r="BV67" s="156">
        <f>FY!D221</f>
        <v>818.4</v>
      </c>
      <c r="BW67" s="156">
        <f>FY!E221</f>
        <v>821.8</v>
      </c>
      <c r="BX67" s="156">
        <f>FY!F221</f>
        <v>965.7</v>
      </c>
      <c r="BY67" s="156">
        <f>FY!G221</f>
        <v>981.2</v>
      </c>
      <c r="BZ67" s="156">
        <f>FY!H221</f>
        <v>1015.2482690000001</v>
      </c>
      <c r="CA67" s="156">
        <f>FY!I221</f>
        <v>1001.4025449650001</v>
      </c>
      <c r="CB67" s="156">
        <f>FY!J221</f>
        <v>988.67399290657954</v>
      </c>
      <c r="CC67" s="156">
        <f>FY!K221</f>
        <v>998.56073283564547</v>
      </c>
      <c r="CD67" s="156"/>
      <c r="CE67" s="692">
        <f t="shared" si="87"/>
        <v>965.7</v>
      </c>
      <c r="CF67" s="156">
        <v>981.2</v>
      </c>
      <c r="CG67" s="693">
        <f t="shared" si="88"/>
        <v>1.6050533291912528E-2</v>
      </c>
      <c r="CH67" s="692">
        <f t="shared" si="89"/>
        <v>981.2</v>
      </c>
      <c r="CI67" s="693">
        <f t="shared" si="90"/>
        <v>0</v>
      </c>
      <c r="CJ67" s="692">
        <f t="shared" si="91"/>
        <v>983.17555059506913</v>
      </c>
      <c r="CK67" s="693">
        <f t="shared" si="92"/>
        <v>-2.0093569188873728E-3</v>
      </c>
      <c r="CL67" s="157"/>
      <c r="CM67" s="154"/>
      <c r="CN67" s="764">
        <f t="shared" si="93"/>
        <v>983.17555059506913</v>
      </c>
      <c r="CP67" s="145" t="s">
        <v>1352</v>
      </c>
      <c r="CQ67" s="145" t="s">
        <v>1539</v>
      </c>
      <c r="CR67" s="146" t="s">
        <v>961</v>
      </c>
      <c r="CS67" s="675">
        <f>_xll.VAData($AB67,CS$3,$AC67,$AD67)</f>
        <v>654</v>
      </c>
      <c r="CT67" s="675">
        <f>_xll.VAData($AB67,CT$3,$AC67,$AD67)</f>
        <v>818.4</v>
      </c>
      <c r="CU67" s="675">
        <f>_xll.VAData($AB67,CU$3,$AC67,$AD67)</f>
        <v>821.8</v>
      </c>
      <c r="CV67" s="675">
        <f>_xll.VAData($AB67,CV$3,$AC67,$AD67)</f>
        <v>965.7</v>
      </c>
      <c r="CW67" s="675">
        <f>_xll.VAData($AB67,CW$3,$AC67,$AD67)</f>
        <v>981.2</v>
      </c>
      <c r="CX67" s="675">
        <f>_xll.VAData($AB67,CX$3,$AC67,$AD67)</f>
        <v>1005.2978865902769</v>
      </c>
      <c r="CY67" s="675">
        <f>_xll.VAData($AB67,CY$3,$AC67,$AD67)</f>
        <v>1015.4807216154628</v>
      </c>
      <c r="CZ67" s="675">
        <f>_xll.VAData($AB67,CZ$3,$AC67,$AD67)</f>
        <v>1026.3612845467458</v>
      </c>
      <c r="DA67" s="675">
        <f>_xll.VAData($AB67,DA$3,$AC67,$AD67)</f>
        <v>1035.4701464013151</v>
      </c>
      <c r="DB67" s="676"/>
      <c r="DC67" s="677">
        <v>654</v>
      </c>
      <c r="DD67" s="677">
        <v>818.4</v>
      </c>
      <c r="DE67" s="677">
        <v>821.8</v>
      </c>
      <c r="DF67" s="677">
        <v>965.7</v>
      </c>
      <c r="DG67" s="677">
        <v>983.17555059506913</v>
      </c>
      <c r="DH67" s="677">
        <v>999.80239200090784</v>
      </c>
      <c r="DI67" s="677">
        <v>1008.9927281168875</v>
      </c>
      <c r="DJ67" s="677">
        <v>1020.6121066818559</v>
      </c>
      <c r="DK67" s="677">
        <v>1029.9532471126906</v>
      </c>
      <c r="DL67" s="676"/>
      <c r="DM67" s="678">
        <f t="shared" si="94"/>
        <v>-654</v>
      </c>
      <c r="DN67" s="678">
        <f t="shared" si="94"/>
        <v>0</v>
      </c>
      <c r="DO67" s="678">
        <f t="shared" si="94"/>
        <v>0</v>
      </c>
      <c r="DP67" s="678">
        <f t="shared" si="94"/>
        <v>0</v>
      </c>
      <c r="DQ67" s="678">
        <f t="shared" si="94"/>
        <v>-1.9755505950690804</v>
      </c>
      <c r="DR67" s="678">
        <f t="shared" si="94"/>
        <v>15.445876999092206</v>
      </c>
      <c r="DS67" s="678">
        <f t="shared" si="95"/>
        <v>-1008.9927281168875</v>
      </c>
      <c r="DT67" s="678">
        <f t="shared" si="95"/>
        <v>-54.912106681855903</v>
      </c>
      <c r="DU67" s="678">
        <f t="shared" si="95"/>
        <v>-48.753247112690588</v>
      </c>
    </row>
    <row r="68" spans="3:125">
      <c r="C68" s="811" t="s">
        <v>1536</v>
      </c>
      <c r="D68" s="156"/>
      <c r="E68" s="156"/>
      <c r="F68" s="156">
        <f>HY!O177</f>
        <v>120.9</v>
      </c>
      <c r="G68" s="156">
        <f>HY!P177</f>
        <v>128.4</v>
      </c>
      <c r="H68" s="156">
        <f>HY!Q177</f>
        <v>109.3</v>
      </c>
      <c r="I68" s="156">
        <f>HY!R177</f>
        <v>103.00000000000001</v>
      </c>
      <c r="J68" s="156">
        <f>HY!S177</f>
        <v>108</v>
      </c>
      <c r="K68" s="156">
        <f>HY!T177</f>
        <v>124.19999999999999</v>
      </c>
      <c r="L68" s="156">
        <f>HY!U177</f>
        <v>115.1</v>
      </c>
      <c r="M68" s="156">
        <f>HY!V177</f>
        <v>108.6</v>
      </c>
      <c r="N68" s="156">
        <f>HY!W177</f>
        <v>107</v>
      </c>
      <c r="O68" s="156">
        <f>HY!X177</f>
        <v>109</v>
      </c>
      <c r="P68" s="156"/>
      <c r="Q68" s="692">
        <f t="shared" si="79"/>
        <v>108</v>
      </c>
      <c r="R68" s="156">
        <v>115.1</v>
      </c>
      <c r="S68" s="693">
        <f t="shared" si="80"/>
        <v>6.5740740740740655E-2</v>
      </c>
      <c r="T68" s="692">
        <f t="shared" si="81"/>
        <v>115.1</v>
      </c>
      <c r="U68" s="693">
        <f t="shared" si="82"/>
        <v>0</v>
      </c>
      <c r="V68" s="692">
        <f t="shared" si="83"/>
        <v>115.34900126659257</v>
      </c>
      <c r="W68" s="693">
        <f t="shared" si="84"/>
        <v>-2.1586772651553954E-3</v>
      </c>
      <c r="X68" s="157"/>
      <c r="Y68" s="154"/>
      <c r="Z68" s="788">
        <f t="shared" si="85"/>
        <v>115.34900126659257</v>
      </c>
      <c r="AB68" s="145" t="s">
        <v>1352</v>
      </c>
      <c r="AC68" s="145" t="s">
        <v>1537</v>
      </c>
      <c r="AD68" s="146" t="s">
        <v>961</v>
      </c>
      <c r="AE68" s="675">
        <f>_xll.VAData($AB68,AE$3,$AC68,$AD68)</f>
        <v>167.85817581800001</v>
      </c>
      <c r="AF68" s="675">
        <f>_xll.VAData($AB68,AF$3,$AC68,$AD68)</f>
        <v>177.30050115</v>
      </c>
      <c r="AG68" s="675">
        <f>_xll.VAData($AB68,AG$3,$AC68,$AD68)</f>
        <v>120.9</v>
      </c>
      <c r="AH68" s="675">
        <f>_xll.VAData($AB68,AH$3,$AC68,$AD68)</f>
        <v>128.4</v>
      </c>
      <c r="AI68" s="675">
        <f>_xll.VAData($AB68,AI$3,$AC68,$AD68)</f>
        <v>109.2</v>
      </c>
      <c r="AJ68" s="675">
        <f>_xll.VAData($AB68,AJ$3,$AC68,$AD68)</f>
        <v>103.1</v>
      </c>
      <c r="AK68" s="675">
        <f>_xll.VAData($AB68,AK$3,$AC68,$AD68)</f>
        <v>108</v>
      </c>
      <c r="AL68" s="675">
        <f>_xll.VAData($AB68,AL$3,$AC68,$AD68)</f>
        <v>124.2</v>
      </c>
      <c r="AM68" s="675">
        <f>_xll.VAData($AB68,AM$3,$AC68,$AD68)</f>
        <v>115.1</v>
      </c>
      <c r="AN68" s="675">
        <f>_xll.VAData($AB68,AN$3,$AC68,$AD68)</f>
        <v>108.6</v>
      </c>
      <c r="AO68" s="675">
        <f>_xll.VAData($AB68,AO$3,$AC68,$AD68)</f>
        <v>115.53490575351772</v>
      </c>
      <c r="AP68" s="675">
        <f>_xll.VAData($AB68,AP$3,$AC68,$AD68)</f>
        <v>112.03704940176657</v>
      </c>
      <c r="AQ68" s="676"/>
      <c r="AR68" s="677">
        <v>167.85817581800001</v>
      </c>
      <c r="AS68" s="677">
        <v>177.30050115</v>
      </c>
      <c r="AT68" s="677">
        <v>120.9</v>
      </c>
      <c r="AU68" s="677">
        <v>128.4</v>
      </c>
      <c r="AV68" s="677">
        <v>109.2</v>
      </c>
      <c r="AW68" s="677">
        <v>103.1</v>
      </c>
      <c r="AX68" s="677">
        <v>108</v>
      </c>
      <c r="AY68" s="677">
        <v>124.2</v>
      </c>
      <c r="AZ68" s="677">
        <v>115.34900126659257</v>
      </c>
      <c r="BA68" s="677">
        <v>125.89994743208658</v>
      </c>
      <c r="BB68" s="677">
        <v>118.63986857764986</v>
      </c>
      <c r="BC68" s="677">
        <v>129.01749016567243</v>
      </c>
      <c r="BD68" s="676"/>
      <c r="BE68" s="678">
        <f t="shared" si="86"/>
        <v>-167.85817581800001</v>
      </c>
      <c r="BF68" s="678">
        <f t="shared" si="86"/>
        <v>-177.30050115</v>
      </c>
      <c r="BG68" s="678">
        <f t="shared" si="86"/>
        <v>0</v>
      </c>
      <c r="BH68" s="678">
        <f t="shared" si="86"/>
        <v>0</v>
      </c>
      <c r="BI68" s="678">
        <f t="shared" si="86"/>
        <v>9.9999999999994316E-2</v>
      </c>
      <c r="BJ68" s="678">
        <f t="shared" si="86"/>
        <v>-9.9999999999980105E-2</v>
      </c>
      <c r="BK68" s="678">
        <f t="shared" si="86"/>
        <v>0</v>
      </c>
      <c r="BL68" s="678">
        <f t="shared" si="86"/>
        <v>0</v>
      </c>
      <c r="BM68" s="678">
        <f t="shared" si="86"/>
        <v>-0.24900126659257182</v>
      </c>
      <c r="BN68" s="678">
        <f t="shared" si="86"/>
        <v>-17.299947432086583</v>
      </c>
      <c r="BO68" s="678">
        <f t="shared" si="86"/>
        <v>-11.639868577649864</v>
      </c>
      <c r="BP68" s="678">
        <f t="shared" si="86"/>
        <v>-20.017490165672427</v>
      </c>
      <c r="BT68" s="797" t="s">
        <v>1536</v>
      </c>
      <c r="BU68" s="156"/>
      <c r="BV68" s="156">
        <f>FY!D222</f>
        <v>249.3</v>
      </c>
      <c r="BW68" s="156">
        <f>FY!E222</f>
        <v>212.3</v>
      </c>
      <c r="BX68" s="156">
        <f>FY!F222</f>
        <v>232.2</v>
      </c>
      <c r="BY68" s="156">
        <f>FY!G222</f>
        <v>223.7</v>
      </c>
      <c r="BZ68" s="156">
        <f>FY!H222</f>
        <v>216</v>
      </c>
      <c r="CA68" s="156">
        <f>FY!I222</f>
        <v>222.48000000000002</v>
      </c>
      <c r="CB68" s="156">
        <f>FY!J222</f>
        <v>229.15440000000001</v>
      </c>
      <c r="CC68" s="156">
        <f>FY!K222</f>
        <v>236.02903200000003</v>
      </c>
      <c r="CD68" s="156"/>
      <c r="CE68" s="692">
        <f t="shared" si="87"/>
        <v>232.2</v>
      </c>
      <c r="CF68" s="156">
        <v>223.7</v>
      </c>
      <c r="CG68" s="693">
        <f t="shared" si="88"/>
        <v>-3.6606373815676108E-2</v>
      </c>
      <c r="CH68" s="692">
        <f t="shared" si="89"/>
        <v>223.7</v>
      </c>
      <c r="CI68" s="693">
        <f t="shared" si="90"/>
        <v>0</v>
      </c>
      <c r="CJ68" s="692">
        <f t="shared" si="91"/>
        <v>241.39638289169326</v>
      </c>
      <c r="CK68" s="693">
        <f t="shared" si="92"/>
        <v>-7.3308401226679032E-2</v>
      </c>
      <c r="CL68" s="157"/>
      <c r="CM68" s="154"/>
      <c r="CN68" s="764">
        <f t="shared" si="93"/>
        <v>241.39638289169326</v>
      </c>
      <c r="CP68" s="145" t="s">
        <v>1352</v>
      </c>
      <c r="CQ68" s="145" t="s">
        <v>1537</v>
      </c>
      <c r="CR68" s="146" t="s">
        <v>961</v>
      </c>
      <c r="CS68" s="675">
        <f>_xll.VAData($AB68,CS$3,$AC68,$AD68)</f>
        <v>345.15867696800001</v>
      </c>
      <c r="CT68" s="675">
        <f>_xll.VAData($AB68,CT$3,$AC68,$AD68)</f>
        <v>249.3</v>
      </c>
      <c r="CU68" s="675">
        <f>_xll.VAData($AB68,CU$3,$AC68,$AD68)</f>
        <v>212.3</v>
      </c>
      <c r="CV68" s="675">
        <f>_xll.VAData($AB68,CV$3,$AC68,$AD68)</f>
        <v>232.2</v>
      </c>
      <c r="CW68" s="675">
        <f>_xll.VAData($AB68,CW$3,$AC68,$AD68)</f>
        <v>223.7</v>
      </c>
      <c r="CX68" s="675">
        <f>_xll.VAData($AB68,CX$3,$AC68,$AD68)</f>
        <v>227.57195515528429</v>
      </c>
      <c r="CY68" s="675">
        <f>_xll.VAData($AB68,CY$3,$AC68,$AD68)</f>
        <v>233.19328121169772</v>
      </c>
      <c r="CZ68" s="675">
        <f>_xll.VAData($AB68,CZ$3,$AC68,$AD68)</f>
        <v>238.26183656320856</v>
      </c>
      <c r="DA68" s="675">
        <f>_xll.VAData($AB68,DA$3,$AC68,$AD68)</f>
        <v>243.48694297408287</v>
      </c>
      <c r="DB68" s="676"/>
      <c r="DC68" s="677">
        <v>345.15867696800001</v>
      </c>
      <c r="DD68" s="677">
        <v>249.3</v>
      </c>
      <c r="DE68" s="677">
        <v>212.3</v>
      </c>
      <c r="DF68" s="677">
        <v>232.2</v>
      </c>
      <c r="DG68" s="677">
        <v>241.39638289169326</v>
      </c>
      <c r="DH68" s="677">
        <v>249.19166792949426</v>
      </c>
      <c r="DI68" s="677">
        <v>256.74500697495324</v>
      </c>
      <c r="DJ68" s="677">
        <v>263.19943186115012</v>
      </c>
      <c r="DK68" s="677">
        <v>269.8429412288566</v>
      </c>
      <c r="DL68" s="676"/>
      <c r="DM68" s="678">
        <f t="shared" si="94"/>
        <v>-345.15867696800001</v>
      </c>
      <c r="DN68" s="678">
        <f t="shared" si="94"/>
        <v>0</v>
      </c>
      <c r="DO68" s="678">
        <f t="shared" si="94"/>
        <v>0</v>
      </c>
      <c r="DP68" s="678">
        <f t="shared" si="94"/>
        <v>0</v>
      </c>
      <c r="DQ68" s="678">
        <f t="shared" si="94"/>
        <v>-17.696382891693275</v>
      </c>
      <c r="DR68" s="678">
        <f t="shared" si="94"/>
        <v>-33.191667929494258</v>
      </c>
      <c r="DS68" s="678">
        <f t="shared" si="95"/>
        <v>-256.74500697495324</v>
      </c>
      <c r="DT68" s="678">
        <f t="shared" si="95"/>
        <v>-30.999431861150128</v>
      </c>
      <c r="DU68" s="678">
        <f t="shared" si="95"/>
        <v>-46.142941228856614</v>
      </c>
    </row>
    <row r="69" spans="3:125" s="666" customFormat="1">
      <c r="C69" s="812" t="s">
        <v>1186</v>
      </c>
      <c r="D69" s="668"/>
      <c r="E69" s="668"/>
      <c r="F69" s="668">
        <f>HY!O178</f>
        <v>1051.3</v>
      </c>
      <c r="G69" s="668">
        <f>HY!P178</f>
        <v>959.1</v>
      </c>
      <c r="H69" s="668">
        <f>HY!Q178</f>
        <v>1003.3</v>
      </c>
      <c r="I69" s="668">
        <f>HY!R178</f>
        <v>952.8</v>
      </c>
      <c r="J69" s="668">
        <f>HY!S178</f>
        <v>1144.7</v>
      </c>
      <c r="K69" s="668">
        <f>HY!T178</f>
        <v>1122.9000000000001</v>
      </c>
      <c r="L69" s="668">
        <f>HY!U178</f>
        <v>1163.0999999999999</v>
      </c>
      <c r="M69" s="668">
        <f>HY!V178</f>
        <v>1114.5999999999999</v>
      </c>
      <c r="N69" s="668">
        <f>HY!W178</f>
        <v>1208.9912626</v>
      </c>
      <c r="O69" s="668">
        <f>HY!X178</f>
        <v>1130.5870538500001</v>
      </c>
      <c r="P69" s="668"/>
      <c r="Q69" s="696">
        <f t="shared" si="79"/>
        <v>1144.7</v>
      </c>
      <c r="R69" s="668">
        <v>1163.0999999999999</v>
      </c>
      <c r="S69" s="697">
        <f t="shared" si="80"/>
        <v>1.6074080545120939E-2</v>
      </c>
      <c r="T69" s="696">
        <f t="shared" si="81"/>
        <v>1163.0999999999999</v>
      </c>
      <c r="U69" s="697">
        <f t="shared" si="82"/>
        <v>0</v>
      </c>
      <c r="V69" s="696">
        <f t="shared" si="83"/>
        <v>1131.6699838351467</v>
      </c>
      <c r="W69" s="697">
        <f t="shared" si="84"/>
        <v>2.7773128751139353E-2</v>
      </c>
      <c r="X69" s="669"/>
      <c r="Y69" s="670"/>
      <c r="Z69" s="789">
        <f t="shared" si="85"/>
        <v>1131.6699838351467</v>
      </c>
      <c r="AB69" s="147" t="s">
        <v>1352</v>
      </c>
      <c r="AC69" s="147" t="s">
        <v>1556</v>
      </c>
      <c r="AD69" s="146" t="s">
        <v>961</v>
      </c>
      <c r="AE69" s="823">
        <f>_xll.VAData($AB69,AE$3,$AC69,$AD69)</f>
        <v>856.5</v>
      </c>
      <c r="AF69" s="823">
        <f>_xll.VAData($AB69,AF$3,$AC69,$AD69)</f>
        <v>871</v>
      </c>
      <c r="AG69" s="823">
        <f>_xll.VAData($AB69,AG$3,$AC69,$AD69)</f>
        <v>1051.3</v>
      </c>
      <c r="AH69" s="823">
        <f>_xll.VAData($AB69,AH$3,$AC69,$AD69)</f>
        <v>959.1</v>
      </c>
      <c r="AI69" s="823">
        <f>_xll.VAData($AB69,AI$3,$AC69,$AD69)</f>
        <v>1003.2</v>
      </c>
      <c r="AJ69" s="823">
        <f>_xll.VAData($AB69,AJ$3,$AC69,$AD69)</f>
        <v>952.9</v>
      </c>
      <c r="AK69" s="823">
        <f>_xll.VAData($AB69,AK$3,$AC69,$AD69)</f>
        <v>1144.7</v>
      </c>
      <c r="AL69" s="823">
        <f>_xll.VAData($AB69,AL$3,$AC69,$AD69)</f>
        <v>1122.9000000000001</v>
      </c>
      <c r="AM69" s="823">
        <f>_xll.VAData($AB69,AM$3,$AC69,$AD69)</f>
        <v>1163.0999999999999</v>
      </c>
      <c r="AN69" s="823">
        <f>_xll.VAData($AB69,AN$3,$AC69,$AD69)</f>
        <v>1114.5999999999999</v>
      </c>
      <c r="AO69" s="823">
        <f>_xll.VAData($AB69,AO$3,$AC69,$AD69)</f>
        <v>1205.0915137845257</v>
      </c>
      <c r="AP69" s="823">
        <f>_xll.VAData($AB69,AP$3,$AC69,$AD69)</f>
        <v>1129.0197770641585</v>
      </c>
      <c r="AQ69" s="687"/>
      <c r="AR69" s="686">
        <v>856.5</v>
      </c>
      <c r="AS69" s="686">
        <v>871</v>
      </c>
      <c r="AT69" s="686">
        <v>1051.3</v>
      </c>
      <c r="AU69" s="686">
        <v>959.1</v>
      </c>
      <c r="AV69" s="686">
        <v>1003.2</v>
      </c>
      <c r="AW69" s="686">
        <v>952.9</v>
      </c>
      <c r="AX69" s="686">
        <v>1144.7</v>
      </c>
      <c r="AY69" s="686">
        <v>1122.9000000000001</v>
      </c>
      <c r="AZ69" s="686">
        <v>1131.6699838351467</v>
      </c>
      <c r="BA69" s="686">
        <v>1129.0800687450367</v>
      </c>
      <c r="BB69" s="686">
        <v>1217.49757377996</v>
      </c>
      <c r="BC69" s="686">
        <v>1158.4442699335966</v>
      </c>
      <c r="BD69" s="687"/>
      <c r="BE69" s="824">
        <f t="shared" ref="BE69:BP72" si="96">D69-AR69</f>
        <v>-856.5</v>
      </c>
      <c r="BF69" s="824">
        <f t="shared" si="96"/>
        <v>-871</v>
      </c>
      <c r="BG69" s="824">
        <f t="shared" si="96"/>
        <v>0</v>
      </c>
      <c r="BH69" s="824">
        <f t="shared" si="96"/>
        <v>0</v>
      </c>
      <c r="BI69" s="824">
        <f t="shared" si="96"/>
        <v>9.9999999999909051E-2</v>
      </c>
      <c r="BJ69" s="824">
        <f t="shared" si="96"/>
        <v>-0.10000000000002274</v>
      </c>
      <c r="BK69" s="824">
        <f t="shared" si="96"/>
        <v>0</v>
      </c>
      <c r="BL69" s="824">
        <f t="shared" si="96"/>
        <v>0</v>
      </c>
      <c r="BM69" s="824">
        <f t="shared" si="96"/>
        <v>31.430016164853214</v>
      </c>
      <c r="BN69" s="824">
        <f t="shared" si="96"/>
        <v>-14.48006874503676</v>
      </c>
      <c r="BO69" s="824">
        <f t="shared" si="96"/>
        <v>-8.5063111799599938</v>
      </c>
      <c r="BP69" s="824">
        <f t="shared" si="96"/>
        <v>-27.857216083596541</v>
      </c>
      <c r="BT69" s="825" t="s">
        <v>1186</v>
      </c>
      <c r="BU69" s="668"/>
      <c r="BV69" s="668">
        <f>FY!D223</f>
        <v>2010.4</v>
      </c>
      <c r="BW69" s="668">
        <f>FY!E223</f>
        <v>1956.1</v>
      </c>
      <c r="BX69" s="668">
        <f>FY!F223</f>
        <v>2267.6000000000004</v>
      </c>
      <c r="BY69" s="668">
        <f>FY!G223</f>
        <v>2277.6999999999998</v>
      </c>
      <c r="BZ69" s="668">
        <f>FY!H223</f>
        <v>2339.5783164499999</v>
      </c>
      <c r="CA69" s="668">
        <f>FY!I223</f>
        <v>2351.6992355249999</v>
      </c>
      <c r="CB69" s="668">
        <f>FY!J223</f>
        <v>2367.9934172777794</v>
      </c>
      <c r="CC69" s="668">
        <f>FY!K223</f>
        <v>2418.9477399379816</v>
      </c>
      <c r="CD69" s="668"/>
      <c r="CE69" s="696">
        <f t="shared" si="87"/>
        <v>2267.6000000000004</v>
      </c>
      <c r="CF69" s="668">
        <v>2277.6999999999998</v>
      </c>
      <c r="CG69" s="697">
        <f t="shared" si="88"/>
        <v>4.4540483330390845E-3</v>
      </c>
      <c r="CH69" s="696">
        <f t="shared" si="89"/>
        <v>2277.6999999999998</v>
      </c>
      <c r="CI69" s="697">
        <f t="shared" si="90"/>
        <v>0</v>
      </c>
      <c r="CJ69" s="696">
        <f t="shared" si="91"/>
        <v>2291.7803987265775</v>
      </c>
      <c r="CK69" s="697">
        <f t="shared" si="92"/>
        <v>-6.1438690785563521E-3</v>
      </c>
      <c r="CL69" s="669"/>
      <c r="CM69" s="670"/>
      <c r="CN69" s="826">
        <f t="shared" si="93"/>
        <v>2291.7803987265775</v>
      </c>
      <c r="CP69" s="147" t="s">
        <v>1352</v>
      </c>
      <c r="CQ69" s="147" t="s">
        <v>1556</v>
      </c>
      <c r="CR69" s="146" t="s">
        <v>961</v>
      </c>
      <c r="CS69" s="823">
        <f>_xll.VAData($AB69,CS$3,$AC69,$AD69)</f>
        <v>1727.5</v>
      </c>
      <c r="CT69" s="823">
        <f>_xll.VAData($AB69,CT$3,$AC69,$AD69)</f>
        <v>2010.4</v>
      </c>
      <c r="CU69" s="823">
        <f>_xll.VAData($AB69,CU$3,$AC69,$AD69)</f>
        <v>1956.1</v>
      </c>
      <c r="CV69" s="823">
        <f>_xll.VAData($AB69,CV$3,$AC69,$AD69)</f>
        <v>2267.6</v>
      </c>
      <c r="CW69" s="823">
        <f>_xll.VAData($AB69,CW$3,$AC69,$AD69)</f>
        <v>2277.6999999999998</v>
      </c>
      <c r="CX69" s="823">
        <f>_xll.VAData($AB69,CX$3,$AC69,$AD69)</f>
        <v>2334.1112908486857</v>
      </c>
      <c r="CY69" s="823">
        <f>_xll.VAData($AB69,CY$3,$AC69,$AD69)</f>
        <v>2389.8093973649216</v>
      </c>
      <c r="CZ69" s="823">
        <f>_xll.VAData($AB69,CZ$3,$AC69,$AD69)</f>
        <v>2436.4306686597188</v>
      </c>
      <c r="DA69" s="823">
        <f>_xll.VAData($AB69,DA$3,$AC69,$AD69)</f>
        <v>2482.5059701428372</v>
      </c>
      <c r="DB69" s="687"/>
      <c r="DC69" s="686">
        <v>1727.5</v>
      </c>
      <c r="DD69" s="686">
        <v>2010.4</v>
      </c>
      <c r="DE69" s="686">
        <v>1956.1</v>
      </c>
      <c r="DF69" s="686">
        <v>2267.6</v>
      </c>
      <c r="DG69" s="686">
        <v>2291.7803987265775</v>
      </c>
      <c r="DH69" s="686">
        <v>2363.7893955026898</v>
      </c>
      <c r="DI69" s="686">
        <v>2419.2584402395514</v>
      </c>
      <c r="DJ69" s="686">
        <v>2477.0970616029799</v>
      </c>
      <c r="DK69" s="686">
        <v>2532.9430245610656</v>
      </c>
      <c r="DL69" s="687"/>
      <c r="DM69" s="824">
        <f t="shared" ref="DM69:DR72" si="97">BU69-DC69</f>
        <v>-1727.5</v>
      </c>
      <c r="DN69" s="824">
        <f t="shared" si="97"/>
        <v>0</v>
      </c>
      <c r="DO69" s="824">
        <f t="shared" si="97"/>
        <v>0</v>
      </c>
      <c r="DP69" s="824">
        <f t="shared" si="97"/>
        <v>0</v>
      </c>
      <c r="DQ69" s="824">
        <f t="shared" si="97"/>
        <v>-14.080398726577641</v>
      </c>
      <c r="DR69" s="824">
        <f t="shared" si="97"/>
        <v>-24.211079052689911</v>
      </c>
      <c r="DS69" s="824">
        <f t="shared" ref="DS69:DU72" si="98">CD69-DI69</f>
        <v>-2419.2584402395514</v>
      </c>
      <c r="DT69" s="824">
        <f t="shared" si="98"/>
        <v>-209.49706160297956</v>
      </c>
      <c r="DU69" s="824">
        <f t="shared" si="98"/>
        <v>-255.24302456106579</v>
      </c>
    </row>
    <row r="70" spans="3:125" hidden="1" outlineLevel="1">
      <c r="C70" s="811" t="s">
        <v>1540</v>
      </c>
      <c r="D70" s="156"/>
      <c r="E70" s="156"/>
      <c r="F70" s="156">
        <f>HY!O179</f>
        <v>114.40000000000009</v>
      </c>
      <c r="G70" s="156">
        <f>HY!P179</f>
        <v>106.00000000000011</v>
      </c>
      <c r="H70" s="156">
        <f>HY!Q179</f>
        <v>189.1</v>
      </c>
      <c r="I70" s="156">
        <f>HY!R179</f>
        <v>171.79999999999998</v>
      </c>
      <c r="J70" s="156">
        <f>HY!S179</f>
        <v>192.1</v>
      </c>
      <c r="K70" s="156">
        <f>HY!T179</f>
        <v>178.50000000000003</v>
      </c>
      <c r="L70" s="156">
        <f>HY!U179</f>
        <v>192.4</v>
      </c>
      <c r="M70" s="156">
        <f>HY!V179</f>
        <v>185.4</v>
      </c>
      <c r="N70" s="156">
        <f>HY!W179</f>
        <v>188</v>
      </c>
      <c r="O70" s="156">
        <f>HY!X179</f>
        <v>188</v>
      </c>
      <c r="P70" s="156"/>
      <c r="Q70" s="692">
        <f t="shared" si="79"/>
        <v>192.1</v>
      </c>
      <c r="R70" s="156"/>
      <c r="S70" s="693">
        <f t="shared" si="80"/>
        <v>-1</v>
      </c>
      <c r="T70" s="692">
        <f t="shared" si="81"/>
        <v>192.4</v>
      </c>
      <c r="U70" s="693">
        <f t="shared" si="82"/>
        <v>-1</v>
      </c>
      <c r="V70" s="692">
        <f t="shared" si="83"/>
        <v>164.68586534210354</v>
      </c>
      <c r="W70" s="693">
        <f t="shared" si="84"/>
        <v>-1</v>
      </c>
      <c r="X70" s="157"/>
      <c r="Y70" s="154"/>
      <c r="Z70" s="788">
        <f t="shared" si="85"/>
        <v>164.68586534210354</v>
      </c>
      <c r="AB70" s="145" t="s">
        <v>1352</v>
      </c>
      <c r="AC70" s="145" t="s">
        <v>1378</v>
      </c>
      <c r="AD70" s="146" t="s">
        <v>961</v>
      </c>
      <c r="AE70" s="675">
        <f>_xll.VAData($AB70,AE$3,$AC70,$AD70)</f>
        <v>216.9</v>
      </c>
      <c r="AF70" s="675">
        <f>_xll.VAData($AB70,AF$3,$AC70,$AD70)</f>
        <v>237.5</v>
      </c>
      <c r="AG70" s="675">
        <f>_xll.VAData($AB70,AG$3,$AC70,$AD70)</f>
        <v>114.4</v>
      </c>
      <c r="AH70" s="675">
        <f>_xll.VAData($AB70,AH$3,$AC70,$AD70)</f>
        <v>106</v>
      </c>
      <c r="AI70" s="675">
        <f>_xll.VAData($AB70,AI$3,$AC70,$AD70)</f>
        <v>189.1</v>
      </c>
      <c r="AJ70" s="675">
        <f>_xll.VAData($AB70,AJ$3,$AC70,$AD70)</f>
        <v>171.8</v>
      </c>
      <c r="AK70" s="675">
        <f>_xll.VAData($AB70,AK$3,$AC70,$AD70)</f>
        <v>192.1</v>
      </c>
      <c r="AL70" s="675">
        <f>_xll.VAData($AB70,AL$3,$AC70,$AD70)</f>
        <v>178.5</v>
      </c>
      <c r="AM70" s="675">
        <f>_xll.VAData($AB70,AM$3,$AC70,$AD70)</f>
        <v>192.4</v>
      </c>
      <c r="AN70" s="675">
        <f>_xll.VAData($AB70,AN$3,$AC70,$AD70)</f>
        <v>185.4</v>
      </c>
      <c r="AO70" s="675">
        <f>_xll.VAData($AB70,AO$3,$AC70,$AD70)</f>
        <v>196.28417566755439</v>
      </c>
      <c r="AP70" s="675">
        <f>_xll.VAData($AB70,AP$3,$AC70,$AD70)</f>
        <v>190.3599275196238</v>
      </c>
      <c r="AQ70" s="676"/>
      <c r="AR70" s="677">
        <v>216.9</v>
      </c>
      <c r="AS70" s="677">
        <v>237.5</v>
      </c>
      <c r="AT70" s="677">
        <v>114.4</v>
      </c>
      <c r="AU70" s="677">
        <v>106</v>
      </c>
      <c r="AV70" s="677">
        <v>113.4</v>
      </c>
      <c r="AW70" s="677">
        <v>93.3</v>
      </c>
      <c r="AX70" s="677">
        <v>192.1</v>
      </c>
      <c r="AY70" s="677">
        <v>178.5</v>
      </c>
      <c r="AZ70" s="677">
        <v>164.68586534210354</v>
      </c>
      <c r="BA70" s="677">
        <v>152.80458201731378</v>
      </c>
      <c r="BB70" s="677">
        <v>168.74057218138813</v>
      </c>
      <c r="BC70" s="677">
        <v>156.81589795375785</v>
      </c>
      <c r="BD70" s="676"/>
      <c r="BE70" s="678">
        <f t="shared" si="96"/>
        <v>-216.9</v>
      </c>
      <c r="BF70" s="678">
        <f t="shared" si="96"/>
        <v>-237.5</v>
      </c>
      <c r="BG70" s="678">
        <f t="shared" si="96"/>
        <v>0</v>
      </c>
      <c r="BH70" s="678">
        <f t="shared" si="96"/>
        <v>1.1368683772161603E-13</v>
      </c>
      <c r="BI70" s="678">
        <f t="shared" si="96"/>
        <v>75.699999999999989</v>
      </c>
      <c r="BJ70" s="678">
        <f t="shared" si="96"/>
        <v>78.499999999999986</v>
      </c>
      <c r="BK70" s="678">
        <f t="shared" si="96"/>
        <v>0</v>
      </c>
      <c r="BL70" s="678">
        <f t="shared" si="96"/>
        <v>0</v>
      </c>
      <c r="BM70" s="678">
        <f t="shared" si="96"/>
        <v>27.714134657896466</v>
      </c>
      <c r="BN70" s="678">
        <f t="shared" si="96"/>
        <v>32.595417982686229</v>
      </c>
      <c r="BO70" s="678">
        <f t="shared" si="96"/>
        <v>19.259427818611869</v>
      </c>
      <c r="BP70" s="678">
        <f t="shared" si="96"/>
        <v>31.184102046242145</v>
      </c>
      <c r="BT70" s="797" t="s">
        <v>1540</v>
      </c>
      <c r="BU70" s="156"/>
      <c r="BV70" s="156">
        <f>FY!D224</f>
        <v>220.4000000000002</v>
      </c>
      <c r="BW70" s="156">
        <f>FY!E224</f>
        <v>360.9</v>
      </c>
      <c r="BX70" s="156">
        <f>FY!F224</f>
        <v>370.6</v>
      </c>
      <c r="BY70" s="156">
        <f>FY!G224</f>
        <v>377.8</v>
      </c>
      <c r="BZ70" s="156">
        <f>FY!H224</f>
        <v>376</v>
      </c>
      <c r="CA70" s="156">
        <f>FY!I224</f>
        <v>385.48</v>
      </c>
      <c r="CB70" s="156">
        <f>FY!J224</f>
        <v>395.20839999999998</v>
      </c>
      <c r="CC70" s="156">
        <f>FY!K224</f>
        <v>405.19193199999995</v>
      </c>
      <c r="CD70" s="156"/>
      <c r="CE70" s="692">
        <f t="shared" si="87"/>
        <v>370.6</v>
      </c>
      <c r="CF70" s="156"/>
      <c r="CG70" s="693">
        <f t="shared" si="88"/>
        <v>-1</v>
      </c>
      <c r="CH70" s="692">
        <f t="shared" si="89"/>
        <v>377.8</v>
      </c>
      <c r="CI70" s="693">
        <f t="shared" si="90"/>
        <v>-1</v>
      </c>
      <c r="CJ70" s="692">
        <f t="shared" si="91"/>
        <v>375.36027175004119</v>
      </c>
      <c r="CK70" s="693">
        <f t="shared" si="92"/>
        <v>-1</v>
      </c>
      <c r="CL70" s="157"/>
      <c r="CM70" s="154"/>
      <c r="CN70" s="764">
        <f t="shared" si="93"/>
        <v>375.36027175004119</v>
      </c>
      <c r="CP70" s="145" t="s">
        <v>1352</v>
      </c>
      <c r="CQ70" s="145" t="s">
        <v>1378</v>
      </c>
      <c r="CR70" s="146" t="s">
        <v>961</v>
      </c>
      <c r="CS70" s="675">
        <f>_xll.VAData($AB70,CS$3,$AC70,$AD70)</f>
        <v>454.4</v>
      </c>
      <c r="CT70" s="675">
        <f>_xll.VAData($AB70,CT$3,$AC70,$AD70)</f>
        <v>220.4</v>
      </c>
      <c r="CU70" s="675">
        <f>_xll.VAData($AB70,CU$3,$AC70,$AD70)</f>
        <v>360.9</v>
      </c>
      <c r="CV70" s="675">
        <f>_xll.VAData($AB70,CV$3,$AC70,$AD70)</f>
        <v>370.6</v>
      </c>
      <c r="CW70" s="675">
        <f>_xll.VAData($AB70,CW$3,$AC70,$AD70)</f>
        <v>377.8</v>
      </c>
      <c r="CX70" s="675">
        <f>_xll.VAData($AB70,CX$3,$AC70,$AD70)</f>
        <v>386.64410318717842</v>
      </c>
      <c r="CY70" s="675">
        <f>_xll.VAData($AB70,CY$3,$AC70,$AD70)</f>
        <v>395.84715953680262</v>
      </c>
      <c r="CZ70" s="675">
        <f>_xll.VAData($AB70,CZ$3,$AC70,$AD70)</f>
        <v>404.99231579492579</v>
      </c>
      <c r="DA70" s="675">
        <f>_xll.VAData($AB70,DA$3,$AC70,$AD70)</f>
        <v>415.23385513116159</v>
      </c>
      <c r="DB70" s="676"/>
      <c r="DC70" s="677">
        <v>454.4</v>
      </c>
      <c r="DD70" s="677">
        <v>220.4</v>
      </c>
      <c r="DE70" s="677">
        <v>360.9</v>
      </c>
      <c r="DF70" s="677">
        <v>370.6</v>
      </c>
      <c r="DG70" s="677">
        <v>375.36027175004119</v>
      </c>
      <c r="DH70" s="677">
        <v>382.22691549154962</v>
      </c>
      <c r="DI70" s="677">
        <v>389.4495960872614</v>
      </c>
      <c r="DJ70" s="677">
        <v>396.56256411639362</v>
      </c>
      <c r="DK70" s="677">
        <v>406.1446515854588</v>
      </c>
      <c r="DL70" s="676"/>
      <c r="DM70" s="678">
        <f t="shared" si="97"/>
        <v>-454.4</v>
      </c>
      <c r="DN70" s="678">
        <f t="shared" si="97"/>
        <v>0</v>
      </c>
      <c r="DO70" s="678">
        <f t="shared" si="97"/>
        <v>0</v>
      </c>
      <c r="DP70" s="678">
        <f t="shared" si="97"/>
        <v>0</v>
      </c>
      <c r="DQ70" s="678">
        <f t="shared" si="97"/>
        <v>2.4397282499588187</v>
      </c>
      <c r="DR70" s="678">
        <f t="shared" si="97"/>
        <v>-6.2269154915496188</v>
      </c>
      <c r="DS70" s="678">
        <f t="shared" si="98"/>
        <v>-389.4495960872614</v>
      </c>
      <c r="DT70" s="678">
        <f t="shared" si="98"/>
        <v>-25.962564116393594</v>
      </c>
      <c r="DU70" s="678">
        <f t="shared" si="98"/>
        <v>-406.1446515854588</v>
      </c>
    </row>
    <row r="71" spans="3:125" hidden="1" outlineLevel="1">
      <c r="C71" s="811" t="s">
        <v>1542</v>
      </c>
      <c r="D71" s="156"/>
      <c r="E71" s="156"/>
      <c r="F71" s="156">
        <f>HY!O180</f>
        <v>0</v>
      </c>
      <c r="G71" s="156">
        <f>HY!P180</f>
        <v>0</v>
      </c>
      <c r="H71" s="156">
        <f>HY!Q180</f>
        <v>-75.7</v>
      </c>
      <c r="I71" s="156">
        <f>HY!R180</f>
        <v>-78.499999999999986</v>
      </c>
      <c r="J71" s="156">
        <f>HY!S180</f>
        <v>-93.6</v>
      </c>
      <c r="K71" s="156">
        <f>HY!T180</f>
        <v>-105.80000000000001</v>
      </c>
      <c r="L71" s="156">
        <f>HY!U180</f>
        <v>-102.3</v>
      </c>
      <c r="M71" s="156">
        <f>HY!V180</f>
        <v>-98.500000000000014</v>
      </c>
      <c r="N71" s="156">
        <f>HY!W180</f>
        <v>-90</v>
      </c>
      <c r="O71" s="156">
        <f>HY!X180</f>
        <v>-90</v>
      </c>
      <c r="P71" s="156"/>
      <c r="Q71" s="692">
        <f t="shared" si="79"/>
        <v>-93.6</v>
      </c>
      <c r="R71" s="156"/>
      <c r="S71" s="693">
        <f t="shared" si="80"/>
        <v>-1</v>
      </c>
      <c r="T71" s="692">
        <f t="shared" si="81"/>
        <v>-102.3</v>
      </c>
      <c r="U71" s="693">
        <f t="shared" si="82"/>
        <v>-1</v>
      </c>
      <c r="V71" s="692">
        <f t="shared" si="83"/>
        <v>-95.458137065422633</v>
      </c>
      <c r="W71" s="693">
        <f t="shared" si="84"/>
        <v>-1</v>
      </c>
      <c r="X71" s="157"/>
      <c r="Y71" s="154"/>
      <c r="Z71" s="788">
        <f t="shared" si="85"/>
        <v>-95.458137065422633</v>
      </c>
      <c r="AB71" s="145" t="s">
        <v>1352</v>
      </c>
      <c r="AC71" s="145" t="s">
        <v>1557</v>
      </c>
      <c r="AD71" s="146" t="s">
        <v>961</v>
      </c>
      <c r="AE71" s="675" t="str">
        <f>_xll.VAData($AB71,AE$3,$AC71,$AD71)</f>
        <v>-</v>
      </c>
      <c r="AF71" s="675" t="str">
        <f>_xll.VAData($AB71,AF$3,$AC71,$AD71)</f>
        <v>-</v>
      </c>
      <c r="AG71" s="675">
        <f>_xll.VAData($AB71,AG$3,$AC71,$AD71)</f>
        <v>-0.200000000000045</v>
      </c>
      <c r="AH71" s="675">
        <f>_xll.VAData($AB71,AH$3,$AC71,$AD71)</f>
        <v>0.20000000000013099</v>
      </c>
      <c r="AI71" s="675">
        <f>_xll.VAData($AB71,AI$3,$AC71,$AD71)</f>
        <v>-75.7</v>
      </c>
      <c r="AJ71" s="675">
        <f>_xll.VAData($AB71,AJ$3,$AC71,$AD71)</f>
        <v>-78.5</v>
      </c>
      <c r="AK71" s="675">
        <f>_xll.VAData($AB71,AK$3,$AC71,$AD71)</f>
        <v>-93.6</v>
      </c>
      <c r="AL71" s="675">
        <f>_xll.VAData($AB71,AL$3,$AC71,$AD71)</f>
        <v>-105.8</v>
      </c>
      <c r="AM71" s="675">
        <f>_xll.VAData($AB71,AM$3,$AC71,$AD71)</f>
        <v>-102.3</v>
      </c>
      <c r="AN71" s="675">
        <f>_xll.VAData($AB71,AN$3,$AC71,$AD71)</f>
        <v>-98.5</v>
      </c>
      <c r="AO71" s="675">
        <f>_xll.VAData($AB71,AO$3,$AC71,$AD71)</f>
        <v>-95.914119940636795</v>
      </c>
      <c r="AP71" s="675">
        <f>_xll.VAData($AB71,AP$3,$AC71,$AD71)</f>
        <v>-93.735000000000028</v>
      </c>
      <c r="AQ71" s="676"/>
      <c r="AR71" s="677" t="s">
        <v>967</v>
      </c>
      <c r="AS71" s="677" t="s">
        <v>967</v>
      </c>
      <c r="AT71" s="677" t="s">
        <v>967</v>
      </c>
      <c r="AU71" s="677" t="s">
        <v>967</v>
      </c>
      <c r="AV71" s="677">
        <v>-75.7</v>
      </c>
      <c r="AW71" s="677">
        <v>-78.5</v>
      </c>
      <c r="AX71" s="677">
        <v>-93.6</v>
      </c>
      <c r="AY71" s="677">
        <v>-105.8</v>
      </c>
      <c r="AZ71" s="677">
        <v>-95.458137065422633</v>
      </c>
      <c r="BA71" s="677">
        <v>-99.617383394652663</v>
      </c>
      <c r="BB71" s="677">
        <v>-97.052547844051972</v>
      </c>
      <c r="BC71" s="677">
        <v>-101.33657156315867</v>
      </c>
      <c r="BD71" s="676"/>
      <c r="BE71" s="678" t="e">
        <f t="shared" si="96"/>
        <v>#VALUE!</v>
      </c>
      <c r="BF71" s="678" t="e">
        <f t="shared" si="96"/>
        <v>#VALUE!</v>
      </c>
      <c r="BG71" s="678" t="e">
        <f t="shared" si="96"/>
        <v>#VALUE!</v>
      </c>
      <c r="BH71" s="678" t="e">
        <f t="shared" si="96"/>
        <v>#VALUE!</v>
      </c>
      <c r="BI71" s="678">
        <f t="shared" si="96"/>
        <v>0</v>
      </c>
      <c r="BJ71" s="678">
        <f t="shared" si="96"/>
        <v>0</v>
      </c>
      <c r="BK71" s="678">
        <f t="shared" si="96"/>
        <v>0</v>
      </c>
      <c r="BL71" s="678">
        <f t="shared" si="96"/>
        <v>0</v>
      </c>
      <c r="BM71" s="678">
        <f t="shared" si="96"/>
        <v>-6.8418629345773638</v>
      </c>
      <c r="BN71" s="678">
        <f t="shared" si="96"/>
        <v>1.1173833946526486</v>
      </c>
      <c r="BO71" s="678">
        <f t="shared" si="96"/>
        <v>7.052547844051972</v>
      </c>
      <c r="BP71" s="678">
        <f t="shared" si="96"/>
        <v>11.336571563158671</v>
      </c>
      <c r="BT71" s="797" t="s">
        <v>1542</v>
      </c>
      <c r="BU71" s="156"/>
      <c r="BV71" s="156">
        <f>FY!D225</f>
        <v>0</v>
      </c>
      <c r="BW71" s="156">
        <f>FY!E225</f>
        <v>-154.19999999999999</v>
      </c>
      <c r="BX71" s="156">
        <f>FY!F225</f>
        <v>-199.4</v>
      </c>
      <c r="BY71" s="156">
        <f>FY!G225</f>
        <v>-200.8</v>
      </c>
      <c r="BZ71" s="156">
        <f>FY!H225</f>
        <v>-180</v>
      </c>
      <c r="CA71" s="156">
        <f>FY!I225</f>
        <v>-183.6</v>
      </c>
      <c r="CB71" s="156">
        <f>FY!J225</f>
        <v>-187.27199999999999</v>
      </c>
      <c r="CC71" s="156">
        <f>FY!K225</f>
        <v>-191.01743999999999</v>
      </c>
      <c r="CD71" s="156"/>
      <c r="CE71" s="692">
        <f t="shared" si="87"/>
        <v>-199.4</v>
      </c>
      <c r="CF71" s="156"/>
      <c r="CG71" s="693">
        <f t="shared" si="88"/>
        <v>-1</v>
      </c>
      <c r="CH71" s="692">
        <f t="shared" si="89"/>
        <v>-200.8</v>
      </c>
      <c r="CI71" s="693">
        <f t="shared" si="90"/>
        <v>-1</v>
      </c>
      <c r="CJ71" s="692">
        <f t="shared" si="91"/>
        <v>-201.00107017252824</v>
      </c>
      <c r="CK71" s="693">
        <f t="shared" si="92"/>
        <v>-1</v>
      </c>
      <c r="CL71" s="157"/>
      <c r="CM71" s="154"/>
      <c r="CN71" s="764">
        <f t="shared" si="93"/>
        <v>-201.00107017252824</v>
      </c>
      <c r="CP71" s="145" t="s">
        <v>1352</v>
      </c>
      <c r="CQ71" s="145" t="s">
        <v>1557</v>
      </c>
      <c r="CR71" s="146" t="s">
        <v>961</v>
      </c>
      <c r="CS71" s="675" t="str">
        <f>_xll.VAData($AB71,CS$3,$AC71,$AD71)</f>
        <v>-</v>
      </c>
      <c r="CT71" s="675" t="str">
        <f>_xll.VAData($AB71,CT$3,$AC71,$AD71)</f>
        <v>-</v>
      </c>
      <c r="CU71" s="675">
        <f>_xll.VAData($AB71,CU$3,$AC71,$AD71)</f>
        <v>-154.19999999999999</v>
      </c>
      <c r="CV71" s="675">
        <f>_xll.VAData($AB71,CV$3,$AC71,$AD71)</f>
        <v>-199.4</v>
      </c>
      <c r="CW71" s="675">
        <f>_xll.VAData($AB71,CW$3,$AC71,$AD71)</f>
        <v>-200.8</v>
      </c>
      <c r="CX71" s="675">
        <f>_xll.VAData($AB71,CX$3,$AC71,$AD71)</f>
        <v>-189.64911994063675</v>
      </c>
      <c r="CY71" s="675">
        <f>_xll.VAData($AB71,CY$3,$AC71,$AD71)</f>
        <v>-192.9691623394495</v>
      </c>
      <c r="CZ71" s="675">
        <f>_xll.VAData($AB71,CZ$3,$AC71,$AD71)</f>
        <v>-196.3711173862385</v>
      </c>
      <c r="DA71" s="675">
        <f>_xll.VAData($AB71,DA$3,$AC71,$AD71)</f>
        <v>-199.85708868796326</v>
      </c>
      <c r="DB71" s="676"/>
      <c r="DC71" s="677" t="s">
        <v>967</v>
      </c>
      <c r="DD71" s="677" t="s">
        <v>967</v>
      </c>
      <c r="DE71" s="677">
        <v>-154.19999999999999</v>
      </c>
      <c r="DF71" s="677">
        <v>-199.4</v>
      </c>
      <c r="DG71" s="677">
        <v>-201.00107017252824</v>
      </c>
      <c r="DH71" s="677">
        <v>-200.76435227770401</v>
      </c>
      <c r="DI71" s="677">
        <v>-204.36302784603524</v>
      </c>
      <c r="DJ71" s="677">
        <v>-208.04925858141624</v>
      </c>
      <c r="DK71" s="677">
        <v>-211.82526303685876</v>
      </c>
      <c r="DL71" s="676"/>
      <c r="DM71" s="678" t="e">
        <f t="shared" si="97"/>
        <v>#VALUE!</v>
      </c>
      <c r="DN71" s="678" t="e">
        <f t="shared" si="97"/>
        <v>#VALUE!</v>
      </c>
      <c r="DO71" s="678">
        <f t="shared" si="97"/>
        <v>0</v>
      </c>
      <c r="DP71" s="678">
        <f t="shared" si="97"/>
        <v>0</v>
      </c>
      <c r="DQ71" s="678">
        <f t="shared" si="97"/>
        <v>0.20107017252823312</v>
      </c>
      <c r="DR71" s="678">
        <f t="shared" si="97"/>
        <v>20.764352277704006</v>
      </c>
      <c r="DS71" s="678">
        <f t="shared" si="98"/>
        <v>204.36302784603524</v>
      </c>
      <c r="DT71" s="678">
        <f t="shared" si="98"/>
        <v>8.6492585814162339</v>
      </c>
      <c r="DU71" s="678">
        <f t="shared" si="98"/>
        <v>211.82526303685876</v>
      </c>
    </row>
    <row r="72" spans="3:125" s="666" customFormat="1" hidden="1" outlineLevel="1">
      <c r="C72" s="813" t="s">
        <v>1554</v>
      </c>
      <c r="D72" s="668"/>
      <c r="E72" s="668"/>
      <c r="F72" s="668">
        <f>HY!O181</f>
        <v>114.40000000000009</v>
      </c>
      <c r="G72" s="668">
        <f>HY!P181</f>
        <v>106.00000000000011</v>
      </c>
      <c r="H72" s="668">
        <f>HY!Q181</f>
        <v>113.39999999999999</v>
      </c>
      <c r="I72" s="668">
        <f>HY!R181</f>
        <v>93.3</v>
      </c>
      <c r="J72" s="668">
        <f>HY!S181</f>
        <v>98.5</v>
      </c>
      <c r="K72" s="668">
        <f>HY!T181</f>
        <v>72.700000000000017</v>
      </c>
      <c r="L72" s="668">
        <f>HY!U181</f>
        <v>90.100000000000009</v>
      </c>
      <c r="M72" s="668">
        <f>HY!V181</f>
        <v>86.899999999999991</v>
      </c>
      <c r="N72" s="668">
        <f>HY!W181</f>
        <v>98</v>
      </c>
      <c r="O72" s="668">
        <f>HY!X181</f>
        <v>98</v>
      </c>
      <c r="P72" s="668"/>
      <c r="Q72" s="696">
        <f t="shared" si="79"/>
        <v>98.5</v>
      </c>
      <c r="R72" s="668"/>
      <c r="S72" s="697">
        <f t="shared" si="80"/>
        <v>-1</v>
      </c>
      <c r="T72" s="696">
        <f t="shared" si="81"/>
        <v>90.100000000000009</v>
      </c>
      <c r="U72" s="697">
        <f t="shared" si="82"/>
        <v>-1</v>
      </c>
      <c r="V72" s="696">
        <f t="shared" si="83"/>
        <v>-95.458137065422633</v>
      </c>
      <c r="W72" s="697">
        <f t="shared" si="84"/>
        <v>-1</v>
      </c>
      <c r="X72" s="669"/>
      <c r="Y72" s="670"/>
      <c r="Z72" s="789">
        <f t="shared" si="85"/>
        <v>-95.458137065422633</v>
      </c>
      <c r="AB72" s="147" t="s">
        <v>1352</v>
      </c>
      <c r="AC72" s="147" t="s">
        <v>1557</v>
      </c>
      <c r="AD72" s="146" t="s">
        <v>961</v>
      </c>
      <c r="AE72" s="823" t="str">
        <f>_xll.VAData($AB72,AE$3,$AC72,$AD72)</f>
        <v>-</v>
      </c>
      <c r="AF72" s="823" t="str">
        <f>_xll.VAData($AB72,AF$3,$AC72,$AD72)</f>
        <v>-</v>
      </c>
      <c r="AG72" s="823">
        <f>_xll.VAData($AB72,AG$3,$AC72,$AD72)</f>
        <v>-0.200000000000045</v>
      </c>
      <c r="AH72" s="823">
        <f>_xll.VAData($AB72,AH$3,$AC72,$AD72)</f>
        <v>0.20000000000013099</v>
      </c>
      <c r="AI72" s="823">
        <f>_xll.VAData($AB72,AI$3,$AC72,$AD72)</f>
        <v>-75.7</v>
      </c>
      <c r="AJ72" s="823">
        <f>_xll.VAData($AB72,AJ$3,$AC72,$AD72)</f>
        <v>-78.5</v>
      </c>
      <c r="AK72" s="823">
        <f>_xll.VAData($AB72,AK$3,$AC72,$AD72)</f>
        <v>-93.6</v>
      </c>
      <c r="AL72" s="823">
        <f>_xll.VAData($AB72,AL$3,$AC72,$AD72)</f>
        <v>-105.8</v>
      </c>
      <c r="AM72" s="823">
        <f>_xll.VAData($AB72,AM$3,$AC72,$AD72)</f>
        <v>-102.3</v>
      </c>
      <c r="AN72" s="823">
        <f>_xll.VAData($AB72,AN$3,$AC72,$AD72)</f>
        <v>-98.5</v>
      </c>
      <c r="AO72" s="823">
        <f>_xll.VAData($AB72,AO$3,$AC72,$AD72)</f>
        <v>-95.914119940636795</v>
      </c>
      <c r="AP72" s="823">
        <f>_xll.VAData($AB72,AP$3,$AC72,$AD72)</f>
        <v>-93.735000000000028</v>
      </c>
      <c r="AQ72" s="687"/>
      <c r="AR72" s="686" t="s">
        <v>967</v>
      </c>
      <c r="AS72" s="686" t="s">
        <v>967</v>
      </c>
      <c r="AT72" s="686" t="s">
        <v>967</v>
      </c>
      <c r="AU72" s="686" t="s">
        <v>967</v>
      </c>
      <c r="AV72" s="686">
        <v>-75.7</v>
      </c>
      <c r="AW72" s="686">
        <v>-78.5</v>
      </c>
      <c r="AX72" s="686">
        <v>-93.6</v>
      </c>
      <c r="AY72" s="686">
        <v>-105.8</v>
      </c>
      <c r="AZ72" s="686">
        <v>-95.458137065422633</v>
      </c>
      <c r="BA72" s="686">
        <v>-99.617383394652663</v>
      </c>
      <c r="BB72" s="686">
        <v>-97.052547844051972</v>
      </c>
      <c r="BC72" s="686">
        <v>-101.33657156315867</v>
      </c>
      <c r="BD72" s="687"/>
      <c r="BE72" s="824" t="e">
        <f t="shared" si="96"/>
        <v>#VALUE!</v>
      </c>
      <c r="BF72" s="824" t="e">
        <f t="shared" si="96"/>
        <v>#VALUE!</v>
      </c>
      <c r="BG72" s="824" t="e">
        <f t="shared" si="96"/>
        <v>#VALUE!</v>
      </c>
      <c r="BH72" s="824" t="e">
        <f t="shared" si="96"/>
        <v>#VALUE!</v>
      </c>
      <c r="BI72" s="824">
        <f t="shared" si="96"/>
        <v>189.1</v>
      </c>
      <c r="BJ72" s="824">
        <f t="shared" si="96"/>
        <v>171.8</v>
      </c>
      <c r="BK72" s="824">
        <f t="shared" si="96"/>
        <v>192.1</v>
      </c>
      <c r="BL72" s="824">
        <f t="shared" si="96"/>
        <v>178.5</v>
      </c>
      <c r="BM72" s="824">
        <f t="shared" si="96"/>
        <v>185.55813706542264</v>
      </c>
      <c r="BN72" s="824">
        <f t="shared" si="96"/>
        <v>186.51738339465265</v>
      </c>
      <c r="BO72" s="824">
        <f t="shared" si="96"/>
        <v>195.05254784405196</v>
      </c>
      <c r="BP72" s="824">
        <f t="shared" si="96"/>
        <v>199.33657156315866</v>
      </c>
      <c r="BT72" s="825" t="s">
        <v>1646</v>
      </c>
      <c r="BU72" s="668"/>
      <c r="BV72" s="668">
        <f>FY!D226</f>
        <v>2230.8000000000002</v>
      </c>
      <c r="BW72" s="668">
        <f>FY!E226</f>
        <v>2162.8000000000002</v>
      </c>
      <c r="BX72" s="668">
        <f>FY!F226</f>
        <v>2438.8000000000002</v>
      </c>
      <c r="BY72" s="668">
        <f>FY!G226</f>
        <v>2454.6999999999998</v>
      </c>
      <c r="BZ72" s="668">
        <f>FY!H226</f>
        <v>2535.5783164499999</v>
      </c>
      <c r="CA72" s="668">
        <f>FY!I226</f>
        <v>2553.5792355250001</v>
      </c>
      <c r="CB72" s="668">
        <f>FY!J226</f>
        <v>2575.9298172777799</v>
      </c>
      <c r="CC72" s="668">
        <f>FY!K226</f>
        <v>2633.1222319379817</v>
      </c>
      <c r="CD72" s="668"/>
      <c r="CE72" s="696">
        <f t="shared" si="87"/>
        <v>2438.8000000000002</v>
      </c>
      <c r="CF72" s="668"/>
      <c r="CG72" s="697">
        <f t="shared" si="88"/>
        <v>-1</v>
      </c>
      <c r="CH72" s="696">
        <f t="shared" si="89"/>
        <v>2454.6999999999998</v>
      </c>
      <c r="CI72" s="697">
        <f t="shared" si="90"/>
        <v>-1</v>
      </c>
      <c r="CJ72" s="696">
        <f t="shared" si="91"/>
        <v>-201.00107017252824</v>
      </c>
      <c r="CK72" s="697">
        <f t="shared" si="92"/>
        <v>-1</v>
      </c>
      <c r="CL72" s="669"/>
      <c r="CM72" s="670"/>
      <c r="CN72" s="826">
        <f t="shared" si="93"/>
        <v>-201.00107017252824</v>
      </c>
      <c r="CP72" s="147" t="s">
        <v>1352</v>
      </c>
      <c r="CQ72" s="147" t="s">
        <v>1557</v>
      </c>
      <c r="CR72" s="146" t="s">
        <v>961</v>
      </c>
      <c r="CS72" s="823" t="str">
        <f>_xll.VAData($AB72,CS$3,$AC72,$AD72)</f>
        <v>-</v>
      </c>
      <c r="CT72" s="823" t="str">
        <f>_xll.VAData($AB72,CT$3,$AC72,$AD72)</f>
        <v>-</v>
      </c>
      <c r="CU72" s="823">
        <f>_xll.VAData($AB72,CU$3,$AC72,$AD72)</f>
        <v>-154.19999999999999</v>
      </c>
      <c r="CV72" s="823">
        <f>_xll.VAData($AB72,CV$3,$AC72,$AD72)</f>
        <v>-199.4</v>
      </c>
      <c r="CW72" s="823">
        <f>_xll.VAData($AB72,CW$3,$AC72,$AD72)</f>
        <v>-200.8</v>
      </c>
      <c r="CX72" s="823">
        <f>_xll.VAData($AB72,CX$3,$AC72,$AD72)</f>
        <v>-189.64911994063675</v>
      </c>
      <c r="CY72" s="823">
        <f>_xll.VAData($AB72,CY$3,$AC72,$AD72)</f>
        <v>-192.9691623394495</v>
      </c>
      <c r="CZ72" s="823">
        <f>_xll.VAData($AB72,CZ$3,$AC72,$AD72)</f>
        <v>-196.3711173862385</v>
      </c>
      <c r="DA72" s="823">
        <f>_xll.VAData($AB72,DA$3,$AC72,$AD72)</f>
        <v>-199.85708868796326</v>
      </c>
      <c r="DB72" s="687"/>
      <c r="DC72" s="686" t="s">
        <v>967</v>
      </c>
      <c r="DD72" s="686" t="s">
        <v>967</v>
      </c>
      <c r="DE72" s="686">
        <v>-154.19999999999999</v>
      </c>
      <c r="DF72" s="686">
        <v>-199.4</v>
      </c>
      <c r="DG72" s="686">
        <v>-201.00107017252824</v>
      </c>
      <c r="DH72" s="686">
        <v>-200.76435227770401</v>
      </c>
      <c r="DI72" s="686">
        <v>-204.36302784603524</v>
      </c>
      <c r="DJ72" s="686">
        <v>-208.04925858141624</v>
      </c>
      <c r="DK72" s="686">
        <v>-211.82526303685876</v>
      </c>
      <c r="DL72" s="687"/>
      <c r="DM72" s="824" t="e">
        <f t="shared" si="97"/>
        <v>#VALUE!</v>
      </c>
      <c r="DN72" s="824" t="e">
        <f t="shared" si="97"/>
        <v>#VALUE!</v>
      </c>
      <c r="DO72" s="824">
        <f t="shared" si="97"/>
        <v>2317</v>
      </c>
      <c r="DP72" s="824">
        <f t="shared" si="97"/>
        <v>2638.2000000000003</v>
      </c>
      <c r="DQ72" s="824">
        <f t="shared" si="97"/>
        <v>2655.701070172528</v>
      </c>
      <c r="DR72" s="824">
        <f t="shared" si="97"/>
        <v>2736.3426687277038</v>
      </c>
      <c r="DS72" s="824">
        <f t="shared" si="98"/>
        <v>204.36302784603524</v>
      </c>
      <c r="DT72" s="824">
        <f t="shared" si="98"/>
        <v>2646.8492585814165</v>
      </c>
      <c r="DU72" s="824">
        <f t="shared" si="98"/>
        <v>211.82526303685876</v>
      </c>
    </row>
    <row r="73" spans="3:125" s="666" customFormat="1" collapsed="1">
      <c r="C73" s="672"/>
      <c r="D73" s="668"/>
      <c r="E73" s="668"/>
      <c r="F73" s="668"/>
      <c r="G73" s="668"/>
      <c r="H73" s="668"/>
      <c r="I73" s="668"/>
      <c r="J73" s="668"/>
      <c r="K73" s="668"/>
      <c r="L73" s="668"/>
      <c r="M73" s="668"/>
      <c r="N73" s="668"/>
      <c r="O73" s="668"/>
      <c r="P73" s="668"/>
      <c r="Q73" s="696"/>
      <c r="R73" s="668"/>
      <c r="S73" s="697"/>
      <c r="T73" s="696"/>
      <c r="U73" s="697"/>
      <c r="V73" s="696"/>
      <c r="W73" s="697"/>
      <c r="X73" s="669"/>
      <c r="Y73" s="670"/>
      <c r="Z73" s="679"/>
      <c r="AB73" s="147"/>
      <c r="AC73" s="147"/>
      <c r="AD73" s="146"/>
      <c r="AE73" s="680"/>
      <c r="AF73" s="680"/>
      <c r="AG73" s="680"/>
      <c r="AH73" s="680"/>
      <c r="AI73" s="680"/>
      <c r="AJ73" s="680"/>
      <c r="AK73" s="680"/>
      <c r="AL73" s="680"/>
      <c r="AM73" s="680"/>
      <c r="AN73" s="680"/>
      <c r="AO73" s="680"/>
      <c r="AP73" s="680"/>
      <c r="AR73" s="679"/>
      <c r="AS73" s="679"/>
      <c r="AT73" s="679"/>
      <c r="AU73" s="679"/>
      <c r="AV73" s="679"/>
      <c r="AW73" s="679"/>
      <c r="AX73" s="679"/>
      <c r="AY73" s="679"/>
      <c r="AZ73" s="679"/>
      <c r="BA73" s="679"/>
      <c r="BB73" s="679"/>
      <c r="BC73" s="679"/>
      <c r="BE73" s="681"/>
      <c r="BF73" s="681"/>
      <c r="BG73" s="681"/>
      <c r="BH73" s="681"/>
      <c r="BI73" s="681"/>
      <c r="BJ73" s="681"/>
      <c r="BK73" s="681"/>
      <c r="BL73" s="681"/>
      <c r="BM73" s="681"/>
      <c r="BN73" s="681"/>
      <c r="BO73" s="681"/>
      <c r="BP73" s="681"/>
      <c r="BT73" s="672"/>
      <c r="BU73" s="668"/>
      <c r="BV73" s="668"/>
      <c r="BW73" s="668"/>
      <c r="BX73" s="668"/>
      <c r="BY73" s="668"/>
      <c r="BZ73" s="668"/>
      <c r="CA73" s="668"/>
      <c r="CB73" s="668"/>
      <c r="CC73" s="668"/>
      <c r="CD73" s="668"/>
      <c r="CE73" s="696"/>
      <c r="CF73" s="156"/>
      <c r="CG73" s="697"/>
      <c r="CH73" s="696"/>
      <c r="CI73" s="697"/>
      <c r="CJ73" s="696"/>
      <c r="CK73" s="697"/>
      <c r="CL73" s="669"/>
      <c r="CM73" s="670"/>
      <c r="CN73" s="679"/>
      <c r="CP73" s="147"/>
      <c r="CQ73" s="147"/>
      <c r="CR73" s="146"/>
      <c r="CS73" s="680"/>
      <c r="CT73" s="680"/>
      <c r="CU73" s="680"/>
      <c r="CV73" s="680"/>
      <c r="CW73" s="680"/>
      <c r="CX73" s="680"/>
      <c r="CY73" s="680"/>
      <c r="CZ73" s="680"/>
      <c r="DA73" s="680"/>
      <c r="DC73" s="679"/>
      <c r="DD73" s="679"/>
      <c r="DE73" s="679"/>
      <c r="DF73" s="679"/>
      <c r="DG73" s="679"/>
      <c r="DH73" s="679"/>
      <c r="DI73" s="679"/>
      <c r="DJ73" s="679"/>
      <c r="DK73" s="679"/>
      <c r="DM73" s="681"/>
      <c r="DN73" s="681"/>
      <c r="DO73" s="681"/>
      <c r="DP73" s="681"/>
      <c r="DQ73" s="681"/>
      <c r="DR73" s="681"/>
      <c r="DS73" s="681"/>
      <c r="DT73" s="681"/>
      <c r="DU73" s="681"/>
    </row>
    <row r="74" spans="3:125">
      <c r="C74" s="152" t="s">
        <v>1372</v>
      </c>
      <c r="D74" s="156"/>
      <c r="E74" s="156"/>
      <c r="F74" s="156"/>
      <c r="G74" s="156"/>
      <c r="H74" s="156"/>
      <c r="I74" s="156"/>
      <c r="J74" s="156"/>
      <c r="K74" s="156"/>
      <c r="L74" s="156"/>
      <c r="M74" s="156"/>
      <c r="N74" s="156"/>
      <c r="O74" s="156"/>
      <c r="P74" s="156"/>
      <c r="Q74" s="692"/>
      <c r="R74" s="156"/>
      <c r="S74" s="693"/>
      <c r="T74" s="692"/>
      <c r="U74" s="693"/>
      <c r="V74" s="692"/>
      <c r="W74" s="693"/>
      <c r="X74" s="157"/>
      <c r="Y74" s="154"/>
      <c r="Z74" s="667"/>
      <c r="AR74" s="667"/>
      <c r="AS74" s="667"/>
      <c r="AT74" s="667"/>
      <c r="AU74" s="667"/>
      <c r="AV74" s="667"/>
      <c r="AW74" s="667"/>
      <c r="AX74" s="667"/>
      <c r="AY74" s="667"/>
      <c r="AZ74" s="667"/>
      <c r="BA74" s="667"/>
      <c r="BB74" s="667"/>
      <c r="BC74" s="667"/>
      <c r="BE74" s="667"/>
      <c r="BF74" s="667"/>
      <c r="BG74" s="667"/>
      <c r="BH74" s="667"/>
      <c r="BI74" s="667"/>
      <c r="BJ74" s="667"/>
      <c r="BK74" s="667"/>
      <c r="BL74" s="667"/>
      <c r="BM74" s="667"/>
      <c r="BN74" s="667"/>
      <c r="BO74" s="667"/>
      <c r="BP74" s="667"/>
      <c r="BT74" s="152" t="s">
        <v>1372</v>
      </c>
      <c r="BU74" s="156"/>
      <c r="BV74" s="156"/>
      <c r="BW74" s="156"/>
      <c r="BX74" s="156"/>
      <c r="BY74" s="156"/>
      <c r="BZ74" s="156"/>
      <c r="CA74" s="156"/>
      <c r="CB74" s="156"/>
      <c r="CC74" s="156"/>
      <c r="CD74" s="156"/>
      <c r="CE74" s="692"/>
      <c r="CF74" s="156"/>
      <c r="CG74" s="693"/>
      <c r="CH74" s="692"/>
      <c r="CI74" s="693"/>
      <c r="CJ74" s="692"/>
      <c r="CK74" s="693"/>
      <c r="CL74" s="157"/>
      <c r="CM74" s="154"/>
      <c r="CN74" s="667"/>
      <c r="DC74" s="667"/>
      <c r="DD74" s="667"/>
      <c r="DE74" s="667"/>
      <c r="DF74" s="667"/>
      <c r="DG74" s="667"/>
      <c r="DH74" s="667"/>
      <c r="DI74" s="667"/>
      <c r="DJ74" s="667"/>
      <c r="DK74" s="667"/>
      <c r="DM74" s="667"/>
      <c r="DN74" s="667"/>
      <c r="DO74" s="667"/>
      <c r="DP74" s="667"/>
      <c r="DQ74" s="667"/>
      <c r="DR74" s="667"/>
      <c r="DS74" s="667"/>
      <c r="DT74" s="667"/>
      <c r="DU74" s="667"/>
    </row>
    <row r="75" spans="3:125">
      <c r="C75" s="155" t="s">
        <v>1373</v>
      </c>
      <c r="D75" s="157">
        <f>HY!M86</f>
        <v>0.17</v>
      </c>
      <c r="E75" s="157">
        <f>HY!N86</f>
        <v>0.16781500675980171</v>
      </c>
      <c r="F75" s="157">
        <f>HY!O86</f>
        <v>0.16400000000000001</v>
      </c>
      <c r="G75" s="157">
        <f>HY!P86</f>
        <v>0.16400000000000001</v>
      </c>
      <c r="H75" s="157">
        <f>HY!Q86</f>
        <v>0.16500000000000001</v>
      </c>
      <c r="I75" s="157">
        <f>HY!R86</f>
        <v>0.17199999999999999</v>
      </c>
      <c r="J75" s="157">
        <f>HY!S86</f>
        <v>0.17</v>
      </c>
      <c r="K75" s="157">
        <f>HY!T86</f>
        <v>0.16900000000000001</v>
      </c>
      <c r="L75" s="157">
        <f>HY!U86</f>
        <v>0.16300000000000001</v>
      </c>
      <c r="M75" s="157">
        <f>HY!V86</f>
        <v>0.16800000000000001</v>
      </c>
      <c r="N75" s="157">
        <f>HY!W86</f>
        <v>0.16800000000000001</v>
      </c>
      <c r="O75" s="157">
        <f>HY!X86</f>
        <v>0.16800000000000001</v>
      </c>
      <c r="P75" s="156"/>
      <c r="Q75" s="698">
        <f>J75</f>
        <v>0.17</v>
      </c>
      <c r="R75" s="157">
        <v>0.16300000000000001</v>
      </c>
      <c r="S75" s="699">
        <f>($R75-Q75)*100</f>
        <v>-0.70000000000000062</v>
      </c>
      <c r="T75" s="698">
        <f>L75</f>
        <v>0.16300000000000001</v>
      </c>
      <c r="U75" s="699">
        <f>($R75-T75)*100</f>
        <v>0</v>
      </c>
      <c r="V75" s="698"/>
      <c r="W75" s="699"/>
      <c r="X75" s="157"/>
      <c r="Y75" s="154"/>
      <c r="Z75" s="667"/>
      <c r="AB75" s="145" t="s">
        <v>1352</v>
      </c>
      <c r="AR75" s="667"/>
      <c r="AS75" s="667"/>
      <c r="AT75" s="667"/>
      <c r="AU75" s="667"/>
      <c r="AV75" s="667"/>
      <c r="AW75" s="667"/>
      <c r="AX75" s="667"/>
      <c r="AY75" s="667"/>
      <c r="AZ75" s="667"/>
      <c r="BA75" s="667"/>
      <c r="BB75" s="667"/>
      <c r="BC75" s="667"/>
      <c r="BE75" s="667"/>
      <c r="BF75" s="667"/>
      <c r="BG75" s="667"/>
      <c r="BH75" s="667"/>
      <c r="BI75" s="667"/>
      <c r="BJ75" s="667"/>
      <c r="BK75" s="667"/>
      <c r="BL75" s="667"/>
      <c r="BM75" s="667"/>
      <c r="BN75" s="667"/>
      <c r="BO75" s="667"/>
      <c r="BP75" s="667"/>
      <c r="BT75" s="155" t="s">
        <v>1373</v>
      </c>
      <c r="BU75" s="157">
        <f>FY!C230</f>
        <v>0.16900000000000001</v>
      </c>
      <c r="BV75" s="157">
        <f>FY!D230</f>
        <v>0.16400000000000001</v>
      </c>
      <c r="BW75" s="157">
        <f>FY!E230</f>
        <v>0.16800000000000001</v>
      </c>
      <c r="BX75" s="157">
        <f>FY!F230</f>
        <v>0.17</v>
      </c>
      <c r="BY75" s="157">
        <f>FY!G230</f>
        <v>0.16600000000000001</v>
      </c>
      <c r="BZ75" s="157">
        <f>FY!H230</f>
        <v>0.16800000000000001</v>
      </c>
      <c r="CA75" s="157">
        <f>FY!I230</f>
        <v>0.16800000000000001</v>
      </c>
      <c r="CB75" s="157">
        <f>FY!J230</f>
        <v>0.16800000000000001</v>
      </c>
      <c r="CC75" s="157">
        <f>FY!K230</f>
        <v>0.16800000000000001</v>
      </c>
      <c r="CD75" s="156"/>
      <c r="CE75" s="698">
        <f>BX75</f>
        <v>0.17</v>
      </c>
      <c r="CF75" s="157">
        <v>0.16600000000000001</v>
      </c>
      <c r="CG75" s="699">
        <f>($CF75-CE75)*100</f>
        <v>-0.40000000000000036</v>
      </c>
      <c r="CH75" s="698">
        <f>BY75</f>
        <v>0.16600000000000001</v>
      </c>
      <c r="CI75" s="699">
        <f>($CF75-CH75)*100</f>
        <v>0</v>
      </c>
      <c r="CJ75" s="698"/>
      <c r="CK75" s="699"/>
      <c r="CL75" s="157"/>
      <c r="CM75" s="154"/>
      <c r="CN75" s="667"/>
      <c r="CP75" s="145" t="s">
        <v>1352</v>
      </c>
      <c r="DC75" s="667"/>
      <c r="DD75" s="667"/>
      <c r="DE75" s="667"/>
      <c r="DF75" s="667"/>
      <c r="DG75" s="667"/>
      <c r="DH75" s="667"/>
      <c r="DI75" s="667"/>
      <c r="DJ75" s="667"/>
      <c r="DK75" s="667"/>
      <c r="DM75" s="667"/>
      <c r="DN75" s="667"/>
      <c r="DO75" s="667"/>
      <c r="DP75" s="667"/>
      <c r="DQ75" s="667"/>
      <c r="DR75" s="667"/>
      <c r="DS75" s="667"/>
      <c r="DT75" s="667"/>
      <c r="DU75" s="667"/>
    </row>
    <row r="76" spans="3:125">
      <c r="C76" s="155" t="s">
        <v>1374</v>
      </c>
      <c r="D76" s="157">
        <f>HY!M87</f>
        <v>0.13400000000000001</v>
      </c>
      <c r="E76" s="157">
        <f>HY!N87</f>
        <v>0.1351509689049121</v>
      </c>
      <c r="F76" s="157">
        <f>HY!O87</f>
        <v>0.122</v>
      </c>
      <c r="G76" s="157">
        <f>HY!P87</f>
        <v>0.124</v>
      </c>
      <c r="H76" s="157">
        <f>HY!Q87</f>
        <v>0.121</v>
      </c>
      <c r="I76" s="157">
        <f>HY!R87</f>
        <v>0.13300000000000001</v>
      </c>
      <c r="J76" s="157">
        <f>HY!S87</f>
        <v>0.128</v>
      </c>
      <c r="K76" s="157">
        <f>HY!T87</f>
        <v>0.13</v>
      </c>
      <c r="L76" s="157">
        <f>HY!U87</f>
        <v>0.123</v>
      </c>
      <c r="M76" s="157">
        <f>HY!V87</f>
        <v>0.129</v>
      </c>
      <c r="N76" s="157">
        <f>HY!W87</f>
        <v>0.128</v>
      </c>
      <c r="O76" s="157">
        <f>HY!X87</f>
        <v>0.1285</v>
      </c>
      <c r="P76" s="156"/>
      <c r="Q76" s="698">
        <f>J76</f>
        <v>0.128</v>
      </c>
      <c r="R76" s="157">
        <v>0.123</v>
      </c>
      <c r="S76" s="699">
        <f>($R76-Q76)*100</f>
        <v>-0.50000000000000044</v>
      </c>
      <c r="T76" s="698">
        <f>L76</f>
        <v>0.123</v>
      </c>
      <c r="U76" s="699">
        <f>($R76-T76)*100</f>
        <v>0</v>
      </c>
      <c r="V76" s="698"/>
      <c r="W76" s="699"/>
      <c r="X76" s="157"/>
      <c r="Y76" s="154"/>
      <c r="Z76" s="667"/>
      <c r="AB76" s="145" t="s">
        <v>1352</v>
      </c>
      <c r="AR76" s="667"/>
      <c r="AS76" s="667"/>
      <c r="AT76" s="667"/>
      <c r="AU76" s="667"/>
      <c r="AV76" s="667"/>
      <c r="AW76" s="667"/>
      <c r="AX76" s="667"/>
      <c r="AY76" s="667"/>
      <c r="AZ76" s="667"/>
      <c r="BA76" s="667"/>
      <c r="BB76" s="667"/>
      <c r="BC76" s="667"/>
      <c r="BE76" s="667"/>
      <c r="BF76" s="667"/>
      <c r="BG76" s="667"/>
      <c r="BH76" s="667"/>
      <c r="BI76" s="667"/>
      <c r="BJ76" s="667"/>
      <c r="BK76" s="667"/>
      <c r="BL76" s="667"/>
      <c r="BM76" s="667"/>
      <c r="BN76" s="667"/>
      <c r="BO76" s="667"/>
      <c r="BP76" s="667"/>
      <c r="BT76" s="155" t="s">
        <v>1374</v>
      </c>
      <c r="BU76" s="157">
        <f>FY!C231</f>
        <v>0.13400000000000001</v>
      </c>
      <c r="BV76" s="157">
        <f>FY!D231</f>
        <v>0.123</v>
      </c>
      <c r="BW76" s="157">
        <f>FY!E231</f>
        <v>0.127</v>
      </c>
      <c r="BX76" s="157">
        <f>FY!F231</f>
        <v>0.129</v>
      </c>
      <c r="BY76" s="157">
        <f>FY!G231</f>
        <v>0.126</v>
      </c>
      <c r="BZ76" s="157">
        <f>FY!H231</f>
        <v>0.1285</v>
      </c>
      <c r="CA76" s="157">
        <f>FY!I231</f>
        <v>0.12799999999999997</v>
      </c>
      <c r="CB76" s="157">
        <f>FY!J231</f>
        <v>0.128</v>
      </c>
      <c r="CC76" s="157">
        <f>FY!K231</f>
        <v>0.12800000000000003</v>
      </c>
      <c r="CD76" s="156"/>
      <c r="CE76" s="698">
        <f>BX76</f>
        <v>0.129</v>
      </c>
      <c r="CF76" s="157">
        <v>0.126</v>
      </c>
      <c r="CG76" s="699">
        <f>($CF76-CE76)*100</f>
        <v>-0.30000000000000027</v>
      </c>
      <c r="CH76" s="698">
        <f>BY76</f>
        <v>0.126</v>
      </c>
      <c r="CI76" s="699">
        <f>($CF76-CH76)*100</f>
        <v>0</v>
      </c>
      <c r="CJ76" s="698"/>
      <c r="CK76" s="699"/>
      <c r="CL76" s="157"/>
      <c r="CM76" s="154"/>
      <c r="CN76" s="667"/>
      <c r="CP76" s="145" t="s">
        <v>1352</v>
      </c>
      <c r="DC76" s="667"/>
      <c r="DD76" s="667"/>
      <c r="DE76" s="667"/>
      <c r="DF76" s="667"/>
      <c r="DG76" s="667"/>
      <c r="DH76" s="667"/>
      <c r="DI76" s="667"/>
      <c r="DJ76" s="667"/>
      <c r="DK76" s="667"/>
      <c r="DM76" s="667"/>
      <c r="DN76" s="667"/>
      <c r="DO76" s="667"/>
      <c r="DP76" s="667"/>
      <c r="DQ76" s="667"/>
      <c r="DR76" s="667"/>
      <c r="DS76" s="667"/>
      <c r="DT76" s="667"/>
      <c r="DU76" s="667"/>
    </row>
    <row r="77" spans="3:125">
      <c r="C77" s="155" t="s">
        <v>1375</v>
      </c>
      <c r="D77" s="157">
        <f>HY!M107</f>
        <v>0.16700000000000001</v>
      </c>
      <c r="E77" s="157">
        <f>HY!N107</f>
        <v>0.16585897746547126</v>
      </c>
      <c r="F77" s="157">
        <f>HY!O107</f>
        <v>0.16600000000000001</v>
      </c>
      <c r="G77" s="157">
        <f>HY!P107</f>
        <v>0.16772320150505091</v>
      </c>
      <c r="H77" s="157">
        <f>HY!Q107</f>
        <v>0.16800000000000001</v>
      </c>
      <c r="I77" s="157">
        <f>HY!R107</f>
        <v>0.17395278594706298</v>
      </c>
      <c r="J77" s="157">
        <f>HY!S107</f>
        <v>0.17199999999999999</v>
      </c>
      <c r="K77" s="157">
        <f>HY!T107</f>
        <v>0.16981939903471896</v>
      </c>
      <c r="L77" s="157">
        <f>HY!U107</f>
        <v>0.17</v>
      </c>
      <c r="M77" s="157">
        <f>HY!V107</f>
        <v>0.17030888030888028</v>
      </c>
      <c r="N77" s="157">
        <f>HY!W107</f>
        <v>0.17</v>
      </c>
      <c r="O77" s="157">
        <f>HY!X107</f>
        <v>0.17</v>
      </c>
      <c r="P77" s="156"/>
      <c r="Q77" s="698">
        <f>J77</f>
        <v>0.17199999999999999</v>
      </c>
      <c r="R77" s="157">
        <v>0.17</v>
      </c>
      <c r="S77" s="699">
        <f>($R77-Q77)*100</f>
        <v>-0.1999999999999974</v>
      </c>
      <c r="T77" s="698">
        <f>L77</f>
        <v>0.17</v>
      </c>
      <c r="U77" s="699">
        <f>($R77-T77)*100</f>
        <v>0</v>
      </c>
      <c r="V77" s="698"/>
      <c r="W77" s="699"/>
      <c r="X77" s="157"/>
      <c r="Y77" s="154"/>
      <c r="Z77" s="667"/>
      <c r="AB77" s="145" t="s">
        <v>1352</v>
      </c>
      <c r="AR77" s="667"/>
      <c r="AS77" s="667"/>
      <c r="AT77" s="667"/>
      <c r="AU77" s="667"/>
      <c r="AV77" s="667"/>
      <c r="AW77" s="667"/>
      <c r="AX77" s="667"/>
      <c r="AY77" s="667"/>
      <c r="AZ77" s="667"/>
      <c r="BA77" s="667"/>
      <c r="BB77" s="667"/>
      <c r="BC77" s="667"/>
      <c r="BE77" s="667"/>
      <c r="BF77" s="667"/>
      <c r="BG77" s="667"/>
      <c r="BH77" s="667"/>
      <c r="BI77" s="667"/>
      <c r="BJ77" s="667"/>
      <c r="BK77" s="667"/>
      <c r="BL77" s="667"/>
      <c r="BM77" s="667"/>
      <c r="BN77" s="667"/>
      <c r="BO77" s="667"/>
      <c r="BP77" s="667"/>
      <c r="BT77" s="155" t="s">
        <v>1375</v>
      </c>
      <c r="BU77" s="157">
        <f>FY!C232</f>
        <v>0.16700000000000001</v>
      </c>
      <c r="BV77" s="157">
        <f>FY!D232</f>
        <v>0.16700000000000001</v>
      </c>
      <c r="BW77" s="157">
        <f>FY!E232</f>
        <v>0.17100000000000001</v>
      </c>
      <c r="BX77" s="157">
        <f>FY!F232</f>
        <v>0.17100000000000001</v>
      </c>
      <c r="BY77" s="157">
        <f>FY!G232</f>
        <v>0.17</v>
      </c>
      <c r="BZ77" s="157">
        <f>FY!H232</f>
        <v>0.17</v>
      </c>
      <c r="CA77" s="157">
        <f>FY!I232</f>
        <v>0.17</v>
      </c>
      <c r="CB77" s="157">
        <f>FY!J232</f>
        <v>0.17</v>
      </c>
      <c r="CC77" s="157">
        <f>FY!K232</f>
        <v>0.17</v>
      </c>
      <c r="CD77" s="156"/>
      <c r="CE77" s="698">
        <f>BX77</f>
        <v>0.17100000000000001</v>
      </c>
      <c r="CF77" s="157">
        <v>0.17</v>
      </c>
      <c r="CG77" s="699">
        <f>($CF77-CE77)*100</f>
        <v>-0.10000000000000009</v>
      </c>
      <c r="CH77" s="698">
        <f>BY77</f>
        <v>0.17</v>
      </c>
      <c r="CI77" s="699">
        <f>($CF77-CH77)*100</f>
        <v>0</v>
      </c>
      <c r="CJ77" s="698"/>
      <c r="CK77" s="699"/>
      <c r="CL77" s="157"/>
      <c r="CM77" s="154"/>
      <c r="CN77" s="667"/>
      <c r="CP77" s="145" t="s">
        <v>1352</v>
      </c>
      <c r="DC77" s="667"/>
      <c r="DD77" s="667"/>
      <c r="DE77" s="667"/>
      <c r="DF77" s="667"/>
      <c r="DG77" s="667"/>
      <c r="DH77" s="667"/>
      <c r="DI77" s="667"/>
      <c r="DJ77" s="667"/>
      <c r="DK77" s="667"/>
      <c r="DM77" s="667"/>
      <c r="DN77" s="667"/>
      <c r="DO77" s="667"/>
      <c r="DP77" s="667"/>
      <c r="DQ77" s="667"/>
      <c r="DR77" s="667"/>
      <c r="DS77" s="667"/>
      <c r="DT77" s="667"/>
      <c r="DU77" s="667"/>
    </row>
    <row r="78" spans="3:125" s="666" customFormat="1">
      <c r="C78" s="672"/>
      <c r="D78" s="668"/>
      <c r="E78" s="668"/>
      <c r="F78" s="668"/>
      <c r="G78" s="668"/>
      <c r="H78" s="668"/>
      <c r="I78" s="668"/>
      <c r="J78" s="668"/>
      <c r="K78" s="668"/>
      <c r="L78" s="668"/>
      <c r="M78" s="668"/>
      <c r="N78" s="668"/>
      <c r="O78" s="668"/>
      <c r="P78" s="668"/>
      <c r="Q78" s="696"/>
      <c r="R78" s="668"/>
      <c r="S78" s="697"/>
      <c r="T78" s="696"/>
      <c r="U78" s="697"/>
      <c r="V78" s="696"/>
      <c r="W78" s="697"/>
      <c r="X78" s="669"/>
      <c r="Y78" s="670"/>
      <c r="Z78" s="667"/>
      <c r="AB78" s="147"/>
      <c r="AC78"/>
      <c r="AD78"/>
      <c r="AE78"/>
      <c r="AF78"/>
      <c r="AG78"/>
      <c r="AH78"/>
      <c r="AI78"/>
      <c r="AJ78"/>
      <c r="AK78"/>
      <c r="AL78"/>
      <c r="AM78"/>
      <c r="AN78"/>
      <c r="AO78"/>
      <c r="AP78"/>
      <c r="AQ78"/>
      <c r="AR78" s="667"/>
      <c r="AS78" s="667"/>
      <c r="AT78" s="667"/>
      <c r="AU78" s="667"/>
      <c r="AV78" s="667"/>
      <c r="AW78" s="667"/>
      <c r="AX78" s="667"/>
      <c r="AY78" s="667"/>
      <c r="AZ78" s="667"/>
      <c r="BA78" s="667"/>
      <c r="BB78" s="667"/>
      <c r="BC78" s="667"/>
      <c r="BD78"/>
      <c r="BE78" s="667"/>
      <c r="BF78" s="667"/>
      <c r="BG78" s="667"/>
      <c r="BH78" s="667"/>
      <c r="BI78" s="667"/>
      <c r="BJ78" s="667"/>
      <c r="BK78" s="667"/>
      <c r="BL78" s="667"/>
      <c r="BM78" s="667"/>
      <c r="BN78" s="667"/>
      <c r="BO78" s="667"/>
      <c r="BP78" s="667"/>
      <c r="BT78" s="672"/>
      <c r="BU78" s="668"/>
      <c r="BV78" s="668"/>
      <c r="BW78" s="668"/>
      <c r="BX78" s="668"/>
      <c r="BY78" s="668"/>
      <c r="BZ78" s="668"/>
      <c r="CA78" s="668"/>
      <c r="CB78" s="668"/>
      <c r="CC78" s="668"/>
      <c r="CD78" s="668"/>
      <c r="CE78" s="696"/>
      <c r="CF78" s="668"/>
      <c r="CG78" s="697"/>
      <c r="CH78" s="696"/>
      <c r="CI78" s="697"/>
      <c r="CJ78" s="696"/>
      <c r="CK78" s="697"/>
      <c r="CL78" s="669"/>
      <c r="CM78" s="670"/>
      <c r="CN78" s="667"/>
      <c r="CP78" s="147"/>
      <c r="CQ78"/>
      <c r="CR78"/>
      <c r="CS78"/>
      <c r="CT78"/>
      <c r="CU78"/>
      <c r="CV78"/>
      <c r="CW78"/>
      <c r="CX78"/>
      <c r="CY78"/>
      <c r="CZ78"/>
      <c r="DA78"/>
      <c r="DB78"/>
      <c r="DC78" s="667"/>
      <c r="DD78" s="667"/>
      <c r="DE78" s="667"/>
      <c r="DF78" s="667"/>
      <c r="DG78" s="667"/>
      <c r="DH78" s="667"/>
      <c r="DI78" s="667"/>
      <c r="DJ78" s="667"/>
      <c r="DK78" s="667"/>
      <c r="DL78"/>
      <c r="DM78" s="667"/>
      <c r="DN78" s="667"/>
      <c r="DO78" s="667"/>
      <c r="DP78" s="667"/>
      <c r="DQ78" s="667"/>
      <c r="DR78" s="667"/>
      <c r="DS78" s="667"/>
      <c r="DT78" s="667"/>
      <c r="DU78" s="667"/>
    </row>
  </sheetData>
  <phoneticPr fontId="42" type="noConversion"/>
  <pageMargins left="0.7" right="0.7" top="0.75" bottom="0.75" header="0.3" footer="0.3"/>
  <pageSetup paperSize="9" orientation="portrait" r:id="rId1"/>
  <ignoredErrors>
    <ignoredError sqref="CG71"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0F952-A5D7-45BB-9299-E5FC73A61162}">
  <sheetPr codeName="Sheet9">
    <tabColor theme="0" tint="-0.14999847407452621"/>
  </sheetPr>
  <dimension ref="C2:Q15"/>
  <sheetViews>
    <sheetView showGridLines="0" zoomScale="130" zoomScaleNormal="130" workbookViewId="0">
      <selection activeCell="I17" sqref="I17"/>
    </sheetView>
  </sheetViews>
  <sheetFormatPr defaultRowHeight="15" outlineLevelCol="1"/>
  <cols>
    <col min="1" max="1" width="2.7109375" customWidth="1"/>
    <col min="2" max="2" width="1.7109375" customWidth="1"/>
    <col min="3" max="3" width="12.7109375" style="787" customWidth="1"/>
    <col min="4" max="4" width="9.7109375" customWidth="1"/>
    <col min="5" max="7" width="8.7109375" customWidth="1" outlineLevel="1"/>
    <col min="8" max="10" width="8.7109375" customWidth="1"/>
    <col min="11" max="15" width="8.7109375" customWidth="1" outlineLevel="1"/>
    <col min="16" max="16" width="1.7109375" customWidth="1"/>
  </cols>
  <sheetData>
    <row r="2" spans="3:17" ht="13.5" customHeight="1">
      <c r="C2" s="770"/>
      <c r="D2" s="150"/>
      <c r="E2" s="771" t="s">
        <v>1108</v>
      </c>
      <c r="F2" s="771" t="s">
        <v>1109</v>
      </c>
      <c r="G2" s="771" t="s">
        <v>1104</v>
      </c>
      <c r="H2" s="771" t="s">
        <v>1383</v>
      </c>
      <c r="I2" s="771" t="s">
        <v>1549</v>
      </c>
      <c r="J2" s="771" t="s">
        <v>1550</v>
      </c>
      <c r="K2" s="771" t="s">
        <v>1551</v>
      </c>
      <c r="L2" s="771" t="s">
        <v>1649</v>
      </c>
      <c r="M2" s="771" t="s">
        <v>1650</v>
      </c>
      <c r="N2" s="771" t="s">
        <v>1651</v>
      </c>
      <c r="O2" s="771" t="s">
        <v>1652</v>
      </c>
    </row>
    <row r="3" spans="3:17" s="666" customFormat="1" ht="13.5" customHeight="1">
      <c r="C3" s="772" t="s">
        <v>1</v>
      </c>
      <c r="D3" s="773" t="s">
        <v>97</v>
      </c>
      <c r="E3" s="774">
        <f>FY!E$63</f>
        <v>2338.9</v>
      </c>
      <c r="F3" s="774">
        <f>FY!F$63</f>
        <v>2614.6</v>
      </c>
      <c r="G3" s="774">
        <f>FY!G$63</f>
        <v>2636.3</v>
      </c>
      <c r="H3" s="774">
        <f>FY!H$63</f>
        <v>2746.9683164500002</v>
      </c>
      <c r="I3" s="774">
        <f>FY!I$63</f>
        <v>2846.857735525</v>
      </c>
      <c r="J3" s="774">
        <f>FY!J$63</f>
        <v>2878.0066722777797</v>
      </c>
      <c r="K3" s="774">
        <f>FY!K$63</f>
        <v>2944.2613925879818</v>
      </c>
      <c r="L3" s="774">
        <f>FY!L$63</f>
        <v>2992.334805052195</v>
      </c>
      <c r="M3" s="774">
        <f>FY!M$63</f>
        <v>3042.2498441834691</v>
      </c>
      <c r="N3" s="774">
        <f>FY!N$63</f>
        <v>3094.0577645388848</v>
      </c>
      <c r="O3" s="774">
        <f>FY!O$63</f>
        <v>3147.8113982546638</v>
      </c>
      <c r="P3" s="272"/>
    </row>
    <row r="4" spans="3:17" ht="13.5" customHeight="1">
      <c r="C4" s="772"/>
      <c r="D4" s="775" t="s">
        <v>96</v>
      </c>
      <c r="E4" s="776">
        <v>2338.9</v>
      </c>
      <c r="F4" s="776">
        <v>2614.6</v>
      </c>
      <c r="G4" s="776">
        <v>2636.3</v>
      </c>
      <c r="H4" s="776">
        <v>2746.9683164500002</v>
      </c>
      <c r="I4" s="776">
        <v>2846.857735525</v>
      </c>
      <c r="J4" s="776">
        <v>2878.0066722777797</v>
      </c>
      <c r="K4" s="776">
        <v>2944.2613925879818</v>
      </c>
      <c r="L4" s="776">
        <v>2992.334805052195</v>
      </c>
      <c r="M4" s="776">
        <v>3042.2498441834691</v>
      </c>
      <c r="N4" s="776">
        <v>3094.0577645388848</v>
      </c>
      <c r="O4" s="776">
        <v>3147.8113982546638</v>
      </c>
      <c r="P4" s="148"/>
      <c r="Q4" t="s">
        <v>1636</v>
      </c>
    </row>
    <row r="5" spans="3:17" ht="13.5" customHeight="1">
      <c r="C5" s="777"/>
      <c r="D5" s="778" t="s">
        <v>98</v>
      </c>
      <c r="E5" s="779">
        <f t="shared" ref="E5:K5" si="0">E3/E4-1</f>
        <v>0</v>
      </c>
      <c r="F5" s="779">
        <f t="shared" si="0"/>
        <v>0</v>
      </c>
      <c r="G5" s="779">
        <f t="shared" si="0"/>
        <v>0</v>
      </c>
      <c r="H5" s="779">
        <f t="shared" si="0"/>
        <v>0</v>
      </c>
      <c r="I5" s="779">
        <f t="shared" si="0"/>
        <v>0</v>
      </c>
      <c r="J5" s="779">
        <f t="shared" si="0"/>
        <v>0</v>
      </c>
      <c r="K5" s="779">
        <f t="shared" si="0"/>
        <v>0</v>
      </c>
      <c r="L5" s="779">
        <f>L3/L4-1</f>
        <v>0</v>
      </c>
      <c r="M5" s="779">
        <f>M3/M4-1</f>
        <v>0</v>
      </c>
      <c r="N5" s="779">
        <f>N3/N4-1</f>
        <v>0</v>
      </c>
      <c r="O5" s="779">
        <f>O3/O4-1</f>
        <v>0</v>
      </c>
      <c r="P5" s="148"/>
    </row>
    <row r="6" spans="3:17" s="666" customFormat="1" ht="13.5" customHeight="1">
      <c r="C6" s="772" t="s">
        <v>2</v>
      </c>
      <c r="D6" s="773" t="s">
        <v>97</v>
      </c>
      <c r="E6" s="774">
        <f>FY!E$67</f>
        <v>317.7</v>
      </c>
      <c r="F6" s="774">
        <f>FY!F$67</f>
        <v>391.5</v>
      </c>
      <c r="G6" s="774">
        <f>FY!G$67</f>
        <v>431.7</v>
      </c>
      <c r="H6" s="774">
        <f>FY!H$67</f>
        <v>466.42006447494691</v>
      </c>
      <c r="I6" s="774">
        <f>FY!I$67</f>
        <v>485.64577074650185</v>
      </c>
      <c r="J6" s="774">
        <f>FY!J$67</f>
        <v>494.3637097202735</v>
      </c>
      <c r="K6" s="774">
        <f>FY!K$67</f>
        <v>501.26085646792001</v>
      </c>
      <c r="L6" s="774">
        <f>FY!L$67</f>
        <v>507.07544936206921</v>
      </c>
      <c r="M6" s="774">
        <f>FY!M$67</f>
        <v>513.35579797440937</v>
      </c>
      <c r="N6" s="774">
        <f>FY!N$67</f>
        <v>520.11696815723963</v>
      </c>
      <c r="O6" s="774">
        <f>FY!O$67</f>
        <v>527.37454693382267</v>
      </c>
      <c r="P6" s="780"/>
    </row>
    <row r="7" spans="3:17" ht="13.5" customHeight="1">
      <c r="C7" s="772"/>
      <c r="D7" s="775" t="s">
        <v>96</v>
      </c>
      <c r="E7" s="776">
        <v>317.7</v>
      </c>
      <c r="F7" s="776">
        <v>391.5</v>
      </c>
      <c r="G7" s="776">
        <v>431.7</v>
      </c>
      <c r="H7" s="776">
        <v>466.42006447494691</v>
      </c>
      <c r="I7" s="776">
        <v>485.64577074650185</v>
      </c>
      <c r="J7" s="776">
        <v>494.3637097202735</v>
      </c>
      <c r="K7" s="776">
        <v>501.26085646792001</v>
      </c>
      <c r="L7" s="776">
        <v>507.07544936206921</v>
      </c>
      <c r="M7" s="776">
        <v>513.35579797440937</v>
      </c>
      <c r="N7" s="776">
        <v>520.11696815723963</v>
      </c>
      <c r="O7" s="776">
        <v>527.37454693382267</v>
      </c>
      <c r="P7" s="148"/>
      <c r="Q7" s="148"/>
    </row>
    <row r="8" spans="3:17" ht="13.5" customHeight="1">
      <c r="C8" s="777"/>
      <c r="D8" s="778" t="s">
        <v>98</v>
      </c>
      <c r="E8" s="779">
        <f t="shared" ref="E8:K8" si="1">E6/E7-1</f>
        <v>0</v>
      </c>
      <c r="F8" s="779">
        <f t="shared" si="1"/>
        <v>0</v>
      </c>
      <c r="G8" s="779">
        <f t="shared" si="1"/>
        <v>0</v>
      </c>
      <c r="H8" s="779">
        <f t="shared" si="1"/>
        <v>0</v>
      </c>
      <c r="I8" s="779">
        <f t="shared" si="1"/>
        <v>0</v>
      </c>
      <c r="J8" s="779">
        <f t="shared" si="1"/>
        <v>0</v>
      </c>
      <c r="K8" s="779">
        <f t="shared" si="1"/>
        <v>0</v>
      </c>
      <c r="L8" s="779">
        <f>L6/L7-1</f>
        <v>0</v>
      </c>
      <c r="M8" s="779">
        <f>M6/M7-1</f>
        <v>0</v>
      </c>
      <c r="N8" s="779">
        <f>N6/N7-1</f>
        <v>0</v>
      </c>
      <c r="O8" s="779">
        <f>O6/O7-1</f>
        <v>0</v>
      </c>
      <c r="P8" s="703"/>
    </row>
    <row r="9" spans="3:17" s="666" customFormat="1" ht="13.5" customHeight="1">
      <c r="C9" s="772" t="s">
        <v>15</v>
      </c>
      <c r="D9" s="773" t="s">
        <v>97</v>
      </c>
      <c r="E9" s="774">
        <f>FY!E81</f>
        <v>28</v>
      </c>
      <c r="F9" s="774">
        <f>FY!F81</f>
        <v>49.5</v>
      </c>
      <c r="G9" s="774">
        <f>FY!G81</f>
        <v>71.099999999999994</v>
      </c>
      <c r="H9" s="774">
        <f>FY!H81</f>
        <v>89.7102640224374</v>
      </c>
      <c r="I9" s="774">
        <f>FY!I81</f>
        <v>110.08763373471828</v>
      </c>
      <c r="J9" s="774">
        <f>FY!J81</f>
        <v>120.65762879326125</v>
      </c>
      <c r="K9" s="774">
        <f>FY!K81</f>
        <v>137.49125689685403</v>
      </c>
      <c r="L9" s="774">
        <f>FY!L81</f>
        <v>149.0416765387144</v>
      </c>
      <c r="M9" s="774">
        <f>FY!M81</f>
        <v>158.36107407983096</v>
      </c>
      <c r="N9" s="774">
        <f>FY!N81</f>
        <v>167.95644966005273</v>
      </c>
      <c r="O9" s="774">
        <f>FY!O81</f>
        <v>203.06758431900397</v>
      </c>
      <c r="P9" s="780"/>
    </row>
    <row r="10" spans="3:17" ht="13.5" customHeight="1">
      <c r="C10" s="772"/>
      <c r="D10" s="775" t="s">
        <v>96</v>
      </c>
      <c r="E10" s="776">
        <v>28</v>
      </c>
      <c r="F10" s="776">
        <v>49.5</v>
      </c>
      <c r="G10" s="776">
        <v>71.099999999999994</v>
      </c>
      <c r="H10" s="776">
        <v>89.7102640224374</v>
      </c>
      <c r="I10" s="776">
        <v>110.08763373471828</v>
      </c>
      <c r="J10" s="776">
        <v>120.65762879326125</v>
      </c>
      <c r="K10" s="776">
        <v>137.49125689685403</v>
      </c>
      <c r="L10" s="776">
        <v>149.0416765387144</v>
      </c>
      <c r="M10" s="776">
        <v>158.36107407983096</v>
      </c>
      <c r="N10" s="776">
        <v>167.95644966005273</v>
      </c>
      <c r="O10" s="776">
        <v>203.06758431900397</v>
      </c>
      <c r="P10" s="148"/>
    </row>
    <row r="11" spans="3:17" ht="13.5" customHeight="1">
      <c r="C11" s="777"/>
      <c r="D11" s="778" t="s">
        <v>98</v>
      </c>
      <c r="E11" s="779">
        <f t="shared" ref="E11:K11" si="2">E9/E10-1</f>
        <v>0</v>
      </c>
      <c r="F11" s="779">
        <f t="shared" si="2"/>
        <v>0</v>
      </c>
      <c r="G11" s="779">
        <f t="shared" si="2"/>
        <v>0</v>
      </c>
      <c r="H11" s="779">
        <f t="shared" si="2"/>
        <v>0</v>
      </c>
      <c r="I11" s="779">
        <f t="shared" si="2"/>
        <v>0</v>
      </c>
      <c r="J11" s="779">
        <f t="shared" si="2"/>
        <v>0</v>
      </c>
      <c r="K11" s="779">
        <f t="shared" si="2"/>
        <v>0</v>
      </c>
      <c r="L11" s="779">
        <f>L9/L10-1</f>
        <v>0</v>
      </c>
      <c r="M11" s="779">
        <f>M9/M10-1</f>
        <v>0</v>
      </c>
      <c r="N11" s="779">
        <f>N9/N10-1</f>
        <v>0</v>
      </c>
      <c r="O11" s="779">
        <f>O9/O10-1</f>
        <v>0</v>
      </c>
      <c r="P11" s="703"/>
    </row>
    <row r="12" spans="3:17" s="666" customFormat="1" ht="13.5" customHeight="1">
      <c r="C12" s="772" t="s">
        <v>94</v>
      </c>
      <c r="D12" s="773" t="s">
        <v>97</v>
      </c>
      <c r="E12" s="781"/>
      <c r="F12" s="781"/>
      <c r="G12" s="781"/>
      <c r="H12" s="781">
        <f>HY!D740</f>
        <v>0.89457632937266562</v>
      </c>
      <c r="I12" s="782"/>
      <c r="J12" s="782"/>
      <c r="K12" s="782"/>
      <c r="L12" s="782"/>
      <c r="M12" s="782"/>
      <c r="N12" s="782"/>
      <c r="O12" s="782"/>
      <c r="P12" s="780"/>
    </row>
    <row r="13" spans="3:17" ht="13.5" customHeight="1">
      <c r="C13" s="772"/>
      <c r="D13" s="775" t="s">
        <v>96</v>
      </c>
      <c r="E13" s="783"/>
      <c r="F13" s="783"/>
      <c r="G13" s="783"/>
      <c r="H13" s="783">
        <v>0.89457632937266562</v>
      </c>
      <c r="I13" s="784"/>
      <c r="J13" s="784"/>
      <c r="K13" s="784"/>
      <c r="L13" s="784"/>
      <c r="M13" s="784"/>
      <c r="N13" s="784"/>
      <c r="O13" s="784"/>
      <c r="P13" s="148"/>
    </row>
    <row r="14" spans="3:17" ht="13.5" customHeight="1">
      <c r="C14" s="777"/>
      <c r="D14" s="778" t="s">
        <v>98</v>
      </c>
      <c r="E14" s="779"/>
      <c r="F14" s="779"/>
      <c r="G14" s="779"/>
      <c r="H14" s="779">
        <f>H12/H13-1</f>
        <v>0</v>
      </c>
      <c r="I14" s="785"/>
      <c r="J14" s="785"/>
      <c r="K14" s="785"/>
      <c r="L14" s="785"/>
      <c r="M14" s="785"/>
      <c r="N14" s="785"/>
      <c r="O14" s="785"/>
      <c r="P14" s="148"/>
    </row>
    <row r="15" spans="3:17">
      <c r="C15" s="786"/>
      <c r="D15" s="18"/>
      <c r="E15" s="19"/>
      <c r="F15" s="19"/>
      <c r="G15" s="19"/>
      <c r="H15" s="19"/>
      <c r="I15" s="19"/>
      <c r="J15" s="19"/>
      <c r="K15" s="19"/>
      <c r="L15" s="19"/>
      <c r="M15" s="19"/>
      <c r="N15" s="19"/>
      <c r="O15" s="19"/>
      <c r="P15" s="148"/>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1F35B-2180-43A1-A129-726CD4EDBD45}">
  <sheetPr codeName="Sheet10">
    <tabColor theme="0" tint="-0.14999847407452621"/>
  </sheetPr>
  <dimension ref="A2:CA474"/>
  <sheetViews>
    <sheetView workbookViewId="0">
      <pane xSplit="6" ySplit="6" topLeftCell="G52" activePane="bottomRight" state="frozen"/>
      <selection pane="topRight" activeCell="G1" sqref="G1"/>
      <selection pane="bottomLeft" activeCell="A7" sqref="A7"/>
      <selection pane="bottomRight" activeCell="L198" sqref="L198"/>
    </sheetView>
  </sheetViews>
  <sheetFormatPr defaultColWidth="0" defaultRowHeight="15" outlineLevelRow="1"/>
  <cols>
    <col min="1" max="1" width="4.28515625" customWidth="1"/>
    <col min="2" max="2" width="9.140625" customWidth="1"/>
    <col min="3" max="3" width="30.5703125" bestFit="1" customWidth="1"/>
    <col min="4" max="4" width="6.7109375" customWidth="1"/>
    <col min="5" max="5" width="2.7109375" customWidth="1"/>
    <col min="6" max="6" width="8.140625" bestFit="1" customWidth="1"/>
    <col min="7" max="32" width="6.7109375" customWidth="1"/>
    <col min="33" max="33" width="2.7109375" customWidth="1"/>
    <col min="34" max="34" width="25.7109375" customWidth="1"/>
    <col min="35" max="35" width="6.7109375" customWidth="1"/>
    <col min="36" max="36" width="2.7109375" customWidth="1"/>
    <col min="37" max="37" width="9.7109375" bestFit="1" customWidth="1"/>
    <col min="38" max="50" width="6.7109375" customWidth="1"/>
    <col min="51" max="51" width="9.140625" customWidth="1"/>
    <col min="52" max="79" width="0" hidden="1" customWidth="1"/>
    <col min="80" max="16384" width="9.140625" hidden="1"/>
  </cols>
  <sheetData>
    <row r="2" spans="1:51" s="252" customFormat="1" ht="11.25">
      <c r="C2" s="273" t="s">
        <v>1105</v>
      </c>
      <c r="D2" s="274"/>
      <c r="E2" s="274"/>
      <c r="F2" s="274"/>
      <c r="G2" s="274"/>
      <c r="H2" s="274"/>
      <c r="I2" s="274"/>
      <c r="J2" s="274"/>
      <c r="K2" s="274"/>
      <c r="L2" s="274"/>
      <c r="M2" s="274"/>
      <c r="N2" s="274"/>
      <c r="O2" s="274"/>
      <c r="P2" s="274"/>
      <c r="Q2" s="274"/>
      <c r="R2" s="274"/>
      <c r="S2" s="275"/>
      <c r="T2" s="275"/>
      <c r="U2" s="275"/>
      <c r="V2" s="275"/>
      <c r="W2" s="275"/>
      <c r="X2" s="275"/>
      <c r="Y2" s="275"/>
      <c r="Z2" s="275"/>
      <c r="AA2" s="275"/>
      <c r="AB2" s="275"/>
      <c r="AC2" s="275"/>
      <c r="AD2" s="275"/>
      <c r="AE2" s="275"/>
      <c r="AF2" s="275"/>
      <c r="AG2" s="275"/>
      <c r="AH2" s="275"/>
      <c r="AI2" s="275"/>
      <c r="AJ2" s="274"/>
      <c r="AK2" s="274"/>
      <c r="AL2" s="275"/>
      <c r="AM2" s="275"/>
      <c r="AN2" s="275"/>
      <c r="AO2" s="275"/>
      <c r="AP2" s="275"/>
      <c r="AQ2" s="275"/>
      <c r="AR2" s="275"/>
      <c r="AS2" s="275"/>
      <c r="AT2" s="275"/>
      <c r="AU2" s="275"/>
      <c r="AV2" s="275"/>
      <c r="AW2" s="275"/>
      <c r="AX2" s="275"/>
    </row>
    <row r="3" spans="1:51" s="252" customFormat="1" ht="11.25">
      <c r="D3" s="276"/>
      <c r="E3" s="276"/>
      <c r="F3" s="276"/>
      <c r="G3" s="319" t="s">
        <v>1106</v>
      </c>
      <c r="H3" s="319" t="s">
        <v>1106</v>
      </c>
      <c r="I3" s="319" t="s">
        <v>1107</v>
      </c>
      <c r="J3" s="319" t="s">
        <v>1107</v>
      </c>
      <c r="K3" s="319" t="s">
        <v>1108</v>
      </c>
      <c r="L3" s="319" t="s">
        <v>1108</v>
      </c>
      <c r="M3" s="319" t="s">
        <v>1109</v>
      </c>
      <c r="N3" s="319" t="s">
        <v>1109</v>
      </c>
      <c r="O3" s="319" t="s">
        <v>1110</v>
      </c>
      <c r="P3" s="319" t="s">
        <v>1110</v>
      </c>
      <c r="Q3" s="319" t="s">
        <v>1111</v>
      </c>
      <c r="R3" s="319" t="s">
        <v>1111</v>
      </c>
      <c r="S3" s="319" t="s">
        <v>1112</v>
      </c>
      <c r="T3" s="319" t="s">
        <v>1112</v>
      </c>
      <c r="U3" s="319" t="s">
        <v>1113</v>
      </c>
      <c r="V3" s="319" t="s">
        <v>1113</v>
      </c>
      <c r="W3" s="319" t="s">
        <v>1114</v>
      </c>
      <c r="X3" s="319" t="s">
        <v>1114</v>
      </c>
      <c r="Y3" s="319" t="s">
        <v>1407</v>
      </c>
      <c r="Z3" s="319" t="s">
        <v>1407</v>
      </c>
      <c r="AA3" s="319" t="s">
        <v>1408</v>
      </c>
      <c r="AB3" s="319" t="s">
        <v>1408</v>
      </c>
      <c r="AC3" s="319" t="s">
        <v>1409</v>
      </c>
      <c r="AD3" s="319" t="s">
        <v>1409</v>
      </c>
      <c r="AE3" s="319" t="s">
        <v>1410</v>
      </c>
      <c r="AF3" s="319" t="s">
        <v>1410</v>
      </c>
      <c r="AG3" s="276"/>
      <c r="AH3" s="276"/>
      <c r="AI3" s="276"/>
      <c r="AJ3" s="276"/>
      <c r="AK3" s="276"/>
      <c r="AL3" s="276"/>
      <c r="AM3" s="276"/>
      <c r="AN3" s="276"/>
      <c r="AO3" s="276"/>
      <c r="AP3" s="276"/>
      <c r="AQ3" s="276"/>
      <c r="AR3" s="276"/>
      <c r="AS3" s="276"/>
      <c r="AT3" s="276"/>
      <c r="AU3" s="276"/>
      <c r="AV3" s="276"/>
      <c r="AW3" s="276"/>
      <c r="AX3" s="276"/>
      <c r="AY3" s="277"/>
    </row>
    <row r="5" spans="1:51">
      <c r="C5" s="290"/>
      <c r="D5" s="244" t="s">
        <v>960</v>
      </c>
      <c r="E5" s="244"/>
      <c r="F5" s="244" t="s">
        <v>1084</v>
      </c>
      <c r="G5" s="246" t="s">
        <v>846</v>
      </c>
      <c r="H5" s="245" t="s">
        <v>910</v>
      </c>
      <c r="I5" s="246" t="s">
        <v>968</v>
      </c>
      <c r="J5" s="245" t="s">
        <v>1057</v>
      </c>
      <c r="K5" s="246" t="s">
        <v>911</v>
      </c>
      <c r="L5" s="245" t="s">
        <v>912</v>
      </c>
      <c r="M5" s="246" t="s">
        <v>913</v>
      </c>
      <c r="N5" s="245" t="s">
        <v>914</v>
      </c>
      <c r="O5" s="246" t="s">
        <v>1058</v>
      </c>
      <c r="P5" s="245" t="s">
        <v>1059</v>
      </c>
      <c r="Q5" s="246" t="s">
        <v>1060</v>
      </c>
      <c r="R5" s="245" t="s">
        <v>1061</v>
      </c>
      <c r="S5" s="246" t="s">
        <v>1062</v>
      </c>
      <c r="T5" s="245" t="s">
        <v>1063</v>
      </c>
      <c r="U5" s="246" t="s">
        <v>1115</v>
      </c>
      <c r="V5" s="245" t="s">
        <v>1116</v>
      </c>
      <c r="W5" s="246" t="s">
        <v>1117</v>
      </c>
      <c r="X5" s="245" t="s">
        <v>1118</v>
      </c>
      <c r="Y5" s="246" t="s">
        <v>1399</v>
      </c>
      <c r="Z5" s="245" t="s">
        <v>1400</v>
      </c>
      <c r="AA5" s="246" t="s">
        <v>1401</v>
      </c>
      <c r="AB5" s="245" t="s">
        <v>1402</v>
      </c>
      <c r="AC5" s="246" t="s">
        <v>1403</v>
      </c>
      <c r="AD5" s="245" t="s">
        <v>1404</v>
      </c>
      <c r="AE5" s="246" t="s">
        <v>1405</v>
      </c>
      <c r="AF5" s="245" t="s">
        <v>1406</v>
      </c>
      <c r="AH5" s="280"/>
      <c r="AI5" s="730" t="s">
        <v>960</v>
      </c>
      <c r="AJ5" s="280"/>
      <c r="AK5" s="730" t="s">
        <v>1084</v>
      </c>
      <c r="AL5" s="278" t="s">
        <v>1106</v>
      </c>
      <c r="AM5" s="278" t="s">
        <v>1107</v>
      </c>
      <c r="AN5" s="278" t="s">
        <v>1108</v>
      </c>
      <c r="AO5" s="278" t="s">
        <v>1109</v>
      </c>
      <c r="AP5" s="278" t="s">
        <v>1110</v>
      </c>
      <c r="AQ5" s="278" t="s">
        <v>1111</v>
      </c>
      <c r="AR5" s="278" t="s">
        <v>1112</v>
      </c>
      <c r="AS5" s="278" t="s">
        <v>1113</v>
      </c>
      <c r="AT5" s="278" t="s">
        <v>1114</v>
      </c>
      <c r="AU5" s="278" t="s">
        <v>1407</v>
      </c>
      <c r="AV5" s="278" t="s">
        <v>1408</v>
      </c>
      <c r="AW5" s="278" t="s">
        <v>1409</v>
      </c>
      <c r="AX5" s="278" t="s">
        <v>1410</v>
      </c>
    </row>
    <row r="6" spans="1:51">
      <c r="D6" s="83"/>
      <c r="F6" s="83"/>
      <c r="G6" s="247">
        <v>44561</v>
      </c>
      <c r="H6" s="248">
        <f t="shared" ref="H6:X6" si="0">EOMONTH(G6,6)</f>
        <v>44742</v>
      </c>
      <c r="I6" s="247">
        <f t="shared" si="0"/>
        <v>44926</v>
      </c>
      <c r="J6" s="248">
        <f t="shared" si="0"/>
        <v>45107</v>
      </c>
      <c r="K6" s="247">
        <f t="shared" si="0"/>
        <v>45291</v>
      </c>
      <c r="L6" s="248">
        <f t="shared" si="0"/>
        <v>45473</v>
      </c>
      <c r="M6" s="247">
        <f t="shared" si="0"/>
        <v>45657</v>
      </c>
      <c r="N6" s="248">
        <f t="shared" si="0"/>
        <v>45838</v>
      </c>
      <c r="O6" s="247">
        <f t="shared" si="0"/>
        <v>46022</v>
      </c>
      <c r="P6" s="248">
        <f t="shared" si="0"/>
        <v>46203</v>
      </c>
      <c r="Q6" s="247">
        <f t="shared" si="0"/>
        <v>46387</v>
      </c>
      <c r="R6" s="248">
        <f t="shared" si="0"/>
        <v>46568</v>
      </c>
      <c r="S6" s="247">
        <f t="shared" si="0"/>
        <v>46752</v>
      </c>
      <c r="T6" s="248">
        <f t="shared" si="0"/>
        <v>46934</v>
      </c>
      <c r="U6" s="247">
        <f>EOMONTH(T6,6)</f>
        <v>47118</v>
      </c>
      <c r="V6" s="248">
        <f t="shared" si="0"/>
        <v>47299</v>
      </c>
      <c r="W6" s="247">
        <f t="shared" si="0"/>
        <v>47483</v>
      </c>
      <c r="X6" s="248">
        <f t="shared" si="0"/>
        <v>47664</v>
      </c>
      <c r="Y6" s="247">
        <f t="shared" ref="Y6:AF6" si="1">EOMONTH(X6,6)</f>
        <v>47848</v>
      </c>
      <c r="Z6" s="248">
        <f t="shared" si="1"/>
        <v>48029</v>
      </c>
      <c r="AA6" s="247">
        <f t="shared" si="1"/>
        <v>48213</v>
      </c>
      <c r="AB6" s="248">
        <f t="shared" si="1"/>
        <v>48395</v>
      </c>
      <c r="AC6" s="247">
        <f t="shared" si="1"/>
        <v>48579</v>
      </c>
      <c r="AD6" s="248">
        <f t="shared" si="1"/>
        <v>48760</v>
      </c>
      <c r="AE6" s="247">
        <f t="shared" si="1"/>
        <v>48944</v>
      </c>
      <c r="AF6" s="248">
        <f t="shared" si="1"/>
        <v>49125</v>
      </c>
      <c r="AK6" s="83"/>
      <c r="AL6" s="279">
        <v>44742</v>
      </c>
      <c r="AM6" s="279">
        <f t="shared" ref="AM6:AT6" si="2">EOMONTH(AL6,12)</f>
        <v>45107</v>
      </c>
      <c r="AN6" s="279">
        <f t="shared" si="2"/>
        <v>45473</v>
      </c>
      <c r="AO6" s="279">
        <f t="shared" si="2"/>
        <v>45838</v>
      </c>
      <c r="AP6" s="279">
        <f t="shared" si="2"/>
        <v>46203</v>
      </c>
      <c r="AQ6" s="279">
        <f t="shared" si="2"/>
        <v>46568</v>
      </c>
      <c r="AR6" s="279">
        <f t="shared" si="2"/>
        <v>46934</v>
      </c>
      <c r="AS6" s="279">
        <f t="shared" si="2"/>
        <v>47299</v>
      </c>
      <c r="AT6" s="279">
        <f t="shared" si="2"/>
        <v>47664</v>
      </c>
      <c r="AU6" s="279">
        <f>EOMONTH(AT6,12)</f>
        <v>48029</v>
      </c>
      <c r="AV6" s="279">
        <f>EOMONTH(AU6,12)</f>
        <v>48395</v>
      </c>
      <c r="AW6" s="279">
        <f>EOMONTH(AV6,12)</f>
        <v>48760</v>
      </c>
      <c r="AX6" s="279">
        <f>EOMONTH(AW6,12)</f>
        <v>49125</v>
      </c>
    </row>
    <row r="8" spans="1:51" s="280" customFormat="1">
      <c r="A8" s="280" t="s">
        <v>971</v>
      </c>
      <c r="C8" s="281" t="s">
        <v>1119</v>
      </c>
    </row>
    <row r="10" spans="1:51">
      <c r="C10" s="232" t="s">
        <v>1385</v>
      </c>
    </row>
    <row r="11" spans="1:51">
      <c r="B11" s="171" t="str">
        <f t="shared" ref="B11:B17" si="3">$C$10&amp;C11</f>
        <v>WAGERING KPI'sDigital Turnover</v>
      </c>
      <c r="C11" s="138" t="s">
        <v>1369</v>
      </c>
      <c r="D11" s="82" t="s">
        <v>900</v>
      </c>
      <c r="F11" s="7"/>
      <c r="G11" s="132">
        <f>HY!M78</f>
        <v>5259</v>
      </c>
      <c r="H11" s="132">
        <f>HY!N78</f>
        <v>4438</v>
      </c>
      <c r="I11" s="132">
        <f>HY!O78</f>
        <v>4920.5</v>
      </c>
      <c r="J11" s="132">
        <f>HY!P78</f>
        <v>4346.2000000000007</v>
      </c>
      <c r="K11" s="132">
        <f>HY!Q78</f>
        <v>4731.2</v>
      </c>
      <c r="L11" s="132">
        <f>HY!R78</f>
        <v>4077.9000000000005</v>
      </c>
      <c r="M11" s="132">
        <f>HY!S78</f>
        <v>4353.8999999999996</v>
      </c>
      <c r="N11" s="132">
        <f>HY!T78</f>
        <v>4028</v>
      </c>
      <c r="O11" s="132">
        <f>HY!U78</f>
        <v>4343.3999999999996</v>
      </c>
      <c r="P11" s="132">
        <f>HY!V78</f>
        <v>4102.8999999999996</v>
      </c>
      <c r="Q11" s="132">
        <f>HY!W78</f>
        <v>4421.5811999999996</v>
      </c>
      <c r="R11" s="132">
        <f>HY!X78</f>
        <v>4139.8260999999993</v>
      </c>
      <c r="S11" s="132">
        <f>HY!Y78</f>
        <v>4465.797012</v>
      </c>
      <c r="T11" s="132">
        <f>HY!Z78</f>
        <v>4264.0208829999992</v>
      </c>
      <c r="U11" s="132">
        <f>HY!AA78</f>
        <v>4555.1129522399997</v>
      </c>
      <c r="V11" s="132">
        <f>HY!AB78</f>
        <v>4349.3013006599995</v>
      </c>
      <c r="W11" s="132">
        <f>HY!AC78</f>
        <v>4691.7663408071994</v>
      </c>
      <c r="X11" s="132">
        <f>HY!AD78</f>
        <v>4479.7803396797999</v>
      </c>
      <c r="Y11" s="132">
        <f>HY!AE78</f>
        <v>4832.5193310314153</v>
      </c>
      <c r="Z11" s="132">
        <f>HY!AF78</f>
        <v>4614.1737498701941</v>
      </c>
      <c r="AA11" s="132">
        <f>HY!AG78</f>
        <v>4977.4949109623576</v>
      </c>
      <c r="AB11" s="132">
        <f>HY!AH78</f>
        <v>4752.5989623662999</v>
      </c>
      <c r="AC11" s="132">
        <f>HY!AI78</f>
        <v>5126.819758291228</v>
      </c>
      <c r="AD11" s="132">
        <f>HY!AJ78</f>
        <v>4895.176931237289</v>
      </c>
      <c r="AE11" s="132">
        <f>HY!AK78</f>
        <v>5280.6243510399654</v>
      </c>
      <c r="AF11" s="132">
        <f>HY!AL78</f>
        <v>5042.0322391744076</v>
      </c>
      <c r="AK11" s="7"/>
      <c r="AL11" s="132">
        <f t="shared" ref="AL11:AX14" si="4">SUMIFS($G11:$AF11,$G$3:$AF$3,AL$5)</f>
        <v>9697</v>
      </c>
      <c r="AM11" s="132">
        <f t="shared" si="4"/>
        <v>9266.7000000000007</v>
      </c>
      <c r="AN11" s="132">
        <f t="shared" si="4"/>
        <v>8809.1</v>
      </c>
      <c r="AO11" s="132">
        <f t="shared" si="4"/>
        <v>8381.9</v>
      </c>
      <c r="AP11" s="132">
        <f t="shared" si="4"/>
        <v>8446.2999999999993</v>
      </c>
      <c r="AQ11" s="132">
        <f t="shared" si="4"/>
        <v>8561.4072999999989</v>
      </c>
      <c r="AR11" s="132">
        <f t="shared" si="4"/>
        <v>8729.8178950000001</v>
      </c>
      <c r="AS11" s="132">
        <f t="shared" si="4"/>
        <v>8904.4142528999982</v>
      </c>
      <c r="AT11" s="132">
        <f t="shared" si="4"/>
        <v>9171.5466804869993</v>
      </c>
      <c r="AU11" s="132">
        <f t="shared" si="4"/>
        <v>9446.6930809016085</v>
      </c>
      <c r="AV11" s="132">
        <f t="shared" si="4"/>
        <v>9730.0938733286566</v>
      </c>
      <c r="AW11" s="132">
        <f t="shared" si="4"/>
        <v>10021.996689528518</v>
      </c>
      <c r="AX11" s="132">
        <f t="shared" si="4"/>
        <v>10322.656590214374</v>
      </c>
    </row>
    <row r="12" spans="1:51">
      <c r="B12" s="171" t="str">
        <f t="shared" si="3"/>
        <v>WAGERING KPI'sRetail Turnover</v>
      </c>
      <c r="C12" s="138" t="s">
        <v>1201</v>
      </c>
      <c r="D12" s="82" t="s">
        <v>900</v>
      </c>
      <c r="F12" s="24"/>
      <c r="G12" s="132">
        <f>HY!M79</f>
        <v>1720.5</v>
      </c>
      <c r="H12" s="132">
        <f>HY!N79</f>
        <v>2476.1999999999998</v>
      </c>
      <c r="I12" s="132">
        <f>HY!O79</f>
        <v>2839</v>
      </c>
      <c r="J12" s="132">
        <f>HY!P79</f>
        <v>2445.1000000000004</v>
      </c>
      <c r="K12" s="132">
        <f>HY!Q79</f>
        <v>2732.4</v>
      </c>
      <c r="L12" s="132">
        <f>HY!R79</f>
        <v>2516.2000000000003</v>
      </c>
      <c r="M12" s="132">
        <f>HY!S79</f>
        <v>2791.8</v>
      </c>
      <c r="N12" s="132">
        <f>HY!T79</f>
        <v>2569.1999999999998</v>
      </c>
      <c r="O12" s="132">
        <f>HY!U79</f>
        <v>2825.1</v>
      </c>
      <c r="P12" s="132">
        <f>HY!V79</f>
        <v>2590.0000000000005</v>
      </c>
      <c r="Q12" s="132">
        <f>HY!W79</f>
        <v>2844.8756999999996</v>
      </c>
      <c r="R12" s="132">
        <f>HY!X79</f>
        <v>2584.8200000000006</v>
      </c>
      <c r="S12" s="132">
        <f>HY!Y79</f>
        <v>2802.2025644999994</v>
      </c>
      <c r="T12" s="132">
        <f>HY!Z79</f>
        <v>2546.0477000000005</v>
      </c>
      <c r="U12" s="132">
        <f>HY!AA79</f>
        <v>2760.1695260324996</v>
      </c>
      <c r="V12" s="132">
        <f>HY!AB79</f>
        <v>2507.8569845000006</v>
      </c>
      <c r="W12" s="132">
        <f>HY!AC79</f>
        <v>2787.7712212928245</v>
      </c>
      <c r="X12" s="132">
        <f>HY!AD79</f>
        <v>2532.9355543450006</v>
      </c>
      <c r="Y12" s="132">
        <f>HY!AE79</f>
        <v>2759.8935090798964</v>
      </c>
      <c r="Z12" s="132">
        <f>HY!AF79</f>
        <v>2507.6061988015504</v>
      </c>
      <c r="AA12" s="132">
        <f>HY!AG79</f>
        <v>2732.2945739890974</v>
      </c>
      <c r="AB12" s="132">
        <f>HY!AH79</f>
        <v>2482.5301368135347</v>
      </c>
      <c r="AC12" s="132">
        <f>HY!AI79</f>
        <v>2704.9716282492063</v>
      </c>
      <c r="AD12" s="132">
        <f>HY!AJ79</f>
        <v>2457.7048354453991</v>
      </c>
      <c r="AE12" s="132">
        <f>HY!AK79</f>
        <v>2677.9219119667141</v>
      </c>
      <c r="AF12" s="132">
        <f>HY!AL79</f>
        <v>2433.1277870909453</v>
      </c>
      <c r="AK12" s="24"/>
      <c r="AL12" s="132">
        <f t="shared" si="4"/>
        <v>4196.7</v>
      </c>
      <c r="AM12" s="132">
        <f t="shared" si="4"/>
        <v>5284.1</v>
      </c>
      <c r="AN12" s="132">
        <f t="shared" si="4"/>
        <v>5248.6</v>
      </c>
      <c r="AO12" s="132">
        <f t="shared" si="4"/>
        <v>5361</v>
      </c>
      <c r="AP12" s="132">
        <f t="shared" si="4"/>
        <v>5415.1</v>
      </c>
      <c r="AQ12" s="132">
        <f t="shared" si="4"/>
        <v>5429.6957000000002</v>
      </c>
      <c r="AR12" s="132">
        <f t="shared" si="4"/>
        <v>5348.2502645000004</v>
      </c>
      <c r="AS12" s="132">
        <f t="shared" si="4"/>
        <v>5268.0265105324997</v>
      </c>
      <c r="AT12" s="132">
        <f t="shared" si="4"/>
        <v>5320.7067756378256</v>
      </c>
      <c r="AU12" s="132">
        <f t="shared" si="4"/>
        <v>5267.4997078814467</v>
      </c>
      <c r="AV12" s="132">
        <f t="shared" si="4"/>
        <v>5214.8247108026317</v>
      </c>
      <c r="AW12" s="132">
        <f t="shared" si="4"/>
        <v>5162.6764636946054</v>
      </c>
      <c r="AX12" s="132">
        <f t="shared" si="4"/>
        <v>5111.0496990576594</v>
      </c>
    </row>
    <row r="13" spans="1:51">
      <c r="B13" s="171" t="str">
        <f t="shared" si="3"/>
        <v>WAGERING KPI'sDigital Revenue</v>
      </c>
      <c r="C13" s="138" t="s">
        <v>1387</v>
      </c>
      <c r="D13" s="82" t="s">
        <v>900</v>
      </c>
      <c r="F13" s="7"/>
      <c r="G13" s="132">
        <f>HY!M102</f>
        <v>579.9</v>
      </c>
      <c r="H13" s="132">
        <f>HY!N102</f>
        <v>493.6</v>
      </c>
      <c r="I13" s="132">
        <f>HY!O102</f>
        <v>493</v>
      </c>
      <c r="J13" s="132">
        <f>HY!P102</f>
        <v>449.70000000000005</v>
      </c>
      <c r="K13" s="132">
        <f>HY!Q102</f>
        <v>473.4</v>
      </c>
      <c r="L13" s="132">
        <f>HY!R102</f>
        <v>448.6</v>
      </c>
      <c r="M13" s="132">
        <f>HY!S102</f>
        <v>539.6</v>
      </c>
      <c r="N13" s="132">
        <f>HY!T102</f>
        <v>530.1</v>
      </c>
      <c r="O13" s="132">
        <f>HY!U102</f>
        <v>536.9</v>
      </c>
      <c r="P13" s="132">
        <f>HY!V102</f>
        <v>535.9</v>
      </c>
      <c r="Q13" s="132">
        <f>HY!W102</f>
        <v>571.16239360000009</v>
      </c>
      <c r="R13" s="132">
        <f>HY!X102</f>
        <v>537.16765384999997</v>
      </c>
      <c r="S13" s="132">
        <f>HY!Y102</f>
        <v>576.82201753599998</v>
      </c>
      <c r="T13" s="132">
        <f>HY!Z102</f>
        <v>550.99467302399989</v>
      </c>
      <c r="U13" s="132">
        <f>HY!AA102</f>
        <v>588.25445788672005</v>
      </c>
      <c r="V13" s="132">
        <f>HY!AB102</f>
        <v>561.91056648448</v>
      </c>
      <c r="W13" s="132">
        <f>HY!AC102</f>
        <v>605.7460916233216</v>
      </c>
      <c r="X13" s="132">
        <f>HY!AD102</f>
        <v>578.61188347901452</v>
      </c>
      <c r="Y13" s="132">
        <f>HY!AE102</f>
        <v>623.7624743720213</v>
      </c>
      <c r="Z13" s="132">
        <f>HY!AF102</f>
        <v>595.81423998338482</v>
      </c>
      <c r="AA13" s="132">
        <f>HY!AG102</f>
        <v>642.31934860318188</v>
      </c>
      <c r="AB13" s="132">
        <f>HY!AH102</f>
        <v>613.53266718288648</v>
      </c>
      <c r="AC13" s="132">
        <f>HY!AI102</f>
        <v>661.43292906127726</v>
      </c>
      <c r="AD13" s="132">
        <f>HY!AJ102</f>
        <v>631.78264719837307</v>
      </c>
      <c r="AE13" s="132">
        <f>HY!AK102</f>
        <v>681.11991693311575</v>
      </c>
      <c r="AF13" s="132">
        <f>HY!AL102</f>
        <v>650.58012661432417</v>
      </c>
      <c r="AK13" s="7"/>
      <c r="AL13" s="132">
        <f t="shared" si="4"/>
        <v>1073.5</v>
      </c>
      <c r="AM13" s="132">
        <f t="shared" si="4"/>
        <v>942.7</v>
      </c>
      <c r="AN13" s="132">
        <f t="shared" si="4"/>
        <v>922</v>
      </c>
      <c r="AO13" s="132">
        <f t="shared" si="4"/>
        <v>1069.7</v>
      </c>
      <c r="AP13" s="132">
        <f t="shared" si="4"/>
        <v>1072.8</v>
      </c>
      <c r="AQ13" s="132">
        <f t="shared" si="4"/>
        <v>1108.3300474500002</v>
      </c>
      <c r="AR13" s="132">
        <f t="shared" si="4"/>
        <v>1127.8166905599999</v>
      </c>
      <c r="AS13" s="132">
        <f t="shared" si="4"/>
        <v>1150.1650243712002</v>
      </c>
      <c r="AT13" s="132">
        <f t="shared" si="4"/>
        <v>1184.3579751023362</v>
      </c>
      <c r="AU13" s="132">
        <f t="shared" si="4"/>
        <v>1219.5767143554062</v>
      </c>
      <c r="AV13" s="132">
        <f t="shared" si="4"/>
        <v>1255.8520157860685</v>
      </c>
      <c r="AW13" s="132">
        <f t="shared" si="4"/>
        <v>1293.2155762596503</v>
      </c>
      <c r="AX13" s="132">
        <f t="shared" si="4"/>
        <v>1331.7000435474399</v>
      </c>
    </row>
    <row r="14" spans="1:51">
      <c r="B14" s="171" t="str">
        <f t="shared" si="3"/>
        <v>WAGERING KPI'sRetail Revenue</v>
      </c>
      <c r="C14" s="138" t="s">
        <v>1388</v>
      </c>
      <c r="D14" s="82" t="s">
        <v>900</v>
      </c>
      <c r="F14" s="7"/>
      <c r="G14" s="132">
        <f>HY!M117</f>
        <v>276.60000000000002</v>
      </c>
      <c r="H14" s="132">
        <f>HY!N117</f>
        <v>377.4</v>
      </c>
      <c r="I14" s="132">
        <f>HY!O117</f>
        <v>437.4</v>
      </c>
      <c r="J14" s="132">
        <f>HY!P117</f>
        <v>381</v>
      </c>
      <c r="K14" s="132">
        <f>HY!Q117</f>
        <v>420.6</v>
      </c>
      <c r="L14" s="132">
        <f>HY!R117</f>
        <v>401.19999999999993</v>
      </c>
      <c r="M14" s="132">
        <f>HY!S117</f>
        <v>497.1</v>
      </c>
      <c r="N14" s="132">
        <f>HY!T117</f>
        <v>468.6</v>
      </c>
      <c r="O14" s="132">
        <f>HY!U117</f>
        <v>511.1</v>
      </c>
      <c r="P14" s="132">
        <f>HY!V117</f>
        <v>470.1</v>
      </c>
      <c r="Q14" s="132">
        <f>HY!W117</f>
        <v>530.82886899999994</v>
      </c>
      <c r="R14" s="132">
        <f>HY!X117</f>
        <v>484.41940000000011</v>
      </c>
      <c r="S14" s="132">
        <f>HY!Y117</f>
        <v>523.57443596499991</v>
      </c>
      <c r="T14" s="132">
        <f>HY!Z117</f>
        <v>477.8281090000001</v>
      </c>
      <c r="U14" s="132">
        <f>HY!AA117</f>
        <v>518.01330554157937</v>
      </c>
      <c r="V14" s="132">
        <f>HY!AB117</f>
        <v>470.66068736500011</v>
      </c>
      <c r="W14" s="132">
        <f>HY!AC117</f>
        <v>523.19343859699529</v>
      </c>
      <c r="X14" s="132">
        <f>HY!AD117</f>
        <v>475.36729423865017</v>
      </c>
      <c r="Y14" s="132">
        <f>HY!AE117</f>
        <v>517.96150421102527</v>
      </c>
      <c r="Z14" s="132">
        <f>HY!AF117</f>
        <v>470.61362129626355</v>
      </c>
      <c r="AA14" s="132">
        <f>HY!AG117</f>
        <v>512.78188916891509</v>
      </c>
      <c r="AB14" s="132">
        <f>HY!AH117</f>
        <v>465.90748508330091</v>
      </c>
      <c r="AC14" s="132">
        <f>HY!AI117</f>
        <v>507.65407027722591</v>
      </c>
      <c r="AD14" s="132">
        <f>HY!AJ117</f>
        <v>461.2484102324679</v>
      </c>
      <c r="AE14" s="132">
        <f>HY!AK117</f>
        <v>502.57752957445359</v>
      </c>
      <c r="AF14" s="132">
        <f>HY!AL117</f>
        <v>456.63592613014328</v>
      </c>
      <c r="AK14" s="7"/>
      <c r="AL14" s="132">
        <f t="shared" si="4"/>
        <v>654</v>
      </c>
      <c r="AM14" s="132">
        <f t="shared" si="4"/>
        <v>818.4</v>
      </c>
      <c r="AN14" s="132">
        <f t="shared" si="4"/>
        <v>821.8</v>
      </c>
      <c r="AO14" s="132">
        <f t="shared" si="4"/>
        <v>965.7</v>
      </c>
      <c r="AP14" s="132">
        <f t="shared" si="4"/>
        <v>981.2</v>
      </c>
      <c r="AQ14" s="132">
        <f t="shared" si="4"/>
        <v>1015.2482690000001</v>
      </c>
      <c r="AR14" s="132">
        <f t="shared" si="4"/>
        <v>1001.4025449650001</v>
      </c>
      <c r="AS14" s="132">
        <f t="shared" si="4"/>
        <v>988.67399290657954</v>
      </c>
      <c r="AT14" s="132">
        <f t="shared" si="4"/>
        <v>998.56073283564547</v>
      </c>
      <c r="AU14" s="132">
        <f t="shared" si="4"/>
        <v>988.57512550728882</v>
      </c>
      <c r="AV14" s="132">
        <f t="shared" si="4"/>
        <v>978.689374252216</v>
      </c>
      <c r="AW14" s="132">
        <f t="shared" si="4"/>
        <v>968.90248050969376</v>
      </c>
      <c r="AX14" s="132">
        <f t="shared" si="4"/>
        <v>959.21345570459687</v>
      </c>
    </row>
    <row r="15" spans="1:51">
      <c r="B15" s="171" t="str">
        <f>$C$10&amp;C15</f>
        <v>WAGERING KPI'sDigital Gross Yield</v>
      </c>
      <c r="C15" s="138" t="s">
        <v>1373</v>
      </c>
      <c r="D15" s="82" t="s">
        <v>842</v>
      </c>
      <c r="F15" s="7"/>
      <c r="G15" s="24">
        <f>HY!M86</f>
        <v>0.17</v>
      </c>
      <c r="H15" s="24">
        <f>HY!N86</f>
        <v>0.16781500675980171</v>
      </c>
      <c r="I15" s="24">
        <f>HY!O86</f>
        <v>0.16400000000000001</v>
      </c>
      <c r="J15" s="24">
        <f>HY!P86</f>
        <v>0.16400000000000001</v>
      </c>
      <c r="K15" s="24">
        <f>HY!Q86</f>
        <v>0.16500000000000001</v>
      </c>
      <c r="L15" s="24">
        <f>HY!R86</f>
        <v>0.17199999999999999</v>
      </c>
      <c r="M15" s="24">
        <f>HY!S86</f>
        <v>0.17</v>
      </c>
      <c r="N15" s="24">
        <f>HY!T86</f>
        <v>0.16900000000000001</v>
      </c>
      <c r="O15" s="24">
        <f>HY!U86</f>
        <v>0.16300000000000001</v>
      </c>
      <c r="P15" s="24">
        <f>HY!V86</f>
        <v>0.16800000000000001</v>
      </c>
      <c r="Q15" s="24">
        <f>HY!W86</f>
        <v>0.16800000000000001</v>
      </c>
      <c r="R15" s="24">
        <f>HY!X86</f>
        <v>0.16800000000000001</v>
      </c>
      <c r="S15" s="24">
        <f>HY!Y86</f>
        <v>0.16800000000000001</v>
      </c>
      <c r="T15" s="24">
        <f>HY!Z86</f>
        <v>0.16800000000000001</v>
      </c>
      <c r="U15" s="24">
        <f>HY!AA86</f>
        <v>0.16800000000000001</v>
      </c>
      <c r="V15" s="24">
        <f>HY!AB86</f>
        <v>0.16800000000000001</v>
      </c>
      <c r="W15" s="24">
        <f>HY!AC86</f>
        <v>0.16800000000000001</v>
      </c>
      <c r="X15" s="24">
        <f>HY!AD86</f>
        <v>0.16800000000000001</v>
      </c>
      <c r="Y15" s="24">
        <f>HY!AE86</f>
        <v>0.16800000000000001</v>
      </c>
      <c r="Z15" s="24">
        <f>HY!AF86</f>
        <v>0.16800000000000001</v>
      </c>
      <c r="AA15" s="24">
        <f>HY!AG86</f>
        <v>0.16800000000000001</v>
      </c>
      <c r="AB15" s="24">
        <f>HY!AH86</f>
        <v>0.16800000000000001</v>
      </c>
      <c r="AC15" s="24">
        <f>HY!AI86</f>
        <v>0.16800000000000001</v>
      </c>
      <c r="AD15" s="24">
        <f>HY!AJ86</f>
        <v>0.16800000000000001</v>
      </c>
      <c r="AE15" s="24">
        <f>HY!AK86</f>
        <v>0.16800000000000001</v>
      </c>
      <c r="AF15" s="24">
        <f>HY!AL86</f>
        <v>0.16800000000000001</v>
      </c>
      <c r="AK15" s="7"/>
      <c r="AL15" s="711">
        <f>AVERAGEIFS($G15:$AF15,$G$3:$AF$3,AL$5)</f>
        <v>0.16890750337990085</v>
      </c>
      <c r="AM15" s="711">
        <f t="shared" ref="AM15:AX17" si="5">AVERAGEIFS($G15:$AF15,$G$3:$AF$3,AM$5)</f>
        <v>0.16400000000000001</v>
      </c>
      <c r="AN15" s="711">
        <f t="shared" si="5"/>
        <v>0.16849999999999998</v>
      </c>
      <c r="AO15" s="711">
        <f t="shared" si="5"/>
        <v>0.16950000000000001</v>
      </c>
      <c r="AP15" s="711">
        <f t="shared" si="5"/>
        <v>0.16550000000000001</v>
      </c>
      <c r="AQ15" s="711">
        <f t="shared" si="5"/>
        <v>0.16800000000000001</v>
      </c>
      <c r="AR15" s="711">
        <f t="shared" si="5"/>
        <v>0.16800000000000001</v>
      </c>
      <c r="AS15" s="711">
        <f t="shared" si="5"/>
        <v>0.16800000000000001</v>
      </c>
      <c r="AT15" s="711">
        <f t="shared" si="5"/>
        <v>0.16800000000000001</v>
      </c>
      <c r="AU15" s="711">
        <f t="shared" si="5"/>
        <v>0.16800000000000001</v>
      </c>
      <c r="AV15" s="711">
        <f t="shared" si="5"/>
        <v>0.16800000000000001</v>
      </c>
      <c r="AW15" s="711">
        <f t="shared" si="5"/>
        <v>0.16800000000000001</v>
      </c>
      <c r="AX15" s="711">
        <f t="shared" si="5"/>
        <v>0.16800000000000001</v>
      </c>
    </row>
    <row r="16" spans="1:51">
      <c r="B16" s="171" t="str">
        <f t="shared" si="3"/>
        <v>WAGERING KPI'sDigital Net Yield</v>
      </c>
      <c r="C16" s="138" t="s">
        <v>1374</v>
      </c>
      <c r="D16" s="82" t="s">
        <v>842</v>
      </c>
      <c r="F16" s="7"/>
      <c r="G16" s="24">
        <f>HY!M87</f>
        <v>0.13400000000000001</v>
      </c>
      <c r="H16" s="24">
        <f>HY!N87</f>
        <v>0.1351509689049121</v>
      </c>
      <c r="I16" s="24">
        <f>HY!O87</f>
        <v>0.122</v>
      </c>
      <c r="J16" s="24">
        <f>HY!P87</f>
        <v>0.124</v>
      </c>
      <c r="K16" s="24">
        <f>HY!Q87</f>
        <v>0.121</v>
      </c>
      <c r="L16" s="24">
        <f>HY!R87</f>
        <v>0.13300000000000001</v>
      </c>
      <c r="M16" s="24">
        <f>HY!S87</f>
        <v>0.128</v>
      </c>
      <c r="N16" s="24">
        <f>HY!T87</f>
        <v>0.13</v>
      </c>
      <c r="O16" s="24">
        <f>HY!U87</f>
        <v>0.123</v>
      </c>
      <c r="P16" s="24">
        <f>HY!V87</f>
        <v>0.129</v>
      </c>
      <c r="Q16" s="24">
        <f>HY!W87</f>
        <v>0.128</v>
      </c>
      <c r="R16" s="24">
        <f>HY!X87</f>
        <v>0.1285</v>
      </c>
      <c r="S16" s="24">
        <f>HY!Y87</f>
        <v>0.128</v>
      </c>
      <c r="T16" s="24">
        <f>HY!Z87</f>
        <v>0.128</v>
      </c>
      <c r="U16" s="24">
        <f>HY!AA87</f>
        <v>0.128</v>
      </c>
      <c r="V16" s="24">
        <f>HY!AB87</f>
        <v>0.128</v>
      </c>
      <c r="W16" s="24">
        <f>HY!AC87</f>
        <v>0.128</v>
      </c>
      <c r="X16" s="24">
        <f>HY!AD87</f>
        <v>0.128</v>
      </c>
      <c r="Y16" s="24">
        <f>HY!AE87</f>
        <v>0.128</v>
      </c>
      <c r="Z16" s="24">
        <f>HY!AF87</f>
        <v>0.128</v>
      </c>
      <c r="AA16" s="24">
        <f>HY!AG87</f>
        <v>0.128</v>
      </c>
      <c r="AB16" s="24">
        <f>HY!AH87</f>
        <v>0.128</v>
      </c>
      <c r="AC16" s="24">
        <f>HY!AI87</f>
        <v>0.128</v>
      </c>
      <c r="AD16" s="24">
        <f>HY!AJ87</f>
        <v>0.128</v>
      </c>
      <c r="AE16" s="24">
        <f>HY!AK87</f>
        <v>0.128</v>
      </c>
      <c r="AF16" s="24">
        <f>HY!AL87</f>
        <v>0.128</v>
      </c>
      <c r="AK16" s="7"/>
      <c r="AL16" s="711">
        <f>AVERAGEIFS($G16:$AF16,$G$3:$AF$3,AL$5)</f>
        <v>0.13457548445245604</v>
      </c>
      <c r="AM16" s="711">
        <f t="shared" si="5"/>
        <v>0.123</v>
      </c>
      <c r="AN16" s="711">
        <f t="shared" si="5"/>
        <v>0.127</v>
      </c>
      <c r="AO16" s="711">
        <f t="shared" si="5"/>
        <v>0.129</v>
      </c>
      <c r="AP16" s="711">
        <f t="shared" si="5"/>
        <v>0.126</v>
      </c>
      <c r="AQ16" s="711">
        <f t="shared" si="5"/>
        <v>0.12825</v>
      </c>
      <c r="AR16" s="711">
        <f t="shared" si="5"/>
        <v>0.128</v>
      </c>
      <c r="AS16" s="711">
        <f t="shared" si="5"/>
        <v>0.128</v>
      </c>
      <c r="AT16" s="711">
        <f t="shared" si="5"/>
        <v>0.128</v>
      </c>
      <c r="AU16" s="711">
        <f t="shared" si="5"/>
        <v>0.128</v>
      </c>
      <c r="AV16" s="711">
        <f t="shared" si="5"/>
        <v>0.128</v>
      </c>
      <c r="AW16" s="711">
        <f t="shared" si="5"/>
        <v>0.128</v>
      </c>
      <c r="AX16" s="711">
        <f t="shared" si="5"/>
        <v>0.128</v>
      </c>
    </row>
    <row r="17" spans="2:50">
      <c r="B17" s="171" t="str">
        <f t="shared" si="3"/>
        <v>WAGERING KPI'sRetail Gross/Net Yield</v>
      </c>
      <c r="C17" s="138" t="s">
        <v>1375</v>
      </c>
      <c r="D17" s="82" t="s">
        <v>842</v>
      </c>
      <c r="F17" s="7"/>
      <c r="G17" s="24">
        <f>HY!M107</f>
        <v>0.16700000000000001</v>
      </c>
      <c r="H17" s="24">
        <f>HY!N107</f>
        <v>0.16585897746547126</v>
      </c>
      <c r="I17" s="24">
        <f>HY!O107</f>
        <v>0.16600000000000001</v>
      </c>
      <c r="J17" s="24">
        <f>HY!P107</f>
        <v>0.16772320150505091</v>
      </c>
      <c r="K17" s="24">
        <f>HY!Q107</f>
        <v>0.16800000000000001</v>
      </c>
      <c r="L17" s="24">
        <f>HY!R107</f>
        <v>0.17395278594706298</v>
      </c>
      <c r="M17" s="24">
        <f>HY!S107</f>
        <v>0.17199999999999999</v>
      </c>
      <c r="N17" s="24">
        <f>HY!T107</f>
        <v>0.16981939903471896</v>
      </c>
      <c r="O17" s="24">
        <f>HY!U107</f>
        <v>0.17</v>
      </c>
      <c r="P17" s="24">
        <f>HY!V107</f>
        <v>0.17030888030888028</v>
      </c>
      <c r="Q17" s="24">
        <f>HY!W107</f>
        <v>0.17</v>
      </c>
      <c r="R17" s="24">
        <f>HY!X107</f>
        <v>0.17</v>
      </c>
      <c r="S17" s="24">
        <f>HY!Y107</f>
        <v>0.17</v>
      </c>
      <c r="T17" s="24">
        <f>HY!Z107</f>
        <v>0.17</v>
      </c>
      <c r="U17" s="24">
        <f>HY!AA107</f>
        <v>0.17</v>
      </c>
      <c r="V17" s="24">
        <f>HY!AB107</f>
        <v>0.17</v>
      </c>
      <c r="W17" s="24">
        <f>HY!AC107</f>
        <v>0.17</v>
      </c>
      <c r="X17" s="24">
        <f>HY!AD107</f>
        <v>0.17</v>
      </c>
      <c r="Y17" s="24">
        <f>HY!AE107</f>
        <v>0.17</v>
      </c>
      <c r="Z17" s="24">
        <f>HY!AF107</f>
        <v>0.17</v>
      </c>
      <c r="AA17" s="24">
        <f>HY!AG107</f>
        <v>0.17</v>
      </c>
      <c r="AB17" s="24">
        <f>HY!AH107</f>
        <v>0.17</v>
      </c>
      <c r="AC17" s="24">
        <f>HY!AI107</f>
        <v>0.17</v>
      </c>
      <c r="AD17" s="24">
        <f>HY!AJ107</f>
        <v>0.17</v>
      </c>
      <c r="AE17" s="24">
        <f>HY!AK107</f>
        <v>0.17</v>
      </c>
      <c r="AF17" s="24">
        <f>HY!AL107</f>
        <v>0.17</v>
      </c>
      <c r="AK17" s="7"/>
      <c r="AL17" s="711">
        <f>AVERAGEIFS($G17:$AF17,$G$3:$AF$3,AL$5)</f>
        <v>0.16642948873273564</v>
      </c>
      <c r="AM17" s="711">
        <f t="shared" si="5"/>
        <v>0.16686160075252546</v>
      </c>
      <c r="AN17" s="711">
        <f t="shared" si="5"/>
        <v>0.17097639297353151</v>
      </c>
      <c r="AO17" s="711">
        <f t="shared" si="5"/>
        <v>0.17090969951735946</v>
      </c>
      <c r="AP17" s="711">
        <f t="shared" si="5"/>
        <v>0.17015444015444015</v>
      </c>
      <c r="AQ17" s="711">
        <f t="shared" si="5"/>
        <v>0.17</v>
      </c>
      <c r="AR17" s="711">
        <f t="shared" si="5"/>
        <v>0.17</v>
      </c>
      <c r="AS17" s="711">
        <f t="shared" si="5"/>
        <v>0.17</v>
      </c>
      <c r="AT17" s="711">
        <f t="shared" si="5"/>
        <v>0.17</v>
      </c>
      <c r="AU17" s="711">
        <f t="shared" si="5"/>
        <v>0.17</v>
      </c>
      <c r="AV17" s="711">
        <f t="shared" si="5"/>
        <v>0.17</v>
      </c>
      <c r="AW17" s="711">
        <f t="shared" si="5"/>
        <v>0.17</v>
      </c>
      <c r="AX17" s="711">
        <f t="shared" si="5"/>
        <v>0.17</v>
      </c>
    </row>
    <row r="18" spans="2:50">
      <c r="B18" s="171"/>
      <c r="C18" s="138"/>
      <c r="D18" s="82"/>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K18" s="7"/>
      <c r="AL18" s="7"/>
      <c r="AM18" s="7"/>
      <c r="AN18" s="7"/>
      <c r="AO18" s="7"/>
      <c r="AP18" s="7"/>
      <c r="AQ18" s="7"/>
      <c r="AR18" s="7"/>
      <c r="AS18" s="7"/>
      <c r="AT18" s="7"/>
      <c r="AU18" s="7"/>
      <c r="AV18" s="7"/>
      <c r="AW18" s="7"/>
      <c r="AX18" s="7"/>
    </row>
    <row r="19" spans="2:50">
      <c r="C19" s="232" t="s">
        <v>1411</v>
      </c>
    </row>
    <row r="20" spans="2:50">
      <c r="B20" s="171" t="str">
        <f>$C$19&amp;C20</f>
        <v>MEDIA &amp; INTERNATIONAL KPI'sRevenue</v>
      </c>
      <c r="C20" s="138" t="s">
        <v>1</v>
      </c>
      <c r="D20" s="82" t="s">
        <v>900</v>
      </c>
      <c r="F20" s="7"/>
      <c r="G20" s="132" t="e">
        <f>HY!#REF!</f>
        <v>#REF!</v>
      </c>
      <c r="H20" s="132" t="e">
        <f>HY!#REF!</f>
        <v>#REF!</v>
      </c>
      <c r="I20" s="132" t="e">
        <f>HY!#REF!</f>
        <v>#REF!</v>
      </c>
      <c r="J20" s="132" t="e">
        <f>HY!#REF!</f>
        <v>#REF!</v>
      </c>
      <c r="K20" s="132" t="e">
        <f>HY!#REF!</f>
        <v>#REF!</v>
      </c>
      <c r="L20" s="132" t="e">
        <f>HY!#REF!</f>
        <v>#REF!</v>
      </c>
      <c r="M20" s="132" t="e">
        <f>HY!#REF!</f>
        <v>#REF!</v>
      </c>
      <c r="N20" s="132" t="e">
        <f>HY!#REF!</f>
        <v>#REF!</v>
      </c>
      <c r="O20" s="132" t="e">
        <f>HY!#REF!</f>
        <v>#REF!</v>
      </c>
      <c r="P20" s="132" t="e">
        <f>HY!#REF!</f>
        <v>#REF!</v>
      </c>
      <c r="Q20" s="132" t="e">
        <f>HY!#REF!</f>
        <v>#REF!</v>
      </c>
      <c r="R20" s="132" t="e">
        <f>HY!#REF!</f>
        <v>#REF!</v>
      </c>
      <c r="S20" s="132" t="e">
        <f>HY!#REF!</f>
        <v>#REF!</v>
      </c>
      <c r="T20" s="132" t="e">
        <f>HY!#REF!</f>
        <v>#REF!</v>
      </c>
      <c r="U20" s="132" t="e">
        <f>HY!#REF!</f>
        <v>#REF!</v>
      </c>
      <c r="V20" s="132" t="e">
        <f>HY!#REF!</f>
        <v>#REF!</v>
      </c>
      <c r="W20" s="132" t="e">
        <f>HY!#REF!</f>
        <v>#REF!</v>
      </c>
      <c r="X20" s="132" t="e">
        <f>HY!#REF!</f>
        <v>#REF!</v>
      </c>
      <c r="Y20" s="132" t="e">
        <f>HY!#REF!</f>
        <v>#REF!</v>
      </c>
      <c r="Z20" s="132" t="e">
        <f>HY!#REF!</f>
        <v>#REF!</v>
      </c>
      <c r="AA20" s="132" t="e">
        <f>HY!#REF!</f>
        <v>#REF!</v>
      </c>
      <c r="AB20" s="132" t="e">
        <f>HY!#REF!</f>
        <v>#REF!</v>
      </c>
      <c r="AC20" s="132" t="e">
        <f>HY!#REF!</f>
        <v>#REF!</v>
      </c>
      <c r="AD20" s="132" t="e">
        <f>HY!#REF!</f>
        <v>#REF!</v>
      </c>
      <c r="AE20" s="132" t="e">
        <f>HY!#REF!</f>
        <v>#REF!</v>
      </c>
      <c r="AF20" s="132" t="e">
        <f>HY!#REF!</f>
        <v>#REF!</v>
      </c>
      <c r="AK20" s="7"/>
      <c r="AL20" s="132" t="e">
        <f t="shared" ref="AL20:AX20" si="6">SUMIFS($G20:$AF20,$G$3:$AF$3,AL$5)</f>
        <v>#REF!</v>
      </c>
      <c r="AM20" s="132" t="e">
        <f t="shared" si="6"/>
        <v>#REF!</v>
      </c>
      <c r="AN20" s="132" t="e">
        <f t="shared" si="6"/>
        <v>#REF!</v>
      </c>
      <c r="AO20" s="132" t="e">
        <f t="shared" si="6"/>
        <v>#REF!</v>
      </c>
      <c r="AP20" s="132" t="e">
        <f t="shared" si="6"/>
        <v>#REF!</v>
      </c>
      <c r="AQ20" s="132" t="e">
        <f t="shared" si="6"/>
        <v>#REF!</v>
      </c>
      <c r="AR20" s="132" t="e">
        <f t="shared" si="6"/>
        <v>#REF!</v>
      </c>
      <c r="AS20" s="132" t="e">
        <f t="shared" si="6"/>
        <v>#REF!</v>
      </c>
      <c r="AT20" s="132" t="e">
        <f t="shared" si="6"/>
        <v>#REF!</v>
      </c>
      <c r="AU20" s="132" t="e">
        <f t="shared" si="6"/>
        <v>#REF!</v>
      </c>
      <c r="AV20" s="132" t="e">
        <f t="shared" si="6"/>
        <v>#REF!</v>
      </c>
      <c r="AW20" s="132" t="e">
        <f t="shared" si="6"/>
        <v>#REF!</v>
      </c>
      <c r="AX20" s="132" t="e">
        <f t="shared" si="6"/>
        <v>#REF!</v>
      </c>
    </row>
    <row r="21" spans="2:50">
      <c r="B21" s="171"/>
      <c r="C21" s="138"/>
      <c r="D21" s="82"/>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K21" s="7"/>
      <c r="AL21" s="7"/>
      <c r="AM21" s="7"/>
      <c r="AN21" s="7"/>
      <c r="AO21" s="7"/>
      <c r="AP21" s="7"/>
      <c r="AQ21" s="7"/>
      <c r="AR21" s="7"/>
      <c r="AS21" s="7"/>
      <c r="AT21" s="7"/>
      <c r="AU21" s="7"/>
      <c r="AV21" s="7"/>
      <c r="AW21" s="7"/>
      <c r="AX21" s="7"/>
    </row>
    <row r="22" spans="2:50">
      <c r="C22" s="232" t="s">
        <v>1182</v>
      </c>
    </row>
    <row r="23" spans="2:50">
      <c r="B23" s="171" t="str">
        <f t="shared" ref="B23:B29" si="7">$C$22&amp;C23</f>
        <v>WAGERING &amp; MEDIA P&amp;LRevenue</v>
      </c>
      <c r="C23" s="138" t="s">
        <v>1</v>
      </c>
      <c r="D23" s="82" t="s">
        <v>900</v>
      </c>
      <c r="F23" s="7"/>
      <c r="G23" s="132">
        <f>HY!M182</f>
        <v>1073.4000000000001</v>
      </c>
      <c r="H23" s="132">
        <f>HY!N182</f>
        <v>1108.5</v>
      </c>
      <c r="I23" s="132">
        <f>HY!O182</f>
        <v>1165.7</v>
      </c>
      <c r="J23" s="132">
        <f>HY!P182</f>
        <v>1065.1000000000001</v>
      </c>
      <c r="K23" s="132">
        <f>HY!Q182</f>
        <v>1116.5999999999999</v>
      </c>
      <c r="L23" s="132">
        <f>HY!R182</f>
        <v>1046.2000000000003</v>
      </c>
      <c r="M23" s="132">
        <f>HY!S182</f>
        <v>1243.2</v>
      </c>
      <c r="N23" s="132">
        <f>HY!T182</f>
        <v>1195.6000000000001</v>
      </c>
      <c r="O23" s="132">
        <f>HY!U182</f>
        <v>1253.2</v>
      </c>
      <c r="P23" s="132">
        <f>HY!V182</f>
        <v>1201.4999999999998</v>
      </c>
      <c r="Q23" s="132">
        <f>HY!W182</f>
        <v>1306.9912626</v>
      </c>
      <c r="R23" s="132">
        <f>HY!X182</f>
        <v>1228.5870538500001</v>
      </c>
      <c r="S23" s="132">
        <f>HY!Y182</f>
        <v>1311.5464535010001</v>
      </c>
      <c r="T23" s="132">
        <f>HY!Z182</f>
        <v>1242.032782024</v>
      </c>
      <c r="U23" s="132">
        <f>HY!AA182</f>
        <v>1323.7522634282996</v>
      </c>
      <c r="V23" s="132">
        <f>HY!AB182</f>
        <v>1252.1775538494801</v>
      </c>
      <c r="W23" s="132">
        <f>HY!AC182</f>
        <v>1352.9485652203171</v>
      </c>
      <c r="X23" s="132">
        <f>HY!AD182</f>
        <v>1280.1736667176647</v>
      </c>
      <c r="Y23" s="132">
        <f>HY!AE182</f>
        <v>1372.4532846330467</v>
      </c>
      <c r="Z23" s="132">
        <f>HY!AF182</f>
        <v>1299.4081849496483</v>
      </c>
      <c r="AA23" s="132">
        <f>HY!AG182</f>
        <v>1392.752423003597</v>
      </c>
      <c r="AB23" s="132">
        <f>HY!AH182</f>
        <v>1319.4098856462872</v>
      </c>
      <c r="AC23" s="132">
        <f>HY!AI182</f>
        <v>1413.8677201269479</v>
      </c>
      <c r="AD23" s="132">
        <f>HY!AJ182</f>
        <v>1340.1998828123442</v>
      </c>
      <c r="AE23" s="132">
        <f>HY!AK182</f>
        <v>1435.8215889196676</v>
      </c>
      <c r="AF23" s="132">
        <f>HY!AL182</f>
        <v>1361.7999428874157</v>
      </c>
      <c r="AK23" s="7"/>
      <c r="AL23" s="132">
        <f t="shared" ref="AL23:AX29" si="8">SUMIFS($G23:$AF23,$G$3:$AF$3,AL$5)</f>
        <v>2181.9</v>
      </c>
      <c r="AM23" s="132">
        <f t="shared" si="8"/>
        <v>2230.8000000000002</v>
      </c>
      <c r="AN23" s="132">
        <f t="shared" si="8"/>
        <v>2162.8000000000002</v>
      </c>
      <c r="AO23" s="132">
        <f t="shared" si="8"/>
        <v>2438.8000000000002</v>
      </c>
      <c r="AP23" s="132">
        <f t="shared" si="8"/>
        <v>2454.6999999999998</v>
      </c>
      <c r="AQ23" s="132">
        <f t="shared" si="8"/>
        <v>2535.5783164499999</v>
      </c>
      <c r="AR23" s="132">
        <f t="shared" si="8"/>
        <v>2553.5792355250001</v>
      </c>
      <c r="AS23" s="132">
        <f t="shared" si="8"/>
        <v>2575.9298172777799</v>
      </c>
      <c r="AT23" s="132">
        <f t="shared" si="8"/>
        <v>2633.1222319379817</v>
      </c>
      <c r="AU23" s="132">
        <f t="shared" si="8"/>
        <v>2671.861469582695</v>
      </c>
      <c r="AV23" s="132">
        <f t="shared" si="8"/>
        <v>2712.1623086498839</v>
      </c>
      <c r="AW23" s="132">
        <f t="shared" si="8"/>
        <v>2754.0676029392921</v>
      </c>
      <c r="AX23" s="132">
        <f t="shared" si="8"/>
        <v>2797.6215318070836</v>
      </c>
    </row>
    <row r="24" spans="2:50">
      <c r="B24" s="171" t="str">
        <f t="shared" si="7"/>
        <v>WAGERING &amp; MEDIA P&amp;LTaxes &amp; Commissions</v>
      </c>
      <c r="C24" s="138" t="s">
        <v>1272</v>
      </c>
      <c r="D24" s="82" t="s">
        <v>900</v>
      </c>
      <c r="F24" s="7"/>
      <c r="G24" s="132">
        <f>HY!M185</f>
        <v>-678.50000000000011</v>
      </c>
      <c r="H24" s="132">
        <f>HY!N185</f>
        <v>-702.1</v>
      </c>
      <c r="I24" s="132">
        <f>HY!O185</f>
        <v>-767.40000000000009</v>
      </c>
      <c r="J24" s="132">
        <f>HY!P185</f>
        <v>-688.40000000000009</v>
      </c>
      <c r="K24" s="132">
        <f>HY!Q185</f>
        <v>-722.69999999999993</v>
      </c>
      <c r="L24" s="132">
        <f>HY!R185</f>
        <v>-681.9000000000002</v>
      </c>
      <c r="M24" s="132">
        <f>HY!S185</f>
        <v>-785.1</v>
      </c>
      <c r="N24" s="132">
        <f>HY!T185</f>
        <v>-737.80000000000018</v>
      </c>
      <c r="O24" s="132">
        <f>HY!U185</f>
        <v>-775.80000000000007</v>
      </c>
      <c r="P24" s="132">
        <f>HY!V185</f>
        <v>-725.6999999999997</v>
      </c>
      <c r="Q24" s="132">
        <f>HY!W185</f>
        <v>-790.72971387300004</v>
      </c>
      <c r="R24" s="132">
        <f>HY!X185</f>
        <v>-743.29516757925001</v>
      </c>
      <c r="S24" s="132">
        <f>HY!Y185</f>
        <v>-793.48560436810499</v>
      </c>
      <c r="T24" s="132">
        <f>HY!Z185</f>
        <v>-751.42983312451997</v>
      </c>
      <c r="U24" s="132">
        <f>HY!AA185</f>
        <v>-800.87011937412126</v>
      </c>
      <c r="V24" s="132">
        <f>HY!AB185</f>
        <v>-757.56742007893536</v>
      </c>
      <c r="W24" s="132">
        <f>HY!AC185</f>
        <v>-818.53388195829177</v>
      </c>
      <c r="X24" s="132">
        <f>HY!AD185</f>
        <v>-774.50506836418708</v>
      </c>
      <c r="Y24" s="132">
        <f>HY!AE185</f>
        <v>-830.33423720299322</v>
      </c>
      <c r="Z24" s="132">
        <f>HY!AF185</f>
        <v>-786.14195189453721</v>
      </c>
      <c r="AA24" s="132">
        <f>HY!AG185</f>
        <v>-842.6152159171761</v>
      </c>
      <c r="AB24" s="132">
        <f>HY!AH185</f>
        <v>-798.24298081600375</v>
      </c>
      <c r="AC24" s="132">
        <f>HY!AI185</f>
        <v>-855.3899706768035</v>
      </c>
      <c r="AD24" s="132">
        <f>HY!AJ185</f>
        <v>-810.82092910146821</v>
      </c>
      <c r="AE24" s="132">
        <f>HY!AK185</f>
        <v>-868.67206129639885</v>
      </c>
      <c r="AF24" s="132">
        <f>HY!AL185</f>
        <v>-823.88896544688646</v>
      </c>
      <c r="AK24" s="7"/>
      <c r="AL24" s="132">
        <f t="shared" si="8"/>
        <v>-1380.6000000000001</v>
      </c>
      <c r="AM24" s="132">
        <f t="shared" si="8"/>
        <v>-1455.8000000000002</v>
      </c>
      <c r="AN24" s="132">
        <f t="shared" si="8"/>
        <v>-1404.6000000000001</v>
      </c>
      <c r="AO24" s="132">
        <f t="shared" si="8"/>
        <v>-1522.9</v>
      </c>
      <c r="AP24" s="132">
        <f t="shared" si="8"/>
        <v>-1501.4999999999998</v>
      </c>
      <c r="AQ24" s="132">
        <f t="shared" si="8"/>
        <v>-1534.0248814522502</v>
      </c>
      <c r="AR24" s="132">
        <f t="shared" si="8"/>
        <v>-1544.915437492625</v>
      </c>
      <c r="AS24" s="132">
        <f t="shared" si="8"/>
        <v>-1558.4375394530566</v>
      </c>
      <c r="AT24" s="132">
        <f t="shared" si="8"/>
        <v>-1593.0389503224787</v>
      </c>
      <c r="AU24" s="132">
        <f t="shared" si="8"/>
        <v>-1616.4761890975306</v>
      </c>
      <c r="AV24" s="132">
        <f t="shared" si="8"/>
        <v>-1640.8581967331797</v>
      </c>
      <c r="AW24" s="132">
        <f t="shared" si="8"/>
        <v>-1666.2108997782716</v>
      </c>
      <c r="AX24" s="132">
        <f t="shared" si="8"/>
        <v>-1692.5610267432853</v>
      </c>
    </row>
    <row r="25" spans="2:50">
      <c r="B25" s="171" t="str">
        <f t="shared" si="7"/>
        <v>WAGERING &amp; MEDIA P&amp;LVariable Contribution</v>
      </c>
      <c r="C25" s="138" t="s">
        <v>1218</v>
      </c>
      <c r="D25" s="82" t="s">
        <v>900</v>
      </c>
      <c r="F25" s="7"/>
      <c r="G25" s="132">
        <f>HY!M193</f>
        <v>394.9</v>
      </c>
      <c r="H25" s="132">
        <f>HY!N193</f>
        <v>406.4</v>
      </c>
      <c r="I25" s="132">
        <f>HY!O193</f>
        <v>398.3</v>
      </c>
      <c r="J25" s="132">
        <f>HY!P193</f>
        <v>376.7</v>
      </c>
      <c r="K25" s="132">
        <f>HY!Q193</f>
        <v>393.9</v>
      </c>
      <c r="L25" s="132">
        <f>HY!R193</f>
        <v>364.30000000000007</v>
      </c>
      <c r="M25" s="132">
        <f>HY!S193</f>
        <v>458.1</v>
      </c>
      <c r="N25" s="132">
        <f>HY!T193</f>
        <v>457.79999999999995</v>
      </c>
      <c r="O25" s="132">
        <f>HY!U193</f>
        <v>477.4</v>
      </c>
      <c r="P25" s="132">
        <f>HY!V193</f>
        <v>475.80000000000007</v>
      </c>
      <c r="Q25" s="132">
        <f>HY!W193</f>
        <v>516.26154872699999</v>
      </c>
      <c r="R25" s="132">
        <f>HY!X193</f>
        <v>485.29188627075007</v>
      </c>
      <c r="S25" s="132">
        <f>HY!Y193</f>
        <v>518.0608491328951</v>
      </c>
      <c r="T25" s="132">
        <f>HY!Z193</f>
        <v>490.60294889948</v>
      </c>
      <c r="U25" s="132">
        <f>HY!AA193</f>
        <v>522.8821440541783</v>
      </c>
      <c r="V25" s="132">
        <f>HY!AB193</f>
        <v>494.61013377054468</v>
      </c>
      <c r="W25" s="132">
        <f>HY!AC193</f>
        <v>534.41468326202528</v>
      </c>
      <c r="X25" s="132">
        <f>HY!AD193</f>
        <v>505.66859835347759</v>
      </c>
      <c r="Y25" s="132">
        <f>HY!AE193</f>
        <v>542.11904743005346</v>
      </c>
      <c r="Z25" s="132">
        <f>HY!AF193</f>
        <v>513.26623305511112</v>
      </c>
      <c r="AA25" s="132">
        <f>HY!AG193</f>
        <v>550.13720708642086</v>
      </c>
      <c r="AB25" s="132">
        <f>HY!AH193</f>
        <v>521.16690483028344</v>
      </c>
      <c r="AC25" s="132">
        <f>HY!AI193</f>
        <v>558.47774945014442</v>
      </c>
      <c r="AD25" s="132">
        <f>HY!AJ193</f>
        <v>529.37895371087598</v>
      </c>
      <c r="AE25" s="132">
        <f>HY!AK193</f>
        <v>567.1495276232688</v>
      </c>
      <c r="AF25" s="132">
        <f>HY!AL193</f>
        <v>537.91097744052922</v>
      </c>
      <c r="AK25" s="7"/>
      <c r="AL25" s="132">
        <f t="shared" si="8"/>
        <v>801.3</v>
      </c>
      <c r="AM25" s="132">
        <f t="shared" si="8"/>
        <v>775</v>
      </c>
      <c r="AN25" s="132">
        <f t="shared" si="8"/>
        <v>758.2</v>
      </c>
      <c r="AO25" s="132">
        <f t="shared" si="8"/>
        <v>915.9</v>
      </c>
      <c r="AP25" s="132">
        <f t="shared" si="8"/>
        <v>953.2</v>
      </c>
      <c r="AQ25" s="132">
        <f t="shared" si="8"/>
        <v>1001.5534349977501</v>
      </c>
      <c r="AR25" s="132">
        <f t="shared" si="8"/>
        <v>1008.6637980323751</v>
      </c>
      <c r="AS25" s="132">
        <f t="shared" si="8"/>
        <v>1017.492277824723</v>
      </c>
      <c r="AT25" s="132">
        <f t="shared" si="8"/>
        <v>1040.083281615503</v>
      </c>
      <c r="AU25" s="132">
        <f t="shared" si="8"/>
        <v>1055.3852804851645</v>
      </c>
      <c r="AV25" s="132">
        <f t="shared" si="8"/>
        <v>1071.3041119167042</v>
      </c>
      <c r="AW25" s="132">
        <f t="shared" si="8"/>
        <v>1087.8567031610205</v>
      </c>
      <c r="AX25" s="132">
        <f t="shared" si="8"/>
        <v>1105.060505063798</v>
      </c>
    </row>
    <row r="26" spans="2:50">
      <c r="B26" s="171" t="str">
        <f t="shared" si="7"/>
        <v>WAGERING &amp; MEDIA P&amp;LOpex</v>
      </c>
      <c r="C26" s="138" t="s">
        <v>4</v>
      </c>
      <c r="D26" s="82" t="s">
        <v>900</v>
      </c>
      <c r="F26" s="7"/>
      <c r="G26" s="132">
        <f>HY!M201</f>
        <v>-257</v>
      </c>
      <c r="H26" s="132">
        <f>HY!N201</f>
        <v>-257.29999999999995</v>
      </c>
      <c r="I26" s="132">
        <f>HY!O201</f>
        <v>-243.9</v>
      </c>
      <c r="J26" s="132">
        <f>HY!P201</f>
        <v>-223.1</v>
      </c>
      <c r="K26" s="132">
        <f>HY!Q201</f>
        <v>-259.89999999999998</v>
      </c>
      <c r="L26" s="132">
        <f>HY!R201</f>
        <v>-247.10000000000002</v>
      </c>
      <c r="M26" s="132">
        <f>HY!S201</f>
        <v>-301.39999999999998</v>
      </c>
      <c r="N26" s="132">
        <f>HY!T201</f>
        <v>-285.39999999999998</v>
      </c>
      <c r="O26" s="132">
        <f>HY!U201</f>
        <v>-296</v>
      </c>
      <c r="P26" s="132">
        <f>HY!V201</f>
        <v>-295.39999999999998</v>
      </c>
      <c r="Q26" s="132">
        <f>HY!W201</f>
        <v>-306.06400000000002</v>
      </c>
      <c r="R26" s="132">
        <f>HY!X201</f>
        <v>-305.00049999999999</v>
      </c>
      <c r="S26" s="132">
        <f>HY!Y201</f>
        <v>-315.24592000000001</v>
      </c>
      <c r="T26" s="132">
        <f>HY!Z201</f>
        <v>-314.15051499999998</v>
      </c>
      <c r="U26" s="132">
        <f>HY!AA201</f>
        <v>-324.70329760000004</v>
      </c>
      <c r="V26" s="132">
        <f>HY!AB201</f>
        <v>-323.57503044999999</v>
      </c>
      <c r="W26" s="132">
        <f>HY!AC201</f>
        <v>-334.44439652800003</v>
      </c>
      <c r="X26" s="132">
        <f>HY!AD201</f>
        <v>-333.28228136349998</v>
      </c>
      <c r="Y26" s="132">
        <f>HY!AE201</f>
        <v>-341.13328445856001</v>
      </c>
      <c r="Z26" s="132">
        <f>HY!AF201</f>
        <v>-339.94792699076999</v>
      </c>
      <c r="AA26" s="132">
        <f>HY!AG201</f>
        <v>-347.95595014773124</v>
      </c>
      <c r="AB26" s="132">
        <f>HY!AH201</f>
        <v>-346.74688553058542</v>
      </c>
      <c r="AC26" s="132">
        <f>HY!AI201</f>
        <v>-354.91506915068589</v>
      </c>
      <c r="AD26" s="132">
        <f>HY!AJ201</f>
        <v>-353.68182324119715</v>
      </c>
      <c r="AE26" s="132">
        <f>HY!AK201</f>
        <v>-362.01337053369963</v>
      </c>
      <c r="AF26" s="132">
        <f>HY!AL201</f>
        <v>-360.7554597060211</v>
      </c>
      <c r="AK26" s="7"/>
      <c r="AL26" s="132">
        <f t="shared" si="8"/>
        <v>-514.29999999999995</v>
      </c>
      <c r="AM26" s="132">
        <f t="shared" si="8"/>
        <v>-467</v>
      </c>
      <c r="AN26" s="132">
        <f t="shared" si="8"/>
        <v>-507</v>
      </c>
      <c r="AO26" s="132">
        <f t="shared" si="8"/>
        <v>-586.79999999999995</v>
      </c>
      <c r="AP26" s="132">
        <f t="shared" si="8"/>
        <v>-591.4</v>
      </c>
      <c r="AQ26" s="132">
        <f t="shared" si="8"/>
        <v>-611.06449999999995</v>
      </c>
      <c r="AR26" s="132">
        <f t="shared" si="8"/>
        <v>-629.396435</v>
      </c>
      <c r="AS26" s="132">
        <f t="shared" si="8"/>
        <v>-648.27832805000003</v>
      </c>
      <c r="AT26" s="132">
        <f t="shared" si="8"/>
        <v>-667.7266778915</v>
      </c>
      <c r="AU26" s="132">
        <f t="shared" si="8"/>
        <v>-681.08121144933</v>
      </c>
      <c r="AV26" s="132">
        <f t="shared" si="8"/>
        <v>-694.70283567831666</v>
      </c>
      <c r="AW26" s="132">
        <f t="shared" si="8"/>
        <v>-708.5968923918831</v>
      </c>
      <c r="AX26" s="132">
        <f t="shared" si="8"/>
        <v>-722.76883023972073</v>
      </c>
    </row>
    <row r="27" spans="2:50">
      <c r="B27" s="171" t="str">
        <f t="shared" si="7"/>
        <v>WAGERING &amp; MEDIA P&amp;LEBITDA</v>
      </c>
      <c r="C27" s="138" t="s">
        <v>2</v>
      </c>
      <c r="D27" s="82" t="s">
        <v>900</v>
      </c>
      <c r="F27" s="7"/>
      <c r="G27" s="132">
        <f>HY!M210</f>
        <v>137.9</v>
      </c>
      <c r="H27" s="132">
        <f>HY!N210</f>
        <v>149.1</v>
      </c>
      <c r="I27" s="132">
        <f>HY!O210</f>
        <v>154.4</v>
      </c>
      <c r="J27" s="132">
        <f>HY!P210</f>
        <v>153.6</v>
      </c>
      <c r="K27" s="132">
        <f>HY!Q210</f>
        <v>134</v>
      </c>
      <c r="L27" s="132">
        <f>HY!R210</f>
        <v>117.19999999999999</v>
      </c>
      <c r="M27" s="132">
        <f>HY!S210</f>
        <v>156.69999999999999</v>
      </c>
      <c r="N27" s="132">
        <f>HY!T210</f>
        <v>172.40000000000003</v>
      </c>
      <c r="O27" s="132">
        <f>HY!U210</f>
        <v>181.4</v>
      </c>
      <c r="P27" s="132">
        <f>HY!V210</f>
        <v>180.4</v>
      </c>
      <c r="Q27" s="132">
        <f>HY!W210</f>
        <v>210.19754872699997</v>
      </c>
      <c r="R27" s="132">
        <f>HY!X210</f>
        <v>180.29138627075008</v>
      </c>
      <c r="S27" s="132">
        <f>HY!Y210</f>
        <v>202.81492913289509</v>
      </c>
      <c r="T27" s="132">
        <f>HY!Z210</f>
        <v>176.45243389948001</v>
      </c>
      <c r="U27" s="132">
        <f>HY!AA210</f>
        <v>198.17884645417826</v>
      </c>
      <c r="V27" s="132">
        <f>HY!AB210</f>
        <v>171.03510332054469</v>
      </c>
      <c r="W27" s="132">
        <f>HY!AC210</f>
        <v>199.97028673402525</v>
      </c>
      <c r="X27" s="132">
        <f>HY!AD210</f>
        <v>172.38631698997762</v>
      </c>
      <c r="Y27" s="132">
        <f>HY!AE210</f>
        <v>200.98576297149344</v>
      </c>
      <c r="Z27" s="132">
        <f>HY!AF210</f>
        <v>173.31830606434113</v>
      </c>
      <c r="AA27" s="132">
        <f>HY!AG210</f>
        <v>202.18125693868961</v>
      </c>
      <c r="AB27" s="132">
        <f>HY!AH210</f>
        <v>174.42001929969803</v>
      </c>
      <c r="AC27" s="132">
        <f>HY!AI210</f>
        <v>203.56268029945852</v>
      </c>
      <c r="AD27" s="132">
        <f>HY!AJ210</f>
        <v>175.69713046967883</v>
      </c>
      <c r="AE27" s="132">
        <f>HY!AK210</f>
        <v>205.13615708956917</v>
      </c>
      <c r="AF27" s="132">
        <f>HY!AL210</f>
        <v>177.15551773450812</v>
      </c>
      <c r="AK27" s="7"/>
      <c r="AL27" s="132">
        <f t="shared" si="8"/>
        <v>287</v>
      </c>
      <c r="AM27" s="132">
        <f t="shared" si="8"/>
        <v>308</v>
      </c>
      <c r="AN27" s="132">
        <f t="shared" si="8"/>
        <v>251.2</v>
      </c>
      <c r="AO27" s="132">
        <f t="shared" si="8"/>
        <v>329.1</v>
      </c>
      <c r="AP27" s="132">
        <f t="shared" si="8"/>
        <v>361.8</v>
      </c>
      <c r="AQ27" s="132">
        <f t="shared" si="8"/>
        <v>390.48893499775005</v>
      </c>
      <c r="AR27" s="132">
        <f t="shared" si="8"/>
        <v>379.2673630323751</v>
      </c>
      <c r="AS27" s="132">
        <f t="shared" si="8"/>
        <v>369.21394977472295</v>
      </c>
      <c r="AT27" s="132">
        <f t="shared" si="8"/>
        <v>372.35660372400287</v>
      </c>
      <c r="AU27" s="132">
        <f t="shared" si="8"/>
        <v>374.30406903583457</v>
      </c>
      <c r="AV27" s="132">
        <f t="shared" si="8"/>
        <v>376.60127623838764</v>
      </c>
      <c r="AW27" s="132">
        <f t="shared" si="8"/>
        <v>379.25981076913735</v>
      </c>
      <c r="AX27" s="132">
        <f t="shared" si="8"/>
        <v>382.29167482407729</v>
      </c>
    </row>
    <row r="28" spans="2:50">
      <c r="B28" s="171" t="str">
        <f>$C$22&amp;C28</f>
        <v>WAGERING &amp; MEDIA P&amp;LD&amp;A</v>
      </c>
      <c r="C28" s="138" t="s">
        <v>48</v>
      </c>
      <c r="D28" s="82" t="s">
        <v>900</v>
      </c>
      <c r="F28" s="7"/>
      <c r="G28" s="132">
        <f>HY!M214</f>
        <v>-105.2</v>
      </c>
      <c r="H28" s="132">
        <f>HY!N214</f>
        <v>-109.8</v>
      </c>
      <c r="I28" s="132">
        <f>HY!O214</f>
        <v>-96.5</v>
      </c>
      <c r="J28" s="132">
        <f>HY!P214</f>
        <v>-95.300000000000011</v>
      </c>
      <c r="K28" s="132">
        <f>HY!Q214</f>
        <v>-100.7</v>
      </c>
      <c r="L28" s="132">
        <f>HY!R214</f>
        <v>-80.2</v>
      </c>
      <c r="M28" s="132">
        <f>HY!S214</f>
        <v>-77.3</v>
      </c>
      <c r="N28" s="132">
        <f>HY!T214</f>
        <v>-83.600000000000009</v>
      </c>
      <c r="O28" s="132">
        <f>HY!U214</f>
        <v>-86.1</v>
      </c>
      <c r="P28" s="132">
        <f>HY!V214</f>
        <v>-84.5</v>
      </c>
      <c r="Q28" s="132">
        <f>HY!W214</f>
        <v>0</v>
      </c>
      <c r="R28" s="132">
        <f>HY!X214</f>
        <v>0</v>
      </c>
      <c r="S28" s="132">
        <f>HY!Y214</f>
        <v>0</v>
      </c>
      <c r="T28" s="132">
        <f>HY!Z214</f>
        <v>0</v>
      </c>
      <c r="U28" s="132">
        <f>HY!AA214</f>
        <v>0</v>
      </c>
      <c r="V28" s="132">
        <f>HY!AB214</f>
        <v>0</v>
      </c>
      <c r="W28" s="132">
        <f>HY!AC214</f>
        <v>0</v>
      </c>
      <c r="X28" s="132">
        <f>HY!AD214</f>
        <v>0</v>
      </c>
      <c r="Y28" s="132">
        <f>HY!AE214</f>
        <v>0</v>
      </c>
      <c r="Z28" s="132">
        <f>HY!AF214</f>
        <v>0</v>
      </c>
      <c r="AA28" s="132">
        <f>HY!AG214</f>
        <v>0</v>
      </c>
      <c r="AB28" s="132">
        <f>HY!AH214</f>
        <v>0</v>
      </c>
      <c r="AC28" s="132">
        <f>HY!AI214</f>
        <v>0</v>
      </c>
      <c r="AD28" s="132">
        <f>HY!AJ214</f>
        <v>0</v>
      </c>
      <c r="AE28" s="132">
        <f>HY!AK214</f>
        <v>0</v>
      </c>
      <c r="AF28" s="132">
        <f>HY!AL214</f>
        <v>0</v>
      </c>
      <c r="AK28" s="7"/>
      <c r="AL28" s="132">
        <f t="shared" si="8"/>
        <v>-215</v>
      </c>
      <c r="AM28" s="132">
        <f t="shared" si="8"/>
        <v>-191.8</v>
      </c>
      <c r="AN28" s="132">
        <f t="shared" si="8"/>
        <v>-180.9</v>
      </c>
      <c r="AO28" s="132">
        <f t="shared" si="8"/>
        <v>-160.9</v>
      </c>
      <c r="AP28" s="132">
        <f t="shared" si="8"/>
        <v>-170.6</v>
      </c>
      <c r="AQ28" s="132">
        <f t="shared" si="8"/>
        <v>0</v>
      </c>
      <c r="AR28" s="132">
        <f t="shared" si="8"/>
        <v>0</v>
      </c>
      <c r="AS28" s="132">
        <f t="shared" si="8"/>
        <v>0</v>
      </c>
      <c r="AT28" s="132">
        <f t="shared" si="8"/>
        <v>0</v>
      </c>
      <c r="AU28" s="132">
        <f t="shared" si="8"/>
        <v>0</v>
      </c>
      <c r="AV28" s="132">
        <f t="shared" si="8"/>
        <v>0</v>
      </c>
      <c r="AW28" s="132">
        <f t="shared" si="8"/>
        <v>0</v>
      </c>
      <c r="AX28" s="132">
        <f t="shared" si="8"/>
        <v>0</v>
      </c>
    </row>
    <row r="29" spans="2:50">
      <c r="B29" s="171" t="str">
        <f t="shared" si="7"/>
        <v>WAGERING &amp; MEDIA P&amp;LEBIT</v>
      </c>
      <c r="C29" s="138" t="s">
        <v>10</v>
      </c>
      <c r="D29" s="82" t="s">
        <v>900</v>
      </c>
      <c r="F29" s="7"/>
      <c r="G29" s="132">
        <f>HY!M217</f>
        <v>32.700000000000003</v>
      </c>
      <c r="H29" s="132">
        <f>HY!N217</f>
        <v>39.299999999999997</v>
      </c>
      <c r="I29" s="132">
        <f>HY!O217</f>
        <v>57.9</v>
      </c>
      <c r="J29" s="132">
        <f>HY!P217</f>
        <v>58.300000000000004</v>
      </c>
      <c r="K29" s="132">
        <f>HY!Q217</f>
        <v>33.299999999999997</v>
      </c>
      <c r="L29" s="132">
        <f>HY!R217</f>
        <v>37</v>
      </c>
      <c r="M29" s="132">
        <f>HY!S217</f>
        <v>79.400000000000006</v>
      </c>
      <c r="N29" s="132">
        <f>HY!T217</f>
        <v>88.799999999999983</v>
      </c>
      <c r="O29" s="132">
        <f>HY!U217</f>
        <v>95.3</v>
      </c>
      <c r="P29" s="132">
        <f>HY!V217</f>
        <v>95.899999999999991</v>
      </c>
      <c r="Q29" s="132">
        <f>HY!W217</f>
        <v>0</v>
      </c>
      <c r="R29" s="132">
        <f>HY!X217</f>
        <v>0</v>
      </c>
      <c r="S29" s="132">
        <f>HY!Y217</f>
        <v>0</v>
      </c>
      <c r="T29" s="132">
        <f>HY!Z217</f>
        <v>0</v>
      </c>
      <c r="U29" s="132">
        <f>HY!AA217</f>
        <v>0</v>
      </c>
      <c r="V29" s="132">
        <f>HY!AB217</f>
        <v>0</v>
      </c>
      <c r="W29" s="132">
        <f>HY!AC217</f>
        <v>0</v>
      </c>
      <c r="X29" s="132">
        <f>HY!AD217</f>
        <v>0</v>
      </c>
      <c r="Y29" s="132">
        <f>HY!AE217</f>
        <v>0</v>
      </c>
      <c r="Z29" s="132">
        <f>HY!AF217</f>
        <v>0</v>
      </c>
      <c r="AA29" s="132">
        <f>HY!AG217</f>
        <v>0</v>
      </c>
      <c r="AB29" s="132">
        <f>HY!AH217</f>
        <v>0</v>
      </c>
      <c r="AC29" s="132">
        <f>HY!AI217</f>
        <v>0</v>
      </c>
      <c r="AD29" s="132">
        <f>HY!AJ217</f>
        <v>0</v>
      </c>
      <c r="AE29" s="132">
        <f>HY!AK217</f>
        <v>0</v>
      </c>
      <c r="AF29" s="132">
        <f>HY!AL217</f>
        <v>0</v>
      </c>
      <c r="AK29" s="7"/>
      <c r="AL29" s="132">
        <f t="shared" si="8"/>
        <v>72</v>
      </c>
      <c r="AM29" s="132">
        <f t="shared" si="8"/>
        <v>116.2</v>
      </c>
      <c r="AN29" s="132">
        <f t="shared" si="8"/>
        <v>70.3</v>
      </c>
      <c r="AO29" s="132">
        <f t="shared" si="8"/>
        <v>168.2</v>
      </c>
      <c r="AP29" s="132">
        <f t="shared" si="8"/>
        <v>191.2</v>
      </c>
      <c r="AQ29" s="132">
        <f t="shared" si="8"/>
        <v>0</v>
      </c>
      <c r="AR29" s="132">
        <f t="shared" si="8"/>
        <v>0</v>
      </c>
      <c r="AS29" s="132">
        <f t="shared" si="8"/>
        <v>0</v>
      </c>
      <c r="AT29" s="132">
        <f t="shared" si="8"/>
        <v>0</v>
      </c>
      <c r="AU29" s="132">
        <f t="shared" si="8"/>
        <v>0</v>
      </c>
      <c r="AV29" s="132">
        <f t="shared" si="8"/>
        <v>0</v>
      </c>
      <c r="AW29" s="132">
        <f t="shared" si="8"/>
        <v>0</v>
      </c>
      <c r="AX29" s="132">
        <f t="shared" si="8"/>
        <v>0</v>
      </c>
    </row>
    <row r="31" spans="2:50">
      <c r="C31" s="232" t="s">
        <v>1418</v>
      </c>
    </row>
    <row r="32" spans="2:50">
      <c r="B32" s="171" t="str">
        <f t="shared" ref="B32:B37" si="9">$C$31&amp;C32</f>
        <v>GAMING SERVICES KPI'sMonitered EGM's</v>
      </c>
      <c r="C32" s="138" t="s">
        <v>1412</v>
      </c>
      <c r="D32" s="82" t="s">
        <v>977</v>
      </c>
      <c r="G32" s="137">
        <f>HY!M232</f>
        <v>121050</v>
      </c>
      <c r="H32" s="137">
        <f>HY!N232</f>
        <v>120370</v>
      </c>
      <c r="I32" s="137">
        <f>HY!O232</f>
        <v>121290</v>
      </c>
      <c r="J32" s="137">
        <f>HY!P232</f>
        <v>122210</v>
      </c>
      <c r="K32" s="137">
        <f>HY!Q232</f>
        <v>125350</v>
      </c>
      <c r="L32" s="137">
        <f>HY!R232</f>
        <v>122210</v>
      </c>
      <c r="M32" s="137">
        <f>HY!S232</f>
        <v>126250</v>
      </c>
      <c r="N32" s="137">
        <f>HY!T232</f>
        <v>126970</v>
      </c>
      <c r="O32" s="137">
        <f>HY!U232</f>
        <v>127340</v>
      </c>
      <c r="P32" s="137">
        <f>HY!V232</f>
        <v>127600</v>
      </c>
      <c r="Q32" s="137">
        <f>HY!W232</f>
        <v>127600</v>
      </c>
      <c r="R32" s="137">
        <f>HY!X232</f>
        <v>127600</v>
      </c>
      <c r="S32" s="137">
        <f>HY!Y232</f>
        <v>127600</v>
      </c>
      <c r="T32" s="137">
        <f>HY!Z232</f>
        <v>127600</v>
      </c>
      <c r="U32" s="137">
        <f>HY!AA232</f>
        <v>127600</v>
      </c>
      <c r="V32" s="137">
        <f>HY!AB232</f>
        <v>127600</v>
      </c>
      <c r="W32" s="137">
        <f>HY!AC232</f>
        <v>127600</v>
      </c>
      <c r="X32" s="137">
        <f>HY!AD232</f>
        <v>127600</v>
      </c>
      <c r="Y32" s="137">
        <f>HY!AE232</f>
        <v>127600</v>
      </c>
      <c r="Z32" s="137">
        <f>HY!AF232</f>
        <v>127600</v>
      </c>
      <c r="AA32" s="137">
        <f>HY!AG232</f>
        <v>127600</v>
      </c>
      <c r="AB32" s="137">
        <f>HY!AH232</f>
        <v>127600</v>
      </c>
      <c r="AC32" s="137">
        <f>HY!AI232</f>
        <v>127600</v>
      </c>
      <c r="AD32" s="137">
        <f>HY!AJ232</f>
        <v>127600</v>
      </c>
      <c r="AE32" s="137">
        <f>HY!AK232</f>
        <v>127600</v>
      </c>
      <c r="AF32" s="137">
        <f>HY!AL232</f>
        <v>127600</v>
      </c>
      <c r="AL32" s="712">
        <f>_xlfn.XLOOKUP(AL$6,$G$6:$AF$6,$G32:$AF32)</f>
        <v>120370</v>
      </c>
      <c r="AM32" s="712">
        <f t="shared" ref="AM32:AX32" si="10">_xlfn.SINGLE(_xlfn.XLOOKUP(AM$6,$G$6:$AF$6,$G32:$AF32))</f>
        <v>122210</v>
      </c>
      <c r="AN32" s="712">
        <f t="shared" si="10"/>
        <v>122210</v>
      </c>
      <c r="AO32" s="712">
        <f t="shared" si="10"/>
        <v>126970</v>
      </c>
      <c r="AP32" s="712">
        <f t="shared" si="10"/>
        <v>127600</v>
      </c>
      <c r="AQ32" s="712">
        <f t="shared" si="10"/>
        <v>127600</v>
      </c>
      <c r="AR32" s="712">
        <f t="shared" si="10"/>
        <v>127600</v>
      </c>
      <c r="AS32" s="712">
        <f t="shared" si="10"/>
        <v>127600</v>
      </c>
      <c r="AT32" s="712">
        <f t="shared" si="10"/>
        <v>127600</v>
      </c>
      <c r="AU32" s="712">
        <f t="shared" si="10"/>
        <v>127600</v>
      </c>
      <c r="AV32" s="712">
        <f t="shared" si="10"/>
        <v>127600</v>
      </c>
      <c r="AW32" s="712">
        <f t="shared" si="10"/>
        <v>127600</v>
      </c>
      <c r="AX32" s="712">
        <f t="shared" si="10"/>
        <v>127600</v>
      </c>
    </row>
    <row r="33" spans="2:50">
      <c r="B33" s="171" t="str">
        <f t="shared" si="9"/>
        <v>GAMING SERVICES KPI'sRevenue / Machine</v>
      </c>
      <c r="C33" s="138" t="s">
        <v>1413</v>
      </c>
      <c r="D33" s="82" t="s">
        <v>848</v>
      </c>
      <c r="G33" s="132" t="e">
        <f>HY!#REF!</f>
        <v>#REF!</v>
      </c>
      <c r="H33" s="132" t="e">
        <f>HY!#REF!</f>
        <v>#REF!</v>
      </c>
      <c r="I33" s="132" t="e">
        <f>HY!#REF!</f>
        <v>#REF!</v>
      </c>
      <c r="J33" s="132" t="e">
        <f>HY!#REF!</f>
        <v>#REF!</v>
      </c>
      <c r="K33" s="132" t="e">
        <f>HY!#REF!</f>
        <v>#REF!</v>
      </c>
      <c r="L33" s="132" t="e">
        <f>HY!#REF!</f>
        <v>#REF!</v>
      </c>
      <c r="M33" s="132" t="e">
        <f>HY!#REF!</f>
        <v>#REF!</v>
      </c>
      <c r="N33" s="132" t="e">
        <f>HY!#REF!</f>
        <v>#REF!</v>
      </c>
      <c r="O33" s="132" t="e">
        <f>HY!#REF!</f>
        <v>#REF!</v>
      </c>
      <c r="P33" s="132" t="e">
        <f>HY!#REF!</f>
        <v>#REF!</v>
      </c>
      <c r="Q33" s="132" t="e">
        <f>HY!#REF!</f>
        <v>#REF!</v>
      </c>
      <c r="R33" s="132" t="e">
        <f>HY!#REF!</f>
        <v>#REF!</v>
      </c>
      <c r="S33" s="132" t="e">
        <f>HY!#REF!</f>
        <v>#REF!</v>
      </c>
      <c r="T33" s="132" t="e">
        <f>HY!#REF!</f>
        <v>#REF!</v>
      </c>
      <c r="U33" s="132" t="e">
        <f>HY!#REF!</f>
        <v>#REF!</v>
      </c>
      <c r="V33" s="132" t="e">
        <f>HY!#REF!</f>
        <v>#REF!</v>
      </c>
      <c r="W33" s="132" t="e">
        <f>HY!#REF!</f>
        <v>#REF!</v>
      </c>
      <c r="X33" s="132" t="e">
        <f>HY!#REF!</f>
        <v>#REF!</v>
      </c>
      <c r="Y33" s="132" t="e">
        <f>HY!#REF!</f>
        <v>#REF!</v>
      </c>
      <c r="Z33" s="132" t="e">
        <f>HY!#REF!</f>
        <v>#REF!</v>
      </c>
      <c r="AA33" s="132" t="e">
        <f>HY!#REF!</f>
        <v>#REF!</v>
      </c>
      <c r="AB33" s="132" t="e">
        <f>HY!#REF!</f>
        <v>#REF!</v>
      </c>
      <c r="AC33" s="132" t="e">
        <f>HY!#REF!</f>
        <v>#REF!</v>
      </c>
      <c r="AD33" s="132" t="e">
        <f>HY!#REF!</f>
        <v>#REF!</v>
      </c>
      <c r="AE33" s="132" t="e">
        <f>HY!#REF!</f>
        <v>#REF!</v>
      </c>
      <c r="AF33" s="132" t="e">
        <f>HY!#REF!</f>
        <v>#REF!</v>
      </c>
      <c r="AL33" s="132" t="e">
        <f t="shared" ref="AL33:AX37" si="11">SUMIFS($G33:$AF33,$G$3:$AF$3,AL$5)</f>
        <v>#REF!</v>
      </c>
      <c r="AM33" s="132" t="e">
        <f t="shared" si="11"/>
        <v>#REF!</v>
      </c>
      <c r="AN33" s="132" t="e">
        <f t="shared" si="11"/>
        <v>#REF!</v>
      </c>
      <c r="AO33" s="132" t="e">
        <f t="shared" si="11"/>
        <v>#REF!</v>
      </c>
      <c r="AP33" s="132" t="e">
        <f t="shared" si="11"/>
        <v>#REF!</v>
      </c>
      <c r="AQ33" s="132" t="e">
        <f t="shared" si="11"/>
        <v>#REF!</v>
      </c>
      <c r="AR33" s="132" t="e">
        <f t="shared" si="11"/>
        <v>#REF!</v>
      </c>
      <c r="AS33" s="132" t="e">
        <f t="shared" si="11"/>
        <v>#REF!</v>
      </c>
      <c r="AT33" s="132" t="e">
        <f t="shared" si="11"/>
        <v>#REF!</v>
      </c>
      <c r="AU33" s="132" t="e">
        <f t="shared" si="11"/>
        <v>#REF!</v>
      </c>
      <c r="AV33" s="132" t="e">
        <f t="shared" si="11"/>
        <v>#REF!</v>
      </c>
      <c r="AW33" s="132" t="e">
        <f t="shared" si="11"/>
        <v>#REF!</v>
      </c>
      <c r="AX33" s="132" t="e">
        <f t="shared" si="11"/>
        <v>#REF!</v>
      </c>
    </row>
    <row r="34" spans="2:50">
      <c r="B34" s="171" t="str">
        <f t="shared" si="9"/>
        <v>GAMING SERVICES KPI'sIntegrity Services Revenue</v>
      </c>
      <c r="C34" s="138" t="s">
        <v>1414</v>
      </c>
      <c r="D34" s="82" t="s">
        <v>900</v>
      </c>
      <c r="G34" s="132" t="e">
        <f>HY!#REF!</f>
        <v>#REF!</v>
      </c>
      <c r="H34" s="132" t="e">
        <f>HY!#REF!</f>
        <v>#REF!</v>
      </c>
      <c r="I34" s="132" t="e">
        <f>HY!#REF!</f>
        <v>#REF!</v>
      </c>
      <c r="J34" s="132" t="e">
        <f>HY!#REF!</f>
        <v>#REF!</v>
      </c>
      <c r="K34" s="132" t="e">
        <f>HY!#REF!</f>
        <v>#REF!</v>
      </c>
      <c r="L34" s="132" t="e">
        <f>HY!#REF!</f>
        <v>#REF!</v>
      </c>
      <c r="M34" s="132" t="e">
        <f>HY!#REF!</f>
        <v>#REF!</v>
      </c>
      <c r="N34" s="132" t="e">
        <f>HY!#REF!</f>
        <v>#REF!</v>
      </c>
      <c r="O34" s="132" t="e">
        <f>HY!#REF!</f>
        <v>#REF!</v>
      </c>
      <c r="P34" s="132" t="e">
        <f>HY!#REF!</f>
        <v>#REF!</v>
      </c>
      <c r="Q34" s="132" t="e">
        <f>HY!#REF!</f>
        <v>#REF!</v>
      </c>
      <c r="R34" s="132" t="e">
        <f>HY!#REF!</f>
        <v>#REF!</v>
      </c>
      <c r="S34" s="132" t="e">
        <f>HY!#REF!</f>
        <v>#REF!</v>
      </c>
      <c r="T34" s="132" t="e">
        <f>HY!#REF!</f>
        <v>#REF!</v>
      </c>
      <c r="U34" s="132" t="e">
        <f>HY!#REF!</f>
        <v>#REF!</v>
      </c>
      <c r="V34" s="132" t="e">
        <f>HY!#REF!</f>
        <v>#REF!</v>
      </c>
      <c r="W34" s="132" t="e">
        <f>HY!#REF!</f>
        <v>#REF!</v>
      </c>
      <c r="X34" s="132" t="e">
        <f>HY!#REF!</f>
        <v>#REF!</v>
      </c>
      <c r="Y34" s="132" t="e">
        <f>HY!#REF!</f>
        <v>#REF!</v>
      </c>
      <c r="Z34" s="132" t="e">
        <f>HY!#REF!</f>
        <v>#REF!</v>
      </c>
      <c r="AA34" s="132" t="e">
        <f>HY!#REF!</f>
        <v>#REF!</v>
      </c>
      <c r="AB34" s="132" t="e">
        <f>HY!#REF!</f>
        <v>#REF!</v>
      </c>
      <c r="AC34" s="132" t="e">
        <f>HY!#REF!</f>
        <v>#REF!</v>
      </c>
      <c r="AD34" s="132" t="e">
        <f>HY!#REF!</f>
        <v>#REF!</v>
      </c>
      <c r="AE34" s="132" t="e">
        <f>HY!#REF!</f>
        <v>#REF!</v>
      </c>
      <c r="AF34" s="132" t="e">
        <f>HY!#REF!</f>
        <v>#REF!</v>
      </c>
      <c r="AL34" s="132" t="e">
        <f t="shared" si="11"/>
        <v>#REF!</v>
      </c>
      <c r="AM34" s="132" t="e">
        <f t="shared" si="11"/>
        <v>#REF!</v>
      </c>
      <c r="AN34" s="132" t="e">
        <f t="shared" si="11"/>
        <v>#REF!</v>
      </c>
      <c r="AO34" s="132" t="e">
        <f t="shared" si="11"/>
        <v>#REF!</v>
      </c>
      <c r="AP34" s="132" t="e">
        <f t="shared" si="11"/>
        <v>#REF!</v>
      </c>
      <c r="AQ34" s="132" t="e">
        <f t="shared" si="11"/>
        <v>#REF!</v>
      </c>
      <c r="AR34" s="132" t="e">
        <f t="shared" si="11"/>
        <v>#REF!</v>
      </c>
      <c r="AS34" s="132" t="e">
        <f t="shared" si="11"/>
        <v>#REF!</v>
      </c>
      <c r="AT34" s="132" t="e">
        <f t="shared" si="11"/>
        <v>#REF!</v>
      </c>
      <c r="AU34" s="132" t="e">
        <f t="shared" si="11"/>
        <v>#REF!</v>
      </c>
      <c r="AV34" s="132" t="e">
        <f t="shared" si="11"/>
        <v>#REF!</v>
      </c>
      <c r="AW34" s="132" t="e">
        <f t="shared" si="11"/>
        <v>#REF!</v>
      </c>
      <c r="AX34" s="132" t="e">
        <f t="shared" si="11"/>
        <v>#REF!</v>
      </c>
    </row>
    <row r="35" spans="2:50">
      <c r="B35" s="171" t="str">
        <f t="shared" si="9"/>
        <v>GAMING SERVICES KPI'sIntegrity Services EBITDA</v>
      </c>
      <c r="C35" s="138" t="s">
        <v>1415</v>
      </c>
      <c r="D35" s="82" t="s">
        <v>900</v>
      </c>
      <c r="G35" s="132" t="e">
        <f>HY!#REF!</f>
        <v>#REF!</v>
      </c>
      <c r="H35" s="132" t="e">
        <f>HY!#REF!</f>
        <v>#REF!</v>
      </c>
      <c r="I35" s="132" t="e">
        <f>HY!#REF!</f>
        <v>#REF!</v>
      </c>
      <c r="J35" s="132" t="e">
        <f>HY!#REF!</f>
        <v>#REF!</v>
      </c>
      <c r="K35" s="132" t="e">
        <f>HY!#REF!</f>
        <v>#REF!</v>
      </c>
      <c r="L35" s="132" t="e">
        <f>HY!#REF!</f>
        <v>#REF!</v>
      </c>
      <c r="M35" s="132" t="e">
        <f>HY!#REF!</f>
        <v>#REF!</v>
      </c>
      <c r="N35" s="132" t="e">
        <f>HY!#REF!</f>
        <v>#REF!</v>
      </c>
      <c r="O35" s="132" t="e">
        <f>HY!#REF!</f>
        <v>#REF!</v>
      </c>
      <c r="P35" s="132" t="e">
        <f>HY!#REF!</f>
        <v>#REF!</v>
      </c>
      <c r="Q35" s="132" t="e">
        <f>HY!#REF!</f>
        <v>#REF!</v>
      </c>
      <c r="R35" s="132" t="e">
        <f>HY!#REF!</f>
        <v>#REF!</v>
      </c>
      <c r="S35" s="132" t="e">
        <f>HY!#REF!</f>
        <v>#REF!</v>
      </c>
      <c r="T35" s="132" t="e">
        <f>HY!#REF!</f>
        <v>#REF!</v>
      </c>
      <c r="U35" s="132" t="e">
        <f>HY!#REF!</f>
        <v>#REF!</v>
      </c>
      <c r="V35" s="132" t="e">
        <f>HY!#REF!</f>
        <v>#REF!</v>
      </c>
      <c r="W35" s="132" t="e">
        <f>HY!#REF!</f>
        <v>#REF!</v>
      </c>
      <c r="X35" s="132" t="e">
        <f>HY!#REF!</f>
        <v>#REF!</v>
      </c>
      <c r="Y35" s="132" t="e">
        <f>HY!#REF!</f>
        <v>#REF!</v>
      </c>
      <c r="Z35" s="132" t="e">
        <f>HY!#REF!</f>
        <v>#REF!</v>
      </c>
      <c r="AA35" s="132" t="e">
        <f>HY!#REF!</f>
        <v>#REF!</v>
      </c>
      <c r="AB35" s="132" t="e">
        <f>HY!#REF!</f>
        <v>#REF!</v>
      </c>
      <c r="AC35" s="132" t="e">
        <f>HY!#REF!</f>
        <v>#REF!</v>
      </c>
      <c r="AD35" s="132" t="e">
        <f>HY!#REF!</f>
        <v>#REF!</v>
      </c>
      <c r="AE35" s="132" t="e">
        <f>HY!#REF!</f>
        <v>#REF!</v>
      </c>
      <c r="AF35" s="132" t="e">
        <f>HY!#REF!</f>
        <v>#REF!</v>
      </c>
      <c r="AL35" s="132" t="e">
        <f t="shared" si="11"/>
        <v>#REF!</v>
      </c>
      <c r="AM35" s="132" t="e">
        <f t="shared" si="11"/>
        <v>#REF!</v>
      </c>
      <c r="AN35" s="132" t="e">
        <f t="shared" si="11"/>
        <v>#REF!</v>
      </c>
      <c r="AO35" s="132" t="e">
        <f t="shared" si="11"/>
        <v>#REF!</v>
      </c>
      <c r="AP35" s="132" t="e">
        <f t="shared" si="11"/>
        <v>#REF!</v>
      </c>
      <c r="AQ35" s="132" t="e">
        <f t="shared" si="11"/>
        <v>#REF!</v>
      </c>
      <c r="AR35" s="132" t="e">
        <f t="shared" si="11"/>
        <v>#REF!</v>
      </c>
      <c r="AS35" s="132" t="e">
        <f t="shared" si="11"/>
        <v>#REF!</v>
      </c>
      <c r="AT35" s="132" t="e">
        <f t="shared" si="11"/>
        <v>#REF!</v>
      </c>
      <c r="AU35" s="132" t="e">
        <f t="shared" si="11"/>
        <v>#REF!</v>
      </c>
      <c r="AV35" s="132" t="e">
        <f t="shared" si="11"/>
        <v>#REF!</v>
      </c>
      <c r="AW35" s="132" t="e">
        <f t="shared" si="11"/>
        <v>#REF!</v>
      </c>
      <c r="AX35" s="132" t="e">
        <f t="shared" si="11"/>
        <v>#REF!</v>
      </c>
    </row>
    <row r="36" spans="2:50">
      <c r="B36" s="171" t="str">
        <f t="shared" si="9"/>
        <v>GAMING SERVICES KPI'sOther Venue Services Revenue</v>
      </c>
      <c r="C36" s="138" t="s">
        <v>1416</v>
      </c>
      <c r="D36" s="82" t="s">
        <v>900</v>
      </c>
      <c r="G36" s="132" t="e">
        <f>HY!#REF!</f>
        <v>#REF!</v>
      </c>
      <c r="H36" s="132" t="e">
        <f>HY!#REF!</f>
        <v>#REF!</v>
      </c>
      <c r="I36" s="132" t="e">
        <f>HY!#REF!</f>
        <v>#REF!</v>
      </c>
      <c r="J36" s="132" t="e">
        <f>HY!#REF!</f>
        <v>#REF!</v>
      </c>
      <c r="K36" s="132" t="e">
        <f>HY!#REF!</f>
        <v>#REF!</v>
      </c>
      <c r="L36" s="132" t="e">
        <f>HY!#REF!</f>
        <v>#REF!</v>
      </c>
      <c r="M36" s="132" t="e">
        <f>HY!#REF!</f>
        <v>#REF!</v>
      </c>
      <c r="N36" s="132" t="e">
        <f>HY!#REF!</f>
        <v>#REF!</v>
      </c>
      <c r="O36" s="132" t="e">
        <f>HY!#REF!</f>
        <v>#REF!</v>
      </c>
      <c r="P36" s="132" t="e">
        <f>HY!#REF!</f>
        <v>#REF!</v>
      </c>
      <c r="Q36" s="132" t="e">
        <f>HY!#REF!</f>
        <v>#REF!</v>
      </c>
      <c r="R36" s="132" t="e">
        <f>HY!#REF!</f>
        <v>#REF!</v>
      </c>
      <c r="S36" s="132" t="e">
        <f>HY!#REF!</f>
        <v>#REF!</v>
      </c>
      <c r="T36" s="132" t="e">
        <f>HY!#REF!</f>
        <v>#REF!</v>
      </c>
      <c r="U36" s="132" t="e">
        <f>HY!#REF!</f>
        <v>#REF!</v>
      </c>
      <c r="V36" s="132" t="e">
        <f>HY!#REF!</f>
        <v>#REF!</v>
      </c>
      <c r="W36" s="132" t="e">
        <f>HY!#REF!</f>
        <v>#REF!</v>
      </c>
      <c r="X36" s="132" t="e">
        <f>HY!#REF!</f>
        <v>#REF!</v>
      </c>
      <c r="Y36" s="132" t="e">
        <f>HY!#REF!</f>
        <v>#REF!</v>
      </c>
      <c r="Z36" s="132" t="e">
        <f>HY!#REF!</f>
        <v>#REF!</v>
      </c>
      <c r="AA36" s="132" t="e">
        <f>HY!#REF!</f>
        <v>#REF!</v>
      </c>
      <c r="AB36" s="132" t="e">
        <f>HY!#REF!</f>
        <v>#REF!</v>
      </c>
      <c r="AC36" s="132" t="e">
        <f>HY!#REF!</f>
        <v>#REF!</v>
      </c>
      <c r="AD36" s="132" t="e">
        <f>HY!#REF!</f>
        <v>#REF!</v>
      </c>
      <c r="AE36" s="132" t="e">
        <f>HY!#REF!</f>
        <v>#REF!</v>
      </c>
      <c r="AF36" s="132" t="e">
        <f>HY!#REF!</f>
        <v>#REF!</v>
      </c>
      <c r="AL36" s="132" t="e">
        <f t="shared" si="11"/>
        <v>#REF!</v>
      </c>
      <c r="AM36" s="132" t="e">
        <f t="shared" si="11"/>
        <v>#REF!</v>
      </c>
      <c r="AN36" s="132" t="e">
        <f t="shared" si="11"/>
        <v>#REF!</v>
      </c>
      <c r="AO36" s="132" t="e">
        <f t="shared" si="11"/>
        <v>#REF!</v>
      </c>
      <c r="AP36" s="132" t="e">
        <f t="shared" si="11"/>
        <v>#REF!</v>
      </c>
      <c r="AQ36" s="132" t="e">
        <f t="shared" si="11"/>
        <v>#REF!</v>
      </c>
      <c r="AR36" s="132" t="e">
        <f t="shared" si="11"/>
        <v>#REF!</v>
      </c>
      <c r="AS36" s="132" t="e">
        <f t="shared" si="11"/>
        <v>#REF!</v>
      </c>
      <c r="AT36" s="132" t="e">
        <f t="shared" si="11"/>
        <v>#REF!</v>
      </c>
      <c r="AU36" s="132" t="e">
        <f t="shared" si="11"/>
        <v>#REF!</v>
      </c>
      <c r="AV36" s="132" t="e">
        <f t="shared" si="11"/>
        <v>#REF!</v>
      </c>
      <c r="AW36" s="132" t="e">
        <f t="shared" si="11"/>
        <v>#REF!</v>
      </c>
      <c r="AX36" s="132" t="e">
        <f t="shared" si="11"/>
        <v>#REF!</v>
      </c>
    </row>
    <row r="37" spans="2:50">
      <c r="B37" s="171" t="str">
        <f t="shared" si="9"/>
        <v>GAMING SERVICES KPI'sOther Venues Services EBITDA</v>
      </c>
      <c r="C37" s="138" t="s">
        <v>1417</v>
      </c>
      <c r="D37" s="82" t="s">
        <v>900</v>
      </c>
      <c r="G37" s="132" t="e">
        <f>HY!#REF!</f>
        <v>#REF!</v>
      </c>
      <c r="H37" s="132" t="e">
        <f>HY!#REF!</f>
        <v>#REF!</v>
      </c>
      <c r="I37" s="132" t="e">
        <f>HY!#REF!</f>
        <v>#REF!</v>
      </c>
      <c r="J37" s="132" t="e">
        <f>HY!#REF!</f>
        <v>#REF!</v>
      </c>
      <c r="K37" s="132" t="e">
        <f>HY!#REF!</f>
        <v>#REF!</v>
      </c>
      <c r="L37" s="132" t="e">
        <f>HY!#REF!</f>
        <v>#REF!</v>
      </c>
      <c r="M37" s="132" t="e">
        <f>HY!#REF!</f>
        <v>#REF!</v>
      </c>
      <c r="N37" s="132" t="e">
        <f>HY!#REF!</f>
        <v>#REF!</v>
      </c>
      <c r="O37" s="132" t="e">
        <f>HY!#REF!</f>
        <v>#REF!</v>
      </c>
      <c r="P37" s="132" t="e">
        <f>HY!#REF!</f>
        <v>#REF!</v>
      </c>
      <c r="Q37" s="132" t="e">
        <f>HY!#REF!</f>
        <v>#REF!</v>
      </c>
      <c r="R37" s="132" t="e">
        <f>HY!#REF!</f>
        <v>#REF!</v>
      </c>
      <c r="S37" s="132" t="e">
        <f>HY!#REF!</f>
        <v>#REF!</v>
      </c>
      <c r="T37" s="132" t="e">
        <f>HY!#REF!</f>
        <v>#REF!</v>
      </c>
      <c r="U37" s="132" t="e">
        <f>HY!#REF!</f>
        <v>#REF!</v>
      </c>
      <c r="V37" s="132" t="e">
        <f>HY!#REF!</f>
        <v>#REF!</v>
      </c>
      <c r="W37" s="132" t="e">
        <f>HY!#REF!</f>
        <v>#REF!</v>
      </c>
      <c r="X37" s="132" t="e">
        <f>HY!#REF!</f>
        <v>#REF!</v>
      </c>
      <c r="Y37" s="132" t="e">
        <f>HY!#REF!</f>
        <v>#REF!</v>
      </c>
      <c r="Z37" s="132" t="e">
        <f>HY!#REF!</f>
        <v>#REF!</v>
      </c>
      <c r="AA37" s="132" t="e">
        <f>HY!#REF!</f>
        <v>#REF!</v>
      </c>
      <c r="AB37" s="132" t="e">
        <f>HY!#REF!</f>
        <v>#REF!</v>
      </c>
      <c r="AC37" s="132" t="e">
        <f>HY!#REF!</f>
        <v>#REF!</v>
      </c>
      <c r="AD37" s="132" t="e">
        <f>HY!#REF!</f>
        <v>#REF!</v>
      </c>
      <c r="AE37" s="132" t="e">
        <f>HY!#REF!</f>
        <v>#REF!</v>
      </c>
      <c r="AF37" s="132" t="e">
        <f>HY!#REF!</f>
        <v>#REF!</v>
      </c>
      <c r="AL37" s="132" t="e">
        <f t="shared" si="11"/>
        <v>#REF!</v>
      </c>
      <c r="AM37" s="132" t="e">
        <f t="shared" si="11"/>
        <v>#REF!</v>
      </c>
      <c r="AN37" s="132" t="e">
        <f t="shared" si="11"/>
        <v>#REF!</v>
      </c>
      <c r="AO37" s="132" t="e">
        <f t="shared" si="11"/>
        <v>#REF!</v>
      </c>
      <c r="AP37" s="132" t="e">
        <f t="shared" si="11"/>
        <v>#REF!</v>
      </c>
      <c r="AQ37" s="132" t="e">
        <f t="shared" si="11"/>
        <v>#REF!</v>
      </c>
      <c r="AR37" s="132" t="e">
        <f t="shared" si="11"/>
        <v>#REF!</v>
      </c>
      <c r="AS37" s="132" t="e">
        <f t="shared" si="11"/>
        <v>#REF!</v>
      </c>
      <c r="AT37" s="132" t="e">
        <f t="shared" si="11"/>
        <v>#REF!</v>
      </c>
      <c r="AU37" s="132" t="e">
        <f t="shared" si="11"/>
        <v>#REF!</v>
      </c>
      <c r="AV37" s="132" t="e">
        <f t="shared" si="11"/>
        <v>#REF!</v>
      </c>
      <c r="AW37" s="132" t="e">
        <f t="shared" si="11"/>
        <v>#REF!</v>
      </c>
      <c r="AX37" s="132" t="e">
        <f t="shared" si="11"/>
        <v>#REF!</v>
      </c>
    </row>
    <row r="38" spans="2:50">
      <c r="B38" s="171"/>
      <c r="C38" s="138"/>
      <c r="G38" s="7"/>
      <c r="H38" s="7"/>
      <c r="I38" s="7"/>
      <c r="J38" s="7"/>
      <c r="K38" s="7"/>
      <c r="L38" s="7"/>
      <c r="M38" s="7"/>
      <c r="N38" s="7"/>
      <c r="O38" s="7"/>
      <c r="P38" s="7"/>
      <c r="Q38" s="7"/>
      <c r="R38" s="7"/>
      <c r="S38" s="7"/>
      <c r="T38" s="7"/>
      <c r="U38" s="7"/>
      <c r="V38" s="7"/>
      <c r="W38" s="7"/>
      <c r="X38" s="7"/>
      <c r="Y38" s="7"/>
      <c r="Z38" s="7"/>
      <c r="AA38" s="7"/>
      <c r="AB38" s="7"/>
      <c r="AC38" s="7"/>
      <c r="AD38" s="7"/>
      <c r="AE38" s="7"/>
      <c r="AF38" s="7"/>
      <c r="AL38" s="7"/>
      <c r="AM38" s="7"/>
      <c r="AN38" s="7"/>
      <c r="AO38" s="7"/>
      <c r="AP38" s="7"/>
      <c r="AQ38" s="7"/>
      <c r="AR38" s="7"/>
      <c r="AS38" s="7"/>
      <c r="AT38" s="7"/>
      <c r="AU38" s="7"/>
      <c r="AV38" s="7"/>
      <c r="AW38" s="7"/>
      <c r="AX38" s="7"/>
    </row>
    <row r="39" spans="2:50">
      <c r="C39" s="232" t="s">
        <v>1293</v>
      </c>
    </row>
    <row r="40" spans="2:50">
      <c r="B40" s="171" t="str">
        <f>$C$39&amp;C40</f>
        <v>GAMING SERVICES P&amp;LRevenue</v>
      </c>
      <c r="C40" s="138" t="s">
        <v>1</v>
      </c>
      <c r="D40" s="82" t="s">
        <v>900</v>
      </c>
      <c r="F40" s="7"/>
      <c r="G40" s="132">
        <f>HY!M244</f>
        <v>79.599999999999994</v>
      </c>
      <c r="H40" s="132">
        <f>HY!N244</f>
        <v>117.30000000000001</v>
      </c>
      <c r="I40" s="132">
        <f>HY!O244</f>
        <v>108.8</v>
      </c>
      <c r="J40" s="132">
        <f>HY!P244</f>
        <v>94.8</v>
      </c>
      <c r="K40" s="132">
        <f>HY!Q244</f>
        <v>80.3</v>
      </c>
      <c r="L40" s="132">
        <f>HY!R244</f>
        <v>83.100000000000009</v>
      </c>
      <c r="M40" s="132">
        <f>HY!S244</f>
        <v>88.1</v>
      </c>
      <c r="N40" s="132">
        <f>HY!T244</f>
        <v>87.700000000000017</v>
      </c>
      <c r="O40" s="132">
        <f>HY!U244</f>
        <v>91.7</v>
      </c>
      <c r="P40" s="132">
        <f>HY!V244</f>
        <v>89.899999999999991</v>
      </c>
      <c r="Q40" s="132">
        <f>HY!W244</f>
        <v>93.992499999999993</v>
      </c>
      <c r="R40" s="132">
        <f>HY!X244</f>
        <v>92.14749999999998</v>
      </c>
      <c r="S40" s="132">
        <f>HY!Y244</f>
        <v>96.342312499999977</v>
      </c>
      <c r="T40" s="132">
        <f>HY!Z244</f>
        <v>94.451187499999975</v>
      </c>
      <c r="U40" s="132">
        <f>HY!AA244</f>
        <v>99.23258187499998</v>
      </c>
      <c r="V40" s="132">
        <f>HY!AB244</f>
        <v>97.284723124999971</v>
      </c>
      <c r="W40" s="132">
        <f>HY!AC244</f>
        <v>102.20955933124998</v>
      </c>
      <c r="X40" s="132">
        <f>HY!AD244</f>
        <v>100.20326481874997</v>
      </c>
      <c r="Y40" s="132">
        <f>HY!AE244</f>
        <v>105.27584611118748</v>
      </c>
      <c r="Z40" s="132">
        <f>HY!AF244</f>
        <v>103.20936276331247</v>
      </c>
      <c r="AA40" s="132">
        <f>HY!AG244</f>
        <v>108.4341214945231</v>
      </c>
      <c r="AB40" s="132">
        <f>HY!AH244</f>
        <v>106.30564364621185</v>
      </c>
      <c r="AC40" s="132">
        <f>HY!AI244</f>
        <v>111.68714513935879</v>
      </c>
      <c r="AD40" s="132">
        <f>HY!AJ244</f>
        <v>109.49481295559821</v>
      </c>
      <c r="AE40" s="132">
        <f>HY!AK244</f>
        <v>115.03775949353955</v>
      </c>
      <c r="AF40" s="132">
        <f>HY!AL244</f>
        <v>112.77965734426616</v>
      </c>
      <c r="AK40" s="7"/>
      <c r="AL40" s="132">
        <f t="shared" ref="AL40:AX46" si="12">SUMIFS($G40:$AF40,$G$3:$AF$3,AL$5)</f>
        <v>196.9</v>
      </c>
      <c r="AM40" s="132">
        <f t="shared" si="12"/>
        <v>203.6</v>
      </c>
      <c r="AN40" s="132">
        <f t="shared" si="12"/>
        <v>163.4</v>
      </c>
      <c r="AO40" s="132">
        <f t="shared" si="12"/>
        <v>175.8</v>
      </c>
      <c r="AP40" s="132">
        <f t="shared" si="12"/>
        <v>181.6</v>
      </c>
      <c r="AQ40" s="132">
        <f t="shared" si="12"/>
        <v>186.14</v>
      </c>
      <c r="AR40" s="132">
        <f t="shared" si="12"/>
        <v>190.79349999999994</v>
      </c>
      <c r="AS40" s="132">
        <f t="shared" si="12"/>
        <v>196.51730499999996</v>
      </c>
      <c r="AT40" s="132">
        <f t="shared" si="12"/>
        <v>202.41282414999995</v>
      </c>
      <c r="AU40" s="132">
        <f t="shared" si="12"/>
        <v>208.48520887449996</v>
      </c>
      <c r="AV40" s="132">
        <f t="shared" si="12"/>
        <v>214.73976514073496</v>
      </c>
      <c r="AW40" s="132">
        <f t="shared" si="12"/>
        <v>221.181958094957</v>
      </c>
      <c r="AX40" s="132">
        <f t="shared" si="12"/>
        <v>227.81741683780569</v>
      </c>
    </row>
    <row r="41" spans="2:50">
      <c r="B41" s="171" t="str">
        <f t="shared" ref="B41:B46" si="13">$C$39&amp;C41</f>
        <v>GAMING SERVICES P&amp;LTaxes &amp; Commissions</v>
      </c>
      <c r="C41" s="138" t="s">
        <v>1272</v>
      </c>
      <c r="D41" s="82" t="s">
        <v>900</v>
      </c>
      <c r="F41" s="7"/>
      <c r="G41" s="132">
        <f>HY!M247</f>
        <v>-5</v>
      </c>
      <c r="H41" s="132">
        <f>HY!N247</f>
        <v>-5.5999999999999943</v>
      </c>
      <c r="I41" s="132">
        <f>HY!O247</f>
        <v>-7.3999999999999915</v>
      </c>
      <c r="J41" s="132">
        <f>HY!P247</f>
        <v>-3.0000000000000142</v>
      </c>
      <c r="K41" s="132">
        <f>HY!Q247</f>
        <v>-0.39999999999999147</v>
      </c>
      <c r="L41" s="132">
        <f>HY!R247</f>
        <v>-1.3000000000000256</v>
      </c>
      <c r="M41" s="132">
        <f>HY!S247</f>
        <v>-1.7999999999999972</v>
      </c>
      <c r="N41" s="132">
        <f>HY!T247</f>
        <v>-1.2000000000000028</v>
      </c>
      <c r="O41" s="132">
        <f>HY!U247</f>
        <v>-1.5</v>
      </c>
      <c r="P41" s="132">
        <f>HY!V247</f>
        <v>-0.90000000000000568</v>
      </c>
      <c r="Q41" s="132">
        <f>HY!W247</f>
        <v>-0.94097052280312055</v>
      </c>
      <c r="R41" s="132">
        <f>HY!X247</f>
        <v>-0.92250000000000576</v>
      </c>
      <c r="S41" s="132">
        <f>HY!Y247</f>
        <v>-0.96449478587319837</v>
      </c>
      <c r="T41" s="132">
        <f>HY!Z247</f>
        <v>-0.94556250000000586</v>
      </c>
      <c r="U41" s="132">
        <f>HY!AA247</f>
        <v>-0.99342962944939439</v>
      </c>
      <c r="V41" s="132">
        <f>HY!AB247</f>
        <v>-0.97392937500000598</v>
      </c>
      <c r="W41" s="132">
        <f>HY!AC247</f>
        <v>-1.0232325183328761</v>
      </c>
      <c r="X41" s="132">
        <f>HY!AD247</f>
        <v>-1.0031472562500061</v>
      </c>
      <c r="Y41" s="132">
        <f>HY!AE247</f>
        <v>-1.0539294938828625</v>
      </c>
      <c r="Z41" s="132">
        <f>HY!AF247</f>
        <v>-1.0332416739375063</v>
      </c>
      <c r="AA41" s="132">
        <f>HY!AG247</f>
        <v>-1.0855473786993484</v>
      </c>
      <c r="AB41" s="132">
        <f>HY!AH247</f>
        <v>-1.0642389241556316</v>
      </c>
      <c r="AC41" s="132">
        <f>HY!AI247</f>
        <v>-1.1181138000603288</v>
      </c>
      <c r="AD41" s="132">
        <f>HY!AJ247</f>
        <v>-1.0961660918803005</v>
      </c>
      <c r="AE41" s="132">
        <f>HY!AK247</f>
        <v>-1.1516572140621386</v>
      </c>
      <c r="AF41" s="132">
        <f>HY!AL247</f>
        <v>-1.1290510746367095</v>
      </c>
      <c r="AK41" s="7"/>
      <c r="AL41" s="132">
        <f t="shared" si="12"/>
        <v>-10.599999999999994</v>
      </c>
      <c r="AM41" s="132">
        <f t="shared" si="12"/>
        <v>-10.400000000000006</v>
      </c>
      <c r="AN41" s="132">
        <f t="shared" si="12"/>
        <v>-1.7000000000000171</v>
      </c>
      <c r="AO41" s="132">
        <f t="shared" si="12"/>
        <v>-3</v>
      </c>
      <c r="AP41" s="132">
        <f t="shared" si="12"/>
        <v>-2.4000000000000057</v>
      </c>
      <c r="AQ41" s="132">
        <f t="shared" si="12"/>
        <v>-1.8634705228031263</v>
      </c>
      <c r="AR41" s="132">
        <f t="shared" si="12"/>
        <v>-1.9100572858732043</v>
      </c>
      <c r="AS41" s="132">
        <f t="shared" si="12"/>
        <v>-1.9673590044494005</v>
      </c>
      <c r="AT41" s="132">
        <f t="shared" si="12"/>
        <v>-2.0263797745828822</v>
      </c>
      <c r="AU41" s="132">
        <f t="shared" si="12"/>
        <v>-2.0871711678203688</v>
      </c>
      <c r="AV41" s="132">
        <f t="shared" si="12"/>
        <v>-2.14978630285498</v>
      </c>
      <c r="AW41" s="132">
        <f t="shared" si="12"/>
        <v>-2.2142798919406292</v>
      </c>
      <c r="AX41" s="132">
        <f t="shared" si="12"/>
        <v>-2.2807082886988481</v>
      </c>
    </row>
    <row r="42" spans="2:50">
      <c r="B42" s="171" t="str">
        <f t="shared" si="13"/>
        <v>GAMING SERVICES P&amp;LVariable Contribution</v>
      </c>
      <c r="C42" s="138" t="s">
        <v>1218</v>
      </c>
      <c r="D42" s="82" t="s">
        <v>900</v>
      </c>
      <c r="F42" s="7"/>
      <c r="G42" s="132">
        <f>HY!M250</f>
        <v>74.599999999999994</v>
      </c>
      <c r="H42" s="132">
        <f>HY!N250</f>
        <v>111.70000000000002</v>
      </c>
      <c r="I42" s="132">
        <f>HY!O250</f>
        <v>101.4</v>
      </c>
      <c r="J42" s="132">
        <f>HY!P250</f>
        <v>91.799999999999983</v>
      </c>
      <c r="K42" s="132">
        <f>HY!Q250</f>
        <v>79.900000000000006</v>
      </c>
      <c r="L42" s="132">
        <f>HY!R250</f>
        <v>81.799999999999983</v>
      </c>
      <c r="M42" s="132">
        <f>HY!S250</f>
        <v>86.3</v>
      </c>
      <c r="N42" s="132">
        <f>HY!T250</f>
        <v>86.500000000000014</v>
      </c>
      <c r="O42" s="132">
        <f>HY!U250</f>
        <v>90.2</v>
      </c>
      <c r="P42" s="132">
        <f>HY!V250</f>
        <v>88.999999999999986</v>
      </c>
      <c r="Q42" s="132">
        <f>HY!W250</f>
        <v>93.051529477196866</v>
      </c>
      <c r="R42" s="132">
        <f>HY!X250</f>
        <v>91.22499999999998</v>
      </c>
      <c r="S42" s="132">
        <f>HY!Y250</f>
        <v>95.377817714126778</v>
      </c>
      <c r="T42" s="132">
        <f>HY!Z250</f>
        <v>93.505624999999966</v>
      </c>
      <c r="U42" s="132">
        <f>HY!AA250</f>
        <v>98.239152245550585</v>
      </c>
      <c r="V42" s="132">
        <f>HY!AB250</f>
        <v>96.310793749999959</v>
      </c>
      <c r="W42" s="132">
        <f>HY!AC250</f>
        <v>101.1863268129171</v>
      </c>
      <c r="X42" s="132">
        <f>HY!AD250</f>
        <v>99.200117562499969</v>
      </c>
      <c r="Y42" s="132">
        <f>HY!AE250</f>
        <v>104.22191661730461</v>
      </c>
      <c r="Z42" s="132">
        <f>HY!AF250</f>
        <v>102.17612108937496</v>
      </c>
      <c r="AA42" s="132">
        <f>HY!AG250</f>
        <v>107.34857411582375</v>
      </c>
      <c r="AB42" s="132">
        <f>HY!AH250</f>
        <v>105.24140472205622</v>
      </c>
      <c r="AC42" s="132">
        <f>HY!AI250</f>
        <v>110.56903133929846</v>
      </c>
      <c r="AD42" s="132">
        <f>HY!AJ250</f>
        <v>108.3986468637179</v>
      </c>
      <c r="AE42" s="132">
        <f>HY!AK250</f>
        <v>113.88610227947741</v>
      </c>
      <c r="AF42" s="132">
        <f>HY!AL250</f>
        <v>111.65060626962945</v>
      </c>
      <c r="AK42" s="7"/>
      <c r="AL42" s="132">
        <f t="shared" si="12"/>
        <v>186.3</v>
      </c>
      <c r="AM42" s="132">
        <f t="shared" si="12"/>
        <v>193.2</v>
      </c>
      <c r="AN42" s="132">
        <f t="shared" si="12"/>
        <v>161.69999999999999</v>
      </c>
      <c r="AO42" s="132">
        <f t="shared" si="12"/>
        <v>172.8</v>
      </c>
      <c r="AP42" s="132">
        <f t="shared" si="12"/>
        <v>179.2</v>
      </c>
      <c r="AQ42" s="132">
        <f t="shared" si="12"/>
        <v>184.27652947719685</v>
      </c>
      <c r="AR42" s="132">
        <f t="shared" si="12"/>
        <v>188.88344271412674</v>
      </c>
      <c r="AS42" s="132">
        <f t="shared" si="12"/>
        <v>194.54994599555056</v>
      </c>
      <c r="AT42" s="132">
        <f t="shared" si="12"/>
        <v>200.38644437541706</v>
      </c>
      <c r="AU42" s="132">
        <f t="shared" si="12"/>
        <v>206.39803770667959</v>
      </c>
      <c r="AV42" s="132">
        <f t="shared" si="12"/>
        <v>212.58997883787998</v>
      </c>
      <c r="AW42" s="132">
        <f t="shared" si="12"/>
        <v>218.96767820301636</v>
      </c>
      <c r="AX42" s="132">
        <f t="shared" si="12"/>
        <v>225.53670854910686</v>
      </c>
    </row>
    <row r="43" spans="2:50">
      <c r="B43" s="171" t="str">
        <f t="shared" si="13"/>
        <v>GAMING SERVICES P&amp;LOpex</v>
      </c>
      <c r="C43" s="138" t="s">
        <v>4</v>
      </c>
      <c r="D43" s="82" t="s">
        <v>900</v>
      </c>
      <c r="F43" s="7"/>
      <c r="G43" s="132">
        <f>HY!M253</f>
        <v>-55</v>
      </c>
      <c r="H43" s="132">
        <f>HY!N253</f>
        <v>-58.099999999999994</v>
      </c>
      <c r="I43" s="132">
        <f>HY!O253</f>
        <v>-58.5</v>
      </c>
      <c r="J43" s="132">
        <f>HY!P253</f>
        <v>-51.599999999999994</v>
      </c>
      <c r="K43" s="132">
        <f>HY!Q253</f>
        <v>-51.6</v>
      </c>
      <c r="L43" s="132">
        <f>HY!R253</f>
        <v>-51.1</v>
      </c>
      <c r="M43" s="132">
        <f>HY!S253</f>
        <v>-52.8</v>
      </c>
      <c r="N43" s="132">
        <f>HY!T253</f>
        <v>-57.600000000000009</v>
      </c>
      <c r="O43" s="132">
        <f>HY!U253</f>
        <v>-54.2</v>
      </c>
      <c r="P43" s="132">
        <f>HY!V253</f>
        <v>-55.099999999999994</v>
      </c>
      <c r="Q43" s="132">
        <f>HY!W253</f>
        <v>-57.335424999999994</v>
      </c>
      <c r="R43" s="132">
        <f>HY!X253</f>
        <v>-56.209974999999986</v>
      </c>
      <c r="S43" s="132">
        <f>HY!Y253</f>
        <v>-58.768810624999986</v>
      </c>
      <c r="T43" s="132">
        <f>HY!Z253</f>
        <v>-57.615224374999983</v>
      </c>
      <c r="U43" s="132">
        <f>HY!AA253</f>
        <v>-60.531874943749983</v>
      </c>
      <c r="V43" s="132">
        <f>HY!AB253</f>
        <v>-59.343681106249981</v>
      </c>
      <c r="W43" s="132">
        <f>HY!AC253</f>
        <v>-62.347831192062486</v>
      </c>
      <c r="X43" s="132">
        <f>HY!AD253</f>
        <v>-61.123991539437483</v>
      </c>
      <c r="Y43" s="132">
        <f>HY!AE253</f>
        <v>-64.218266127824364</v>
      </c>
      <c r="Z43" s="132">
        <f>HY!AF253</f>
        <v>-62.957711285620604</v>
      </c>
      <c r="AA43" s="132">
        <f>HY!AG253</f>
        <v>-66.144814111659088</v>
      </c>
      <c r="AB43" s="132">
        <f>HY!AH253</f>
        <v>-64.846442624189223</v>
      </c>
      <c r="AC43" s="132">
        <f>HY!AI253</f>
        <v>-68.129158535008855</v>
      </c>
      <c r="AD43" s="132">
        <f>HY!AJ253</f>
        <v>-66.791835902914897</v>
      </c>
      <c r="AE43" s="132">
        <f>HY!AK253</f>
        <v>-70.173033291059127</v>
      </c>
      <c r="AF43" s="132">
        <f>HY!AL253</f>
        <v>-68.795590980002359</v>
      </c>
      <c r="AK43" s="7"/>
      <c r="AL43" s="132">
        <f t="shared" si="12"/>
        <v>-113.1</v>
      </c>
      <c r="AM43" s="132">
        <f t="shared" si="12"/>
        <v>-110.1</v>
      </c>
      <c r="AN43" s="132">
        <f t="shared" si="12"/>
        <v>-102.7</v>
      </c>
      <c r="AO43" s="132">
        <f t="shared" si="12"/>
        <v>-110.4</v>
      </c>
      <c r="AP43" s="132">
        <f t="shared" si="12"/>
        <v>-109.3</v>
      </c>
      <c r="AQ43" s="132">
        <f t="shared" si="12"/>
        <v>-113.54539999999997</v>
      </c>
      <c r="AR43" s="132">
        <f t="shared" si="12"/>
        <v>-116.38403499999997</v>
      </c>
      <c r="AS43" s="132">
        <f t="shared" si="12"/>
        <v>-119.87555604999997</v>
      </c>
      <c r="AT43" s="132">
        <f t="shared" si="12"/>
        <v>-123.47182273149997</v>
      </c>
      <c r="AU43" s="132">
        <f t="shared" si="12"/>
        <v>-127.17597741344497</v>
      </c>
      <c r="AV43" s="132">
        <f t="shared" si="12"/>
        <v>-130.99125673584831</v>
      </c>
      <c r="AW43" s="132">
        <f t="shared" si="12"/>
        <v>-134.92099443792375</v>
      </c>
      <c r="AX43" s="132">
        <f t="shared" si="12"/>
        <v>-138.96862427106149</v>
      </c>
    </row>
    <row r="44" spans="2:50">
      <c r="B44" s="171" t="str">
        <f t="shared" si="13"/>
        <v>GAMING SERVICES P&amp;LEBITDA</v>
      </c>
      <c r="C44" s="138" t="s">
        <v>2</v>
      </c>
      <c r="D44" s="82" t="s">
        <v>900</v>
      </c>
      <c r="F44" s="7"/>
      <c r="G44" s="132">
        <f>HY!M256</f>
        <v>19.600000000000001</v>
      </c>
      <c r="H44" s="132">
        <f>HY!N256</f>
        <v>53.6</v>
      </c>
      <c r="I44" s="132">
        <f>HY!O256</f>
        <v>42.9</v>
      </c>
      <c r="J44" s="132">
        <f>HY!P256</f>
        <v>40.199999999999996</v>
      </c>
      <c r="K44" s="132">
        <f>HY!Q256</f>
        <v>28.3</v>
      </c>
      <c r="L44" s="132">
        <f>HY!R256</f>
        <v>30.7</v>
      </c>
      <c r="M44" s="132">
        <f>HY!S256</f>
        <v>33.5</v>
      </c>
      <c r="N44" s="132">
        <f>HY!T256</f>
        <v>28.9</v>
      </c>
      <c r="O44" s="132">
        <f>HY!U256</f>
        <v>36</v>
      </c>
      <c r="P44" s="132">
        <f>HY!V256</f>
        <v>33.900000000000006</v>
      </c>
      <c r="Q44" s="132">
        <f>HY!W256</f>
        <v>35.716104477196872</v>
      </c>
      <c r="R44" s="132">
        <f>HY!X256</f>
        <v>35.015024999999994</v>
      </c>
      <c r="S44" s="132">
        <f>HY!Y256</f>
        <v>36.609007089126791</v>
      </c>
      <c r="T44" s="132">
        <f>HY!Z256</f>
        <v>35.890400624999984</v>
      </c>
      <c r="U44" s="132">
        <f>HY!AA256</f>
        <v>37.707277301800602</v>
      </c>
      <c r="V44" s="132">
        <f>HY!AB256</f>
        <v>36.967112643749978</v>
      </c>
      <c r="W44" s="132">
        <f>HY!AC256</f>
        <v>38.838495620854616</v>
      </c>
      <c r="X44" s="132">
        <f>HY!AD256</f>
        <v>38.076126023062486</v>
      </c>
      <c r="Y44" s="132">
        <f>HY!AE256</f>
        <v>40.00365048948025</v>
      </c>
      <c r="Z44" s="132">
        <f>HY!AF256</f>
        <v>39.218409803754355</v>
      </c>
      <c r="AA44" s="132">
        <f>HY!AG256</f>
        <v>41.203760004164664</v>
      </c>
      <c r="AB44" s="132">
        <f>HY!AH256</f>
        <v>40.394962097866994</v>
      </c>
      <c r="AC44" s="132">
        <f>HY!AI256</f>
        <v>42.439872804289607</v>
      </c>
      <c r="AD44" s="132">
        <f>HY!AJ256</f>
        <v>41.606810960803003</v>
      </c>
      <c r="AE44" s="132">
        <f>HY!AK256</f>
        <v>43.713068988418286</v>
      </c>
      <c r="AF44" s="132">
        <f>HY!AL256</f>
        <v>42.85501528962709</v>
      </c>
      <c r="AK44" s="7"/>
      <c r="AL44" s="132">
        <f t="shared" si="12"/>
        <v>73.2</v>
      </c>
      <c r="AM44" s="132">
        <f t="shared" si="12"/>
        <v>83.1</v>
      </c>
      <c r="AN44" s="132">
        <f t="shared" si="12"/>
        <v>59</v>
      </c>
      <c r="AO44" s="132">
        <f t="shared" si="12"/>
        <v>62.4</v>
      </c>
      <c r="AP44" s="132">
        <f t="shared" si="12"/>
        <v>69.900000000000006</v>
      </c>
      <c r="AQ44" s="132">
        <f t="shared" si="12"/>
        <v>70.731129477196873</v>
      </c>
      <c r="AR44" s="132">
        <f t="shared" si="12"/>
        <v>72.499407714126775</v>
      </c>
      <c r="AS44" s="132">
        <f t="shared" si="12"/>
        <v>74.674389945550587</v>
      </c>
      <c r="AT44" s="132">
        <f t="shared" si="12"/>
        <v>76.914621643917101</v>
      </c>
      <c r="AU44" s="132">
        <f t="shared" si="12"/>
        <v>79.222060293234605</v>
      </c>
      <c r="AV44" s="132">
        <f t="shared" si="12"/>
        <v>81.598722102031658</v>
      </c>
      <c r="AW44" s="132">
        <f t="shared" si="12"/>
        <v>84.04668376509261</v>
      </c>
      <c r="AX44" s="132">
        <f t="shared" si="12"/>
        <v>86.568084278045376</v>
      </c>
    </row>
    <row r="45" spans="2:50">
      <c r="B45" s="171" t="str">
        <f t="shared" si="13"/>
        <v>GAMING SERVICES P&amp;LD&amp;A</v>
      </c>
      <c r="C45" s="138" t="s">
        <v>48</v>
      </c>
      <c r="D45" s="82" t="s">
        <v>900</v>
      </c>
      <c r="F45" s="7"/>
      <c r="G45" s="132">
        <f>HY!M258</f>
        <v>-37.5</v>
      </c>
      <c r="H45" s="132">
        <f>HY!N258</f>
        <v>-33.900000000000006</v>
      </c>
      <c r="I45" s="132">
        <f>HY!O258</f>
        <v>-26.9</v>
      </c>
      <c r="J45" s="132">
        <f>HY!P258</f>
        <v>-21.800000000000004</v>
      </c>
      <c r="K45" s="132">
        <f>HY!Q258</f>
        <v>-18.7</v>
      </c>
      <c r="L45" s="132">
        <f>HY!R258</f>
        <v>-20.3</v>
      </c>
      <c r="M45" s="132">
        <f>HY!S258</f>
        <v>-20.2</v>
      </c>
      <c r="N45" s="132">
        <f>HY!T258</f>
        <v>-21.7</v>
      </c>
      <c r="O45" s="132">
        <f>HY!U258</f>
        <v>-21.1</v>
      </c>
      <c r="P45" s="132">
        <f>HY!V258</f>
        <v>-21.299999999999997</v>
      </c>
      <c r="Q45" s="132">
        <f>HY!W258</f>
        <v>0</v>
      </c>
      <c r="R45" s="132">
        <f>HY!X258</f>
        <v>0</v>
      </c>
      <c r="S45" s="132">
        <f>HY!Y258</f>
        <v>0</v>
      </c>
      <c r="T45" s="132">
        <f>HY!Z258</f>
        <v>0</v>
      </c>
      <c r="U45" s="132">
        <f>HY!AA258</f>
        <v>0</v>
      </c>
      <c r="V45" s="132">
        <f>HY!AB258</f>
        <v>0</v>
      </c>
      <c r="W45" s="132">
        <f>HY!AC258</f>
        <v>0</v>
      </c>
      <c r="X45" s="132">
        <f>HY!AD258</f>
        <v>0</v>
      </c>
      <c r="Y45" s="132">
        <f>HY!AE258</f>
        <v>0</v>
      </c>
      <c r="Z45" s="132">
        <f>HY!AF258</f>
        <v>0</v>
      </c>
      <c r="AA45" s="132">
        <f>HY!AG258</f>
        <v>0</v>
      </c>
      <c r="AB45" s="132">
        <f>HY!AH258</f>
        <v>0</v>
      </c>
      <c r="AC45" s="132">
        <f>HY!AI258</f>
        <v>0</v>
      </c>
      <c r="AD45" s="132">
        <f>HY!AJ258</f>
        <v>0</v>
      </c>
      <c r="AE45" s="132">
        <f>HY!AK258</f>
        <v>0</v>
      </c>
      <c r="AF45" s="132">
        <f>HY!AL258</f>
        <v>0</v>
      </c>
      <c r="AK45" s="7"/>
      <c r="AL45" s="132">
        <f t="shared" si="12"/>
        <v>-71.400000000000006</v>
      </c>
      <c r="AM45" s="132">
        <f t="shared" si="12"/>
        <v>-48.7</v>
      </c>
      <c r="AN45" s="132">
        <f t="shared" si="12"/>
        <v>-39</v>
      </c>
      <c r="AO45" s="132">
        <f t="shared" si="12"/>
        <v>-41.9</v>
      </c>
      <c r="AP45" s="132">
        <f t="shared" si="12"/>
        <v>-42.4</v>
      </c>
      <c r="AQ45" s="132">
        <f t="shared" si="12"/>
        <v>0</v>
      </c>
      <c r="AR45" s="132">
        <f t="shared" si="12"/>
        <v>0</v>
      </c>
      <c r="AS45" s="132">
        <f t="shared" si="12"/>
        <v>0</v>
      </c>
      <c r="AT45" s="132">
        <f t="shared" si="12"/>
        <v>0</v>
      </c>
      <c r="AU45" s="132">
        <f t="shared" si="12"/>
        <v>0</v>
      </c>
      <c r="AV45" s="132">
        <f t="shared" si="12"/>
        <v>0</v>
      </c>
      <c r="AW45" s="132">
        <f t="shared" si="12"/>
        <v>0</v>
      </c>
      <c r="AX45" s="132">
        <f t="shared" si="12"/>
        <v>0</v>
      </c>
    </row>
    <row r="46" spans="2:50">
      <c r="B46" s="171" t="str">
        <f t="shared" si="13"/>
        <v>GAMING SERVICES P&amp;LEBIT</v>
      </c>
      <c r="C46" s="138" t="s">
        <v>10</v>
      </c>
      <c r="D46" s="82" t="s">
        <v>900</v>
      </c>
      <c r="F46" s="7"/>
      <c r="G46" s="132">
        <f>HY!M260</f>
        <v>-17.899999999999999</v>
      </c>
      <c r="H46" s="132">
        <f>HY!N260</f>
        <v>19.7</v>
      </c>
      <c r="I46" s="132">
        <f>HY!O260</f>
        <v>16</v>
      </c>
      <c r="J46" s="132">
        <f>HY!P260</f>
        <v>18.399999999999999</v>
      </c>
      <c r="K46" s="132">
        <f>HY!Q260</f>
        <v>9.6</v>
      </c>
      <c r="L46" s="132">
        <f>HY!R260</f>
        <v>10.4</v>
      </c>
      <c r="M46" s="132">
        <f>HY!S260</f>
        <v>13.3</v>
      </c>
      <c r="N46" s="132">
        <f>HY!T260</f>
        <v>7.1999999999999993</v>
      </c>
      <c r="O46" s="132">
        <f>HY!U260</f>
        <v>14.9</v>
      </c>
      <c r="P46" s="132">
        <f>HY!V260</f>
        <v>12.6</v>
      </c>
      <c r="Q46" s="132">
        <f>HY!W260</f>
        <v>0</v>
      </c>
      <c r="R46" s="132">
        <f>HY!X260</f>
        <v>0</v>
      </c>
      <c r="S46" s="132">
        <f>HY!Y260</f>
        <v>0</v>
      </c>
      <c r="T46" s="132">
        <f>HY!Z260</f>
        <v>0</v>
      </c>
      <c r="U46" s="132">
        <f>HY!AA260</f>
        <v>0</v>
      </c>
      <c r="V46" s="132">
        <f>HY!AB260</f>
        <v>0</v>
      </c>
      <c r="W46" s="132">
        <f>HY!AC260</f>
        <v>0</v>
      </c>
      <c r="X46" s="132">
        <f>HY!AD260</f>
        <v>0</v>
      </c>
      <c r="Y46" s="132">
        <f>HY!AE260</f>
        <v>0</v>
      </c>
      <c r="Z46" s="132">
        <f>HY!AF260</f>
        <v>0</v>
      </c>
      <c r="AA46" s="132">
        <f>HY!AG260</f>
        <v>0</v>
      </c>
      <c r="AB46" s="132">
        <f>HY!AH260</f>
        <v>0</v>
      </c>
      <c r="AC46" s="132">
        <f>HY!AI260</f>
        <v>0</v>
      </c>
      <c r="AD46" s="132">
        <f>HY!AJ260</f>
        <v>0</v>
      </c>
      <c r="AE46" s="132">
        <f>HY!AK260</f>
        <v>0</v>
      </c>
      <c r="AF46" s="132">
        <f>HY!AL260</f>
        <v>0</v>
      </c>
      <c r="AK46" s="7"/>
      <c r="AL46" s="132">
        <f t="shared" si="12"/>
        <v>1.8000000000000007</v>
      </c>
      <c r="AM46" s="132">
        <f t="shared" si="12"/>
        <v>34.4</v>
      </c>
      <c r="AN46" s="132">
        <f t="shared" si="12"/>
        <v>20</v>
      </c>
      <c r="AO46" s="132">
        <f t="shared" si="12"/>
        <v>20.5</v>
      </c>
      <c r="AP46" s="132">
        <f t="shared" si="12"/>
        <v>27.5</v>
      </c>
      <c r="AQ46" s="132">
        <f t="shared" si="12"/>
        <v>0</v>
      </c>
      <c r="AR46" s="132">
        <f t="shared" si="12"/>
        <v>0</v>
      </c>
      <c r="AS46" s="132">
        <f t="shared" si="12"/>
        <v>0</v>
      </c>
      <c r="AT46" s="132">
        <f t="shared" si="12"/>
        <v>0</v>
      </c>
      <c r="AU46" s="132">
        <f t="shared" si="12"/>
        <v>0</v>
      </c>
      <c r="AV46" s="132">
        <f t="shared" si="12"/>
        <v>0</v>
      </c>
      <c r="AW46" s="132">
        <f t="shared" si="12"/>
        <v>0</v>
      </c>
      <c r="AX46" s="132">
        <f t="shared" si="12"/>
        <v>0</v>
      </c>
    </row>
    <row r="48" spans="2:50">
      <c r="C48" s="232" t="s">
        <v>1125</v>
      </c>
    </row>
    <row r="49" spans="2:50">
      <c r="B49" s="171" t="str">
        <f>$C$48&amp;C49</f>
        <v>SEGMENTS - REVENUEWagering &amp; Media</v>
      </c>
      <c r="C49" s="138" t="s">
        <v>1226</v>
      </c>
      <c r="D49" s="82" t="s">
        <v>900</v>
      </c>
      <c r="F49" s="138"/>
      <c r="G49" s="132">
        <f>HY!M268</f>
        <v>1073.4000000000001</v>
      </c>
      <c r="H49" s="132">
        <f>HY!N268</f>
        <v>1108.5</v>
      </c>
      <c r="I49" s="132">
        <f>HY!O268</f>
        <v>1165.7</v>
      </c>
      <c r="J49" s="132">
        <f>HY!P268</f>
        <v>1065.1000000000001</v>
      </c>
      <c r="K49" s="132">
        <f>HY!Q268</f>
        <v>1116.5999999999999</v>
      </c>
      <c r="L49" s="132">
        <f>HY!R268</f>
        <v>1046.2000000000003</v>
      </c>
      <c r="M49" s="132">
        <f>HY!S268</f>
        <v>1243.2</v>
      </c>
      <c r="N49" s="132">
        <f>HY!T268</f>
        <v>1195.6000000000001</v>
      </c>
      <c r="O49" s="132">
        <f>HY!U268</f>
        <v>1253.2</v>
      </c>
      <c r="P49" s="132">
        <f>HY!V268</f>
        <v>1201.4999999999998</v>
      </c>
      <c r="Q49" s="132">
        <f>HY!W268</f>
        <v>1306.9912626</v>
      </c>
      <c r="R49" s="132">
        <f>HY!X268</f>
        <v>1228.5870538500001</v>
      </c>
      <c r="S49" s="132">
        <f>HY!Y268</f>
        <v>1311.5464535010001</v>
      </c>
      <c r="T49" s="132">
        <f>HY!Z268</f>
        <v>1242.032782024</v>
      </c>
      <c r="U49" s="132">
        <f>HY!AA268</f>
        <v>1323.7522634282996</v>
      </c>
      <c r="V49" s="132">
        <f>HY!AB268</f>
        <v>1252.1775538494801</v>
      </c>
      <c r="W49" s="132">
        <f>HY!AC268</f>
        <v>1352.9485652203171</v>
      </c>
      <c r="X49" s="132">
        <f>HY!AD268</f>
        <v>1280.1736667176647</v>
      </c>
      <c r="Y49" s="132">
        <f>HY!AE268</f>
        <v>1372.4532846330467</v>
      </c>
      <c r="Z49" s="132">
        <f>HY!AF268</f>
        <v>1299.4081849496483</v>
      </c>
      <c r="AA49" s="132">
        <f>HY!AG268</f>
        <v>1392.752423003597</v>
      </c>
      <c r="AB49" s="132">
        <f>HY!AH268</f>
        <v>1319.4098856462872</v>
      </c>
      <c r="AC49" s="132">
        <f>HY!AI268</f>
        <v>1413.8677201269479</v>
      </c>
      <c r="AD49" s="132">
        <f>HY!AJ268</f>
        <v>1340.1998828123442</v>
      </c>
      <c r="AE49" s="132">
        <f>HY!AK268</f>
        <v>1435.8215889196676</v>
      </c>
      <c r="AF49" s="132">
        <f>HY!AL268</f>
        <v>1361.7999428874157</v>
      </c>
      <c r="AL49" s="132">
        <f t="shared" ref="AL49:AX51" si="14">SUMIFS($G49:$AF49,$G$3:$AF$3,AL$5)</f>
        <v>2181.9</v>
      </c>
      <c r="AM49" s="132">
        <f t="shared" si="14"/>
        <v>2230.8000000000002</v>
      </c>
      <c r="AN49" s="132">
        <f t="shared" si="14"/>
        <v>2162.8000000000002</v>
      </c>
      <c r="AO49" s="132">
        <f t="shared" si="14"/>
        <v>2438.8000000000002</v>
      </c>
      <c r="AP49" s="132">
        <f t="shared" si="14"/>
        <v>2454.6999999999998</v>
      </c>
      <c r="AQ49" s="132">
        <f t="shared" si="14"/>
        <v>2535.5783164499999</v>
      </c>
      <c r="AR49" s="132">
        <f t="shared" si="14"/>
        <v>2553.5792355250001</v>
      </c>
      <c r="AS49" s="132">
        <f t="shared" si="14"/>
        <v>2575.9298172777799</v>
      </c>
      <c r="AT49" s="132">
        <f t="shared" si="14"/>
        <v>2633.1222319379817</v>
      </c>
      <c r="AU49" s="132">
        <f t="shared" si="14"/>
        <v>2671.861469582695</v>
      </c>
      <c r="AV49" s="132">
        <f t="shared" si="14"/>
        <v>2712.1623086498839</v>
      </c>
      <c r="AW49" s="132">
        <f t="shared" si="14"/>
        <v>2754.0676029392921</v>
      </c>
      <c r="AX49" s="132">
        <f t="shared" si="14"/>
        <v>2797.6215318070836</v>
      </c>
    </row>
    <row r="50" spans="2:50">
      <c r="B50" s="171" t="str">
        <f>$C$48&amp;C50</f>
        <v>SEGMENTS - REVENUEGaming Services</v>
      </c>
      <c r="C50" s="138" t="s">
        <v>1227</v>
      </c>
      <c r="D50" s="82" t="s">
        <v>900</v>
      </c>
      <c r="F50" s="138"/>
      <c r="G50" s="132">
        <f>HY!M269</f>
        <v>79.599999999999994</v>
      </c>
      <c r="H50" s="132">
        <f>HY!N269</f>
        <v>117.30000000000001</v>
      </c>
      <c r="I50" s="132">
        <f>HY!O269</f>
        <v>108.8</v>
      </c>
      <c r="J50" s="132">
        <f>HY!P269</f>
        <v>94.8</v>
      </c>
      <c r="K50" s="132">
        <f>HY!Q269</f>
        <v>80.3</v>
      </c>
      <c r="L50" s="132">
        <f>HY!R269</f>
        <v>83.100000000000009</v>
      </c>
      <c r="M50" s="132">
        <f>HY!S269</f>
        <v>88.1</v>
      </c>
      <c r="N50" s="132">
        <f>HY!T269</f>
        <v>87.700000000000017</v>
      </c>
      <c r="O50" s="132">
        <f>HY!U269</f>
        <v>91.7</v>
      </c>
      <c r="P50" s="132">
        <f>HY!V269</f>
        <v>89.899999999999991</v>
      </c>
      <c r="Q50" s="132">
        <f>HY!W269</f>
        <v>93.992499999999993</v>
      </c>
      <c r="R50" s="132">
        <f>HY!X269</f>
        <v>92.14749999999998</v>
      </c>
      <c r="S50" s="132">
        <f>HY!Y269</f>
        <v>96.342312499999977</v>
      </c>
      <c r="T50" s="132">
        <f>HY!Z269</f>
        <v>94.451187499999975</v>
      </c>
      <c r="U50" s="132">
        <f>HY!AA269</f>
        <v>99.23258187499998</v>
      </c>
      <c r="V50" s="132">
        <f>HY!AB269</f>
        <v>97.284723124999971</v>
      </c>
      <c r="W50" s="132">
        <f>HY!AC269</f>
        <v>102.20955933124998</v>
      </c>
      <c r="X50" s="132">
        <f>HY!AD269</f>
        <v>100.20326481874997</v>
      </c>
      <c r="Y50" s="132">
        <f>HY!AE269</f>
        <v>105.27584611118748</v>
      </c>
      <c r="Z50" s="132">
        <f>HY!AF269</f>
        <v>103.20936276331247</v>
      </c>
      <c r="AA50" s="132">
        <f>HY!AG269</f>
        <v>108.4341214945231</v>
      </c>
      <c r="AB50" s="132">
        <f>HY!AH269</f>
        <v>106.30564364621185</v>
      </c>
      <c r="AC50" s="132">
        <f>HY!AI269</f>
        <v>111.68714513935879</v>
      </c>
      <c r="AD50" s="132">
        <f>HY!AJ269</f>
        <v>109.49481295559821</v>
      </c>
      <c r="AE50" s="132">
        <f>HY!AK269</f>
        <v>115.03775949353955</v>
      </c>
      <c r="AF50" s="132">
        <f>HY!AL269</f>
        <v>112.77965734426616</v>
      </c>
      <c r="AL50" s="132">
        <f t="shared" si="14"/>
        <v>196.9</v>
      </c>
      <c r="AM50" s="132">
        <f t="shared" si="14"/>
        <v>203.6</v>
      </c>
      <c r="AN50" s="132">
        <f t="shared" si="14"/>
        <v>163.4</v>
      </c>
      <c r="AO50" s="132">
        <f t="shared" si="14"/>
        <v>175.8</v>
      </c>
      <c r="AP50" s="132">
        <f t="shared" si="14"/>
        <v>181.6</v>
      </c>
      <c r="AQ50" s="132">
        <f t="shared" si="14"/>
        <v>186.14</v>
      </c>
      <c r="AR50" s="132">
        <f t="shared" si="14"/>
        <v>190.79349999999994</v>
      </c>
      <c r="AS50" s="132">
        <f t="shared" si="14"/>
        <v>196.51730499999996</v>
      </c>
      <c r="AT50" s="132">
        <f t="shared" si="14"/>
        <v>202.41282414999995</v>
      </c>
      <c r="AU50" s="132">
        <f t="shared" si="14"/>
        <v>208.48520887449996</v>
      </c>
      <c r="AV50" s="132">
        <f t="shared" si="14"/>
        <v>214.73976514073496</v>
      </c>
      <c r="AW50" s="132">
        <f t="shared" si="14"/>
        <v>221.181958094957</v>
      </c>
      <c r="AX50" s="132">
        <f t="shared" si="14"/>
        <v>227.81741683780569</v>
      </c>
    </row>
    <row r="51" spans="2:50">
      <c r="B51" s="171" t="str">
        <f>$C$48&amp;C51</f>
        <v>SEGMENTS - REVENUETotal</v>
      </c>
      <c r="C51" s="138" t="s">
        <v>979</v>
      </c>
      <c r="D51" s="82" t="s">
        <v>900</v>
      </c>
      <c r="F51" s="138"/>
      <c r="G51" s="132">
        <f>HY!M271</f>
        <v>1152.3</v>
      </c>
      <c r="H51" s="132">
        <f>HY!N271</f>
        <v>1225.0000000000002</v>
      </c>
      <c r="I51" s="132">
        <f>HY!O271</f>
        <v>1274.5</v>
      </c>
      <c r="J51" s="132">
        <f>HY!P271</f>
        <v>1159.9000000000001</v>
      </c>
      <c r="K51" s="132">
        <f>HY!Q271</f>
        <v>1209.5999999999999</v>
      </c>
      <c r="L51" s="132">
        <f>HY!R271</f>
        <v>1129.3000000000002</v>
      </c>
      <c r="M51" s="132">
        <f>HY!S271</f>
        <v>1331.3</v>
      </c>
      <c r="N51" s="132">
        <f>HY!T271</f>
        <v>1283.3</v>
      </c>
      <c r="O51" s="132">
        <f>HY!U271</f>
        <v>1344.9</v>
      </c>
      <c r="P51" s="132">
        <f>HY!V271</f>
        <v>1291.4000000000001</v>
      </c>
      <c r="Q51" s="132">
        <f>HY!W271</f>
        <v>1400.9837626000001</v>
      </c>
      <c r="R51" s="132">
        <f>HY!X271</f>
        <v>1345.9845538500001</v>
      </c>
      <c r="S51" s="132">
        <f>HY!Y271</f>
        <v>1458.358766001</v>
      </c>
      <c r="T51" s="132">
        <f>HY!Z271</f>
        <v>1388.4989695240001</v>
      </c>
      <c r="U51" s="132">
        <f>HY!AA271</f>
        <v>1474.9689453032995</v>
      </c>
      <c r="V51" s="132">
        <f>HY!AB271</f>
        <v>1403.0377269744802</v>
      </c>
      <c r="W51" s="132">
        <f>HY!AC271</f>
        <v>1508.701747551567</v>
      </c>
      <c r="X51" s="132">
        <f>HY!AD271</f>
        <v>1435.5596450364148</v>
      </c>
      <c r="Y51" s="132">
        <f>HY!AE271</f>
        <v>1532.8790624342341</v>
      </c>
      <c r="Z51" s="132">
        <f>HY!AF271</f>
        <v>1459.4557426179608</v>
      </c>
      <c r="AA51" s="132">
        <f>HY!AG271</f>
        <v>1557.9909741388201</v>
      </c>
      <c r="AB51" s="132">
        <f>HY!AH271</f>
        <v>1484.258870044649</v>
      </c>
      <c r="AC51" s="132">
        <f>HY!AI271</f>
        <v>1584.0634277962276</v>
      </c>
      <c r="AD51" s="132">
        <f>HY!AJ271</f>
        <v>1509.994336742657</v>
      </c>
      <c r="AE51" s="132">
        <f>HY!AK271</f>
        <v>1611.1231678190259</v>
      </c>
      <c r="AF51" s="132">
        <f>HY!AL271</f>
        <v>1536.6882304356377</v>
      </c>
      <c r="AL51" s="132">
        <f t="shared" si="14"/>
        <v>2377.3000000000002</v>
      </c>
      <c r="AM51" s="132">
        <f t="shared" si="14"/>
        <v>2434.4</v>
      </c>
      <c r="AN51" s="132">
        <f t="shared" si="14"/>
        <v>2338.9</v>
      </c>
      <c r="AO51" s="132">
        <f t="shared" si="14"/>
        <v>2614.6</v>
      </c>
      <c r="AP51" s="132">
        <f t="shared" si="14"/>
        <v>2636.3</v>
      </c>
      <c r="AQ51" s="132">
        <f t="shared" si="14"/>
        <v>2746.9683164500002</v>
      </c>
      <c r="AR51" s="132">
        <f t="shared" si="14"/>
        <v>2846.857735525</v>
      </c>
      <c r="AS51" s="132">
        <f t="shared" si="14"/>
        <v>2878.0066722777797</v>
      </c>
      <c r="AT51" s="132">
        <f t="shared" si="14"/>
        <v>2944.2613925879818</v>
      </c>
      <c r="AU51" s="132">
        <f t="shared" si="14"/>
        <v>2992.334805052195</v>
      </c>
      <c r="AV51" s="132">
        <f t="shared" si="14"/>
        <v>3042.2498441834691</v>
      </c>
      <c r="AW51" s="132">
        <f t="shared" si="14"/>
        <v>3094.0577645388848</v>
      </c>
      <c r="AX51" s="132">
        <f t="shared" si="14"/>
        <v>3147.8113982546638</v>
      </c>
    </row>
    <row r="53" spans="2:50">
      <c r="C53" s="232" t="s">
        <v>1126</v>
      </c>
    </row>
    <row r="54" spans="2:50">
      <c r="B54" s="171" t="str">
        <f>$C$53&amp;C54</f>
        <v>SEGMENTS - EBITDAWagering &amp; Media</v>
      </c>
      <c r="C54" s="138" t="s">
        <v>1226</v>
      </c>
      <c r="D54" s="82" t="s">
        <v>900</v>
      </c>
      <c r="F54" s="138"/>
      <c r="G54" s="132">
        <f>HY!M292</f>
        <v>137.9</v>
      </c>
      <c r="H54" s="132">
        <f>HY!N292</f>
        <v>149.1</v>
      </c>
      <c r="I54" s="132">
        <f>HY!O292</f>
        <v>154.4</v>
      </c>
      <c r="J54" s="132">
        <f>HY!P292</f>
        <v>153.6</v>
      </c>
      <c r="K54" s="132">
        <f>HY!Q292</f>
        <v>134</v>
      </c>
      <c r="L54" s="132">
        <f>HY!R292</f>
        <v>117.19999999999999</v>
      </c>
      <c r="M54" s="132">
        <f>HY!S292</f>
        <v>156.69999999999999</v>
      </c>
      <c r="N54" s="132">
        <f>HY!T292</f>
        <v>172.40000000000003</v>
      </c>
      <c r="O54" s="132">
        <f>HY!U292</f>
        <v>181.4</v>
      </c>
      <c r="P54" s="132">
        <f>HY!V292</f>
        <v>180.4</v>
      </c>
      <c r="Q54" s="132">
        <f>HY!W292</f>
        <v>210.19754872699997</v>
      </c>
      <c r="R54" s="132">
        <f>HY!X292</f>
        <v>180.29138627075008</v>
      </c>
      <c r="S54" s="132">
        <f>HY!Y292</f>
        <v>202.81492913289509</v>
      </c>
      <c r="T54" s="132">
        <f>HY!Z292</f>
        <v>176.45243389948001</v>
      </c>
      <c r="U54" s="132">
        <f>HY!AA292</f>
        <v>198.17884645417826</v>
      </c>
      <c r="V54" s="132">
        <f>HY!AB292</f>
        <v>171.03510332054469</v>
      </c>
      <c r="W54" s="132">
        <f>HY!AC292</f>
        <v>199.97028673402525</v>
      </c>
      <c r="X54" s="132">
        <f>HY!AD292</f>
        <v>172.38631698997762</v>
      </c>
      <c r="Y54" s="132">
        <f>HY!AE292</f>
        <v>200.98576297149344</v>
      </c>
      <c r="Z54" s="132">
        <f>HY!AF292</f>
        <v>173.31830606434113</v>
      </c>
      <c r="AA54" s="132">
        <f>HY!AG292</f>
        <v>202.18125693868961</v>
      </c>
      <c r="AB54" s="132">
        <f>HY!AH292</f>
        <v>174.42001929969803</v>
      </c>
      <c r="AC54" s="132">
        <f>HY!AI292</f>
        <v>203.56268029945852</v>
      </c>
      <c r="AD54" s="132">
        <f>HY!AJ292</f>
        <v>175.69713046967883</v>
      </c>
      <c r="AE54" s="132">
        <f>HY!AK292</f>
        <v>205.13615708956917</v>
      </c>
      <c r="AF54" s="132">
        <f>HY!AL292</f>
        <v>177.15551773450812</v>
      </c>
      <c r="AL54" s="132">
        <f t="shared" ref="AL54:AX56" si="15">SUMIFS($G54:$AF54,$G$3:$AF$3,AL$5)</f>
        <v>287</v>
      </c>
      <c r="AM54" s="132">
        <f t="shared" si="15"/>
        <v>308</v>
      </c>
      <c r="AN54" s="132">
        <f t="shared" si="15"/>
        <v>251.2</v>
      </c>
      <c r="AO54" s="132">
        <f t="shared" si="15"/>
        <v>329.1</v>
      </c>
      <c r="AP54" s="132">
        <f t="shared" si="15"/>
        <v>361.8</v>
      </c>
      <c r="AQ54" s="132">
        <f t="shared" si="15"/>
        <v>390.48893499775005</v>
      </c>
      <c r="AR54" s="132">
        <f t="shared" si="15"/>
        <v>379.2673630323751</v>
      </c>
      <c r="AS54" s="132">
        <f t="shared" si="15"/>
        <v>369.21394977472295</v>
      </c>
      <c r="AT54" s="132">
        <f t="shared" si="15"/>
        <v>372.35660372400287</v>
      </c>
      <c r="AU54" s="132">
        <f t="shared" si="15"/>
        <v>374.30406903583457</v>
      </c>
      <c r="AV54" s="132">
        <f t="shared" si="15"/>
        <v>376.60127623838764</v>
      </c>
      <c r="AW54" s="132">
        <f t="shared" si="15"/>
        <v>379.25981076913735</v>
      </c>
      <c r="AX54" s="132">
        <f t="shared" si="15"/>
        <v>382.29167482407729</v>
      </c>
    </row>
    <row r="55" spans="2:50">
      <c r="B55" s="171" t="str">
        <f>$C$53&amp;C55</f>
        <v>SEGMENTS - EBITDAGaming Services</v>
      </c>
      <c r="C55" s="138" t="s">
        <v>1227</v>
      </c>
      <c r="D55" s="82" t="s">
        <v>900</v>
      </c>
      <c r="F55" s="138"/>
      <c r="G55" s="132">
        <f>HY!M293</f>
        <v>19.600000000000001</v>
      </c>
      <c r="H55" s="132">
        <f>HY!N293</f>
        <v>53.6</v>
      </c>
      <c r="I55" s="132">
        <f>HY!O293</f>
        <v>42.9</v>
      </c>
      <c r="J55" s="132">
        <f>HY!P293</f>
        <v>40.199999999999996</v>
      </c>
      <c r="K55" s="132">
        <f>HY!Q293</f>
        <v>28.3</v>
      </c>
      <c r="L55" s="132">
        <f>HY!R293</f>
        <v>30.7</v>
      </c>
      <c r="M55" s="132">
        <f>HY!S293</f>
        <v>33.5</v>
      </c>
      <c r="N55" s="132">
        <f>HY!T293</f>
        <v>28.9</v>
      </c>
      <c r="O55" s="132">
        <f>HY!U293</f>
        <v>36</v>
      </c>
      <c r="P55" s="132">
        <f>HY!V293</f>
        <v>33.900000000000006</v>
      </c>
      <c r="Q55" s="132">
        <f>HY!W293</f>
        <v>35.716104477196872</v>
      </c>
      <c r="R55" s="132">
        <f>HY!X293</f>
        <v>35.015024999999994</v>
      </c>
      <c r="S55" s="132">
        <f>HY!Y293</f>
        <v>36.609007089126791</v>
      </c>
      <c r="T55" s="132">
        <f>HY!Z293</f>
        <v>35.890400624999984</v>
      </c>
      <c r="U55" s="132">
        <f>HY!AA293</f>
        <v>37.707277301800602</v>
      </c>
      <c r="V55" s="132">
        <f>HY!AB293</f>
        <v>36.967112643749978</v>
      </c>
      <c r="W55" s="132">
        <f>HY!AC293</f>
        <v>38.838495620854616</v>
      </c>
      <c r="X55" s="132">
        <f>HY!AD293</f>
        <v>38.076126023062486</v>
      </c>
      <c r="Y55" s="132">
        <f>HY!AE293</f>
        <v>40.00365048948025</v>
      </c>
      <c r="Z55" s="132">
        <f>HY!AF293</f>
        <v>39.218409803754355</v>
      </c>
      <c r="AA55" s="132">
        <f>HY!AG293</f>
        <v>41.203760004164664</v>
      </c>
      <c r="AB55" s="132">
        <f>HY!AH293</f>
        <v>40.394962097866994</v>
      </c>
      <c r="AC55" s="132">
        <f>HY!AI293</f>
        <v>42.439872804289607</v>
      </c>
      <c r="AD55" s="132">
        <f>HY!AJ293</f>
        <v>41.606810960803003</v>
      </c>
      <c r="AE55" s="132">
        <f>HY!AK293</f>
        <v>43.713068988418286</v>
      </c>
      <c r="AF55" s="132">
        <f>HY!AL293</f>
        <v>42.85501528962709</v>
      </c>
      <c r="AL55" s="132">
        <f t="shared" si="15"/>
        <v>73.2</v>
      </c>
      <c r="AM55" s="132">
        <f t="shared" si="15"/>
        <v>83.1</v>
      </c>
      <c r="AN55" s="132">
        <f t="shared" si="15"/>
        <v>59</v>
      </c>
      <c r="AO55" s="132">
        <f t="shared" si="15"/>
        <v>62.4</v>
      </c>
      <c r="AP55" s="132">
        <f t="shared" si="15"/>
        <v>69.900000000000006</v>
      </c>
      <c r="AQ55" s="132">
        <f t="shared" si="15"/>
        <v>70.731129477196873</v>
      </c>
      <c r="AR55" s="132">
        <f t="shared" si="15"/>
        <v>72.499407714126775</v>
      </c>
      <c r="AS55" s="132">
        <f t="shared" si="15"/>
        <v>74.674389945550587</v>
      </c>
      <c r="AT55" s="132">
        <f t="shared" si="15"/>
        <v>76.914621643917101</v>
      </c>
      <c r="AU55" s="132">
        <f t="shared" si="15"/>
        <v>79.222060293234605</v>
      </c>
      <c r="AV55" s="132">
        <f t="shared" si="15"/>
        <v>81.598722102031658</v>
      </c>
      <c r="AW55" s="132">
        <f t="shared" si="15"/>
        <v>84.04668376509261</v>
      </c>
      <c r="AX55" s="132">
        <f t="shared" si="15"/>
        <v>86.568084278045376</v>
      </c>
    </row>
    <row r="56" spans="2:50">
      <c r="B56" s="171" t="str">
        <f>$C$53&amp;C56</f>
        <v>SEGMENTS - EBITDATotal</v>
      </c>
      <c r="C56" s="138" t="s">
        <v>979</v>
      </c>
      <c r="D56" s="82" t="s">
        <v>900</v>
      </c>
      <c r="F56" s="138"/>
      <c r="G56" s="132">
        <f>HY!M295</f>
        <v>159</v>
      </c>
      <c r="H56" s="132">
        <f>HY!N295</f>
        <v>201.60000000000002</v>
      </c>
      <c r="I56" s="132">
        <f>HY!O295</f>
        <v>196.6</v>
      </c>
      <c r="J56" s="132">
        <f>HY!P295</f>
        <v>194.4</v>
      </c>
      <c r="K56" s="132">
        <f>HY!Q295</f>
        <v>169.8</v>
      </c>
      <c r="L56" s="132">
        <f>HY!R295</f>
        <v>147.89999999999998</v>
      </c>
      <c r="M56" s="132">
        <f>HY!S295</f>
        <v>190.2</v>
      </c>
      <c r="N56" s="132">
        <f>HY!T295</f>
        <v>201.3</v>
      </c>
      <c r="O56" s="132">
        <f>HY!U295</f>
        <v>217.4</v>
      </c>
      <c r="P56" s="132">
        <f>HY!V295</f>
        <v>214.29999999999998</v>
      </c>
      <c r="Q56" s="132">
        <f>HY!W295</f>
        <v>245.91365320419683</v>
      </c>
      <c r="R56" s="132">
        <f>HY!X295</f>
        <v>220.50641127075005</v>
      </c>
      <c r="S56" s="132">
        <f>HY!Y295</f>
        <v>252.5909362220219</v>
      </c>
      <c r="T56" s="132">
        <f>HY!Z295</f>
        <v>233.05483452447999</v>
      </c>
      <c r="U56" s="132">
        <f>HY!AA295</f>
        <v>260.32813375597885</v>
      </c>
      <c r="V56" s="132">
        <f>HY!AB295</f>
        <v>234.03557596429465</v>
      </c>
      <c r="W56" s="132">
        <f>HY!AC295</f>
        <v>263.98405265487986</v>
      </c>
      <c r="X56" s="132">
        <f>HY!AD295</f>
        <v>237.27680381304012</v>
      </c>
      <c r="Y56" s="132">
        <f>HY!AE295</f>
        <v>266.91994186997368</v>
      </c>
      <c r="Z56" s="132">
        <f>HY!AF295</f>
        <v>240.1555074920955</v>
      </c>
      <c r="AA56" s="132">
        <f>HY!AG295</f>
        <v>270.09346120412431</v>
      </c>
      <c r="AB56" s="132">
        <f>HY!AH295</f>
        <v>243.26233677028503</v>
      </c>
      <c r="AC56" s="132">
        <f>HY!AI295</f>
        <v>273.51225069285624</v>
      </c>
      <c r="AD56" s="132">
        <f>HY!AJ295</f>
        <v>246.60471746438341</v>
      </c>
      <c r="AE56" s="132">
        <f>HY!AK295</f>
        <v>277.18421459476878</v>
      </c>
      <c r="AF56" s="132">
        <f>HY!AL295</f>
        <v>250.19033233905387</v>
      </c>
      <c r="AL56" s="132">
        <f t="shared" si="15"/>
        <v>360.6</v>
      </c>
      <c r="AM56" s="132">
        <f t="shared" si="15"/>
        <v>391</v>
      </c>
      <c r="AN56" s="132">
        <f t="shared" si="15"/>
        <v>317.7</v>
      </c>
      <c r="AO56" s="132">
        <f t="shared" si="15"/>
        <v>391.5</v>
      </c>
      <c r="AP56" s="132">
        <f t="shared" si="15"/>
        <v>431.7</v>
      </c>
      <c r="AQ56" s="132">
        <f t="shared" si="15"/>
        <v>466.42006447494691</v>
      </c>
      <c r="AR56" s="132">
        <f t="shared" si="15"/>
        <v>485.64577074650185</v>
      </c>
      <c r="AS56" s="132">
        <f t="shared" si="15"/>
        <v>494.3637097202735</v>
      </c>
      <c r="AT56" s="132">
        <f t="shared" si="15"/>
        <v>501.26085646792001</v>
      </c>
      <c r="AU56" s="132">
        <f t="shared" si="15"/>
        <v>507.07544936206921</v>
      </c>
      <c r="AV56" s="132">
        <f t="shared" si="15"/>
        <v>513.35579797440937</v>
      </c>
      <c r="AW56" s="132">
        <f t="shared" si="15"/>
        <v>520.11696815723963</v>
      </c>
      <c r="AX56" s="132">
        <f t="shared" si="15"/>
        <v>527.37454693382267</v>
      </c>
    </row>
    <row r="58" spans="2:50">
      <c r="C58" s="232" t="s">
        <v>998</v>
      </c>
    </row>
    <row r="59" spans="2:50">
      <c r="B59" s="171" t="str">
        <f>$C$58&amp;C59</f>
        <v>P&amp;L - REPORTEDRevenue</v>
      </c>
      <c r="C59" s="138" t="s">
        <v>1</v>
      </c>
      <c r="D59" s="82" t="s">
        <v>900</v>
      </c>
      <c r="F59" s="138"/>
      <c r="G59" s="132"/>
      <c r="H59" s="132"/>
      <c r="I59" s="132">
        <f>HY!O585</f>
        <v>1274.5</v>
      </c>
      <c r="J59" s="132">
        <f>HY!P585</f>
        <v>1159.9000000000001</v>
      </c>
      <c r="K59" s="132">
        <f>HY!Q585</f>
        <v>1209.5999999999999</v>
      </c>
      <c r="L59" s="132">
        <f>HY!R585</f>
        <v>1129.3000000000002</v>
      </c>
      <c r="M59" s="132">
        <f>HY!S585</f>
        <v>1331.3</v>
      </c>
      <c r="N59" s="132">
        <f>HY!T585</f>
        <v>1283.3</v>
      </c>
      <c r="O59" s="132">
        <f>HY!U585</f>
        <v>1344.9</v>
      </c>
      <c r="P59" s="132">
        <f>HY!V585</f>
        <v>1291.4000000000001</v>
      </c>
      <c r="Q59" s="132">
        <f>HY!W585</f>
        <v>1400.9837626000001</v>
      </c>
      <c r="R59" s="132">
        <f>HY!X585</f>
        <v>1345.9845538500001</v>
      </c>
      <c r="S59" s="132">
        <f>HY!Y585</f>
        <v>1458.358766001</v>
      </c>
      <c r="T59" s="132">
        <f>HY!Z585</f>
        <v>1388.4989695240001</v>
      </c>
      <c r="U59" s="132">
        <f>HY!AA585</f>
        <v>1474.9689453032995</v>
      </c>
      <c r="V59" s="132">
        <f>HY!AB585</f>
        <v>1403.0377269744802</v>
      </c>
      <c r="W59" s="132">
        <f>HY!AC585</f>
        <v>1508.701747551567</v>
      </c>
      <c r="X59" s="132">
        <f>HY!AD585</f>
        <v>1435.5596450364148</v>
      </c>
      <c r="Y59" s="132">
        <f>HY!AE585</f>
        <v>1532.8790624342341</v>
      </c>
      <c r="Z59" s="132">
        <f>HY!AF585</f>
        <v>1459.4557426179608</v>
      </c>
      <c r="AA59" s="132">
        <f>HY!AG585</f>
        <v>1557.9909741388201</v>
      </c>
      <c r="AB59" s="132">
        <f>HY!AH585</f>
        <v>1484.258870044649</v>
      </c>
      <c r="AC59" s="132">
        <f>HY!AI585</f>
        <v>1584.0634277962276</v>
      </c>
      <c r="AD59" s="132">
        <f>HY!AJ585</f>
        <v>1509.994336742657</v>
      </c>
      <c r="AE59" s="132">
        <f>HY!AK585</f>
        <v>1611.1231678190259</v>
      </c>
      <c r="AF59" s="132">
        <f>HY!AL585</f>
        <v>1536.6882304356377</v>
      </c>
      <c r="AL59" s="132"/>
      <c r="AM59" s="132">
        <f t="shared" ref="AM59:AX68" si="16">SUMIFS($G59:$AF59,$G$3:$AF$3,AM$5)</f>
        <v>2434.4</v>
      </c>
      <c r="AN59" s="132">
        <f t="shared" si="16"/>
        <v>2338.9</v>
      </c>
      <c r="AO59" s="132">
        <f t="shared" si="16"/>
        <v>2614.6</v>
      </c>
      <c r="AP59" s="132">
        <f t="shared" si="16"/>
        <v>2636.3</v>
      </c>
      <c r="AQ59" s="132">
        <f t="shared" si="16"/>
        <v>2746.9683164500002</v>
      </c>
      <c r="AR59" s="132">
        <f t="shared" si="16"/>
        <v>2846.857735525</v>
      </c>
      <c r="AS59" s="132">
        <f t="shared" si="16"/>
        <v>2878.0066722777797</v>
      </c>
      <c r="AT59" s="132">
        <f t="shared" si="16"/>
        <v>2944.2613925879818</v>
      </c>
      <c r="AU59" s="132">
        <f t="shared" si="16"/>
        <v>2992.334805052195</v>
      </c>
      <c r="AV59" s="132">
        <f t="shared" si="16"/>
        <v>3042.2498441834691</v>
      </c>
      <c r="AW59" s="132">
        <f t="shared" si="16"/>
        <v>3094.0577645388848</v>
      </c>
      <c r="AX59" s="132">
        <f t="shared" si="16"/>
        <v>3147.8113982546638</v>
      </c>
    </row>
    <row r="60" spans="2:50">
      <c r="B60" s="171" t="str">
        <f t="shared" ref="B60:B73" si="17">$C$58&amp;C60</f>
        <v>P&amp;L - REPORTEDTaxes &amp; Commissions</v>
      </c>
      <c r="C60" s="138" t="s">
        <v>1272</v>
      </c>
      <c r="D60" s="82" t="s">
        <v>900</v>
      </c>
      <c r="F60" s="138"/>
      <c r="G60" s="132"/>
      <c r="H60" s="132"/>
      <c r="I60" s="132">
        <f>HY!O587</f>
        <v>-774.80000000000007</v>
      </c>
      <c r="J60" s="132">
        <f>HY!P587</f>
        <v>-691.40000000000009</v>
      </c>
      <c r="K60" s="132">
        <f>HY!Q587</f>
        <v>-723.09999999999991</v>
      </c>
      <c r="L60" s="132">
        <f>HY!R587</f>
        <v>-683.20000000000027</v>
      </c>
      <c r="M60" s="132">
        <f>HY!S587</f>
        <v>-786.9</v>
      </c>
      <c r="N60" s="132">
        <f>HY!T587</f>
        <v>-739.00000000000023</v>
      </c>
      <c r="O60" s="132">
        <f>HY!U587</f>
        <v>-777.30000000000007</v>
      </c>
      <c r="P60" s="132">
        <f>HY!V587</f>
        <v>-726.59999999999968</v>
      </c>
      <c r="Q60" s="132">
        <f>HY!W587</f>
        <v>-791.67068439580316</v>
      </c>
      <c r="R60" s="132">
        <f>HY!X587</f>
        <v>-752.56766757925004</v>
      </c>
      <c r="S60" s="132">
        <f>HY!Y587</f>
        <v>-809.65109915397818</v>
      </c>
      <c r="T60" s="132">
        <f>HY!Z587</f>
        <v>-764.57639562452005</v>
      </c>
      <c r="U60" s="132">
        <f>HY!AA587</f>
        <v>-812.08057900357062</v>
      </c>
      <c r="V60" s="132">
        <f>HY!AB587</f>
        <v>-768.75837945393539</v>
      </c>
      <c r="W60" s="132">
        <f>HY!AC587</f>
        <v>-830.08065537662469</v>
      </c>
      <c r="X60" s="132">
        <f>HY!AD587</f>
        <v>-786.03175652043706</v>
      </c>
      <c r="Y60" s="132">
        <f>HY!AE587</f>
        <v>-842.22741382387608</v>
      </c>
      <c r="Z60" s="132">
        <f>HY!AF587</f>
        <v>-798.01444069547472</v>
      </c>
      <c r="AA60" s="132">
        <f>HY!AG587</f>
        <v>-854.86518783668555</v>
      </c>
      <c r="AB60" s="132">
        <f>HY!AH587</f>
        <v>-810.47164428096937</v>
      </c>
      <c r="AC60" s="132">
        <f>HY!AI587</f>
        <v>-868.00744175389809</v>
      </c>
      <c r="AD60" s="132">
        <f>HY!AJ587</f>
        <v>-823.41645247038275</v>
      </c>
      <c r="AE60" s="132">
        <f>HY!AK587</f>
        <v>-881.66805650580625</v>
      </c>
      <c r="AF60" s="132">
        <f>HY!AL587</f>
        <v>-836.86235451686844</v>
      </c>
      <c r="AL60" s="132"/>
      <c r="AM60" s="132">
        <f t="shared" si="16"/>
        <v>-1466.2000000000003</v>
      </c>
      <c r="AN60" s="132">
        <f t="shared" si="16"/>
        <v>-1406.3000000000002</v>
      </c>
      <c r="AO60" s="132">
        <f t="shared" si="16"/>
        <v>-1525.9</v>
      </c>
      <c r="AP60" s="132">
        <f t="shared" si="16"/>
        <v>-1503.8999999999996</v>
      </c>
      <c r="AQ60" s="132">
        <f t="shared" si="16"/>
        <v>-1544.2383519750533</v>
      </c>
      <c r="AR60" s="132">
        <f t="shared" si="16"/>
        <v>-1574.2274947784981</v>
      </c>
      <c r="AS60" s="132">
        <f t="shared" si="16"/>
        <v>-1580.8389584575061</v>
      </c>
      <c r="AT60" s="132">
        <f t="shared" si="16"/>
        <v>-1616.1124118970617</v>
      </c>
      <c r="AU60" s="132">
        <f t="shared" si="16"/>
        <v>-1640.2418545193509</v>
      </c>
      <c r="AV60" s="132">
        <f t="shared" si="16"/>
        <v>-1665.3368321176549</v>
      </c>
      <c r="AW60" s="132">
        <f t="shared" si="16"/>
        <v>-1691.423894224281</v>
      </c>
      <c r="AX60" s="132">
        <f t="shared" si="16"/>
        <v>-1718.5304110226748</v>
      </c>
    </row>
    <row r="61" spans="2:50">
      <c r="B61" s="171" t="str">
        <f t="shared" si="17"/>
        <v>P&amp;L - REPORTEDVariable Contribution</v>
      </c>
      <c r="C61" s="138" t="s">
        <v>1218</v>
      </c>
      <c r="D61" s="82" t="s">
        <v>900</v>
      </c>
      <c r="F61" s="138"/>
      <c r="G61" s="132"/>
      <c r="H61" s="132"/>
      <c r="I61" s="132">
        <f>HY!O589</f>
        <v>499.7</v>
      </c>
      <c r="J61" s="132">
        <f>HY!P589</f>
        <v>468.7</v>
      </c>
      <c r="K61" s="132">
        <f>HY!Q589</f>
        <v>485.6</v>
      </c>
      <c r="L61" s="132">
        <f>HY!R589</f>
        <v>446.1</v>
      </c>
      <c r="M61" s="132">
        <f>HY!S589</f>
        <v>544.4</v>
      </c>
      <c r="N61" s="132">
        <f>HY!T589</f>
        <v>544.30000000000007</v>
      </c>
      <c r="O61" s="132">
        <f>HY!U589</f>
        <v>567.6</v>
      </c>
      <c r="P61" s="132">
        <f>HY!V589</f>
        <v>564.80000000000007</v>
      </c>
      <c r="Q61" s="132">
        <f>HY!W589</f>
        <v>609.31307820419681</v>
      </c>
      <c r="R61" s="132">
        <f>HY!X589</f>
        <v>593.41688627075007</v>
      </c>
      <c r="S61" s="132">
        <f>HY!Y589</f>
        <v>648.70766684702187</v>
      </c>
      <c r="T61" s="132">
        <f>HY!Z589</f>
        <v>623.92257389947997</v>
      </c>
      <c r="U61" s="132">
        <f>HY!AA589</f>
        <v>662.88836629972889</v>
      </c>
      <c r="V61" s="132">
        <f>HY!AB589</f>
        <v>634.27934752054466</v>
      </c>
      <c r="W61" s="132">
        <f>HY!AC589</f>
        <v>678.62109217494231</v>
      </c>
      <c r="X61" s="132">
        <f>HY!AD589</f>
        <v>649.52788851597757</v>
      </c>
      <c r="Y61" s="132">
        <f>HY!AE589</f>
        <v>690.65164861035805</v>
      </c>
      <c r="Z61" s="132">
        <f>HY!AF589</f>
        <v>661.4413019224861</v>
      </c>
      <c r="AA61" s="132">
        <f>HY!AG589</f>
        <v>703.12578630213466</v>
      </c>
      <c r="AB61" s="132">
        <f>HY!AH589</f>
        <v>673.78722576367966</v>
      </c>
      <c r="AC61" s="132">
        <f>HY!AI589</f>
        <v>716.05598604232955</v>
      </c>
      <c r="AD61" s="132">
        <f>HY!AJ589</f>
        <v>686.5778842722741</v>
      </c>
      <c r="AE61" s="132">
        <f>HY!AK589</f>
        <v>729.4551113132195</v>
      </c>
      <c r="AF61" s="132">
        <f>HY!AL589</f>
        <v>699.82587591876927</v>
      </c>
      <c r="AL61" s="132"/>
      <c r="AM61" s="132">
        <f t="shared" si="16"/>
        <v>968.4</v>
      </c>
      <c r="AN61" s="132">
        <f t="shared" si="16"/>
        <v>931.7</v>
      </c>
      <c r="AO61" s="132">
        <f t="shared" si="16"/>
        <v>1088.7</v>
      </c>
      <c r="AP61" s="132">
        <f t="shared" si="16"/>
        <v>1132.4000000000001</v>
      </c>
      <c r="AQ61" s="132">
        <f t="shared" si="16"/>
        <v>1202.7299644749469</v>
      </c>
      <c r="AR61" s="132">
        <f t="shared" si="16"/>
        <v>1272.6302407465018</v>
      </c>
      <c r="AS61" s="132">
        <f t="shared" si="16"/>
        <v>1297.1677138202735</v>
      </c>
      <c r="AT61" s="132">
        <f t="shared" si="16"/>
        <v>1328.1489806909199</v>
      </c>
      <c r="AU61" s="132">
        <f t="shared" si="16"/>
        <v>1352.092950532844</v>
      </c>
      <c r="AV61" s="132">
        <f t="shared" si="16"/>
        <v>1376.9130120658142</v>
      </c>
      <c r="AW61" s="132">
        <f t="shared" si="16"/>
        <v>1402.6338703146037</v>
      </c>
      <c r="AX61" s="132">
        <f t="shared" si="16"/>
        <v>1429.2809872319888</v>
      </c>
    </row>
    <row r="62" spans="2:50">
      <c r="B62" s="171" t="str">
        <f t="shared" si="17"/>
        <v>P&amp;L - REPORTEDOpex</v>
      </c>
      <c r="C62" s="138" t="s">
        <v>4</v>
      </c>
      <c r="D62" s="82" t="s">
        <v>900</v>
      </c>
      <c r="F62" s="138"/>
      <c r="G62" s="132"/>
      <c r="H62" s="132"/>
      <c r="I62" s="132">
        <f>HY!O590</f>
        <v>-303.10000000000002</v>
      </c>
      <c r="J62" s="132">
        <f>HY!P590</f>
        <v>-274.29999999999995</v>
      </c>
      <c r="K62" s="132">
        <f>HY!Q590</f>
        <v>-315.8</v>
      </c>
      <c r="L62" s="132">
        <f>HY!R590</f>
        <v>-298.2</v>
      </c>
      <c r="M62" s="132">
        <f>HY!S590</f>
        <v>-354.2</v>
      </c>
      <c r="N62" s="132">
        <f>HY!T590</f>
        <v>-343.00000000000006</v>
      </c>
      <c r="O62" s="132">
        <f>HY!U590</f>
        <v>-350.2</v>
      </c>
      <c r="P62" s="132">
        <f>HY!V590</f>
        <v>-350.50000000000006</v>
      </c>
      <c r="Q62" s="132">
        <f>HY!W590</f>
        <v>-363.39942500000001</v>
      </c>
      <c r="R62" s="132">
        <f>HY!X590</f>
        <v>-372.91047499999996</v>
      </c>
      <c r="S62" s="132">
        <f>HY!Y590</f>
        <v>-396.11673062499995</v>
      </c>
      <c r="T62" s="132">
        <f>HY!Z590</f>
        <v>-390.86773937499993</v>
      </c>
      <c r="U62" s="132">
        <f>HY!AA590</f>
        <v>-402.56023254375003</v>
      </c>
      <c r="V62" s="132">
        <f>HY!AB590</f>
        <v>-400.24377155624995</v>
      </c>
      <c r="W62" s="132">
        <f>HY!AC590</f>
        <v>-414.6370395200625</v>
      </c>
      <c r="X62" s="132">
        <f>HY!AD590</f>
        <v>-412.25108470293748</v>
      </c>
      <c r="Y62" s="132">
        <f>HY!AE590</f>
        <v>-423.73170674038442</v>
      </c>
      <c r="Z62" s="132">
        <f>HY!AF590</f>
        <v>-421.28579443039064</v>
      </c>
      <c r="AA62" s="132">
        <f>HY!AG590</f>
        <v>-433.03232509801029</v>
      </c>
      <c r="AB62" s="132">
        <f>HY!AH590</f>
        <v>-430.52488899339465</v>
      </c>
      <c r="AC62" s="132">
        <f>HY!AI590</f>
        <v>-442.54373534947337</v>
      </c>
      <c r="AD62" s="132">
        <f>HY!AJ590</f>
        <v>-439.97316680789066</v>
      </c>
      <c r="AE62" s="132">
        <f>HY!AK590</f>
        <v>-452.27089671845073</v>
      </c>
      <c r="AF62" s="132">
        <f>HY!AL590</f>
        <v>-449.63554357971543</v>
      </c>
      <c r="AL62" s="132"/>
      <c r="AM62" s="132">
        <f t="shared" si="16"/>
        <v>-577.4</v>
      </c>
      <c r="AN62" s="132">
        <f t="shared" si="16"/>
        <v>-614</v>
      </c>
      <c r="AO62" s="132">
        <f t="shared" si="16"/>
        <v>-697.2</v>
      </c>
      <c r="AP62" s="132">
        <f t="shared" si="16"/>
        <v>-700.7</v>
      </c>
      <c r="AQ62" s="132">
        <f t="shared" si="16"/>
        <v>-736.30989999999997</v>
      </c>
      <c r="AR62" s="132">
        <f t="shared" si="16"/>
        <v>-786.98446999999987</v>
      </c>
      <c r="AS62" s="132">
        <f t="shared" si="16"/>
        <v>-802.80400409999993</v>
      </c>
      <c r="AT62" s="132">
        <f t="shared" si="16"/>
        <v>-826.88812422299998</v>
      </c>
      <c r="AU62" s="132">
        <f t="shared" si="16"/>
        <v>-845.01750117077506</v>
      </c>
      <c r="AV62" s="132">
        <f t="shared" si="16"/>
        <v>-863.55721409140494</v>
      </c>
      <c r="AW62" s="132">
        <f t="shared" si="16"/>
        <v>-882.51690215736403</v>
      </c>
      <c r="AX62" s="132">
        <f t="shared" si="16"/>
        <v>-901.90644029816622</v>
      </c>
    </row>
    <row r="63" spans="2:50">
      <c r="B63" s="171" t="str">
        <f t="shared" si="17"/>
        <v>P&amp;L - REPORTEDEBITDA</v>
      </c>
      <c r="C63" s="138" t="s">
        <v>2</v>
      </c>
      <c r="D63" s="82" t="s">
        <v>900</v>
      </c>
      <c r="F63" s="138"/>
      <c r="G63" s="132"/>
      <c r="H63" s="132"/>
      <c r="I63" s="132">
        <f>HY!O592</f>
        <v>196.6</v>
      </c>
      <c r="J63" s="132">
        <f>HY!P592</f>
        <v>194.4</v>
      </c>
      <c r="K63" s="132">
        <f>HY!Q592</f>
        <v>169.8</v>
      </c>
      <c r="L63" s="132">
        <f>HY!R592</f>
        <v>147.89999999999998</v>
      </c>
      <c r="M63" s="132">
        <f>HY!S592</f>
        <v>190.2</v>
      </c>
      <c r="N63" s="132">
        <f>HY!T592</f>
        <v>201.3</v>
      </c>
      <c r="O63" s="132">
        <f>HY!U592</f>
        <v>217.4</v>
      </c>
      <c r="P63" s="132">
        <f>HY!V592</f>
        <v>214.29999999999998</v>
      </c>
      <c r="Q63" s="132">
        <f>HY!W592</f>
        <v>245.91365320419683</v>
      </c>
      <c r="R63" s="132">
        <f>HY!X592</f>
        <v>220.50641127075005</v>
      </c>
      <c r="S63" s="132">
        <f>HY!Y592</f>
        <v>252.5909362220219</v>
      </c>
      <c r="T63" s="132">
        <f>HY!Z592</f>
        <v>233.05483452447999</v>
      </c>
      <c r="U63" s="132">
        <f>HY!AA592</f>
        <v>260.32813375597885</v>
      </c>
      <c r="V63" s="132">
        <f>HY!AB592</f>
        <v>234.03557596429465</v>
      </c>
      <c r="W63" s="132">
        <f>HY!AC592</f>
        <v>263.98405265487986</v>
      </c>
      <c r="X63" s="132">
        <f>HY!AD592</f>
        <v>237.27680381304012</v>
      </c>
      <c r="Y63" s="132">
        <f>HY!AE592</f>
        <v>266.91994186997368</v>
      </c>
      <c r="Z63" s="132">
        <f>HY!AF592</f>
        <v>240.1555074920955</v>
      </c>
      <c r="AA63" s="132">
        <f>HY!AG592</f>
        <v>270.09346120412431</v>
      </c>
      <c r="AB63" s="132">
        <f>HY!AH592</f>
        <v>243.26233677028503</v>
      </c>
      <c r="AC63" s="132">
        <f>HY!AI592</f>
        <v>273.51225069285624</v>
      </c>
      <c r="AD63" s="132">
        <f>HY!AJ592</f>
        <v>246.60471746438341</v>
      </c>
      <c r="AE63" s="132">
        <f>HY!AK592</f>
        <v>277.18421459476878</v>
      </c>
      <c r="AF63" s="132">
        <f>HY!AL592</f>
        <v>250.19033233905387</v>
      </c>
      <c r="AL63" s="132"/>
      <c r="AM63" s="132">
        <f t="shared" si="16"/>
        <v>391</v>
      </c>
      <c r="AN63" s="132">
        <f t="shared" si="16"/>
        <v>317.7</v>
      </c>
      <c r="AO63" s="132">
        <f t="shared" si="16"/>
        <v>391.5</v>
      </c>
      <c r="AP63" s="132">
        <f t="shared" si="16"/>
        <v>431.7</v>
      </c>
      <c r="AQ63" s="132">
        <f t="shared" si="16"/>
        <v>466.42006447494691</v>
      </c>
      <c r="AR63" s="132">
        <f t="shared" si="16"/>
        <v>485.64577074650185</v>
      </c>
      <c r="AS63" s="132">
        <f t="shared" si="16"/>
        <v>494.3637097202735</v>
      </c>
      <c r="AT63" s="132">
        <f t="shared" si="16"/>
        <v>501.26085646792001</v>
      </c>
      <c r="AU63" s="132">
        <f t="shared" si="16"/>
        <v>507.07544936206921</v>
      </c>
      <c r="AV63" s="132">
        <f t="shared" si="16"/>
        <v>513.35579797440937</v>
      </c>
      <c r="AW63" s="132">
        <f t="shared" si="16"/>
        <v>520.11696815723963</v>
      </c>
      <c r="AX63" s="132">
        <f t="shared" si="16"/>
        <v>527.37454693382267</v>
      </c>
    </row>
    <row r="64" spans="2:50">
      <c r="B64" s="171" t="str">
        <f t="shared" si="17"/>
        <v>P&amp;L - REPORTEDD&amp;A</v>
      </c>
      <c r="C64" s="138" t="s">
        <v>48</v>
      </c>
      <c r="D64" s="82" t="s">
        <v>900</v>
      </c>
      <c r="F64" s="138"/>
      <c r="G64" s="132"/>
      <c r="H64" s="132"/>
      <c r="I64" s="132">
        <f>HY!O593+HY!O594</f>
        <v>-123.39999999999998</v>
      </c>
      <c r="J64" s="132">
        <f>HY!P593+HY!P594</f>
        <v>-117.10000000000002</v>
      </c>
      <c r="K64" s="132">
        <f>HY!Q593+HY!Q594</f>
        <v>-119.80000000000001</v>
      </c>
      <c r="L64" s="132">
        <f>HY!R593+HY!R594</f>
        <v>-100.49999999999997</v>
      </c>
      <c r="M64" s="132">
        <f>HY!S593+HY!S594</f>
        <v>-97.499999999999986</v>
      </c>
      <c r="N64" s="132">
        <f>HY!T593+HY!T594</f>
        <v>-105.30000000000001</v>
      </c>
      <c r="O64" s="132">
        <f>HY!U593+HY!U594</f>
        <v>-107.20000000000002</v>
      </c>
      <c r="P64" s="132">
        <f>HY!V593+HY!V594</f>
        <v>-105.8</v>
      </c>
      <c r="Q64" s="132">
        <f>HY!W593+HY!W594</f>
        <v>-114.19999999999982</v>
      </c>
      <c r="R64" s="132">
        <f>HY!X593+HY!X594</f>
        <v>-114.19999999999982</v>
      </c>
      <c r="S64" s="132">
        <f>HY!Y593+HY!Y594</f>
        <v>-111.69999999999982</v>
      </c>
      <c r="T64" s="132">
        <f>HY!Z593+HY!Z594</f>
        <v>-111.69999999999982</v>
      </c>
      <c r="U64" s="132">
        <f>HY!AA593+HY!AA594</f>
        <v>-113.90588235294098</v>
      </c>
      <c r="V64" s="132">
        <f>HY!AB593+HY!AB594</f>
        <v>-111.29009146232301</v>
      </c>
      <c r="W64" s="132">
        <f>HY!AC593+HY!AC594</f>
        <v>-108.60105180170741</v>
      </c>
      <c r="X64" s="132">
        <f>HY!AD593+HY!AD594</f>
        <v>-106.75365838874035</v>
      </c>
      <c r="Y64" s="132">
        <f>HY!AE593+HY!AE594</f>
        <v>-104.72483114264912</v>
      </c>
      <c r="Z64" s="132">
        <f>HY!AF593+HY!AF594</f>
        <v>-103.59657080560132</v>
      </c>
      <c r="AA64" s="132">
        <f>HY!AG593+HY!AG594</f>
        <v>-102.18035902242494</v>
      </c>
      <c r="AB64" s="132">
        <f>HY!AH593+HY!AH594</f>
        <v>-101.58301116178995</v>
      </c>
      <c r="AC64" s="132">
        <f>HY!AI593+HY!AI594</f>
        <v>-100.61849147723447</v>
      </c>
      <c r="AD64" s="132">
        <f>HY!AJ593+HY!AJ594</f>
        <v>-100.41494619985079</v>
      </c>
      <c r="AE64" s="132">
        <f>HY!AK593+HY!AK594</f>
        <v>-99.784839528394642</v>
      </c>
      <c r="AF64" s="132">
        <f>HY!AL593+HY!AL594</f>
        <v>-99.875268424311159</v>
      </c>
      <c r="AL64" s="132"/>
      <c r="AM64" s="132">
        <f t="shared" si="16"/>
        <v>-240.5</v>
      </c>
      <c r="AN64" s="132">
        <f t="shared" si="16"/>
        <v>-220.29999999999998</v>
      </c>
      <c r="AO64" s="132">
        <f t="shared" si="16"/>
        <v>-202.8</v>
      </c>
      <c r="AP64" s="132">
        <f t="shared" si="16"/>
        <v>-213</v>
      </c>
      <c r="AQ64" s="132">
        <f t="shared" si="16"/>
        <v>-228.39999999999964</v>
      </c>
      <c r="AR64" s="132">
        <f t="shared" si="16"/>
        <v>-223.39999999999964</v>
      </c>
      <c r="AS64" s="132">
        <f t="shared" si="16"/>
        <v>-225.19597381526398</v>
      </c>
      <c r="AT64" s="132">
        <f t="shared" si="16"/>
        <v>-215.35471019044775</v>
      </c>
      <c r="AU64" s="132">
        <f t="shared" si="16"/>
        <v>-208.32140194825044</v>
      </c>
      <c r="AV64" s="132">
        <f t="shared" si="16"/>
        <v>-203.76337018421489</v>
      </c>
      <c r="AW64" s="132">
        <f t="shared" si="16"/>
        <v>-201.03343767708526</v>
      </c>
      <c r="AX64" s="132">
        <f t="shared" si="16"/>
        <v>-199.6601079527058</v>
      </c>
    </row>
    <row r="65" spans="2:50">
      <c r="B65" s="171" t="str">
        <f t="shared" si="17"/>
        <v>P&amp;L - REPORTEDEBIT</v>
      </c>
      <c r="C65" s="138" t="s">
        <v>10</v>
      </c>
      <c r="D65" s="82" t="s">
        <v>900</v>
      </c>
      <c r="F65" s="138"/>
      <c r="G65" s="132"/>
      <c r="H65" s="132"/>
      <c r="I65" s="132">
        <f>HY!O596</f>
        <v>73.2</v>
      </c>
      <c r="J65" s="132">
        <f>HY!P596</f>
        <v>77.3</v>
      </c>
      <c r="K65" s="132">
        <f>HY!Q596</f>
        <v>50</v>
      </c>
      <c r="L65" s="132">
        <f>HY!R596</f>
        <v>47.400000000000006</v>
      </c>
      <c r="M65" s="132">
        <f>HY!S596</f>
        <v>92.7</v>
      </c>
      <c r="N65" s="132">
        <f>HY!T596</f>
        <v>95.999999999999986</v>
      </c>
      <c r="O65" s="132">
        <f>HY!U596</f>
        <v>110.2</v>
      </c>
      <c r="P65" s="132">
        <f>HY!V596</f>
        <v>108.49999999999999</v>
      </c>
      <c r="Q65" s="132">
        <f>HY!W596</f>
        <v>131.71365320419702</v>
      </c>
      <c r="R65" s="132">
        <f>HY!X596</f>
        <v>106.30641127075023</v>
      </c>
      <c r="S65" s="132">
        <f>HY!Y596</f>
        <v>140.89093622202208</v>
      </c>
      <c r="T65" s="132">
        <f>HY!Z596</f>
        <v>121.35483452448017</v>
      </c>
      <c r="U65" s="132">
        <f>HY!AA596</f>
        <v>146.42225140303788</v>
      </c>
      <c r="V65" s="132">
        <f>HY!AB596</f>
        <v>122.74548450197165</v>
      </c>
      <c r="W65" s="132">
        <f>HY!AC596</f>
        <v>155.38300085317246</v>
      </c>
      <c r="X65" s="132">
        <f>HY!AD596</f>
        <v>130.52314542429977</v>
      </c>
      <c r="Y65" s="132">
        <f>HY!AE596</f>
        <v>162.19511072732456</v>
      </c>
      <c r="Z65" s="132">
        <f>HY!AF596</f>
        <v>136.55893668649418</v>
      </c>
      <c r="AA65" s="132">
        <f>HY!AG596</f>
        <v>167.91310218169937</v>
      </c>
      <c r="AB65" s="132">
        <f>HY!AH596</f>
        <v>141.67932560849508</v>
      </c>
      <c r="AC65" s="132">
        <f>HY!AI596</f>
        <v>172.89375921562177</v>
      </c>
      <c r="AD65" s="132">
        <f>HY!AJ596</f>
        <v>146.18977126453262</v>
      </c>
      <c r="AE65" s="132">
        <f>HY!AK596</f>
        <v>177.39937506637415</v>
      </c>
      <c r="AF65" s="132">
        <f>HY!AL596</f>
        <v>150.31506391474272</v>
      </c>
      <c r="AL65" s="132"/>
      <c r="AM65" s="132">
        <f t="shared" si="16"/>
        <v>150.5</v>
      </c>
      <c r="AN65" s="132">
        <f t="shared" si="16"/>
        <v>97.4</v>
      </c>
      <c r="AO65" s="132">
        <f t="shared" si="16"/>
        <v>188.7</v>
      </c>
      <c r="AP65" s="132">
        <f t="shared" si="16"/>
        <v>218.7</v>
      </c>
      <c r="AQ65" s="132">
        <f t="shared" si="16"/>
        <v>238.02006447494725</v>
      </c>
      <c r="AR65" s="132">
        <f t="shared" si="16"/>
        <v>262.24577074650222</v>
      </c>
      <c r="AS65" s="132">
        <f t="shared" si="16"/>
        <v>269.16773590500952</v>
      </c>
      <c r="AT65" s="132">
        <f t="shared" si="16"/>
        <v>285.9061462774722</v>
      </c>
      <c r="AU65" s="132">
        <f t="shared" si="16"/>
        <v>298.75404741381874</v>
      </c>
      <c r="AV65" s="132">
        <f t="shared" si="16"/>
        <v>309.59242779019445</v>
      </c>
      <c r="AW65" s="132">
        <f t="shared" si="16"/>
        <v>319.08353048015442</v>
      </c>
      <c r="AX65" s="132">
        <f t="shared" si="16"/>
        <v>327.71443898111687</v>
      </c>
    </row>
    <row r="66" spans="2:50">
      <c r="B66" s="171" t="str">
        <f t="shared" si="17"/>
        <v>P&amp;L - REPORTEDLoss from Equity Accounted Investment</v>
      </c>
      <c r="C66" s="138" t="s">
        <v>1234</v>
      </c>
      <c r="D66" s="82" t="s">
        <v>900</v>
      </c>
      <c r="F66" s="138"/>
      <c r="G66" s="132"/>
      <c r="H66" s="132"/>
      <c r="I66" s="132">
        <f>HY!O600</f>
        <v>-1.2</v>
      </c>
      <c r="J66" s="132">
        <f>HY!P600</f>
        <v>-1.5000000000000002</v>
      </c>
      <c r="K66" s="132">
        <f>HY!Q600</f>
        <v>-2.8</v>
      </c>
      <c r="L66" s="132">
        <f>HY!R600</f>
        <v>-0.40000000000000036</v>
      </c>
      <c r="M66" s="132">
        <f>HY!S600</f>
        <v>-0.5</v>
      </c>
      <c r="N66" s="132">
        <f>HY!T600</f>
        <v>4.3</v>
      </c>
      <c r="O66" s="132">
        <f>HY!U600</f>
        <v>-4.5999999999999996</v>
      </c>
      <c r="P66" s="132">
        <f>HY!V600</f>
        <v>1.5999999999999996</v>
      </c>
      <c r="Q66" s="132">
        <f>HY!W600</f>
        <v>0</v>
      </c>
      <c r="R66" s="132">
        <f>HY!X600</f>
        <v>1</v>
      </c>
      <c r="S66" s="132">
        <f>HY!Y600</f>
        <v>4</v>
      </c>
      <c r="T66" s="132">
        <f>HY!Z600</f>
        <v>8</v>
      </c>
      <c r="U66" s="132">
        <f>HY!AA600</f>
        <v>10</v>
      </c>
      <c r="V66" s="132">
        <f>HY!AB600</f>
        <v>12</v>
      </c>
      <c r="W66" s="132">
        <f>HY!AC600</f>
        <v>14</v>
      </c>
      <c r="X66" s="132">
        <f>HY!AD600</f>
        <v>16</v>
      </c>
      <c r="Y66" s="132">
        <f>HY!AE600</f>
        <v>14.42</v>
      </c>
      <c r="Z66" s="132">
        <f>HY!AF600</f>
        <v>16.48</v>
      </c>
      <c r="AA66" s="132">
        <f>HY!AG600</f>
        <v>14.852600000000001</v>
      </c>
      <c r="AB66" s="132">
        <f>HY!AH600</f>
        <v>16.974399999999999</v>
      </c>
      <c r="AC66" s="132">
        <f>HY!AI600</f>
        <v>15.298178000000002</v>
      </c>
      <c r="AD66" s="132">
        <f>HY!AJ600</f>
        <v>17.483632</v>
      </c>
      <c r="AE66" s="132">
        <f>HY!AK600</f>
        <v>15.757123340000001</v>
      </c>
      <c r="AF66" s="132">
        <f>HY!AL600</f>
        <v>18.008140960000002</v>
      </c>
      <c r="AL66" s="132"/>
      <c r="AM66" s="132">
        <f t="shared" si="16"/>
        <v>-2.7</v>
      </c>
      <c r="AN66" s="132">
        <f t="shared" si="16"/>
        <v>-3.2</v>
      </c>
      <c r="AO66" s="132">
        <f t="shared" si="16"/>
        <v>3.8</v>
      </c>
      <c r="AP66" s="132">
        <f t="shared" si="16"/>
        <v>-3</v>
      </c>
      <c r="AQ66" s="132">
        <f t="shared" si="16"/>
        <v>1</v>
      </c>
      <c r="AR66" s="132">
        <f t="shared" si="16"/>
        <v>12</v>
      </c>
      <c r="AS66" s="132">
        <f t="shared" si="16"/>
        <v>22</v>
      </c>
      <c r="AT66" s="132">
        <f t="shared" si="16"/>
        <v>30</v>
      </c>
      <c r="AU66" s="132">
        <f t="shared" si="16"/>
        <v>30.9</v>
      </c>
      <c r="AV66" s="132">
        <f t="shared" si="16"/>
        <v>31.826999999999998</v>
      </c>
      <c r="AW66" s="132">
        <f t="shared" si="16"/>
        <v>32.78181</v>
      </c>
      <c r="AX66" s="132">
        <f t="shared" si="16"/>
        <v>33.765264300000005</v>
      </c>
    </row>
    <row r="67" spans="2:50">
      <c r="B67" s="171" t="str">
        <f t="shared" si="17"/>
        <v>P&amp;L - REPORTEDNet Finance Costs</v>
      </c>
      <c r="C67" s="138" t="s">
        <v>1080</v>
      </c>
      <c r="D67" s="82" t="s">
        <v>900</v>
      </c>
      <c r="F67" s="138"/>
      <c r="G67" s="132"/>
      <c r="H67" s="132"/>
      <c r="I67" s="132">
        <f>HY!O597+HY!O598+HY!O599</f>
        <v>-12.9</v>
      </c>
      <c r="J67" s="132">
        <f>HY!P597+HY!P598+HY!P599</f>
        <v>-19.600000000000001</v>
      </c>
      <c r="K67" s="132">
        <f>HY!Q597+HY!Q598+HY!Q599</f>
        <v>-20.9</v>
      </c>
      <c r="L67" s="132">
        <f>HY!R597+HY!R598+HY!R599</f>
        <v>-21.3</v>
      </c>
      <c r="M67" s="132">
        <f>HY!S597+HY!S598+HY!S599</f>
        <v>-46</v>
      </c>
      <c r="N67" s="132">
        <f>HY!T597+HY!T598+HY!T599</f>
        <v>-45.5</v>
      </c>
      <c r="O67" s="132">
        <f>HY!U597+HY!U598+HY!U599</f>
        <v>-42.9</v>
      </c>
      <c r="P67" s="132">
        <f>HY!V597+HY!V598+HY!V599</f>
        <v>-43.3</v>
      </c>
      <c r="Q67" s="132">
        <f>HY!W597+HY!W598+HY!W599</f>
        <v>-42.035949589041095</v>
      </c>
      <c r="R67" s="132">
        <f>HY!X597+HY!X598+HY!X599</f>
        <v>-45.403580489122902</v>
      </c>
      <c r="S67" s="132">
        <f>HY!Y597+HY!Y598+HY!Y599</f>
        <v>-47.635152328990827</v>
      </c>
      <c r="T67" s="132">
        <f>HY!Z597+HY!Z598+HY!Z599</f>
        <v>-46.373088322748643</v>
      </c>
      <c r="U67" s="132">
        <f>HY!AA597+HY!AA598+HY!AA599</f>
        <v>-47.581763472657222</v>
      </c>
      <c r="V67" s="132">
        <f>HY!AB597+HY!AB598+HY!AB599</f>
        <v>-46.117940707929563</v>
      </c>
      <c r="W67" s="132">
        <f>HY!AC597+HY!AC598+HY!AC599</f>
        <v>-46.247779255708188</v>
      </c>
      <c r="X67" s="132">
        <f>HY!AD597+HY!AD598+HY!AD599</f>
        <v>-44.610779580256107</v>
      </c>
      <c r="Y67" s="132">
        <f>HY!AE597+HY!AE598+HY!AE599</f>
        <v>-43.606706674127352</v>
      </c>
      <c r="Z67" s="132">
        <f>HY!AF597+HY!AF598+HY!AF599</f>
        <v>-42.078159976940597</v>
      </c>
      <c r="AA67" s="132">
        <f>HY!AG597+HY!AG598+HY!AG599</f>
        <v>-42.062960218254595</v>
      </c>
      <c r="AB67" s="132">
        <f>HY!AH597+HY!AH598+HY!AH599</f>
        <v>-40.111435504336377</v>
      </c>
      <c r="AC67" s="132">
        <f>HY!AI597+HY!AI598+HY!AI599</f>
        <v>-39.499633696122693</v>
      </c>
      <c r="AD67" s="132">
        <f>HY!AJ597+HY!AJ598+HY!AJ599</f>
        <v>-37.394700801260448</v>
      </c>
      <c r="AE67" s="132">
        <f>HY!AK597+HY!AK598+HY!AK599</f>
        <v>-36.800254885782067</v>
      </c>
      <c r="AF67" s="132">
        <f>HY!AL597+HY!AL598+HY!AL599</f>
        <v>-34.58289936818624</v>
      </c>
      <c r="AL67" s="132"/>
      <c r="AM67" s="132">
        <f t="shared" si="16"/>
        <v>-32.5</v>
      </c>
      <c r="AN67" s="132">
        <f t="shared" si="16"/>
        <v>-42.2</v>
      </c>
      <c r="AO67" s="132">
        <f t="shared" si="16"/>
        <v>-91.5</v>
      </c>
      <c r="AP67" s="132">
        <f t="shared" si="16"/>
        <v>-86.199999999999989</v>
      </c>
      <c r="AQ67" s="132">
        <f t="shared" si="16"/>
        <v>-87.439530078163997</v>
      </c>
      <c r="AR67" s="132">
        <f t="shared" si="16"/>
        <v>-94.00824065173947</v>
      </c>
      <c r="AS67" s="132">
        <f t="shared" si="16"/>
        <v>-93.699704180586792</v>
      </c>
      <c r="AT67" s="132">
        <f t="shared" si="16"/>
        <v>-90.858558835964288</v>
      </c>
      <c r="AU67" s="132">
        <f t="shared" si="16"/>
        <v>-85.684866651067949</v>
      </c>
      <c r="AV67" s="132">
        <f t="shared" si="16"/>
        <v>-82.174395722590972</v>
      </c>
      <c r="AW67" s="132">
        <f t="shared" si="16"/>
        <v>-76.894334497383142</v>
      </c>
      <c r="AX67" s="132">
        <f t="shared" si="16"/>
        <v>-71.383154253968314</v>
      </c>
    </row>
    <row r="68" spans="2:50">
      <c r="B68" s="171" t="str">
        <f t="shared" si="17"/>
        <v>P&amp;L - REPORTEDNPBT</v>
      </c>
      <c r="C68" s="138" t="s">
        <v>13</v>
      </c>
      <c r="D68" s="82" t="s">
        <v>900</v>
      </c>
      <c r="G68" s="132"/>
      <c r="H68" s="132"/>
      <c r="I68" s="132">
        <f>HY!O602</f>
        <v>59.1</v>
      </c>
      <c r="J68" s="132">
        <f>HY!P602</f>
        <v>56.199999999999996</v>
      </c>
      <c r="K68" s="132">
        <f>HY!Q602</f>
        <v>26.300000000000004</v>
      </c>
      <c r="L68" s="132">
        <f>HY!R602</f>
        <v>25.700000000000003</v>
      </c>
      <c r="M68" s="132">
        <f>HY!S602</f>
        <v>46.2</v>
      </c>
      <c r="N68" s="132">
        <f>HY!T602</f>
        <v>54.799999999999983</v>
      </c>
      <c r="O68" s="132">
        <f>HY!U602</f>
        <v>62.70000000000001</v>
      </c>
      <c r="P68" s="132">
        <f>HY!V602</f>
        <v>66.799999999999983</v>
      </c>
      <c r="Q68" s="132">
        <f>HY!W602</f>
        <v>89.67770361515592</v>
      </c>
      <c r="R68" s="132">
        <f>HY!X602</f>
        <v>61.90283078162733</v>
      </c>
      <c r="S68" s="132">
        <f>HY!Y602</f>
        <v>97.25578389303125</v>
      </c>
      <c r="T68" s="132">
        <f>HY!Z602</f>
        <v>82.981746201731525</v>
      </c>
      <c r="U68" s="132">
        <f>HY!AA602</f>
        <v>108.84048793038065</v>
      </c>
      <c r="V68" s="132">
        <f>HY!AB602</f>
        <v>88.627543794042083</v>
      </c>
      <c r="W68" s="132">
        <f>HY!AC602</f>
        <v>123.13522159746427</v>
      </c>
      <c r="X68" s="132">
        <f>HY!AD602</f>
        <v>101.91236584404366</v>
      </c>
      <c r="Y68" s="132">
        <f>HY!AE602</f>
        <v>133.00840405319718</v>
      </c>
      <c r="Z68" s="132">
        <f>HY!AF602</f>
        <v>110.96077670955357</v>
      </c>
      <c r="AA68" s="132">
        <f>HY!AG602</f>
        <v>140.70274196344477</v>
      </c>
      <c r="AB68" s="132">
        <f>HY!AH602</f>
        <v>118.5422901041587</v>
      </c>
      <c r="AC68" s="132">
        <f>HY!AI602</f>
        <v>148.69230351949909</v>
      </c>
      <c r="AD68" s="132">
        <f>HY!AJ602</f>
        <v>126.27870246327217</v>
      </c>
      <c r="AE68" s="132">
        <f>HY!AK602</f>
        <v>156.35624352059207</v>
      </c>
      <c r="AF68" s="132">
        <f>HY!AL602</f>
        <v>133.74030550655647</v>
      </c>
      <c r="AL68" s="132"/>
      <c r="AM68" s="132">
        <f t="shared" si="16"/>
        <v>115.3</v>
      </c>
      <c r="AN68" s="132">
        <f t="shared" si="16"/>
        <v>52.000000000000007</v>
      </c>
      <c r="AO68" s="132">
        <f t="shared" si="16"/>
        <v>100.99999999999999</v>
      </c>
      <c r="AP68" s="132">
        <f t="shared" si="16"/>
        <v>129.5</v>
      </c>
      <c r="AQ68" s="132">
        <f t="shared" si="16"/>
        <v>151.58053439678326</v>
      </c>
      <c r="AR68" s="132">
        <f t="shared" si="16"/>
        <v>180.23753009476277</v>
      </c>
      <c r="AS68" s="132">
        <f t="shared" si="16"/>
        <v>197.46803172442273</v>
      </c>
      <c r="AT68" s="132">
        <f t="shared" si="16"/>
        <v>225.04758744150791</v>
      </c>
      <c r="AU68" s="132">
        <f t="shared" si="16"/>
        <v>243.96918076275074</v>
      </c>
      <c r="AV68" s="132">
        <f t="shared" si="16"/>
        <v>259.24503206760346</v>
      </c>
      <c r="AW68" s="132">
        <f t="shared" si="16"/>
        <v>274.97100598277126</v>
      </c>
      <c r="AX68" s="132">
        <f t="shared" si="16"/>
        <v>290.09654902714851</v>
      </c>
    </row>
    <row r="69" spans="2:50">
      <c r="B69" s="171" t="str">
        <f>$C$58&amp;C69</f>
        <v>P&amp;L - REPORTEDTax</v>
      </c>
      <c r="C69" s="138" t="s">
        <v>14</v>
      </c>
      <c r="D69" s="82" t="s">
        <v>900</v>
      </c>
      <c r="G69" s="132"/>
      <c r="H69" s="132"/>
      <c r="I69" s="132">
        <f>HY!O603</f>
        <v>-11.8</v>
      </c>
      <c r="J69" s="132">
        <f>HY!P603</f>
        <v>-19.2</v>
      </c>
      <c r="K69" s="132">
        <f>HY!Q603</f>
        <v>-8.6999999999999993</v>
      </c>
      <c r="L69" s="132">
        <f>HY!R603</f>
        <v>-15.3</v>
      </c>
      <c r="M69" s="132">
        <f>HY!S603</f>
        <v>-24.1</v>
      </c>
      <c r="N69" s="132">
        <f>HY!T603</f>
        <v>-27.4</v>
      </c>
      <c r="O69" s="132">
        <f>HY!U603</f>
        <v>-27</v>
      </c>
      <c r="P69" s="132">
        <f>HY!V603</f>
        <v>-31.4</v>
      </c>
      <c r="Q69" s="132">
        <f>HY!W603</f>
        <v>-35.871081446062369</v>
      </c>
      <c r="R69" s="132">
        <f>HY!X603</f>
        <v>-25.999188928283477</v>
      </c>
      <c r="S69" s="132">
        <f>HY!Y603</f>
        <v>-36.957197879351874</v>
      </c>
      <c r="T69" s="132">
        <f>HY!Z603</f>
        <v>-33.192698480692613</v>
      </c>
      <c r="U69" s="132">
        <f>HY!AA603</f>
        <v>-41.359385413544643</v>
      </c>
      <c r="V69" s="132">
        <f>HY!AB603</f>
        <v>-35.451017517616833</v>
      </c>
      <c r="W69" s="132">
        <f>HY!AC603</f>
        <v>-46.791384207036423</v>
      </c>
      <c r="X69" s="132">
        <f>HY!AD603</f>
        <v>-40.764946337617467</v>
      </c>
      <c r="Y69" s="132">
        <f>HY!AE603</f>
        <v>-50.543193540214929</v>
      </c>
      <c r="Z69" s="132">
        <f>HY!AF603</f>
        <v>-44.384310683821433</v>
      </c>
      <c r="AA69" s="132">
        <f>HY!AG603</f>
        <v>-53.467041946109013</v>
      </c>
      <c r="AB69" s="132">
        <f>HY!AH603</f>
        <v>-47.416916041663484</v>
      </c>
      <c r="AC69" s="132">
        <f>HY!AI603</f>
        <v>-56.503075337409655</v>
      </c>
      <c r="AD69" s="132">
        <f>HY!AJ603</f>
        <v>-50.511480985308872</v>
      </c>
      <c r="AE69" s="132">
        <f>HY!AK603</f>
        <v>-46.906873056177623</v>
      </c>
      <c r="AF69" s="132">
        <f>HY!AL603</f>
        <v>-40.12209165196694</v>
      </c>
      <c r="AL69" s="132"/>
      <c r="AM69" s="132">
        <f t="shared" ref="AM69:AX74" si="18">SUMIFS($G69:$AF69,$G$3:$AF$3,AM$5)</f>
        <v>-31</v>
      </c>
      <c r="AN69" s="132">
        <f t="shared" si="18"/>
        <v>-24</v>
      </c>
      <c r="AO69" s="132">
        <f t="shared" si="18"/>
        <v>-51.5</v>
      </c>
      <c r="AP69" s="132">
        <f t="shared" si="18"/>
        <v>-58.4</v>
      </c>
      <c r="AQ69" s="132">
        <f t="shared" si="18"/>
        <v>-61.87027037434585</v>
      </c>
      <c r="AR69" s="132">
        <f t="shared" si="18"/>
        <v>-70.149896360044494</v>
      </c>
      <c r="AS69" s="132">
        <f t="shared" si="18"/>
        <v>-76.810402931161477</v>
      </c>
      <c r="AT69" s="132">
        <f t="shared" si="18"/>
        <v>-87.556330544653889</v>
      </c>
      <c r="AU69" s="132">
        <f t="shared" si="18"/>
        <v>-94.927504224036369</v>
      </c>
      <c r="AV69" s="132">
        <f t="shared" si="18"/>
        <v>-100.8839579877725</v>
      </c>
      <c r="AW69" s="132">
        <f t="shared" si="18"/>
        <v>-107.01455632271853</v>
      </c>
      <c r="AX69" s="132">
        <f t="shared" si="18"/>
        <v>-87.028964708144571</v>
      </c>
    </row>
    <row r="70" spans="2:50">
      <c r="B70" s="171" t="str">
        <f>$C$58&amp;C70</f>
        <v>P&amp;L - REPORTEDNPAT from continuing operations before significant items</v>
      </c>
      <c r="C70" s="138" t="s">
        <v>1228</v>
      </c>
      <c r="D70" s="82" t="s">
        <v>900</v>
      </c>
      <c r="G70" s="132"/>
      <c r="H70" s="132"/>
      <c r="I70" s="132">
        <f>HY!O605</f>
        <v>47.3</v>
      </c>
      <c r="J70" s="132">
        <f>HY!P605</f>
        <v>37</v>
      </c>
      <c r="K70" s="132">
        <f>HY!Q605</f>
        <v>17.600000000000001</v>
      </c>
      <c r="L70" s="132">
        <f>HY!R605</f>
        <v>10.399999999999999</v>
      </c>
      <c r="M70" s="132">
        <f>HY!S605</f>
        <v>22.1</v>
      </c>
      <c r="N70" s="132">
        <f>HY!T605</f>
        <v>27.4</v>
      </c>
      <c r="O70" s="132">
        <f>HY!U605</f>
        <v>35.700000000000003</v>
      </c>
      <c r="P70" s="132">
        <f>HY!V605</f>
        <v>35.399999999999991</v>
      </c>
      <c r="Q70" s="132">
        <f>HY!W605</f>
        <v>53.806622169093551</v>
      </c>
      <c r="R70" s="132">
        <f>HY!X605</f>
        <v>35.903641853343856</v>
      </c>
      <c r="S70" s="132">
        <f>HY!Y605</f>
        <v>60.298586013679376</v>
      </c>
      <c r="T70" s="132">
        <f>HY!Z605</f>
        <v>49.789047721038912</v>
      </c>
      <c r="U70" s="132">
        <f>HY!AA605</f>
        <v>67.481102516836003</v>
      </c>
      <c r="V70" s="132">
        <f>HY!AB605</f>
        <v>53.17652627642525</v>
      </c>
      <c r="W70" s="132">
        <f>HY!AC605</f>
        <v>76.343837390427836</v>
      </c>
      <c r="X70" s="132">
        <f>HY!AD605</f>
        <v>61.147419506426196</v>
      </c>
      <c r="Y70" s="132">
        <f>HY!AE605</f>
        <v>82.465210512982253</v>
      </c>
      <c r="Z70" s="132">
        <f>HY!AF605</f>
        <v>66.576466025732145</v>
      </c>
      <c r="AA70" s="132">
        <f>HY!AG605</f>
        <v>87.235700017335745</v>
      </c>
      <c r="AB70" s="132">
        <f>HY!AH605</f>
        <v>71.125374062495212</v>
      </c>
      <c r="AC70" s="132">
        <f>HY!AI605</f>
        <v>92.189228182089437</v>
      </c>
      <c r="AD70" s="132">
        <f>HY!AJ605</f>
        <v>75.76722147796329</v>
      </c>
      <c r="AE70" s="132">
        <f>HY!AK605</f>
        <v>109.44937046441444</v>
      </c>
      <c r="AF70" s="132">
        <f>HY!AL605</f>
        <v>93.618213854589527</v>
      </c>
      <c r="AL70" s="132"/>
      <c r="AM70" s="132">
        <f t="shared" si="18"/>
        <v>84.3</v>
      </c>
      <c r="AN70" s="132">
        <f t="shared" si="18"/>
        <v>28</v>
      </c>
      <c r="AO70" s="132">
        <f t="shared" si="18"/>
        <v>49.5</v>
      </c>
      <c r="AP70" s="132">
        <f t="shared" si="18"/>
        <v>71.099999999999994</v>
      </c>
      <c r="AQ70" s="132">
        <f t="shared" si="18"/>
        <v>89.7102640224374</v>
      </c>
      <c r="AR70" s="132">
        <f t="shared" si="18"/>
        <v>110.08763373471828</v>
      </c>
      <c r="AS70" s="132">
        <f t="shared" si="18"/>
        <v>120.65762879326125</v>
      </c>
      <c r="AT70" s="132">
        <f t="shared" si="18"/>
        <v>137.49125689685403</v>
      </c>
      <c r="AU70" s="132">
        <f t="shared" si="18"/>
        <v>149.0416765387144</v>
      </c>
      <c r="AV70" s="132">
        <f t="shared" si="18"/>
        <v>158.36107407983096</v>
      </c>
      <c r="AW70" s="132">
        <f t="shared" si="18"/>
        <v>167.95644966005273</v>
      </c>
      <c r="AX70" s="132">
        <f t="shared" si="18"/>
        <v>203.06758431900397</v>
      </c>
    </row>
    <row r="71" spans="2:50">
      <c r="B71" s="171" t="str">
        <f>$C$58&amp;C71</f>
        <v>P&amp;L - REPORTEDStatutory NPAT</v>
      </c>
      <c r="C71" s="138" t="s">
        <v>1231</v>
      </c>
      <c r="D71" s="82" t="s">
        <v>900</v>
      </c>
      <c r="G71" s="132"/>
      <c r="H71" s="132"/>
      <c r="I71" s="132">
        <f>HY!O611</f>
        <v>51.7</v>
      </c>
      <c r="J71" s="132">
        <f>HY!P611</f>
        <v>14.799999999999997</v>
      </c>
      <c r="K71" s="132">
        <f>HY!Q611</f>
        <v>-636.79999999999995</v>
      </c>
      <c r="L71" s="132">
        <f>HY!R611</f>
        <v>-722.90000000000009</v>
      </c>
      <c r="M71" s="132">
        <f>HY!S611</f>
        <v>25.3</v>
      </c>
      <c r="N71" s="132">
        <f>HY!T611</f>
        <v>11.3</v>
      </c>
      <c r="O71" s="132">
        <f>HY!U611</f>
        <v>21.7</v>
      </c>
      <c r="P71" s="132">
        <f>HY!V611</f>
        <v>24.599999999999998</v>
      </c>
      <c r="Q71" s="132">
        <f>HY!W611</f>
        <v>39.806622169093551</v>
      </c>
      <c r="R71" s="132">
        <f>HY!X611</f>
        <v>12.903641853343856</v>
      </c>
      <c r="S71" s="132">
        <f>HY!Y611</f>
        <v>55.298586013679376</v>
      </c>
      <c r="T71" s="132">
        <f>HY!Z611</f>
        <v>49.789047721038912</v>
      </c>
      <c r="U71" s="132">
        <f>HY!AA611</f>
        <v>67.481102516836003</v>
      </c>
      <c r="V71" s="132">
        <f>HY!AB611</f>
        <v>53.17652627642525</v>
      </c>
      <c r="W71" s="132">
        <f>HY!AC611</f>
        <v>76.343837390427836</v>
      </c>
      <c r="X71" s="132">
        <f>HY!AD611</f>
        <v>61.147419506426196</v>
      </c>
      <c r="Y71" s="132">
        <f>HY!AE611</f>
        <v>82.465210512982253</v>
      </c>
      <c r="Z71" s="132">
        <f>HY!AF611</f>
        <v>66.576466025732145</v>
      </c>
      <c r="AA71" s="132">
        <f>HY!AG611</f>
        <v>87.235700017335745</v>
      </c>
      <c r="AB71" s="132">
        <f>HY!AH611</f>
        <v>71.125374062495212</v>
      </c>
      <c r="AC71" s="132">
        <f>HY!AI611</f>
        <v>92.189228182089437</v>
      </c>
      <c r="AD71" s="132">
        <f>HY!AJ611</f>
        <v>75.76722147796329</v>
      </c>
      <c r="AE71" s="132">
        <f>HY!AK611</f>
        <v>109.44937046441444</v>
      </c>
      <c r="AF71" s="132">
        <f>HY!AL611</f>
        <v>93.618213854589527</v>
      </c>
      <c r="AL71" s="132"/>
      <c r="AM71" s="132">
        <f t="shared" si="18"/>
        <v>66.5</v>
      </c>
      <c r="AN71" s="132">
        <f t="shared" si="18"/>
        <v>-1359.7</v>
      </c>
      <c r="AO71" s="132">
        <f t="shared" si="18"/>
        <v>36.6</v>
      </c>
      <c r="AP71" s="132">
        <f t="shared" si="18"/>
        <v>46.3</v>
      </c>
      <c r="AQ71" s="132">
        <f t="shared" si="18"/>
        <v>52.710264022437407</v>
      </c>
      <c r="AR71" s="132">
        <f t="shared" si="18"/>
        <v>105.08763373471828</v>
      </c>
      <c r="AS71" s="132">
        <f t="shared" si="18"/>
        <v>120.65762879326125</v>
      </c>
      <c r="AT71" s="132">
        <f t="shared" si="18"/>
        <v>137.49125689685403</v>
      </c>
      <c r="AU71" s="132">
        <f t="shared" si="18"/>
        <v>149.0416765387144</v>
      </c>
      <c r="AV71" s="132">
        <f t="shared" si="18"/>
        <v>158.36107407983096</v>
      </c>
      <c r="AW71" s="132">
        <f t="shared" si="18"/>
        <v>167.95644966005273</v>
      </c>
      <c r="AX71" s="132">
        <f t="shared" si="18"/>
        <v>203.06758431900397</v>
      </c>
    </row>
    <row r="72" spans="2:50">
      <c r="B72" s="171" t="str">
        <f>$C$58&amp;C72</f>
        <v>P&amp;L - REPORTEDEPS (statutory)</v>
      </c>
      <c r="C72" s="138" t="s">
        <v>1232</v>
      </c>
      <c r="D72" s="82" t="s">
        <v>1029</v>
      </c>
      <c r="G72" s="132"/>
      <c r="H72" s="132"/>
      <c r="I72" s="132">
        <f>HY!O618</f>
        <v>2.2999999999999998</v>
      </c>
      <c r="J72" s="132">
        <f>HY!P618</f>
        <v>0.60000000000000009</v>
      </c>
      <c r="K72" s="132">
        <f>HY!Q618</f>
        <v>-28.2</v>
      </c>
      <c r="L72" s="132">
        <f>HY!R618</f>
        <v>-31.400000000000002</v>
      </c>
      <c r="M72" s="132">
        <f>HY!S618</f>
        <v>1.1000000000000001</v>
      </c>
      <c r="N72" s="132">
        <f>HY!T618</f>
        <v>0.5</v>
      </c>
      <c r="O72" s="132">
        <f>HY!U618</f>
        <v>0.9</v>
      </c>
      <c r="P72" s="132">
        <f>HY!V618</f>
        <v>1.1000000000000001</v>
      </c>
      <c r="Q72" s="132">
        <f>HY!W618</f>
        <v>1.7363090887679296</v>
      </c>
      <c r="R72" s="132">
        <f>HY!X618</f>
        <v>0.56283877926126924</v>
      </c>
      <c r="S72" s="132">
        <f>HY!Y618</f>
        <v>2.4120468469719696</v>
      </c>
      <c r="T72" s="132">
        <f>HY!Z618</f>
        <v>2.1717285056721152</v>
      </c>
      <c r="U72" s="132">
        <f>HY!AA618</f>
        <v>2.943431148775888</v>
      </c>
      <c r="V72" s="132">
        <f>HY!AB618</f>
        <v>2.319485574301023</v>
      </c>
      <c r="W72" s="132">
        <f>HY!AC618</f>
        <v>3.3300112270098507</v>
      </c>
      <c r="X72" s="132">
        <f>HY!AD618</f>
        <v>2.667164769537913</v>
      </c>
      <c r="Y72" s="132">
        <f>HY!AE618</f>
        <v>3.5970169463919675</v>
      </c>
      <c r="Z72" s="132">
        <f>HY!AF618</f>
        <v>2.9039721724562573</v>
      </c>
      <c r="AA72" s="132">
        <f>HY!AG618</f>
        <v>3.8050990149758239</v>
      </c>
      <c r="AB72" s="132">
        <f>HY!AH618</f>
        <v>3.1023891678659692</v>
      </c>
      <c r="AC72" s="132">
        <f>HY!AI618</f>
        <v>4.0211649734837929</v>
      </c>
      <c r="AD72" s="132">
        <f>HY!AJ618</f>
        <v>3.3048600487639925</v>
      </c>
      <c r="AE72" s="132">
        <f>HY!AK618</f>
        <v>4.7740281978720427</v>
      </c>
      <c r="AF72" s="132">
        <f>HY!AL618</f>
        <v>4.0834953264673093</v>
      </c>
      <c r="AL72" s="132"/>
      <c r="AM72" s="132">
        <f t="shared" si="18"/>
        <v>2.9</v>
      </c>
      <c r="AN72" s="132">
        <f t="shared" si="18"/>
        <v>-59.6</v>
      </c>
      <c r="AO72" s="132">
        <f t="shared" si="18"/>
        <v>1.6</v>
      </c>
      <c r="AP72" s="132">
        <f t="shared" si="18"/>
        <v>2</v>
      </c>
      <c r="AQ72" s="132">
        <f t="shared" si="18"/>
        <v>2.2991478680291988</v>
      </c>
      <c r="AR72" s="132">
        <f t="shared" si="18"/>
        <v>4.5837753526440848</v>
      </c>
      <c r="AS72" s="132">
        <f t="shared" si="18"/>
        <v>5.2629167230769109</v>
      </c>
      <c r="AT72" s="132">
        <f t="shared" si="18"/>
        <v>5.9971759965477638</v>
      </c>
      <c r="AU72" s="132">
        <f t="shared" si="18"/>
        <v>6.5009891188482243</v>
      </c>
      <c r="AV72" s="132">
        <f t="shared" si="18"/>
        <v>6.9074881828417931</v>
      </c>
      <c r="AW72" s="132">
        <f t="shared" si="18"/>
        <v>7.3260250222477854</v>
      </c>
      <c r="AX72" s="132">
        <f t="shared" si="18"/>
        <v>8.8575235243393529</v>
      </c>
    </row>
    <row r="73" spans="2:50">
      <c r="B73" s="171" t="str">
        <f t="shared" si="17"/>
        <v>P&amp;L - REPORTEDEPS (NPAT before significant items and equity accounted loss)</v>
      </c>
      <c r="C73" s="138" t="s">
        <v>1233</v>
      </c>
      <c r="D73" s="82" t="s">
        <v>1029</v>
      </c>
      <c r="G73" s="132"/>
      <c r="H73" s="132"/>
      <c r="I73" s="132">
        <f>HY!O621</f>
        <v>2.2000000000000002</v>
      </c>
      <c r="J73" s="132">
        <f>HY!P621</f>
        <v>1.5999999999999996</v>
      </c>
      <c r="K73" s="132">
        <f>HY!Q621</f>
        <v>0.9</v>
      </c>
      <c r="L73" s="132">
        <f>HY!R621</f>
        <v>0.49999999999999989</v>
      </c>
      <c r="M73" s="132">
        <f>HY!S621</f>
        <v>1.9</v>
      </c>
      <c r="N73" s="132">
        <f>HY!T621</f>
        <v>2</v>
      </c>
      <c r="O73" s="132">
        <f>HY!U621</f>
        <v>2.7</v>
      </c>
      <c r="P73" s="132">
        <f>HY!V621</f>
        <v>2.5</v>
      </c>
      <c r="Q73" s="132">
        <f>HY!W621</f>
        <v>3.3022167918125076</v>
      </c>
      <c r="R73" s="132">
        <f>HY!X621</f>
        <v>2.4776952740706562</v>
      </c>
      <c r="S73" s="132">
        <f>HY!Y621</f>
        <v>3.4109127633987337</v>
      </c>
      <c r="T73" s="132">
        <f>HY!Z621</f>
        <v>2.7780270313634703</v>
      </c>
      <c r="U73" s="132">
        <f>HY!AA621</f>
        <v>3.4624924765260405</v>
      </c>
      <c r="V73" s="132">
        <f>HY!AB621</f>
        <v>2.7513097041099734</v>
      </c>
      <c r="W73" s="132">
        <f>HY!AC621</f>
        <v>3.6745981588775996</v>
      </c>
      <c r="X73" s="132">
        <f>HY!AD621</f>
        <v>2.9245145034644593</v>
      </c>
      <c r="Y73" s="132">
        <f>HY!AE621</f>
        <v>3.9232840666920636</v>
      </c>
      <c r="Z73" s="132">
        <f>HY!AF621</f>
        <v>3.1403849788769147</v>
      </c>
      <c r="AA73" s="132">
        <f>HY!AG621</f>
        <v>4.1124967293612391</v>
      </c>
      <c r="AB73" s="132">
        <f>HY!AH621</f>
        <v>3.3172369389555625</v>
      </c>
      <c r="AC73" s="132">
        <f>HY!AI621</f>
        <v>4.3091271997770848</v>
      </c>
      <c r="AD73" s="132">
        <f>HY!AJ621</f>
        <v>3.4974958334625885</v>
      </c>
      <c r="AE73" s="132">
        <f>HY!AK621</f>
        <v>5.0419718714304471</v>
      </c>
      <c r="AF73" s="132">
        <f>HY!AL621</f>
        <v>4.2532527651831771</v>
      </c>
      <c r="AL73" s="132"/>
      <c r="AM73" s="132">
        <f t="shared" si="18"/>
        <v>3.8</v>
      </c>
      <c r="AN73" s="132">
        <f t="shared" si="18"/>
        <v>1.4</v>
      </c>
      <c r="AO73" s="132">
        <f t="shared" si="18"/>
        <v>3.9</v>
      </c>
      <c r="AP73" s="132">
        <f t="shared" si="18"/>
        <v>5.2</v>
      </c>
      <c r="AQ73" s="132">
        <f t="shared" si="18"/>
        <v>5.7799120658831633</v>
      </c>
      <c r="AR73" s="132">
        <f t="shared" si="18"/>
        <v>6.188939794762204</v>
      </c>
      <c r="AS73" s="132">
        <f t="shared" si="18"/>
        <v>6.213802180636014</v>
      </c>
      <c r="AT73" s="132">
        <f t="shared" si="18"/>
        <v>6.5991126623420584</v>
      </c>
      <c r="AU73" s="132">
        <f t="shared" si="18"/>
        <v>7.0636690455689788</v>
      </c>
      <c r="AV73" s="132">
        <f t="shared" si="18"/>
        <v>7.4297336683168016</v>
      </c>
      <c r="AW73" s="132">
        <f t="shared" si="18"/>
        <v>7.8066230332396733</v>
      </c>
      <c r="AX73" s="132">
        <f t="shared" si="18"/>
        <v>9.2952246366136251</v>
      </c>
    </row>
    <row r="74" spans="2:50">
      <c r="B74" s="171" t="str">
        <f>$C$58&amp;C74</f>
        <v>P&amp;L - REPORTEDDPS</v>
      </c>
      <c r="C74" s="138" t="s">
        <v>291</v>
      </c>
      <c r="D74" s="82" t="s">
        <v>1029</v>
      </c>
      <c r="G74" s="132"/>
      <c r="H74" s="132"/>
      <c r="I74" s="132">
        <f>HY!O527</f>
        <v>1.3</v>
      </c>
      <c r="J74" s="132">
        <f>HY!P527</f>
        <v>0.99999999999999978</v>
      </c>
      <c r="K74" s="132">
        <f>HY!Q527</f>
        <v>1</v>
      </c>
      <c r="L74" s="132">
        <f>HY!R527</f>
        <v>0.30000000000000004</v>
      </c>
      <c r="M74" s="132">
        <f>HY!S527</f>
        <v>1</v>
      </c>
      <c r="N74" s="132">
        <f>HY!T527</f>
        <v>1</v>
      </c>
      <c r="O74" s="132">
        <f>HY!U527</f>
        <v>1.5</v>
      </c>
      <c r="P74" s="132">
        <f>HY!V527</f>
        <v>1.5</v>
      </c>
      <c r="Q74" s="132">
        <f>HY!W527</f>
        <v>1.6</v>
      </c>
      <c r="R74" s="132">
        <f>HY!X527</f>
        <v>1.6</v>
      </c>
      <c r="S74" s="132">
        <f>HY!Y527</f>
        <v>1.6</v>
      </c>
      <c r="T74" s="132">
        <f>HY!Z527</f>
        <v>1.6</v>
      </c>
      <c r="U74" s="132">
        <f>HY!AA527</f>
        <v>2.0774954859156241</v>
      </c>
      <c r="V74" s="132">
        <f>HY!AB527</f>
        <v>1.6507858224659839</v>
      </c>
      <c r="W74" s="132">
        <f>HY!AC527</f>
        <v>1.8372990794387998</v>
      </c>
      <c r="X74" s="132">
        <f>HY!AD527</f>
        <v>1.4622572517322296</v>
      </c>
      <c r="Y74" s="132">
        <f>HY!AE527</f>
        <v>1.9616420333460318</v>
      </c>
      <c r="Z74" s="132">
        <f>HY!AF527</f>
        <v>1.5701924894384574</v>
      </c>
      <c r="AA74" s="132">
        <f>HY!AG527</f>
        <v>0</v>
      </c>
      <c r="AB74" s="132">
        <f>HY!AH527</f>
        <v>0</v>
      </c>
      <c r="AC74" s="132">
        <f>HY!AI527</f>
        <v>0</v>
      </c>
      <c r="AD74" s="132">
        <f>HY!AJ527</f>
        <v>0</v>
      </c>
      <c r="AE74" s="132">
        <f>HY!AK527</f>
        <v>0</v>
      </c>
      <c r="AF74" s="132">
        <f>HY!AL527</f>
        <v>0</v>
      </c>
      <c r="AL74" s="132"/>
      <c r="AM74" s="132">
        <f t="shared" si="18"/>
        <v>2.2999999999999998</v>
      </c>
      <c r="AN74" s="132">
        <f t="shared" si="18"/>
        <v>1.3</v>
      </c>
      <c r="AO74" s="132">
        <f t="shared" si="18"/>
        <v>2</v>
      </c>
      <c r="AP74" s="132">
        <f t="shared" si="18"/>
        <v>3</v>
      </c>
      <c r="AQ74" s="132">
        <f t="shared" si="18"/>
        <v>3.2</v>
      </c>
      <c r="AR74" s="132">
        <f t="shared" si="18"/>
        <v>3.2</v>
      </c>
      <c r="AS74" s="132">
        <f t="shared" si="18"/>
        <v>3.7282813083816082</v>
      </c>
      <c r="AT74" s="132">
        <f t="shared" si="18"/>
        <v>3.2995563311710292</v>
      </c>
      <c r="AU74" s="132">
        <f t="shared" si="18"/>
        <v>3.5318345227844894</v>
      </c>
      <c r="AV74" s="132">
        <f t="shared" si="18"/>
        <v>0</v>
      </c>
      <c r="AW74" s="132">
        <f t="shared" si="18"/>
        <v>0</v>
      </c>
      <c r="AX74" s="132">
        <f t="shared" si="18"/>
        <v>0</v>
      </c>
    </row>
    <row r="75" spans="2:50">
      <c r="B75" s="171"/>
      <c r="C75" s="138"/>
      <c r="D75" s="82"/>
      <c r="G75" s="7"/>
      <c r="H75" s="7"/>
      <c r="I75" s="7"/>
      <c r="J75" s="7"/>
      <c r="K75" s="7"/>
      <c r="L75" s="7"/>
      <c r="M75" s="7"/>
      <c r="N75" s="7"/>
      <c r="O75" s="7"/>
      <c r="P75" s="7"/>
      <c r="Q75" s="7"/>
      <c r="R75" s="7"/>
      <c r="S75" s="7"/>
      <c r="T75" s="7"/>
      <c r="U75" s="7"/>
      <c r="V75" s="7"/>
      <c r="W75" s="7"/>
      <c r="X75" s="7"/>
      <c r="Y75" s="7"/>
      <c r="Z75" s="7"/>
      <c r="AA75" s="7"/>
      <c r="AB75" s="7"/>
      <c r="AC75" s="7"/>
      <c r="AD75" s="7"/>
      <c r="AE75" s="7"/>
      <c r="AF75" s="7"/>
      <c r="AL75" s="7"/>
      <c r="AM75" s="7"/>
      <c r="AN75" s="7"/>
      <c r="AO75" s="7"/>
      <c r="AP75" s="7"/>
      <c r="AQ75" s="7"/>
      <c r="AR75" s="7"/>
      <c r="AS75" s="7"/>
      <c r="AT75" s="7"/>
      <c r="AU75" s="7"/>
      <c r="AV75" s="7"/>
      <c r="AW75" s="7"/>
      <c r="AX75" s="7"/>
    </row>
    <row r="76" spans="2:50">
      <c r="C76" s="232" t="s">
        <v>1419</v>
      </c>
    </row>
    <row r="77" spans="2:50">
      <c r="B77" s="171" t="str">
        <f>$C$76&amp;C77</f>
        <v>OTHEROperating cash flow</v>
      </c>
      <c r="C77" s="138" t="s">
        <v>79</v>
      </c>
      <c r="D77" s="82" t="s">
        <v>900</v>
      </c>
      <c r="F77" s="138"/>
      <c r="G77" s="132"/>
      <c r="H77" s="132"/>
      <c r="I77" s="132">
        <f>HY!O633</f>
        <v>-125</v>
      </c>
      <c r="J77" s="132">
        <f>HY!P633</f>
        <v>244.3</v>
      </c>
      <c r="K77" s="132">
        <f>HY!Q633</f>
        <v>121.3</v>
      </c>
      <c r="L77" s="132">
        <f>HY!R633</f>
        <v>123.89999999999999</v>
      </c>
      <c r="M77" s="132">
        <f>HY!S633</f>
        <v>172</v>
      </c>
      <c r="N77" s="132">
        <f>HY!T633</f>
        <v>234.5</v>
      </c>
      <c r="O77" s="132">
        <f>HY!U633</f>
        <v>95.3</v>
      </c>
      <c r="P77" s="132">
        <f>HY!V633</f>
        <v>214</v>
      </c>
      <c r="Q77" s="132">
        <f>HY!W633</f>
        <v>203.23296514633546</v>
      </c>
      <c r="R77" s="132">
        <f>HY!X633</f>
        <v>130.46966961852291</v>
      </c>
      <c r="S77" s="132">
        <f>HY!Y633</f>
        <v>196.33969538827259</v>
      </c>
      <c r="T77" s="132">
        <f>HY!Z633</f>
        <v>128.60762038602437</v>
      </c>
      <c r="U77" s="132">
        <f>HY!AA633</f>
        <v>196.85874480367468</v>
      </c>
      <c r="V77" s="132">
        <f>HY!AB633</f>
        <v>131.97488037399904</v>
      </c>
      <c r="W77" s="132">
        <f>HY!AC633</f>
        <v>203.08464175414284</v>
      </c>
      <c r="X77" s="132">
        <f>HY!AD633</f>
        <v>131.11185585446131</v>
      </c>
      <c r="Y77" s="132">
        <f>HY!AE633</f>
        <v>201.30441536907014</v>
      </c>
      <c r="Z77" s="132">
        <f>HY!AF633</f>
        <v>132.9220796255303</v>
      </c>
      <c r="AA77" s="132">
        <f>HY!AG633</f>
        <v>203.39613476299391</v>
      </c>
      <c r="AB77" s="132">
        <f>HY!AH633</f>
        <v>132.03024546328388</v>
      </c>
      <c r="AC77" s="132">
        <f>HY!AI633</f>
        <v>209.60022166484751</v>
      </c>
      <c r="AD77" s="132">
        <f>HY!AJ633</f>
        <v>137.94635036058719</v>
      </c>
      <c r="AE77" s="132">
        <f>HY!AK633</f>
        <v>222.95035689174793</v>
      </c>
      <c r="AF77" s="132">
        <f>HY!AL633</f>
        <v>154.73343473154935</v>
      </c>
      <c r="AL77" s="132"/>
      <c r="AM77" s="132">
        <f t="shared" ref="AM77:AX81" si="19">SUMIFS($G77:$AF77,$G$3:$AF$3,AM$5)</f>
        <v>119.30000000000001</v>
      </c>
      <c r="AN77" s="132">
        <f t="shared" si="19"/>
        <v>245.2</v>
      </c>
      <c r="AO77" s="132">
        <f t="shared" si="19"/>
        <v>406.5</v>
      </c>
      <c r="AP77" s="132">
        <f t="shared" si="19"/>
        <v>309.3</v>
      </c>
      <c r="AQ77" s="132">
        <f t="shared" si="19"/>
        <v>333.70263476485837</v>
      </c>
      <c r="AR77" s="132">
        <f t="shared" si="19"/>
        <v>324.94731577429695</v>
      </c>
      <c r="AS77" s="132">
        <f t="shared" si="19"/>
        <v>328.83362517767375</v>
      </c>
      <c r="AT77" s="132">
        <f t="shared" si="19"/>
        <v>334.19649760860415</v>
      </c>
      <c r="AU77" s="132">
        <f t="shared" si="19"/>
        <v>334.22649499460044</v>
      </c>
      <c r="AV77" s="132">
        <f t="shared" si="19"/>
        <v>335.42638022627779</v>
      </c>
      <c r="AW77" s="132">
        <f t="shared" si="19"/>
        <v>347.54657202543467</v>
      </c>
      <c r="AX77" s="132">
        <f t="shared" si="19"/>
        <v>377.68379162329728</v>
      </c>
    </row>
    <row r="78" spans="2:50">
      <c r="B78" s="171" t="str">
        <f t="shared" ref="B78:B85" si="20">$C$76&amp;C78</f>
        <v>OTHERInvesting cash flow</v>
      </c>
      <c r="C78" s="138" t="s">
        <v>81</v>
      </c>
      <c r="D78" s="82" t="s">
        <v>900</v>
      </c>
      <c r="F78" s="138"/>
      <c r="G78" s="132"/>
      <c r="H78" s="132"/>
      <c r="I78" s="132">
        <f>HY!O642</f>
        <v>-112.2</v>
      </c>
      <c r="J78" s="132">
        <f>HY!P642</f>
        <v>-17.800000000000011</v>
      </c>
      <c r="K78" s="132">
        <f>HY!Q642</f>
        <v>-53.2</v>
      </c>
      <c r="L78" s="132">
        <f>HY!R642</f>
        <v>-686.5</v>
      </c>
      <c r="M78" s="132">
        <f>HY!S642</f>
        <v>-66.3</v>
      </c>
      <c r="N78" s="132">
        <f>HY!T642</f>
        <v>-50.7</v>
      </c>
      <c r="O78" s="132">
        <f>HY!U642</f>
        <v>-71</v>
      </c>
      <c r="P78" s="132">
        <f>HY!V642</f>
        <v>-79.699999999999989</v>
      </c>
      <c r="Q78" s="132">
        <f>HY!W642</f>
        <v>-95</v>
      </c>
      <c r="R78" s="132">
        <f>HY!X642</f>
        <v>-377</v>
      </c>
      <c r="S78" s="132">
        <f>HY!Y642</f>
        <v>-86</v>
      </c>
      <c r="T78" s="132">
        <f>HY!Z642</f>
        <v>-82</v>
      </c>
      <c r="U78" s="132">
        <f>HY!AA642</f>
        <v>-71.373602538648484</v>
      </c>
      <c r="V78" s="132">
        <f>HY!AB642</f>
        <v>-66.136697713851603</v>
      </c>
      <c r="W78" s="132">
        <f>HY!AC642</f>
        <v>-67.382876892268953</v>
      </c>
      <c r="X78" s="132">
        <f>HY!AD642</f>
        <v>-62.164624381602252</v>
      </c>
      <c r="Y78" s="132">
        <f>HY!AE642</f>
        <v>-68.026678747106303</v>
      </c>
      <c r="Z78" s="132">
        <f>HY!AF642</f>
        <v>-62.736052675190265</v>
      </c>
      <c r="AA78" s="132">
        <f>HY!AG642</f>
        <v>-68.699002862108088</v>
      </c>
      <c r="AB78" s="132">
        <f>HY!AH642</f>
        <v>-63.332990281964555</v>
      </c>
      <c r="AC78" s="132">
        <f>HY!AI642</f>
        <v>-69.40061282303401</v>
      </c>
      <c r="AD78" s="132">
        <f>HY!AJ642</f>
        <v>-63.956118816676906</v>
      </c>
      <c r="AE78" s="132">
        <f>HY!AK642</f>
        <v>-70.132296044037133</v>
      </c>
      <c r="AF78" s="132">
        <f>HY!AL642</f>
        <v>-64.606141179168063</v>
      </c>
      <c r="AL78" s="132"/>
      <c r="AM78" s="132">
        <f t="shared" si="19"/>
        <v>-130</v>
      </c>
      <c r="AN78" s="132">
        <f t="shared" si="19"/>
        <v>-739.7</v>
      </c>
      <c r="AO78" s="132">
        <f t="shared" si="19"/>
        <v>-117</v>
      </c>
      <c r="AP78" s="132">
        <f t="shared" si="19"/>
        <v>-150.69999999999999</v>
      </c>
      <c r="AQ78" s="132">
        <f t="shared" si="19"/>
        <v>-472</v>
      </c>
      <c r="AR78" s="132">
        <f t="shared" si="19"/>
        <v>-168</v>
      </c>
      <c r="AS78" s="132">
        <f t="shared" si="19"/>
        <v>-137.51030025250009</v>
      </c>
      <c r="AT78" s="132">
        <f t="shared" si="19"/>
        <v>-129.54750127387121</v>
      </c>
      <c r="AU78" s="132">
        <f t="shared" si="19"/>
        <v>-130.76273142229655</v>
      </c>
      <c r="AV78" s="132">
        <f t="shared" si="19"/>
        <v>-132.03199314407266</v>
      </c>
      <c r="AW78" s="132">
        <f t="shared" si="19"/>
        <v>-133.35673163971092</v>
      </c>
      <c r="AX78" s="132">
        <f t="shared" si="19"/>
        <v>-134.73843722320521</v>
      </c>
    </row>
    <row r="79" spans="2:50">
      <c r="B79" s="171" t="str">
        <f t="shared" si="20"/>
        <v>OTHERFinancing cash flow</v>
      </c>
      <c r="C79" s="138" t="s">
        <v>82</v>
      </c>
      <c r="D79" s="82" t="s">
        <v>900</v>
      </c>
      <c r="F79" s="138"/>
      <c r="G79" s="132"/>
      <c r="H79" s="132"/>
      <c r="I79" s="132">
        <f>HY!O652</f>
        <v>294.2</v>
      </c>
      <c r="J79" s="132">
        <f>HY!P652</f>
        <v>-192.2</v>
      </c>
      <c r="K79" s="132">
        <f>HY!Q652</f>
        <v>-45.4</v>
      </c>
      <c r="L79" s="132">
        <f>HY!R652</f>
        <v>562.9</v>
      </c>
      <c r="M79" s="132">
        <f>HY!S652</f>
        <v>-159.1</v>
      </c>
      <c r="N79" s="132">
        <f>HY!T652</f>
        <v>-207.6</v>
      </c>
      <c r="O79" s="132">
        <f>HY!U652</f>
        <v>-42.5</v>
      </c>
      <c r="P79" s="132">
        <f>HY!V652</f>
        <v>-46.8</v>
      </c>
      <c r="Q79" s="132">
        <f>HY!W652</f>
        <v>-36.681599999999996</v>
      </c>
      <c r="R79" s="132">
        <f>HY!X652</f>
        <v>138.3184</v>
      </c>
      <c r="S79" s="132">
        <f>HY!Y652</f>
        <v>-36.681599999999996</v>
      </c>
      <c r="T79" s="132">
        <f>HY!Z652</f>
        <v>-36.681599999999996</v>
      </c>
      <c r="U79" s="132">
        <f>HY!AA652</f>
        <v>-47.628661510101594</v>
      </c>
      <c r="V79" s="132">
        <f>HY!AB652</f>
        <v>-37.845915765855146</v>
      </c>
      <c r="W79" s="132">
        <f>HY!AC652</f>
        <v>-42.121918695213928</v>
      </c>
      <c r="X79" s="132">
        <f>HY!AD652</f>
        <v>-33.523709753213097</v>
      </c>
      <c r="Y79" s="132">
        <f>HY!AE652</f>
        <v>-44.972605256491121</v>
      </c>
      <c r="Z79" s="132">
        <f>HY!AF652</f>
        <v>-35.998233012866073</v>
      </c>
      <c r="AA79" s="132">
        <f>HY!AG652</f>
        <v>0</v>
      </c>
      <c r="AB79" s="132">
        <f>HY!AH652</f>
        <v>0</v>
      </c>
      <c r="AC79" s="132">
        <f>HY!AI652</f>
        <v>0</v>
      </c>
      <c r="AD79" s="132">
        <f>HY!AJ652</f>
        <v>0</v>
      </c>
      <c r="AE79" s="132">
        <f>HY!AK652</f>
        <v>0</v>
      </c>
      <c r="AF79" s="132">
        <f>HY!AL652</f>
        <v>0</v>
      </c>
      <c r="AL79" s="132"/>
      <c r="AM79" s="132">
        <f t="shared" si="19"/>
        <v>102</v>
      </c>
      <c r="AN79" s="132">
        <f t="shared" si="19"/>
        <v>517.5</v>
      </c>
      <c r="AO79" s="132">
        <f t="shared" si="19"/>
        <v>-366.7</v>
      </c>
      <c r="AP79" s="132">
        <f t="shared" si="19"/>
        <v>-89.3</v>
      </c>
      <c r="AQ79" s="132">
        <f t="shared" si="19"/>
        <v>101.63679999999999</v>
      </c>
      <c r="AR79" s="132">
        <f t="shared" si="19"/>
        <v>-73.363199999999992</v>
      </c>
      <c r="AS79" s="132">
        <f t="shared" si="19"/>
        <v>-85.474577275956733</v>
      </c>
      <c r="AT79" s="132">
        <f t="shared" si="19"/>
        <v>-75.645628448427033</v>
      </c>
      <c r="AU79" s="132">
        <f t="shared" si="19"/>
        <v>-80.970838269357188</v>
      </c>
      <c r="AV79" s="132">
        <f t="shared" si="19"/>
        <v>0</v>
      </c>
      <c r="AW79" s="132">
        <f t="shared" si="19"/>
        <v>0</v>
      </c>
      <c r="AX79" s="132">
        <f t="shared" si="19"/>
        <v>0</v>
      </c>
    </row>
    <row r="80" spans="2:50">
      <c r="B80" s="171" t="str">
        <f t="shared" si="20"/>
        <v>OTHERNet cash flow</v>
      </c>
      <c r="C80" s="138" t="s">
        <v>85</v>
      </c>
      <c r="D80" s="82" t="s">
        <v>900</v>
      </c>
      <c r="F80" s="138"/>
      <c r="G80" s="132"/>
      <c r="H80" s="132"/>
      <c r="I80" s="132">
        <f>HY!O655</f>
        <v>57</v>
      </c>
      <c r="J80" s="132">
        <f>HY!P655</f>
        <v>34.300000000000011</v>
      </c>
      <c r="K80" s="132">
        <f>HY!Q655</f>
        <v>22.700000000000003</v>
      </c>
      <c r="L80" s="132">
        <f>HY!R655</f>
        <v>0.29999999999996874</v>
      </c>
      <c r="M80" s="132">
        <f>HY!S655</f>
        <v>-53.399999999999977</v>
      </c>
      <c r="N80" s="132">
        <f>HY!T655</f>
        <v>-23.800000000000011</v>
      </c>
      <c r="O80" s="132">
        <f>HY!U655</f>
        <v>-18.200000000000003</v>
      </c>
      <c r="P80" s="132">
        <f>HY!V655</f>
        <v>87.500000000000014</v>
      </c>
      <c r="Q80" s="132">
        <f>HY!W655</f>
        <v>71.551365146335456</v>
      </c>
      <c r="R80" s="132">
        <f>HY!X655</f>
        <v>-108.21193038147709</v>
      </c>
      <c r="S80" s="132">
        <f>HY!Y655</f>
        <v>73.658095388272585</v>
      </c>
      <c r="T80" s="132">
        <f>HY!Z655</f>
        <v>9.9260203860243621</v>
      </c>
      <c r="U80" s="132">
        <f>HY!AA655</f>
        <v>77.856480754924604</v>
      </c>
      <c r="V80" s="132">
        <f>HY!AB655</f>
        <v>27.9922668942923</v>
      </c>
      <c r="W80" s="132">
        <f>HY!AC655</f>
        <v>93.579846166659962</v>
      </c>
      <c r="X80" s="132">
        <f>HY!AD655</f>
        <v>35.423521719645962</v>
      </c>
      <c r="Y80" s="132">
        <f>HY!AE655</f>
        <v>88.305131365472718</v>
      </c>
      <c r="Z80" s="132">
        <f>HY!AF655</f>
        <v>34.18779393747397</v>
      </c>
      <c r="AA80" s="132">
        <f>HY!AG655</f>
        <v>134.69713190088584</v>
      </c>
      <c r="AB80" s="132">
        <f>HY!AH655</f>
        <v>68.697255181319321</v>
      </c>
      <c r="AC80" s="132">
        <f>HY!AI655</f>
        <v>140.1996088418135</v>
      </c>
      <c r="AD80" s="132">
        <f>HY!AJ655</f>
        <v>73.990231543910284</v>
      </c>
      <c r="AE80" s="132">
        <f>HY!AK655</f>
        <v>152.8180608477108</v>
      </c>
      <c r="AF80" s="132">
        <f>HY!AL655</f>
        <v>90.127293552381289</v>
      </c>
      <c r="AL80" s="132"/>
      <c r="AM80" s="132">
        <f t="shared" si="19"/>
        <v>91.300000000000011</v>
      </c>
      <c r="AN80" s="132">
        <f t="shared" si="19"/>
        <v>22.999999999999972</v>
      </c>
      <c r="AO80" s="132">
        <f t="shared" si="19"/>
        <v>-77.199999999999989</v>
      </c>
      <c r="AP80" s="132">
        <f t="shared" si="19"/>
        <v>69.300000000000011</v>
      </c>
      <c r="AQ80" s="132">
        <f t="shared" si="19"/>
        <v>-36.660565235141632</v>
      </c>
      <c r="AR80" s="132">
        <f t="shared" si="19"/>
        <v>83.584115774296947</v>
      </c>
      <c r="AS80" s="132">
        <f t="shared" si="19"/>
        <v>105.8487476492169</v>
      </c>
      <c r="AT80" s="132">
        <f t="shared" si="19"/>
        <v>129.00336788630591</v>
      </c>
      <c r="AU80" s="132">
        <f t="shared" si="19"/>
        <v>122.49292530294669</v>
      </c>
      <c r="AV80" s="132">
        <f t="shared" si="19"/>
        <v>203.39438708220516</v>
      </c>
      <c r="AW80" s="132">
        <f t="shared" si="19"/>
        <v>214.18984038572378</v>
      </c>
      <c r="AX80" s="132">
        <f t="shared" si="19"/>
        <v>242.94535440009207</v>
      </c>
    </row>
    <row r="81" spans="1:50">
      <c r="B81" s="171" t="str">
        <f t="shared" si="20"/>
        <v>OTHERTotal Capex</v>
      </c>
      <c r="C81" s="138" t="s">
        <v>1345</v>
      </c>
      <c r="D81" s="82" t="s">
        <v>900</v>
      </c>
      <c r="F81" s="138"/>
      <c r="G81" s="132"/>
      <c r="H81" s="132"/>
      <c r="I81" s="132">
        <f>HY!O449</f>
        <v>69.900000000000006</v>
      </c>
      <c r="J81" s="132">
        <f>HY!P449</f>
        <v>85.5</v>
      </c>
      <c r="K81" s="132">
        <f>HY!Q449</f>
        <v>84.1</v>
      </c>
      <c r="L81" s="132">
        <f>HY!R449</f>
        <v>84.1</v>
      </c>
      <c r="M81" s="132">
        <f>HY!S449</f>
        <v>57</v>
      </c>
      <c r="N81" s="132">
        <f>HY!T449</f>
        <v>57.800000000000004</v>
      </c>
      <c r="O81" s="132">
        <f>HY!U449</f>
        <v>51</v>
      </c>
      <c r="P81" s="132">
        <f>HY!V449</f>
        <v>89</v>
      </c>
      <c r="Q81" s="132">
        <f>HY!W449</f>
        <v>80</v>
      </c>
      <c r="R81" s="132">
        <f>HY!X449</f>
        <v>80</v>
      </c>
      <c r="S81" s="132">
        <f>HY!Y449</f>
        <v>75</v>
      </c>
      <c r="T81" s="132">
        <f>HY!Z449</f>
        <v>75</v>
      </c>
      <c r="U81" s="132">
        <f>HY!AA449</f>
        <v>66.373602538648484</v>
      </c>
      <c r="V81" s="132">
        <f>HY!AB449</f>
        <v>63.136697713851603</v>
      </c>
      <c r="W81" s="132">
        <f>HY!AC449</f>
        <v>66.382876892268953</v>
      </c>
      <c r="X81" s="132">
        <f>HY!AD449</f>
        <v>63.164624381602252</v>
      </c>
      <c r="Y81" s="132">
        <f>HY!AE449</f>
        <v>67.446678747106304</v>
      </c>
      <c r="Z81" s="132">
        <f>HY!AF449</f>
        <v>64.216052675190269</v>
      </c>
      <c r="AA81" s="132">
        <f>HY!AG449</f>
        <v>68.551602862108084</v>
      </c>
      <c r="AB81" s="132">
        <f>HY!AH449</f>
        <v>65.307390281964558</v>
      </c>
      <c r="AC81" s="132">
        <f>HY!AI449</f>
        <v>69.698790823034017</v>
      </c>
      <c r="AD81" s="132">
        <f>HY!AJ449</f>
        <v>66.439750816676906</v>
      </c>
      <c r="AE81" s="132">
        <f>HY!AK449</f>
        <v>70.88941938403714</v>
      </c>
      <c r="AF81" s="132">
        <f>HY!AL449</f>
        <v>67.614282139168068</v>
      </c>
      <c r="AL81" s="132"/>
      <c r="AM81" s="132">
        <f t="shared" si="19"/>
        <v>155.4</v>
      </c>
      <c r="AN81" s="132">
        <f t="shared" si="19"/>
        <v>168.2</v>
      </c>
      <c r="AO81" s="132">
        <f t="shared" si="19"/>
        <v>114.80000000000001</v>
      </c>
      <c r="AP81" s="132">
        <f t="shared" si="19"/>
        <v>140</v>
      </c>
      <c r="AQ81" s="132">
        <f t="shared" si="19"/>
        <v>160</v>
      </c>
      <c r="AR81" s="132">
        <f t="shared" si="19"/>
        <v>150</v>
      </c>
      <c r="AS81" s="132">
        <f t="shared" si="19"/>
        <v>129.51030025250009</v>
      </c>
      <c r="AT81" s="132">
        <f t="shared" si="19"/>
        <v>129.54750127387121</v>
      </c>
      <c r="AU81" s="132">
        <f t="shared" si="19"/>
        <v>131.66273142229659</v>
      </c>
      <c r="AV81" s="132">
        <f t="shared" si="19"/>
        <v>133.85899314407266</v>
      </c>
      <c r="AW81" s="132">
        <f t="shared" si="19"/>
        <v>136.13854163971092</v>
      </c>
      <c r="AX81" s="132">
        <f t="shared" si="19"/>
        <v>138.50370152320522</v>
      </c>
    </row>
    <row r="82" spans="1:50">
      <c r="B82" s="171" t="str">
        <f t="shared" si="20"/>
        <v>OTHERClosing cash</v>
      </c>
      <c r="C82" s="138" t="s">
        <v>87</v>
      </c>
      <c r="D82" s="82" t="s">
        <v>900</v>
      </c>
      <c r="F82" s="138"/>
      <c r="G82" s="132"/>
      <c r="H82" s="132"/>
      <c r="I82" s="132">
        <f>HY!O450</f>
        <v>0</v>
      </c>
      <c r="J82" s="132">
        <f>HY!P658</f>
        <v>290.7</v>
      </c>
      <c r="K82" s="132">
        <f>HY!Q658</f>
        <v>313.39999999999998</v>
      </c>
      <c r="L82" s="132">
        <f>HY!R658</f>
        <v>313.7</v>
      </c>
      <c r="M82" s="132">
        <f>HY!S658</f>
        <v>260.3</v>
      </c>
      <c r="N82" s="132">
        <f>HY!T658</f>
        <v>236.5</v>
      </c>
      <c r="O82" s="132">
        <f>HY!U658</f>
        <v>218.3</v>
      </c>
      <c r="P82" s="132">
        <f>HY!V658</f>
        <v>305.8</v>
      </c>
      <c r="Q82" s="132">
        <f>HY!W658</f>
        <v>377.35136514633547</v>
      </c>
      <c r="R82" s="132">
        <f>HY!X658</f>
        <v>269.13943476485838</v>
      </c>
      <c r="S82" s="132">
        <f>HY!Y658</f>
        <v>342.79753015313099</v>
      </c>
      <c r="T82" s="132">
        <f>HY!Z658</f>
        <v>352.72355053915533</v>
      </c>
      <c r="U82" s="132">
        <f>HY!AA658</f>
        <v>430.58003129407996</v>
      </c>
      <c r="V82" s="132">
        <f>HY!AB658</f>
        <v>458.57229818837226</v>
      </c>
      <c r="W82" s="132">
        <f>HY!AC658</f>
        <v>552.15214435503219</v>
      </c>
      <c r="X82" s="132">
        <f>HY!AD658</f>
        <v>587.57566607467811</v>
      </c>
      <c r="Y82" s="132">
        <f>HY!AE658</f>
        <v>675.88079744015079</v>
      </c>
      <c r="Z82" s="132">
        <f>HY!AF658</f>
        <v>710.06859137762478</v>
      </c>
      <c r="AA82" s="132">
        <f>HY!AG658</f>
        <v>844.76572327851068</v>
      </c>
      <c r="AB82" s="132">
        <f>HY!AH658</f>
        <v>913.46297845982997</v>
      </c>
      <c r="AC82" s="132">
        <f>HY!AI658</f>
        <v>1053.6625873016435</v>
      </c>
      <c r="AD82" s="132">
        <f>HY!AJ658</f>
        <v>1127.6528188455538</v>
      </c>
      <c r="AE82" s="132">
        <f>HY!AK658</f>
        <v>1280.4708796932646</v>
      </c>
      <c r="AF82" s="132">
        <f>HY!AL658</f>
        <v>1370.598173245646</v>
      </c>
      <c r="AL82" s="526"/>
      <c r="AM82" s="526">
        <f t="shared" ref="AM82:AX85" si="21">_xlfn.SINGLE(_xlfn.XLOOKUP(AM$6,$G$6:$AF$6,$G82:$AF82))</f>
        <v>290.7</v>
      </c>
      <c r="AN82" s="526">
        <f t="shared" si="21"/>
        <v>313.7</v>
      </c>
      <c r="AO82" s="526">
        <f t="shared" si="21"/>
        <v>236.5</v>
      </c>
      <c r="AP82" s="526">
        <f t="shared" si="21"/>
        <v>305.8</v>
      </c>
      <c r="AQ82" s="526">
        <f t="shared" si="21"/>
        <v>269.13943476485838</v>
      </c>
      <c r="AR82" s="526">
        <f t="shared" si="21"/>
        <v>352.72355053915533</v>
      </c>
      <c r="AS82" s="526">
        <f t="shared" si="21"/>
        <v>458.57229818837226</v>
      </c>
      <c r="AT82" s="526">
        <f t="shared" si="21"/>
        <v>587.57566607467811</v>
      </c>
      <c r="AU82" s="526">
        <f t="shared" si="21"/>
        <v>710.06859137762478</v>
      </c>
      <c r="AV82" s="526">
        <f t="shared" si="21"/>
        <v>913.46297845982997</v>
      </c>
      <c r="AW82" s="526">
        <f t="shared" si="21"/>
        <v>1127.6528188455538</v>
      </c>
      <c r="AX82" s="526">
        <f t="shared" si="21"/>
        <v>1370.598173245646</v>
      </c>
    </row>
    <row r="83" spans="1:50">
      <c r="B83" s="171" t="str">
        <f t="shared" si="20"/>
        <v>OTHERNet Debt (company adjusted)</v>
      </c>
      <c r="C83" s="138" t="s">
        <v>1420</v>
      </c>
      <c r="D83" s="82" t="s">
        <v>900</v>
      </c>
      <c r="F83" s="138"/>
      <c r="G83" s="132"/>
      <c r="H83" s="132"/>
      <c r="I83" s="132"/>
      <c r="J83" s="132">
        <f>HY!P577</f>
        <v>295</v>
      </c>
      <c r="K83" s="132"/>
      <c r="L83" s="132">
        <f>HY!R577</f>
        <v>860</v>
      </c>
      <c r="M83" s="132">
        <f>HY!S577</f>
        <v>753</v>
      </c>
      <c r="N83" s="132">
        <f>HY!T577</f>
        <v>609</v>
      </c>
      <c r="O83" s="132">
        <f>HY!U577</f>
        <v>631</v>
      </c>
      <c r="P83" s="132">
        <f>HY!V577</f>
        <v>533</v>
      </c>
      <c r="Q83" s="132">
        <f>HY!W577</f>
        <v>461.44863485366449</v>
      </c>
      <c r="R83" s="132">
        <f>HY!X577</f>
        <v>744.66056523514158</v>
      </c>
      <c r="S83" s="132">
        <f>HY!Y577</f>
        <v>671.00246984686896</v>
      </c>
      <c r="T83" s="132">
        <f>HY!Z577</f>
        <v>661.07644946084463</v>
      </c>
      <c r="U83" s="132">
        <f>HY!AA577</f>
        <v>583.21996870592</v>
      </c>
      <c r="V83" s="132">
        <f>HY!AB577</f>
        <v>555.22770181162764</v>
      </c>
      <c r="W83" s="132">
        <f>HY!AC577</f>
        <v>461.64785564496776</v>
      </c>
      <c r="X83" s="132">
        <f>HY!AD577</f>
        <v>426.22433392532184</v>
      </c>
      <c r="Y83" s="132">
        <f>HY!AE577</f>
        <v>337.91920255984917</v>
      </c>
      <c r="Z83" s="132">
        <f>HY!AF577</f>
        <v>303.73140862237517</v>
      </c>
      <c r="AA83" s="132">
        <f>HY!AG577</f>
        <v>169.03427672148928</v>
      </c>
      <c r="AB83" s="132">
        <f>HY!AH577</f>
        <v>100.33702154016999</v>
      </c>
      <c r="AC83" s="132">
        <f>HY!AI577</f>
        <v>-39.862587301643543</v>
      </c>
      <c r="AD83" s="132">
        <f>HY!AJ577</f>
        <v>-113.85281884555388</v>
      </c>
      <c r="AE83" s="132">
        <f>HY!AK577</f>
        <v>-266.67087969326462</v>
      </c>
      <c r="AF83" s="132">
        <f>HY!AL577</f>
        <v>-356.79817324564601</v>
      </c>
      <c r="AL83" s="526"/>
      <c r="AM83" s="526">
        <f t="shared" si="21"/>
        <v>295</v>
      </c>
      <c r="AN83" s="526">
        <f t="shared" si="21"/>
        <v>860</v>
      </c>
      <c r="AO83" s="526">
        <f t="shared" si="21"/>
        <v>609</v>
      </c>
      <c r="AP83" s="526">
        <f t="shared" si="21"/>
        <v>533</v>
      </c>
      <c r="AQ83" s="526">
        <f t="shared" si="21"/>
        <v>744.66056523514158</v>
      </c>
      <c r="AR83" s="526">
        <f t="shared" si="21"/>
        <v>661.07644946084463</v>
      </c>
      <c r="AS83" s="526">
        <f t="shared" si="21"/>
        <v>555.22770181162764</v>
      </c>
      <c r="AT83" s="526">
        <f t="shared" si="21"/>
        <v>426.22433392532184</v>
      </c>
      <c r="AU83" s="526">
        <f t="shared" si="21"/>
        <v>303.73140862237517</v>
      </c>
      <c r="AV83" s="526">
        <f t="shared" si="21"/>
        <v>100.33702154016999</v>
      </c>
      <c r="AW83" s="526">
        <f t="shared" si="21"/>
        <v>-113.85281884555388</v>
      </c>
      <c r="AX83" s="526">
        <f t="shared" si="21"/>
        <v>-356.79817324564601</v>
      </c>
    </row>
    <row r="84" spans="1:50">
      <c r="B84" s="171" t="str">
        <f t="shared" si="20"/>
        <v>OTHERNet Debt/EBITDA (company adjusted)</v>
      </c>
      <c r="C84" s="138" t="s">
        <v>1347</v>
      </c>
      <c r="D84" s="82" t="s">
        <v>1079</v>
      </c>
      <c r="F84" s="138"/>
      <c r="G84" s="710"/>
      <c r="H84" s="710"/>
      <c r="I84" s="710"/>
      <c r="J84" s="710">
        <f>HY!P579</f>
        <v>0.8</v>
      </c>
      <c r="K84" s="710"/>
      <c r="L84" s="710">
        <f>HY!R579</f>
        <v>2.7</v>
      </c>
      <c r="M84" s="710">
        <f>HY!S579</f>
        <v>2.2000000000000002</v>
      </c>
      <c r="N84" s="710">
        <f>HY!T579</f>
        <v>1.6</v>
      </c>
      <c r="O84" s="710">
        <f>HY!U579</f>
        <v>1.5</v>
      </c>
      <c r="P84" s="710">
        <f>HY!V579</f>
        <v>1.2</v>
      </c>
      <c r="Q84" s="710">
        <f>HY!W579</f>
        <v>1.0026834963301701</v>
      </c>
      <c r="R84" s="710">
        <f>HY!X579</f>
        <v>1.5965448786458456</v>
      </c>
      <c r="S84" s="710">
        <f>HY!Y579</f>
        <v>1.4183179707155738</v>
      </c>
      <c r="T84" s="710">
        <f>HY!Z579</f>
        <v>1.3612317645527574</v>
      </c>
      <c r="U84" s="710">
        <f>HY!AA579</f>
        <v>1.1820837081964171</v>
      </c>
      <c r="V84" s="710">
        <f>HY!AB579</f>
        <v>1.1231158171496709</v>
      </c>
      <c r="W84" s="710">
        <f>HY!AC579</f>
        <v>0.92696718987753091</v>
      </c>
      <c r="X84" s="710">
        <f>HY!AD579</f>
        <v>0.8503044441344676</v>
      </c>
      <c r="Y84" s="710">
        <f>HY!AE579</f>
        <v>0.67021297827316295</v>
      </c>
      <c r="Z84" s="710">
        <f>HY!AF579</f>
        <v>0.59898661827246258</v>
      </c>
      <c r="AA84" s="710">
        <f>HY!AG579</f>
        <v>0.33127803698144265</v>
      </c>
      <c r="AB84" s="710">
        <f>HY!AH579</f>
        <v>0.19545317679488206</v>
      </c>
      <c r="AC84" s="710">
        <f>HY!AI579</f>
        <v>-7.7137282421974207E-2</v>
      </c>
      <c r="AD84" s="710">
        <f>HY!AJ579</f>
        <v>-0.21889848979342347</v>
      </c>
      <c r="AE84" s="710">
        <f>HY!AK579</f>
        <v>-0.50911896638386611</v>
      </c>
      <c r="AF84" s="710">
        <f>HY!AL579</f>
        <v>-0.67655554353179403</v>
      </c>
      <c r="AL84" s="713"/>
      <c r="AM84" s="713">
        <f t="shared" si="21"/>
        <v>0.8</v>
      </c>
      <c r="AN84" s="713">
        <f t="shared" si="21"/>
        <v>2.7</v>
      </c>
      <c r="AO84" s="713">
        <f t="shared" si="21"/>
        <v>1.6</v>
      </c>
      <c r="AP84" s="713">
        <f t="shared" si="21"/>
        <v>1.2</v>
      </c>
      <c r="AQ84" s="713">
        <f t="shared" si="21"/>
        <v>1.5965448786458456</v>
      </c>
      <c r="AR84" s="713">
        <f t="shared" si="21"/>
        <v>1.3612317645527574</v>
      </c>
      <c r="AS84" s="713">
        <f t="shared" si="21"/>
        <v>1.1231158171496709</v>
      </c>
      <c r="AT84" s="713">
        <f t="shared" si="21"/>
        <v>0.8503044441344676</v>
      </c>
      <c r="AU84" s="713">
        <f t="shared" si="21"/>
        <v>0.59898661827246258</v>
      </c>
      <c r="AV84" s="713">
        <f t="shared" si="21"/>
        <v>0.19545317679488206</v>
      </c>
      <c r="AW84" s="713">
        <f t="shared" si="21"/>
        <v>-0.21889848979342347</v>
      </c>
      <c r="AX84" s="713">
        <f t="shared" si="21"/>
        <v>-0.67655554353179403</v>
      </c>
    </row>
    <row r="85" spans="1:50">
      <c r="B85" s="171" t="str">
        <f t="shared" si="20"/>
        <v>OTHERShares on issue (m) - Close</v>
      </c>
      <c r="C85" s="138" t="s">
        <v>1151</v>
      </c>
      <c r="D85" s="82" t="s">
        <v>1342</v>
      </c>
      <c r="F85" s="138"/>
      <c r="G85" s="7"/>
      <c r="H85" s="7"/>
      <c r="I85" s="132">
        <f>HY!O558</f>
        <v>2279.4</v>
      </c>
      <c r="J85" s="132">
        <f>HY!P558</f>
        <v>2281.5</v>
      </c>
      <c r="K85" s="132">
        <f>HY!Q558</f>
        <v>2282.410989</v>
      </c>
      <c r="L85" s="132">
        <f>HY!R558</f>
        <v>2283.6</v>
      </c>
      <c r="M85" s="132">
        <f>HY!S558</f>
        <v>2284.8698250000002</v>
      </c>
      <c r="N85" s="132">
        <f>HY!T558</f>
        <v>2286.1999999999998</v>
      </c>
      <c r="O85" s="132">
        <f>HY!U558</f>
        <v>2289.1999999999998</v>
      </c>
      <c r="P85" s="132">
        <f>HY!V558</f>
        <v>2292.6</v>
      </c>
      <c r="Q85" s="132">
        <f>HY!W558</f>
        <v>2292.6</v>
      </c>
      <c r="R85" s="132">
        <f>HY!X558</f>
        <v>2292.6</v>
      </c>
      <c r="S85" s="132">
        <f>HY!Y558</f>
        <v>2292.6</v>
      </c>
      <c r="T85" s="132">
        <f>HY!Z558</f>
        <v>2292.6</v>
      </c>
      <c r="U85" s="132">
        <f>HY!AA558</f>
        <v>2292.6</v>
      </c>
      <c r="V85" s="132">
        <f>HY!AB558</f>
        <v>2292.6</v>
      </c>
      <c r="W85" s="132">
        <f>HY!AC558</f>
        <v>2292.6</v>
      </c>
      <c r="X85" s="132">
        <f>HY!AD558</f>
        <v>2292.6</v>
      </c>
      <c r="Y85" s="132">
        <f>HY!AE558</f>
        <v>2292.6</v>
      </c>
      <c r="Z85" s="132">
        <f>HY!AF558</f>
        <v>2292.6</v>
      </c>
      <c r="AA85" s="132">
        <f>HY!AG558</f>
        <v>2292.6</v>
      </c>
      <c r="AB85" s="132">
        <f>HY!AH558</f>
        <v>2292.6</v>
      </c>
      <c r="AC85" s="132">
        <f>HY!AI558</f>
        <v>2292.6</v>
      </c>
      <c r="AD85" s="132">
        <f>HY!AJ558</f>
        <v>2292.6</v>
      </c>
      <c r="AE85" s="132">
        <f>HY!AK558</f>
        <v>2292.6</v>
      </c>
      <c r="AF85" s="132">
        <f>HY!AL558</f>
        <v>2292.6</v>
      </c>
      <c r="AL85" s="526"/>
      <c r="AM85" s="526">
        <f t="shared" si="21"/>
        <v>2281.5</v>
      </c>
      <c r="AN85" s="526">
        <f t="shared" si="21"/>
        <v>2283.6</v>
      </c>
      <c r="AO85" s="526">
        <f t="shared" si="21"/>
        <v>2286.1999999999998</v>
      </c>
      <c r="AP85" s="526">
        <f t="shared" si="21"/>
        <v>2292.6</v>
      </c>
      <c r="AQ85" s="526">
        <f t="shared" si="21"/>
        <v>2292.6</v>
      </c>
      <c r="AR85" s="526">
        <f t="shared" si="21"/>
        <v>2292.6</v>
      </c>
      <c r="AS85" s="526">
        <f t="shared" si="21"/>
        <v>2292.6</v>
      </c>
      <c r="AT85" s="526">
        <f t="shared" si="21"/>
        <v>2292.6</v>
      </c>
      <c r="AU85" s="526">
        <f t="shared" si="21"/>
        <v>2292.6</v>
      </c>
      <c r="AV85" s="526">
        <f t="shared" si="21"/>
        <v>2292.6</v>
      </c>
      <c r="AW85" s="526">
        <f t="shared" si="21"/>
        <v>2292.6</v>
      </c>
      <c r="AX85" s="526">
        <f t="shared" si="21"/>
        <v>2292.6</v>
      </c>
    </row>
    <row r="86" spans="1:50">
      <c r="B86" s="171"/>
      <c r="C86" s="138"/>
      <c r="D86" s="82"/>
      <c r="G86" s="7"/>
      <c r="H86" s="7"/>
      <c r="I86" s="7"/>
      <c r="J86" s="7"/>
      <c r="K86" s="7"/>
      <c r="L86" s="7"/>
      <c r="M86" s="7"/>
      <c r="N86" s="7"/>
      <c r="O86" s="7"/>
      <c r="P86" s="7"/>
      <c r="Q86" s="7"/>
      <c r="R86" s="7"/>
      <c r="S86" s="7"/>
      <c r="T86" s="7"/>
      <c r="U86" s="7"/>
      <c r="V86" s="7"/>
      <c r="W86" s="7"/>
      <c r="X86" s="7"/>
      <c r="Y86" s="7"/>
      <c r="Z86" s="7"/>
      <c r="AA86" s="7"/>
      <c r="AB86" s="7"/>
      <c r="AC86" s="7"/>
      <c r="AD86" s="7"/>
      <c r="AE86" s="7"/>
      <c r="AF86" s="7"/>
      <c r="AL86" s="7"/>
      <c r="AM86" s="7"/>
      <c r="AN86" s="7"/>
      <c r="AO86" s="7"/>
      <c r="AP86" s="7"/>
      <c r="AQ86" s="7"/>
      <c r="AR86" s="7"/>
      <c r="AS86" s="7"/>
      <c r="AT86" s="7"/>
      <c r="AU86" s="7"/>
      <c r="AV86" s="7"/>
      <c r="AW86" s="7"/>
      <c r="AX86" s="7"/>
    </row>
    <row r="87" spans="1:50">
      <c r="C87" s="232" t="s">
        <v>997</v>
      </c>
    </row>
    <row r="88" spans="1:50">
      <c r="B88" s="171" t="str">
        <f>$C$87&amp;C88</f>
        <v>VALUATIONDiscount Rate</v>
      </c>
      <c r="C88" s="138" t="s">
        <v>62</v>
      </c>
      <c r="D88" s="82" t="s">
        <v>842</v>
      </c>
      <c r="F88" s="24">
        <f>HY!D727</f>
        <v>0.152</v>
      </c>
      <c r="AK88" s="24">
        <f>F88</f>
        <v>0.152</v>
      </c>
    </row>
    <row r="89" spans="1:50">
      <c r="B89" s="171" t="str">
        <f>$C$87&amp;C89</f>
        <v>VALUATIONTerminal EV/EBITDA</v>
      </c>
      <c r="C89" s="138" t="s">
        <v>1120</v>
      </c>
      <c r="D89" s="82" t="s">
        <v>1079</v>
      </c>
      <c r="F89" s="230">
        <f>HY!D738</f>
        <v>10</v>
      </c>
      <c r="AK89" s="230">
        <f>F89</f>
        <v>10</v>
      </c>
    </row>
    <row r="90" spans="1:50">
      <c r="B90" s="171" t="str">
        <f>$C$87&amp;C90</f>
        <v>VALUATIONValuation</v>
      </c>
      <c r="C90" s="138" t="s">
        <v>94</v>
      </c>
      <c r="D90" s="82" t="s">
        <v>1127</v>
      </c>
      <c r="F90" s="2">
        <f>HY!D740</f>
        <v>0.89457632937266562</v>
      </c>
      <c r="AK90" s="2">
        <f>F90</f>
        <v>0.89457632937266562</v>
      </c>
    </row>
    <row r="91" spans="1:50">
      <c r="B91" s="171" t="str">
        <f>$C$87&amp;C91</f>
        <v>VALUATIONDate</v>
      </c>
      <c r="C91" s="138" t="s">
        <v>0</v>
      </c>
      <c r="D91" s="82" t="s">
        <v>977</v>
      </c>
      <c r="F91" s="282">
        <f ca="1">TODAY()</f>
        <v>46266</v>
      </c>
      <c r="AK91" s="282">
        <f ca="1">F91</f>
        <v>46266</v>
      </c>
    </row>
    <row r="93" spans="1:50" s="283" customFormat="1">
      <c r="A93" s="283" t="s">
        <v>971</v>
      </c>
      <c r="C93" s="284" t="s">
        <v>1103</v>
      </c>
    </row>
    <row r="95" spans="1:50" s="286" customFormat="1">
      <c r="C95" s="285" t="s">
        <v>1385</v>
      </c>
    </row>
    <row r="96" spans="1:50" s="286" customFormat="1">
      <c r="B96" s="316" t="s">
        <v>1421</v>
      </c>
      <c r="C96" s="287" t="s">
        <v>1369</v>
      </c>
      <c r="D96" s="317" t="s">
        <v>900</v>
      </c>
      <c r="F96" s="236"/>
      <c r="G96" s="135">
        <v>5259</v>
      </c>
      <c r="H96" s="135">
        <v>4438</v>
      </c>
      <c r="I96" s="135">
        <v>4920.5</v>
      </c>
      <c r="J96" s="135">
        <v>4346.2000000000007</v>
      </c>
      <c r="K96" s="135">
        <v>4731.2</v>
      </c>
      <c r="L96" s="135">
        <v>4077.9000000000005</v>
      </c>
      <c r="M96" s="135">
        <v>4353.8999999999996</v>
      </c>
      <c r="N96" s="135">
        <v>4028</v>
      </c>
      <c r="O96" s="135">
        <v>4343.3999999999996</v>
      </c>
      <c r="P96" s="135">
        <v>4076.3360000000002</v>
      </c>
      <c r="Q96" s="135">
        <v>4430.268</v>
      </c>
      <c r="R96" s="135">
        <v>4157.8627200000001</v>
      </c>
      <c r="S96" s="135">
        <v>4563.1760400000003</v>
      </c>
      <c r="T96" s="135">
        <v>4282.5986016000006</v>
      </c>
      <c r="U96" s="135">
        <v>4700.0713212000001</v>
      </c>
      <c r="V96" s="135">
        <v>4411.0765596480005</v>
      </c>
      <c r="W96" s="135">
        <v>4841.0734608359999</v>
      </c>
      <c r="X96" s="135">
        <v>4543.4088564374406</v>
      </c>
      <c r="Y96" s="135">
        <v>4986.3056646610803</v>
      </c>
      <c r="Z96" s="135">
        <v>4679.711122130564</v>
      </c>
      <c r="AA96" s="135">
        <v>5135.8948346009129</v>
      </c>
      <c r="AB96" s="135">
        <v>4820.1024557944811</v>
      </c>
      <c r="AC96" s="135">
        <v>5289.9716796389403</v>
      </c>
      <c r="AD96" s="135">
        <v>4964.7055294683159</v>
      </c>
      <c r="AE96" s="135">
        <v>5448.6708300281089</v>
      </c>
      <c r="AF96" s="135">
        <v>5113.6466953523659</v>
      </c>
      <c r="AK96" s="236"/>
      <c r="AL96" s="135">
        <v>9697</v>
      </c>
      <c r="AM96" s="135">
        <v>9266.7000000000007</v>
      </c>
      <c r="AN96" s="135">
        <v>8809.1</v>
      </c>
      <c r="AO96" s="135">
        <v>8381.9</v>
      </c>
      <c r="AP96" s="135">
        <v>8419.7360000000008</v>
      </c>
      <c r="AQ96" s="135">
        <v>8588.130720000001</v>
      </c>
      <c r="AR96" s="135">
        <v>8845.7746416000009</v>
      </c>
      <c r="AS96" s="135">
        <v>9111.1478808480006</v>
      </c>
      <c r="AT96" s="135">
        <v>9384.4823172734395</v>
      </c>
      <c r="AU96" s="135">
        <v>9666.0167867916443</v>
      </c>
      <c r="AV96" s="135">
        <v>9955.9972903953931</v>
      </c>
      <c r="AW96" s="135">
        <v>10254.677209107256</v>
      </c>
      <c r="AX96" s="135">
        <v>10562.317525380475</v>
      </c>
    </row>
    <row r="97" spans="2:50" s="286" customFormat="1">
      <c r="B97" s="316" t="s">
        <v>1422</v>
      </c>
      <c r="C97" s="287" t="s">
        <v>1201</v>
      </c>
      <c r="D97" s="317" t="s">
        <v>900</v>
      </c>
      <c r="F97" s="194"/>
      <c r="G97" s="135">
        <v>1720.5</v>
      </c>
      <c r="H97" s="135">
        <v>2476.1999999999998</v>
      </c>
      <c r="I97" s="135">
        <v>2839</v>
      </c>
      <c r="J97" s="135">
        <v>2445.1000000000004</v>
      </c>
      <c r="K97" s="135">
        <v>2732.4</v>
      </c>
      <c r="L97" s="135">
        <v>2516.2000000000003</v>
      </c>
      <c r="M97" s="135">
        <v>2791.8</v>
      </c>
      <c r="N97" s="135">
        <v>2569.1999999999998</v>
      </c>
      <c r="O97" s="135">
        <v>2825.1</v>
      </c>
      <c r="P97" s="135">
        <v>2646.2759999999998</v>
      </c>
      <c r="Q97" s="135">
        <v>2909.8530000000001</v>
      </c>
      <c r="R97" s="135">
        <v>2725.66428</v>
      </c>
      <c r="S97" s="135">
        <v>2938.9515300000003</v>
      </c>
      <c r="T97" s="135">
        <v>2752.9209228</v>
      </c>
      <c r="U97" s="135">
        <v>2968.3410453000001</v>
      </c>
      <c r="V97" s="135">
        <v>2780.4501320280001</v>
      </c>
      <c r="W97" s="135">
        <v>2998.024455753</v>
      </c>
      <c r="X97" s="135">
        <v>2808.2546333482801</v>
      </c>
      <c r="Y97" s="135">
        <v>3028.0047003105301</v>
      </c>
      <c r="Z97" s="135">
        <v>2836.3371796817628</v>
      </c>
      <c r="AA97" s="135">
        <v>3058.2847473136353</v>
      </c>
      <c r="AB97" s="135">
        <v>2864.7005514785806</v>
      </c>
      <c r="AC97" s="135">
        <v>3027.7018998404988</v>
      </c>
      <c r="AD97" s="135">
        <v>2836.0535459637949</v>
      </c>
      <c r="AE97" s="135">
        <v>2997.4248808420939</v>
      </c>
      <c r="AF97" s="135">
        <v>2807.693010504157</v>
      </c>
      <c r="AK97" s="194"/>
      <c r="AL97" s="135">
        <v>4196.7</v>
      </c>
      <c r="AM97" s="135">
        <v>5284.1</v>
      </c>
      <c r="AN97" s="135">
        <v>5248.6</v>
      </c>
      <c r="AO97" s="135">
        <v>5361</v>
      </c>
      <c r="AP97" s="135">
        <v>5471.3760000000002</v>
      </c>
      <c r="AQ97" s="135">
        <v>5635.51728</v>
      </c>
      <c r="AR97" s="135">
        <v>5691.8724528000002</v>
      </c>
      <c r="AS97" s="135">
        <v>5748.7911773280002</v>
      </c>
      <c r="AT97" s="135">
        <v>5806.2790891012801</v>
      </c>
      <c r="AU97" s="135">
        <v>5864.3418799922929</v>
      </c>
      <c r="AV97" s="135">
        <v>5922.9852987922159</v>
      </c>
      <c r="AW97" s="135">
        <v>5863.7554458042941</v>
      </c>
      <c r="AX97" s="135">
        <v>5805.1178913462509</v>
      </c>
    </row>
    <row r="98" spans="2:50" s="286" customFormat="1">
      <c r="B98" s="316" t="s">
        <v>1423</v>
      </c>
      <c r="C98" s="287" t="s">
        <v>1387</v>
      </c>
      <c r="D98" s="317" t="s">
        <v>900</v>
      </c>
      <c r="F98" s="236"/>
      <c r="G98" s="135">
        <v>579.9</v>
      </c>
      <c r="H98" s="135">
        <v>493.6</v>
      </c>
      <c r="I98" s="135">
        <v>493</v>
      </c>
      <c r="J98" s="135">
        <v>449.70000000000005</v>
      </c>
      <c r="K98" s="135">
        <v>473.4</v>
      </c>
      <c r="L98" s="135">
        <v>448.6</v>
      </c>
      <c r="M98" s="135">
        <v>539.6</v>
      </c>
      <c r="N98" s="135">
        <v>530.1</v>
      </c>
      <c r="O98" s="135">
        <v>536.9</v>
      </c>
      <c r="P98" s="135">
        <v>525.77100800000005</v>
      </c>
      <c r="Q98" s="135">
        <v>571.07430399999998</v>
      </c>
      <c r="R98" s="135">
        <v>536.20642816000009</v>
      </c>
      <c r="S98" s="135">
        <v>588.08653312000001</v>
      </c>
      <c r="T98" s="135">
        <v>552.17262100480013</v>
      </c>
      <c r="U98" s="135">
        <v>605.60912911360003</v>
      </c>
      <c r="V98" s="135">
        <v>568.61779963494405</v>
      </c>
      <c r="W98" s="135">
        <v>623.65740298700803</v>
      </c>
      <c r="X98" s="135">
        <v>585.55633362399249</v>
      </c>
      <c r="Y98" s="135">
        <v>642.24712507661832</v>
      </c>
      <c r="Z98" s="135">
        <v>603.00302363271226</v>
      </c>
      <c r="AA98" s="135">
        <v>661.39453882891689</v>
      </c>
      <c r="AB98" s="135">
        <v>620.97311434169364</v>
      </c>
      <c r="AC98" s="135">
        <v>681.11637499378435</v>
      </c>
      <c r="AD98" s="135">
        <v>639.48230777194453</v>
      </c>
      <c r="AE98" s="135">
        <v>701.42986624359798</v>
      </c>
      <c r="AF98" s="135">
        <v>658.54677700510285</v>
      </c>
      <c r="AK98" s="236"/>
      <c r="AL98" s="135">
        <v>1073.5</v>
      </c>
      <c r="AM98" s="135">
        <v>942.7</v>
      </c>
      <c r="AN98" s="135">
        <v>922</v>
      </c>
      <c r="AO98" s="135">
        <v>1069.7</v>
      </c>
      <c r="AP98" s="135">
        <v>1062.671008</v>
      </c>
      <c r="AQ98" s="135">
        <v>1107.2807321600001</v>
      </c>
      <c r="AR98" s="135">
        <v>1140.2591541248003</v>
      </c>
      <c r="AS98" s="135">
        <v>1174.2269287485442</v>
      </c>
      <c r="AT98" s="135">
        <v>1209.2137366110005</v>
      </c>
      <c r="AU98" s="135">
        <v>1245.2501487093305</v>
      </c>
      <c r="AV98" s="135">
        <v>1282.3676531706105</v>
      </c>
      <c r="AW98" s="135">
        <v>1320.5986827657289</v>
      </c>
      <c r="AX98" s="135">
        <v>1359.9766432487008</v>
      </c>
    </row>
    <row r="99" spans="2:50" s="286" customFormat="1">
      <c r="B99" s="316" t="s">
        <v>1424</v>
      </c>
      <c r="C99" s="287" t="s">
        <v>1388</v>
      </c>
      <c r="D99" s="317" t="s">
        <v>900</v>
      </c>
      <c r="F99" s="236"/>
      <c r="G99" s="135">
        <v>276.60000000000002</v>
      </c>
      <c r="H99" s="135">
        <v>377.4</v>
      </c>
      <c r="I99" s="135">
        <v>437.4</v>
      </c>
      <c r="J99" s="135">
        <v>381</v>
      </c>
      <c r="K99" s="135">
        <v>420.6</v>
      </c>
      <c r="L99" s="135">
        <v>401.19999999999993</v>
      </c>
      <c r="M99" s="135">
        <v>497.1</v>
      </c>
      <c r="N99" s="135">
        <v>468.6</v>
      </c>
      <c r="O99" s="135">
        <v>511.1</v>
      </c>
      <c r="P99" s="135">
        <v>481.02152734800001</v>
      </c>
      <c r="Q99" s="135">
        <v>524.95203046500001</v>
      </c>
      <c r="R99" s="135">
        <v>489.39302147400002</v>
      </c>
      <c r="S99" s="135">
        <v>527.68874721150007</v>
      </c>
      <c r="T99" s="135">
        <v>494.28695168874003</v>
      </c>
      <c r="U99" s="135">
        <v>532.96563468361501</v>
      </c>
      <c r="V99" s="135">
        <v>499.2298212056275</v>
      </c>
      <c r="W99" s="135">
        <v>538.29529103045115</v>
      </c>
      <c r="X99" s="135">
        <v>504.2221194176837</v>
      </c>
      <c r="Y99" s="135">
        <v>543.67824394075569</v>
      </c>
      <c r="Z99" s="135">
        <v>509.26434061186058</v>
      </c>
      <c r="AA99" s="135">
        <v>549.11502638016327</v>
      </c>
      <c r="AB99" s="135">
        <v>514.35698401797924</v>
      </c>
      <c r="AC99" s="135">
        <v>543.62387611636154</v>
      </c>
      <c r="AD99" s="135">
        <v>509.21341417779945</v>
      </c>
      <c r="AE99" s="135">
        <v>538.18763735519804</v>
      </c>
      <c r="AF99" s="135">
        <v>504.1212800360214</v>
      </c>
      <c r="AK99" s="236"/>
      <c r="AL99" s="135">
        <v>654</v>
      </c>
      <c r="AM99" s="135">
        <v>818.4</v>
      </c>
      <c r="AN99" s="135">
        <v>821.8</v>
      </c>
      <c r="AO99" s="135">
        <v>965.7</v>
      </c>
      <c r="AP99" s="135">
        <v>992.12152734799997</v>
      </c>
      <c r="AQ99" s="135">
        <v>1014.3450519390001</v>
      </c>
      <c r="AR99" s="135">
        <v>1021.9756989002401</v>
      </c>
      <c r="AS99" s="135">
        <v>1032.1954558892426</v>
      </c>
      <c r="AT99" s="135">
        <v>1042.5174104481348</v>
      </c>
      <c r="AU99" s="135">
        <v>1052.9425845526162</v>
      </c>
      <c r="AV99" s="135">
        <v>1063.4720103981426</v>
      </c>
      <c r="AW99" s="135">
        <v>1052.837290294161</v>
      </c>
      <c r="AX99" s="135">
        <v>1042.3089173912194</v>
      </c>
    </row>
    <row r="100" spans="2:50" s="286" customFormat="1">
      <c r="B100" s="316" t="s">
        <v>1425</v>
      </c>
      <c r="C100" s="287" t="s">
        <v>1373</v>
      </c>
      <c r="D100" s="317" t="s">
        <v>842</v>
      </c>
      <c r="F100" s="236"/>
      <c r="G100" s="194">
        <v>0.17</v>
      </c>
      <c r="H100" s="194">
        <v>0.16781500675980171</v>
      </c>
      <c r="I100" s="194">
        <v>0.16400000000000001</v>
      </c>
      <c r="J100" s="194">
        <v>0.16400000000000001</v>
      </c>
      <c r="K100" s="194">
        <v>0.16500000000000001</v>
      </c>
      <c r="L100" s="194">
        <v>0.17199999999999999</v>
      </c>
      <c r="M100" s="194">
        <v>0.17</v>
      </c>
      <c r="N100" s="194">
        <v>0.16900000000000001</v>
      </c>
      <c r="O100" s="194">
        <v>0.16300000000000001</v>
      </c>
      <c r="P100" s="194">
        <v>0.16800000000000001</v>
      </c>
      <c r="Q100" s="194">
        <v>0.16800000000000001</v>
      </c>
      <c r="R100" s="194">
        <v>0.16800000000000001</v>
      </c>
      <c r="S100" s="194">
        <v>0.16800000000000001</v>
      </c>
      <c r="T100" s="194">
        <v>0.16800000000000001</v>
      </c>
      <c r="U100" s="194">
        <v>0.16800000000000001</v>
      </c>
      <c r="V100" s="194">
        <v>0.16800000000000001</v>
      </c>
      <c r="W100" s="194">
        <v>0.16800000000000001</v>
      </c>
      <c r="X100" s="194">
        <v>0.16800000000000001</v>
      </c>
      <c r="Y100" s="194">
        <v>0.16800000000000001</v>
      </c>
      <c r="Z100" s="194">
        <v>0.16800000000000001</v>
      </c>
      <c r="AA100" s="194">
        <v>0.16800000000000001</v>
      </c>
      <c r="AB100" s="194">
        <v>0.16800000000000001</v>
      </c>
      <c r="AC100" s="194">
        <v>0.16800000000000001</v>
      </c>
      <c r="AD100" s="194">
        <v>0.16800000000000001</v>
      </c>
      <c r="AE100" s="194">
        <v>0.16800000000000001</v>
      </c>
      <c r="AF100" s="194">
        <v>0.16800000000000001</v>
      </c>
      <c r="AK100" s="236"/>
      <c r="AL100" s="714">
        <v>0.16890750337990085</v>
      </c>
      <c r="AM100" s="714">
        <v>0.16400000000000001</v>
      </c>
      <c r="AN100" s="714">
        <v>0.16849999999999998</v>
      </c>
      <c r="AO100" s="714">
        <v>0.16950000000000001</v>
      </c>
      <c r="AP100" s="714">
        <v>0.16550000000000001</v>
      </c>
      <c r="AQ100" s="714">
        <v>0.16800000000000001</v>
      </c>
      <c r="AR100" s="714">
        <v>0.16800000000000001</v>
      </c>
      <c r="AS100" s="714">
        <v>0.16800000000000001</v>
      </c>
      <c r="AT100" s="714">
        <v>0.16800000000000001</v>
      </c>
      <c r="AU100" s="714">
        <v>0.16800000000000001</v>
      </c>
      <c r="AV100" s="714">
        <v>0.16800000000000001</v>
      </c>
      <c r="AW100" s="714">
        <v>0.16800000000000001</v>
      </c>
      <c r="AX100" s="714">
        <v>0.16800000000000001</v>
      </c>
    </row>
    <row r="101" spans="2:50" s="286" customFormat="1">
      <c r="B101" s="316" t="s">
        <v>1426</v>
      </c>
      <c r="C101" s="287" t="s">
        <v>1374</v>
      </c>
      <c r="D101" s="317" t="s">
        <v>842</v>
      </c>
      <c r="F101" s="236"/>
      <c r="G101" s="194">
        <v>0.13400000000000001</v>
      </c>
      <c r="H101" s="194">
        <v>0.1351509689049121</v>
      </c>
      <c r="I101" s="194">
        <v>0.122</v>
      </c>
      <c r="J101" s="194">
        <v>0.124</v>
      </c>
      <c r="K101" s="194">
        <v>0.121</v>
      </c>
      <c r="L101" s="194">
        <v>0.13300000000000001</v>
      </c>
      <c r="M101" s="194">
        <v>0.128</v>
      </c>
      <c r="N101" s="194">
        <v>0.13</v>
      </c>
      <c r="O101" s="194">
        <v>0.123</v>
      </c>
      <c r="P101" s="194">
        <v>0.128</v>
      </c>
      <c r="Q101" s="194">
        <v>0.128</v>
      </c>
      <c r="R101" s="194">
        <v>0.128</v>
      </c>
      <c r="S101" s="194">
        <v>0.128</v>
      </c>
      <c r="T101" s="194">
        <v>0.128</v>
      </c>
      <c r="U101" s="194">
        <v>0.128</v>
      </c>
      <c r="V101" s="194">
        <v>0.128</v>
      </c>
      <c r="W101" s="194">
        <v>0.128</v>
      </c>
      <c r="X101" s="194">
        <v>0.128</v>
      </c>
      <c r="Y101" s="194">
        <v>0.128</v>
      </c>
      <c r="Z101" s="194">
        <v>0.128</v>
      </c>
      <c r="AA101" s="194">
        <v>0.128</v>
      </c>
      <c r="AB101" s="194">
        <v>0.128</v>
      </c>
      <c r="AC101" s="194">
        <v>0.128</v>
      </c>
      <c r="AD101" s="194">
        <v>0.128</v>
      </c>
      <c r="AE101" s="194">
        <v>0.128</v>
      </c>
      <c r="AF101" s="194">
        <v>0.128</v>
      </c>
      <c r="AK101" s="236"/>
      <c r="AL101" s="714">
        <v>0.13457548445245604</v>
      </c>
      <c r="AM101" s="714">
        <v>0.123</v>
      </c>
      <c r="AN101" s="714">
        <v>0.127</v>
      </c>
      <c r="AO101" s="714">
        <v>0.129</v>
      </c>
      <c r="AP101" s="714">
        <v>0.1255</v>
      </c>
      <c r="AQ101" s="714">
        <v>0.128</v>
      </c>
      <c r="AR101" s="714">
        <v>0.128</v>
      </c>
      <c r="AS101" s="714">
        <v>0.128</v>
      </c>
      <c r="AT101" s="714">
        <v>0.128</v>
      </c>
      <c r="AU101" s="714">
        <v>0.128</v>
      </c>
      <c r="AV101" s="714">
        <v>0.128</v>
      </c>
      <c r="AW101" s="714">
        <v>0.128</v>
      </c>
      <c r="AX101" s="714">
        <v>0.128</v>
      </c>
    </row>
    <row r="102" spans="2:50" s="286" customFormat="1">
      <c r="B102" s="316" t="s">
        <v>1427</v>
      </c>
      <c r="C102" s="287" t="s">
        <v>1375</v>
      </c>
      <c r="D102" s="317" t="s">
        <v>842</v>
      </c>
      <c r="F102" s="236"/>
      <c r="G102" s="194">
        <v>0.16700000000000001</v>
      </c>
      <c r="H102" s="194">
        <v>0.16585897746547126</v>
      </c>
      <c r="I102" s="194">
        <v>0.16600000000000001</v>
      </c>
      <c r="J102" s="194">
        <v>0.16772320150505091</v>
      </c>
      <c r="K102" s="194">
        <v>0.16800000000000001</v>
      </c>
      <c r="L102" s="194">
        <v>0.17395278594706298</v>
      </c>
      <c r="M102" s="194">
        <v>0.17199999999999999</v>
      </c>
      <c r="N102" s="194">
        <v>0.16981939903471896</v>
      </c>
      <c r="O102" s="194">
        <v>0.17</v>
      </c>
      <c r="P102" s="194">
        <v>0.17100000000000001</v>
      </c>
      <c r="Q102" s="194">
        <v>0.17100000000000001</v>
      </c>
      <c r="R102" s="194">
        <v>0.17100000000000001</v>
      </c>
      <c r="S102" s="194">
        <v>0.17100000000000001</v>
      </c>
      <c r="T102" s="194">
        <v>0.17100000000000001</v>
      </c>
      <c r="U102" s="194">
        <v>0.17100000000000001</v>
      </c>
      <c r="V102" s="194">
        <v>0.17100000000000001</v>
      </c>
      <c r="W102" s="194">
        <v>0.17100000000000001</v>
      </c>
      <c r="X102" s="194">
        <v>0.17100000000000001</v>
      </c>
      <c r="Y102" s="194">
        <v>0.17100000000000001</v>
      </c>
      <c r="Z102" s="194">
        <v>0.17100000000000001</v>
      </c>
      <c r="AA102" s="194">
        <v>0.17100000000000001</v>
      </c>
      <c r="AB102" s="194">
        <v>0.17100000000000001</v>
      </c>
      <c r="AC102" s="194">
        <v>0.17100000000000001</v>
      </c>
      <c r="AD102" s="194">
        <v>0.17100000000000001</v>
      </c>
      <c r="AE102" s="194">
        <v>0.17100000000000001</v>
      </c>
      <c r="AF102" s="194">
        <v>0.17100000000000001</v>
      </c>
      <c r="AK102" s="236"/>
      <c r="AL102" s="714">
        <v>0.16642948873273564</v>
      </c>
      <c r="AM102" s="714">
        <v>0.16686160075252546</v>
      </c>
      <c r="AN102" s="714">
        <v>0.17097639297353151</v>
      </c>
      <c r="AO102" s="714">
        <v>0.17090969951735946</v>
      </c>
      <c r="AP102" s="714">
        <v>0.17050000000000001</v>
      </c>
      <c r="AQ102" s="714">
        <v>0.17100000000000001</v>
      </c>
      <c r="AR102" s="714">
        <v>0.17100000000000001</v>
      </c>
      <c r="AS102" s="714">
        <v>0.17100000000000001</v>
      </c>
      <c r="AT102" s="714">
        <v>0.17100000000000001</v>
      </c>
      <c r="AU102" s="714">
        <v>0.17100000000000001</v>
      </c>
      <c r="AV102" s="714">
        <v>0.17100000000000001</v>
      </c>
      <c r="AW102" s="714">
        <v>0.17100000000000001</v>
      </c>
      <c r="AX102" s="714">
        <v>0.17100000000000001</v>
      </c>
    </row>
    <row r="103" spans="2:50" s="286" customFormat="1">
      <c r="B103" s="316"/>
      <c r="C103" s="287"/>
      <c r="D103" s="317"/>
      <c r="F103" s="236"/>
      <c r="G103" s="236"/>
      <c r="H103" s="236"/>
      <c r="I103" s="236"/>
      <c r="J103" s="236"/>
      <c r="K103" s="236"/>
      <c r="L103" s="236"/>
      <c r="M103" s="236"/>
      <c r="N103" s="236"/>
      <c r="O103" s="236"/>
      <c r="P103" s="236"/>
      <c r="Q103" s="236"/>
      <c r="R103" s="236"/>
      <c r="S103" s="236"/>
      <c r="T103" s="236"/>
      <c r="U103" s="236"/>
      <c r="V103" s="236"/>
      <c r="W103" s="236"/>
      <c r="X103" s="236"/>
      <c r="Y103" s="236"/>
      <c r="Z103" s="236"/>
      <c r="AA103" s="236"/>
      <c r="AB103" s="236"/>
      <c r="AC103" s="236"/>
      <c r="AD103" s="236"/>
      <c r="AE103" s="236"/>
      <c r="AF103" s="236"/>
      <c r="AK103" s="236"/>
      <c r="AL103" s="236"/>
      <c r="AM103" s="236"/>
      <c r="AN103" s="236"/>
      <c r="AO103" s="236"/>
      <c r="AP103" s="236"/>
      <c r="AQ103" s="236"/>
      <c r="AR103" s="236"/>
      <c r="AS103" s="236"/>
      <c r="AT103" s="236"/>
      <c r="AU103" s="236"/>
      <c r="AV103" s="236"/>
      <c r="AW103" s="236"/>
      <c r="AX103" s="236"/>
    </row>
    <row r="104" spans="2:50" s="286" customFormat="1">
      <c r="C104" s="285" t="s">
        <v>1411</v>
      </c>
    </row>
    <row r="105" spans="2:50" s="286" customFormat="1">
      <c r="B105" s="316" t="s">
        <v>1428</v>
      </c>
      <c r="C105" s="287" t="s">
        <v>1</v>
      </c>
      <c r="D105" s="317" t="s">
        <v>900</v>
      </c>
      <c r="F105" s="236"/>
      <c r="G105" s="135" t="e">
        <v>#REF!</v>
      </c>
      <c r="H105" s="135" t="e">
        <v>#REF!</v>
      </c>
      <c r="I105" s="135" t="e">
        <v>#REF!</v>
      </c>
      <c r="J105" s="135" t="e">
        <v>#REF!</v>
      </c>
      <c r="K105" s="135" t="e">
        <v>#REF!</v>
      </c>
      <c r="L105" s="135" t="e">
        <v>#REF!</v>
      </c>
      <c r="M105" s="135" t="e">
        <v>#REF!</v>
      </c>
      <c r="N105" s="135" t="e">
        <v>#REF!</v>
      </c>
      <c r="O105" s="135" t="e">
        <v>#REF!</v>
      </c>
      <c r="P105" s="135" t="e">
        <v>#REF!</v>
      </c>
      <c r="Q105" s="135" t="e">
        <v>#REF!</v>
      </c>
      <c r="R105" s="135" t="e">
        <v>#REF!</v>
      </c>
      <c r="S105" s="135" t="e">
        <v>#REF!</v>
      </c>
      <c r="T105" s="135" t="e">
        <v>#REF!</v>
      </c>
      <c r="U105" s="135" t="e">
        <v>#REF!</v>
      </c>
      <c r="V105" s="135" t="e">
        <v>#REF!</v>
      </c>
      <c r="W105" s="135" t="e">
        <v>#REF!</v>
      </c>
      <c r="X105" s="135" t="e">
        <v>#REF!</v>
      </c>
      <c r="Y105" s="135" t="e">
        <v>#REF!</v>
      </c>
      <c r="Z105" s="135" t="e">
        <v>#REF!</v>
      </c>
      <c r="AA105" s="135" t="e">
        <v>#REF!</v>
      </c>
      <c r="AB105" s="135" t="e">
        <v>#REF!</v>
      </c>
      <c r="AC105" s="135" t="e">
        <v>#REF!</v>
      </c>
      <c r="AD105" s="135" t="e">
        <v>#REF!</v>
      </c>
      <c r="AE105" s="135" t="e">
        <v>#REF!</v>
      </c>
      <c r="AF105" s="135" t="e">
        <v>#REF!</v>
      </c>
      <c r="AK105" s="236"/>
      <c r="AL105" s="135" t="e">
        <v>#REF!</v>
      </c>
      <c r="AM105" s="135" t="e">
        <v>#REF!</v>
      </c>
      <c r="AN105" s="135" t="e">
        <v>#REF!</v>
      </c>
      <c r="AO105" s="135" t="e">
        <v>#REF!</v>
      </c>
      <c r="AP105" s="135" t="e">
        <v>#REF!</v>
      </c>
      <c r="AQ105" s="135" t="e">
        <v>#REF!</v>
      </c>
      <c r="AR105" s="135" t="e">
        <v>#REF!</v>
      </c>
      <c r="AS105" s="135" t="e">
        <v>#REF!</v>
      </c>
      <c r="AT105" s="135" t="e">
        <v>#REF!</v>
      </c>
      <c r="AU105" s="135" t="e">
        <v>#REF!</v>
      </c>
      <c r="AV105" s="135" t="e">
        <v>#REF!</v>
      </c>
      <c r="AW105" s="135" t="e">
        <v>#REF!</v>
      </c>
      <c r="AX105" s="135" t="e">
        <v>#REF!</v>
      </c>
    </row>
    <row r="106" spans="2:50" s="286" customFormat="1">
      <c r="B106" s="316"/>
      <c r="C106" s="287"/>
      <c r="D106" s="317"/>
      <c r="F106" s="236"/>
      <c r="G106" s="236"/>
      <c r="H106" s="236"/>
      <c r="I106" s="236"/>
      <c r="J106" s="236"/>
      <c r="K106" s="236"/>
      <c r="L106" s="236"/>
      <c r="M106" s="236"/>
      <c r="N106" s="236"/>
      <c r="O106" s="236"/>
      <c r="P106" s="236"/>
      <c r="Q106" s="236"/>
      <c r="R106" s="236"/>
      <c r="S106" s="236"/>
      <c r="T106" s="236"/>
      <c r="U106" s="236"/>
      <c r="V106" s="236"/>
      <c r="W106" s="236"/>
      <c r="X106" s="236"/>
      <c r="Y106" s="236"/>
      <c r="Z106" s="236"/>
      <c r="AA106" s="236"/>
      <c r="AB106" s="236"/>
      <c r="AC106" s="236"/>
      <c r="AD106" s="236"/>
      <c r="AE106" s="236"/>
      <c r="AF106" s="236"/>
      <c r="AK106" s="236"/>
      <c r="AL106" s="236"/>
      <c r="AM106" s="236"/>
      <c r="AN106" s="236"/>
      <c r="AO106" s="236"/>
      <c r="AP106" s="236"/>
      <c r="AQ106" s="236"/>
      <c r="AR106" s="236"/>
      <c r="AS106" s="236"/>
      <c r="AT106" s="236"/>
      <c r="AU106" s="236"/>
      <c r="AV106" s="236"/>
      <c r="AW106" s="236"/>
      <c r="AX106" s="236"/>
    </row>
    <row r="107" spans="2:50" s="286" customFormat="1">
      <c r="C107" s="285" t="s">
        <v>1182</v>
      </c>
    </row>
    <row r="108" spans="2:50" s="286" customFormat="1">
      <c r="B108" s="316" t="s">
        <v>1429</v>
      </c>
      <c r="C108" s="287" t="s">
        <v>1</v>
      </c>
      <c r="D108" s="317" t="s">
        <v>900</v>
      </c>
      <c r="F108" s="236"/>
      <c r="G108" s="135">
        <v>1073.4000000000001</v>
      </c>
      <c r="H108" s="135">
        <v>1108.5</v>
      </c>
      <c r="I108" s="135">
        <v>1165.7</v>
      </c>
      <c r="J108" s="135">
        <v>1065.1000000000001</v>
      </c>
      <c r="K108" s="135">
        <v>1116.5999999999999</v>
      </c>
      <c r="L108" s="135">
        <v>1046.2000000000003</v>
      </c>
      <c r="M108" s="135">
        <v>1243.2</v>
      </c>
      <c r="N108" s="135">
        <v>1195.6000000000001</v>
      </c>
      <c r="O108" s="135">
        <v>1253.2</v>
      </c>
      <c r="P108" s="135">
        <v>1216.792535348</v>
      </c>
      <c r="Q108" s="135">
        <v>1313.650334465</v>
      </c>
      <c r="R108" s="135">
        <v>1242.0994496340002</v>
      </c>
      <c r="S108" s="135">
        <v>1340.1458403315003</v>
      </c>
      <c r="T108" s="135">
        <v>1269.6815726935401</v>
      </c>
      <c r="U108" s="135">
        <v>1369.922578197215</v>
      </c>
      <c r="V108" s="135">
        <v>1298.0217408405715</v>
      </c>
      <c r="W108" s="135">
        <v>1400.5169016334594</v>
      </c>
      <c r="X108" s="135">
        <v>1327.1432426416761</v>
      </c>
      <c r="Y108" s="135">
        <v>1431.9538751908142</v>
      </c>
      <c r="Z108" s="135">
        <v>1357.070124324573</v>
      </c>
      <c r="AA108" s="135">
        <v>1464.2593764873138</v>
      </c>
      <c r="AB108" s="135">
        <v>1387.8272153167927</v>
      </c>
      <c r="AC108" s="135">
        <v>1486.4778229945218</v>
      </c>
      <c r="AD108" s="135">
        <v>1409.1530149885473</v>
      </c>
      <c r="AE108" s="135">
        <v>1509.6191018766604</v>
      </c>
      <c r="AF108" s="135">
        <v>1431.3611390329459</v>
      </c>
      <c r="AK108" s="236"/>
      <c r="AL108" s="135">
        <v>2181.9</v>
      </c>
      <c r="AM108" s="135">
        <v>2230.8000000000002</v>
      </c>
      <c r="AN108" s="135">
        <v>2162.8000000000002</v>
      </c>
      <c r="AO108" s="135">
        <v>2438.8000000000002</v>
      </c>
      <c r="AP108" s="135">
        <v>2469.9925353480003</v>
      </c>
      <c r="AQ108" s="135">
        <v>2555.749784099</v>
      </c>
      <c r="AR108" s="135">
        <v>2609.8274130250402</v>
      </c>
      <c r="AS108" s="135">
        <v>2667.9443190377865</v>
      </c>
      <c r="AT108" s="135">
        <v>2727.6601442751353</v>
      </c>
      <c r="AU108" s="135">
        <v>2789.023999515387</v>
      </c>
      <c r="AV108" s="135">
        <v>2852.0865918041063</v>
      </c>
      <c r="AW108" s="135">
        <v>2895.6308379830689</v>
      </c>
      <c r="AX108" s="135">
        <v>2940.9802409096064</v>
      </c>
    </row>
    <row r="109" spans="2:50" s="286" customFormat="1">
      <c r="B109" s="316" t="s">
        <v>1430</v>
      </c>
      <c r="C109" s="287" t="s">
        <v>1272</v>
      </c>
      <c r="D109" s="317" t="s">
        <v>900</v>
      </c>
      <c r="F109" s="236"/>
      <c r="G109" s="135">
        <v>-678.50000000000011</v>
      </c>
      <c r="H109" s="135">
        <v>-702.1</v>
      </c>
      <c r="I109" s="135">
        <v>-767.40000000000009</v>
      </c>
      <c r="J109" s="135">
        <v>-688.40000000000009</v>
      </c>
      <c r="K109" s="135">
        <v>-722.69999999999993</v>
      </c>
      <c r="L109" s="135">
        <v>-681.9000000000002</v>
      </c>
      <c r="M109" s="135">
        <v>-785.1</v>
      </c>
      <c r="N109" s="135">
        <v>-737.80000000000018</v>
      </c>
      <c r="O109" s="135">
        <v>-775.80000000000007</v>
      </c>
      <c r="P109" s="135">
        <v>-748.32740923901997</v>
      </c>
      <c r="Q109" s="135">
        <v>-801.32670402365</v>
      </c>
      <c r="R109" s="135">
        <v>-755.19646537747212</v>
      </c>
      <c r="S109" s="135">
        <v>-814.80867092155211</v>
      </c>
      <c r="T109" s="135">
        <v>-771.96639619767234</v>
      </c>
      <c r="U109" s="135">
        <v>-832.91292754390668</v>
      </c>
      <c r="V109" s="135">
        <v>-789.19721843106754</v>
      </c>
      <c r="W109" s="135">
        <v>-851.51427619314325</v>
      </c>
      <c r="X109" s="135">
        <v>-806.90309152613906</v>
      </c>
      <c r="Y109" s="135">
        <v>-870.62795611601496</v>
      </c>
      <c r="Z109" s="135">
        <v>-825.09863558934035</v>
      </c>
      <c r="AA109" s="135">
        <v>-890.26970090428676</v>
      </c>
      <c r="AB109" s="135">
        <v>-843.79894691260995</v>
      </c>
      <c r="AC109" s="135">
        <v>-903.7785163806692</v>
      </c>
      <c r="AD109" s="135">
        <v>-856.76503311303668</v>
      </c>
      <c r="AE109" s="135">
        <v>-917.84841394100943</v>
      </c>
      <c r="AF109" s="135">
        <v>-870.26757253203107</v>
      </c>
      <c r="AK109" s="236"/>
      <c r="AL109" s="135">
        <v>-1380.6000000000001</v>
      </c>
      <c r="AM109" s="135">
        <v>-1455.8000000000002</v>
      </c>
      <c r="AN109" s="135">
        <v>-1404.6000000000001</v>
      </c>
      <c r="AO109" s="135">
        <v>-1522.9</v>
      </c>
      <c r="AP109" s="135">
        <v>-1524.1274092390199</v>
      </c>
      <c r="AQ109" s="135">
        <v>-1556.5231694011222</v>
      </c>
      <c r="AR109" s="135">
        <v>-1586.7750671192243</v>
      </c>
      <c r="AS109" s="135">
        <v>-1622.1101459749743</v>
      </c>
      <c r="AT109" s="135">
        <v>-1658.4173677192823</v>
      </c>
      <c r="AU109" s="135">
        <v>-1695.7265917053553</v>
      </c>
      <c r="AV109" s="135">
        <v>-1734.0686478168968</v>
      </c>
      <c r="AW109" s="135">
        <v>-1760.543549493706</v>
      </c>
      <c r="AX109" s="135">
        <v>-1788.1159864730405</v>
      </c>
    </row>
    <row r="110" spans="2:50" s="286" customFormat="1">
      <c r="B110" s="316" t="s">
        <v>1431</v>
      </c>
      <c r="C110" s="287" t="s">
        <v>1218</v>
      </c>
      <c r="D110" s="317" t="s">
        <v>900</v>
      </c>
      <c r="F110" s="236"/>
      <c r="G110" s="135">
        <v>394.9</v>
      </c>
      <c r="H110" s="135">
        <v>406.4</v>
      </c>
      <c r="I110" s="135">
        <v>398.3</v>
      </c>
      <c r="J110" s="135">
        <v>376.7</v>
      </c>
      <c r="K110" s="135">
        <v>393.9</v>
      </c>
      <c r="L110" s="135">
        <v>364.30000000000007</v>
      </c>
      <c r="M110" s="135">
        <v>458.1</v>
      </c>
      <c r="N110" s="135">
        <v>457.79999999999995</v>
      </c>
      <c r="O110" s="135">
        <v>477.4</v>
      </c>
      <c r="P110" s="135">
        <v>468.46512610898003</v>
      </c>
      <c r="Q110" s="135">
        <v>512.32363044135002</v>
      </c>
      <c r="R110" s="135">
        <v>486.9029842565281</v>
      </c>
      <c r="S110" s="135">
        <v>525.33716940994816</v>
      </c>
      <c r="T110" s="135">
        <v>497.71517649586775</v>
      </c>
      <c r="U110" s="135">
        <v>537.00965065330831</v>
      </c>
      <c r="V110" s="135">
        <v>508.82452240950403</v>
      </c>
      <c r="W110" s="135">
        <v>549.00262544031614</v>
      </c>
      <c r="X110" s="135">
        <v>520.24015111553706</v>
      </c>
      <c r="Y110" s="135">
        <v>561.32591907479923</v>
      </c>
      <c r="Z110" s="135">
        <v>531.9714887352327</v>
      </c>
      <c r="AA110" s="135">
        <v>573.98967558302706</v>
      </c>
      <c r="AB110" s="135">
        <v>544.02826840418277</v>
      </c>
      <c r="AC110" s="135">
        <v>582.69930661385263</v>
      </c>
      <c r="AD110" s="135">
        <v>552.3879818755106</v>
      </c>
      <c r="AE110" s="135">
        <v>591.77068793565093</v>
      </c>
      <c r="AF110" s="135">
        <v>561.09356650091479</v>
      </c>
      <c r="AK110" s="236"/>
      <c r="AL110" s="135">
        <v>801.3</v>
      </c>
      <c r="AM110" s="135">
        <v>775</v>
      </c>
      <c r="AN110" s="135">
        <v>758.2</v>
      </c>
      <c r="AO110" s="135">
        <v>915.9</v>
      </c>
      <c r="AP110" s="135">
        <v>945.86512610898001</v>
      </c>
      <c r="AQ110" s="135">
        <v>999.22661469787818</v>
      </c>
      <c r="AR110" s="135">
        <v>1023.0523459058159</v>
      </c>
      <c r="AS110" s="135">
        <v>1045.8341730628124</v>
      </c>
      <c r="AT110" s="135">
        <v>1069.2427765558532</v>
      </c>
      <c r="AU110" s="135">
        <v>1093.2974078100319</v>
      </c>
      <c r="AV110" s="135">
        <v>1118.0179439872099</v>
      </c>
      <c r="AW110" s="135">
        <v>1135.0872884893633</v>
      </c>
      <c r="AX110" s="135">
        <v>1152.8642544365657</v>
      </c>
    </row>
    <row r="111" spans="2:50" s="286" customFormat="1">
      <c r="B111" s="316" t="s">
        <v>1432</v>
      </c>
      <c r="C111" s="287" t="s">
        <v>4</v>
      </c>
      <c r="D111" s="317" t="s">
        <v>900</v>
      </c>
      <c r="F111" s="236"/>
      <c r="G111" s="135">
        <v>-257</v>
      </c>
      <c r="H111" s="135">
        <v>-257.29999999999995</v>
      </c>
      <c r="I111" s="135">
        <v>-243.9</v>
      </c>
      <c r="J111" s="135">
        <v>-223.1</v>
      </c>
      <c r="K111" s="135">
        <v>-259.89999999999998</v>
      </c>
      <c r="L111" s="135">
        <v>-247.10000000000002</v>
      </c>
      <c r="M111" s="135">
        <v>-301.39999999999998</v>
      </c>
      <c r="N111" s="135">
        <v>-285.39999999999998</v>
      </c>
      <c r="O111" s="135">
        <v>-296</v>
      </c>
      <c r="P111" s="135">
        <v>-290.53719999999998</v>
      </c>
      <c r="Q111" s="135">
        <v>-302.512</v>
      </c>
      <c r="R111" s="135">
        <v>-297.80062999999996</v>
      </c>
      <c r="S111" s="135">
        <v>-310.07479999999998</v>
      </c>
      <c r="T111" s="135">
        <v>-305.24564574999994</v>
      </c>
      <c r="U111" s="135">
        <v>-317.82666999999998</v>
      </c>
      <c r="V111" s="135">
        <v>-312.87678689374991</v>
      </c>
      <c r="W111" s="135">
        <v>-325.77233674999997</v>
      </c>
      <c r="X111" s="135">
        <v>-320.69870656609362</v>
      </c>
      <c r="Y111" s="135">
        <v>-333.91664516874994</v>
      </c>
      <c r="Z111" s="135">
        <v>-328.71617423024594</v>
      </c>
      <c r="AA111" s="135">
        <v>-342.26456129796867</v>
      </c>
      <c r="AB111" s="135">
        <v>-336.93407858600204</v>
      </c>
      <c r="AC111" s="135">
        <v>-350.82117533041787</v>
      </c>
      <c r="AD111" s="135">
        <v>-345.35743055065205</v>
      </c>
      <c r="AE111" s="135">
        <v>-359.59170471367827</v>
      </c>
      <c r="AF111" s="135">
        <v>-353.99136631441831</v>
      </c>
      <c r="AK111" s="236"/>
      <c r="AL111" s="135">
        <v>-514.29999999999995</v>
      </c>
      <c r="AM111" s="135">
        <v>-467</v>
      </c>
      <c r="AN111" s="135">
        <v>-507</v>
      </c>
      <c r="AO111" s="135">
        <v>-586.79999999999995</v>
      </c>
      <c r="AP111" s="135">
        <v>-586.53719999999998</v>
      </c>
      <c r="AQ111" s="135">
        <v>-600.3126299999999</v>
      </c>
      <c r="AR111" s="135">
        <v>-615.32044574999986</v>
      </c>
      <c r="AS111" s="135">
        <v>-630.70345689374994</v>
      </c>
      <c r="AT111" s="135">
        <v>-646.47104331609353</v>
      </c>
      <c r="AU111" s="135">
        <v>-662.63281939899593</v>
      </c>
      <c r="AV111" s="135">
        <v>-679.19863988397071</v>
      </c>
      <c r="AW111" s="135">
        <v>-696.17860588106987</v>
      </c>
      <c r="AX111" s="135">
        <v>-713.58307102809658</v>
      </c>
    </row>
    <row r="112" spans="2:50" s="286" customFormat="1">
      <c r="B112" s="316" t="s">
        <v>1433</v>
      </c>
      <c r="C112" s="287" t="s">
        <v>2</v>
      </c>
      <c r="D112" s="317" t="s">
        <v>900</v>
      </c>
      <c r="F112" s="236"/>
      <c r="G112" s="135">
        <v>137.9</v>
      </c>
      <c r="H112" s="135">
        <v>149.1</v>
      </c>
      <c r="I112" s="135">
        <v>154.4</v>
      </c>
      <c r="J112" s="135">
        <v>153.6</v>
      </c>
      <c r="K112" s="135">
        <v>134</v>
      </c>
      <c r="L112" s="135">
        <v>117.19999999999999</v>
      </c>
      <c r="M112" s="135">
        <v>156.69999999999999</v>
      </c>
      <c r="N112" s="135">
        <v>172.40000000000003</v>
      </c>
      <c r="O112" s="135">
        <v>181.4</v>
      </c>
      <c r="P112" s="135">
        <v>177.92792610898005</v>
      </c>
      <c r="Q112" s="135">
        <v>209.81163044135002</v>
      </c>
      <c r="R112" s="135">
        <v>189.10235425652814</v>
      </c>
      <c r="S112" s="135">
        <v>215.26236940994818</v>
      </c>
      <c r="T112" s="135">
        <v>192.46953074586781</v>
      </c>
      <c r="U112" s="135">
        <v>219.18298065330833</v>
      </c>
      <c r="V112" s="135">
        <v>195.94773551575412</v>
      </c>
      <c r="W112" s="135">
        <v>223.23028869031617</v>
      </c>
      <c r="X112" s="135">
        <v>199.54144454944344</v>
      </c>
      <c r="Y112" s="135">
        <v>227.40927390604929</v>
      </c>
      <c r="Z112" s="135">
        <v>203.25531450498676</v>
      </c>
      <c r="AA112" s="135">
        <v>231.7251142850584</v>
      </c>
      <c r="AB112" s="135">
        <v>207.09418981818072</v>
      </c>
      <c r="AC112" s="135">
        <v>231.87813128343475</v>
      </c>
      <c r="AD112" s="135">
        <v>207.03055132485855</v>
      </c>
      <c r="AE112" s="135">
        <v>232.17898322197266</v>
      </c>
      <c r="AF112" s="135">
        <v>207.10220018649647</v>
      </c>
      <c r="AK112" s="236"/>
      <c r="AL112" s="135">
        <v>287</v>
      </c>
      <c r="AM112" s="135">
        <v>308</v>
      </c>
      <c r="AN112" s="135">
        <v>251.2</v>
      </c>
      <c r="AO112" s="135">
        <v>329.1</v>
      </c>
      <c r="AP112" s="135">
        <v>359.32792610898002</v>
      </c>
      <c r="AQ112" s="135">
        <v>398.91398469787816</v>
      </c>
      <c r="AR112" s="135">
        <v>407.73190015581599</v>
      </c>
      <c r="AS112" s="135">
        <v>415.13071616906245</v>
      </c>
      <c r="AT112" s="135">
        <v>422.77173323975961</v>
      </c>
      <c r="AU112" s="135">
        <v>430.66458841103605</v>
      </c>
      <c r="AV112" s="135">
        <v>438.81930410323912</v>
      </c>
      <c r="AW112" s="135">
        <v>438.9086826082933</v>
      </c>
      <c r="AX112" s="135">
        <v>439.28118340846913</v>
      </c>
    </row>
    <row r="113" spans="2:50" s="286" customFormat="1">
      <c r="B113" s="316" t="s">
        <v>1434</v>
      </c>
      <c r="C113" s="287" t="s">
        <v>48</v>
      </c>
      <c r="D113" s="317" t="s">
        <v>900</v>
      </c>
      <c r="F113" s="236"/>
      <c r="G113" s="135">
        <v>-105.2</v>
      </c>
      <c r="H113" s="135">
        <v>-109.8</v>
      </c>
      <c r="I113" s="135">
        <v>-96.5</v>
      </c>
      <c r="J113" s="135">
        <v>-95.300000000000011</v>
      </c>
      <c r="K113" s="135">
        <v>-100.7</v>
      </c>
      <c r="L113" s="135">
        <v>-80.2</v>
      </c>
      <c r="M113" s="135">
        <v>-77.3</v>
      </c>
      <c r="N113" s="135">
        <v>-83.600000000000009</v>
      </c>
      <c r="O113" s="135">
        <v>-86.1</v>
      </c>
      <c r="P113" s="135">
        <v>0</v>
      </c>
      <c r="Q113" s="135">
        <v>0</v>
      </c>
      <c r="R113" s="135">
        <v>0</v>
      </c>
      <c r="S113" s="135">
        <v>0</v>
      </c>
      <c r="T113" s="135">
        <v>0</v>
      </c>
      <c r="U113" s="135">
        <v>0</v>
      </c>
      <c r="V113" s="135">
        <v>0</v>
      </c>
      <c r="W113" s="135">
        <v>0</v>
      </c>
      <c r="X113" s="135">
        <v>0</v>
      </c>
      <c r="Y113" s="135">
        <v>0</v>
      </c>
      <c r="Z113" s="135">
        <v>0</v>
      </c>
      <c r="AA113" s="135">
        <v>0</v>
      </c>
      <c r="AB113" s="135">
        <v>0</v>
      </c>
      <c r="AC113" s="135">
        <v>0</v>
      </c>
      <c r="AD113" s="135">
        <v>0</v>
      </c>
      <c r="AE113" s="135">
        <v>0</v>
      </c>
      <c r="AF113" s="135">
        <v>0</v>
      </c>
      <c r="AK113" s="236"/>
      <c r="AL113" s="135">
        <v>-215</v>
      </c>
      <c r="AM113" s="135">
        <v>-191.8</v>
      </c>
      <c r="AN113" s="135">
        <v>-180.9</v>
      </c>
      <c r="AO113" s="135">
        <v>-160.9</v>
      </c>
      <c r="AP113" s="135">
        <v>-86.1</v>
      </c>
      <c r="AQ113" s="135">
        <v>0</v>
      </c>
      <c r="AR113" s="135">
        <v>0</v>
      </c>
      <c r="AS113" s="135">
        <v>0</v>
      </c>
      <c r="AT113" s="135">
        <v>0</v>
      </c>
      <c r="AU113" s="135">
        <v>0</v>
      </c>
      <c r="AV113" s="135">
        <v>0</v>
      </c>
      <c r="AW113" s="135">
        <v>0</v>
      </c>
      <c r="AX113" s="135">
        <v>0</v>
      </c>
    </row>
    <row r="114" spans="2:50" s="286" customFormat="1">
      <c r="B114" s="316" t="s">
        <v>1435</v>
      </c>
      <c r="C114" s="287" t="s">
        <v>10</v>
      </c>
      <c r="D114" s="317" t="s">
        <v>900</v>
      </c>
      <c r="F114" s="236"/>
      <c r="G114" s="135">
        <v>32.700000000000003</v>
      </c>
      <c r="H114" s="135">
        <v>39.299999999999997</v>
      </c>
      <c r="I114" s="135">
        <v>57.9</v>
      </c>
      <c r="J114" s="135">
        <v>58.300000000000004</v>
      </c>
      <c r="K114" s="135">
        <v>33.299999999999997</v>
      </c>
      <c r="L114" s="135">
        <v>37</v>
      </c>
      <c r="M114" s="135">
        <v>79.400000000000006</v>
      </c>
      <c r="N114" s="135">
        <v>88.799999999999983</v>
      </c>
      <c r="O114" s="135">
        <v>95.3</v>
      </c>
      <c r="P114" s="135">
        <v>0</v>
      </c>
      <c r="Q114" s="135">
        <v>0</v>
      </c>
      <c r="R114" s="135">
        <v>0</v>
      </c>
      <c r="S114" s="135">
        <v>0</v>
      </c>
      <c r="T114" s="135">
        <v>0</v>
      </c>
      <c r="U114" s="135">
        <v>0</v>
      </c>
      <c r="V114" s="135">
        <v>0</v>
      </c>
      <c r="W114" s="135">
        <v>0</v>
      </c>
      <c r="X114" s="135">
        <v>0</v>
      </c>
      <c r="Y114" s="135">
        <v>0</v>
      </c>
      <c r="Z114" s="135">
        <v>0</v>
      </c>
      <c r="AA114" s="135">
        <v>0</v>
      </c>
      <c r="AB114" s="135">
        <v>0</v>
      </c>
      <c r="AC114" s="135">
        <v>0</v>
      </c>
      <c r="AD114" s="135">
        <v>0</v>
      </c>
      <c r="AE114" s="135">
        <v>0</v>
      </c>
      <c r="AF114" s="135">
        <v>0</v>
      </c>
      <c r="AK114" s="236"/>
      <c r="AL114" s="135">
        <v>72</v>
      </c>
      <c r="AM114" s="135">
        <v>116.2</v>
      </c>
      <c r="AN114" s="135">
        <v>70.3</v>
      </c>
      <c r="AO114" s="135">
        <v>168.2</v>
      </c>
      <c r="AP114" s="135">
        <v>95.3</v>
      </c>
      <c r="AQ114" s="135">
        <v>0</v>
      </c>
      <c r="AR114" s="135">
        <v>0</v>
      </c>
      <c r="AS114" s="135">
        <v>0</v>
      </c>
      <c r="AT114" s="135">
        <v>0</v>
      </c>
      <c r="AU114" s="135">
        <v>0</v>
      </c>
      <c r="AV114" s="135">
        <v>0</v>
      </c>
      <c r="AW114" s="135">
        <v>0</v>
      </c>
      <c r="AX114" s="135">
        <v>0</v>
      </c>
    </row>
    <row r="115" spans="2:50" s="286" customFormat="1"/>
    <row r="116" spans="2:50" s="286" customFormat="1">
      <c r="C116" s="285" t="s">
        <v>1418</v>
      </c>
    </row>
    <row r="117" spans="2:50" s="286" customFormat="1">
      <c r="B117" s="316" t="s">
        <v>1436</v>
      </c>
      <c r="C117" s="287" t="s">
        <v>1412</v>
      </c>
      <c r="D117" s="317" t="s">
        <v>977</v>
      </c>
      <c r="G117" s="133">
        <v>121050</v>
      </c>
      <c r="H117" s="133">
        <v>120370</v>
      </c>
      <c r="I117" s="133">
        <v>121290</v>
      </c>
      <c r="J117" s="133">
        <v>122210</v>
      </c>
      <c r="K117" s="133">
        <v>125350</v>
      </c>
      <c r="L117" s="133">
        <v>122210</v>
      </c>
      <c r="M117" s="133">
        <v>126250</v>
      </c>
      <c r="N117" s="133">
        <v>126970</v>
      </c>
      <c r="O117" s="133">
        <v>127340</v>
      </c>
      <c r="P117" s="133">
        <v>127340</v>
      </c>
      <c r="Q117" s="133">
        <v>127340</v>
      </c>
      <c r="R117" s="133">
        <v>127340</v>
      </c>
      <c r="S117" s="133">
        <v>127340</v>
      </c>
      <c r="T117" s="133">
        <v>127340</v>
      </c>
      <c r="U117" s="133">
        <v>127340</v>
      </c>
      <c r="V117" s="133">
        <v>127340</v>
      </c>
      <c r="W117" s="133">
        <v>127340</v>
      </c>
      <c r="X117" s="133">
        <v>127340</v>
      </c>
      <c r="Y117" s="133">
        <v>127340</v>
      </c>
      <c r="Z117" s="133">
        <v>127340</v>
      </c>
      <c r="AA117" s="133">
        <v>127340</v>
      </c>
      <c r="AB117" s="133">
        <v>127340</v>
      </c>
      <c r="AC117" s="133">
        <v>127340</v>
      </c>
      <c r="AD117" s="133">
        <v>127340</v>
      </c>
      <c r="AE117" s="133">
        <v>127340</v>
      </c>
      <c r="AF117" s="133">
        <v>127340</v>
      </c>
      <c r="AL117" s="715">
        <v>120370</v>
      </c>
      <c r="AM117" s="715">
        <v>122210</v>
      </c>
      <c r="AN117" s="715">
        <v>122210</v>
      </c>
      <c r="AO117" s="715">
        <v>126970</v>
      </c>
      <c r="AP117" s="715">
        <v>127340</v>
      </c>
      <c r="AQ117" s="715">
        <v>127340</v>
      </c>
      <c r="AR117" s="715">
        <v>127340</v>
      </c>
      <c r="AS117" s="715">
        <v>127340</v>
      </c>
      <c r="AT117" s="715">
        <v>127340</v>
      </c>
      <c r="AU117" s="715">
        <v>127340</v>
      </c>
      <c r="AV117" s="715">
        <v>127340</v>
      </c>
      <c r="AW117" s="715">
        <v>127340</v>
      </c>
      <c r="AX117" s="715">
        <v>127340</v>
      </c>
    </row>
    <row r="118" spans="2:50" s="286" customFormat="1">
      <c r="B118" s="316" t="s">
        <v>1437</v>
      </c>
      <c r="C118" s="287" t="s">
        <v>1413</v>
      </c>
      <c r="D118" s="317" t="s">
        <v>848</v>
      </c>
      <c r="G118" s="135">
        <v>361.22768040812969</v>
      </c>
      <c r="H118" s="135">
        <v>457.29434181095183</v>
      </c>
      <c r="I118" s="135">
        <v>479.18563270710916</v>
      </c>
      <c r="J118" s="135">
        <v>492.81314168377827</v>
      </c>
      <c r="K118" s="135">
        <v>516.23848763936007</v>
      </c>
      <c r="L118" s="135">
        <v>526.7409920827273</v>
      </c>
      <c r="M118" s="135">
        <v>0</v>
      </c>
      <c r="N118" s="135">
        <v>0</v>
      </c>
      <c r="O118" s="135">
        <v>0</v>
      </c>
      <c r="P118" s="135">
        <v>0</v>
      </c>
      <c r="Q118" s="135">
        <v>0</v>
      </c>
      <c r="R118" s="135">
        <v>0</v>
      </c>
      <c r="S118" s="135">
        <v>0</v>
      </c>
      <c r="T118" s="135">
        <v>0</v>
      </c>
      <c r="U118" s="135">
        <v>0</v>
      </c>
      <c r="V118" s="135">
        <v>0</v>
      </c>
      <c r="W118" s="135">
        <v>0</v>
      </c>
      <c r="X118" s="135">
        <v>0</v>
      </c>
      <c r="Y118" s="135">
        <v>0</v>
      </c>
      <c r="Z118" s="135">
        <v>0</v>
      </c>
      <c r="AA118" s="135">
        <v>0</v>
      </c>
      <c r="AB118" s="135">
        <v>0</v>
      </c>
      <c r="AC118" s="135">
        <v>0</v>
      </c>
      <c r="AD118" s="135">
        <v>0</v>
      </c>
      <c r="AE118" s="135">
        <v>0</v>
      </c>
      <c r="AF118" s="135">
        <v>0</v>
      </c>
      <c r="AL118" s="135">
        <v>818.52202221908146</v>
      </c>
      <c r="AM118" s="135">
        <v>971.99877439088743</v>
      </c>
      <c r="AN118" s="135">
        <v>1042.9794797220875</v>
      </c>
      <c r="AO118" s="135">
        <v>0</v>
      </c>
      <c r="AP118" s="135">
        <v>0</v>
      </c>
      <c r="AQ118" s="135">
        <v>0</v>
      </c>
      <c r="AR118" s="135">
        <v>0</v>
      </c>
      <c r="AS118" s="135">
        <v>0</v>
      </c>
      <c r="AT118" s="135">
        <v>0</v>
      </c>
      <c r="AU118" s="135">
        <v>0</v>
      </c>
      <c r="AV118" s="135">
        <v>0</v>
      </c>
      <c r="AW118" s="135">
        <v>0</v>
      </c>
      <c r="AX118" s="135">
        <v>0</v>
      </c>
    </row>
    <row r="119" spans="2:50" s="286" customFormat="1">
      <c r="B119" s="316" t="s">
        <v>1438</v>
      </c>
      <c r="C119" s="287" t="s">
        <v>1414</v>
      </c>
      <c r="D119" s="317" t="s">
        <v>900</v>
      </c>
      <c r="G119" s="135">
        <v>43.9</v>
      </c>
      <c r="H119" s="135">
        <v>55.199999999999996</v>
      </c>
      <c r="I119" s="135">
        <v>57.9</v>
      </c>
      <c r="J119" s="135">
        <v>60.000000000000007</v>
      </c>
      <c r="K119" s="135">
        <v>63.9</v>
      </c>
      <c r="L119" s="135">
        <v>65.199999999999989</v>
      </c>
      <c r="M119" s="135">
        <v>0</v>
      </c>
      <c r="N119" s="135">
        <v>0</v>
      </c>
      <c r="O119" s="135">
        <v>0</v>
      </c>
      <c r="P119" s="135">
        <v>0</v>
      </c>
      <c r="Q119" s="135">
        <v>0</v>
      </c>
      <c r="R119" s="135">
        <v>0</v>
      </c>
      <c r="S119" s="135">
        <v>0</v>
      </c>
      <c r="T119" s="135">
        <v>0</v>
      </c>
      <c r="U119" s="135">
        <v>0</v>
      </c>
      <c r="V119" s="135">
        <v>0</v>
      </c>
      <c r="W119" s="135">
        <v>0</v>
      </c>
      <c r="X119" s="135">
        <v>0</v>
      </c>
      <c r="Y119" s="135">
        <v>0</v>
      </c>
      <c r="Z119" s="135">
        <v>0</v>
      </c>
      <c r="AA119" s="135">
        <v>0</v>
      </c>
      <c r="AB119" s="135">
        <v>0</v>
      </c>
      <c r="AC119" s="135">
        <v>0</v>
      </c>
      <c r="AD119" s="135">
        <v>0</v>
      </c>
      <c r="AE119" s="135">
        <v>0</v>
      </c>
      <c r="AF119" s="135">
        <v>0</v>
      </c>
      <c r="AL119" s="135">
        <v>99.1</v>
      </c>
      <c r="AM119" s="135">
        <v>117.9</v>
      </c>
      <c r="AN119" s="135">
        <v>129.1</v>
      </c>
      <c r="AO119" s="135">
        <v>0</v>
      </c>
      <c r="AP119" s="135">
        <v>0</v>
      </c>
      <c r="AQ119" s="135">
        <v>0</v>
      </c>
      <c r="AR119" s="135">
        <v>0</v>
      </c>
      <c r="AS119" s="135">
        <v>0</v>
      </c>
      <c r="AT119" s="135">
        <v>0</v>
      </c>
      <c r="AU119" s="135">
        <v>0</v>
      </c>
      <c r="AV119" s="135">
        <v>0</v>
      </c>
      <c r="AW119" s="135">
        <v>0</v>
      </c>
      <c r="AX119" s="135">
        <v>0</v>
      </c>
    </row>
    <row r="120" spans="2:50" s="286" customFormat="1">
      <c r="B120" s="316" t="s">
        <v>1439</v>
      </c>
      <c r="C120" s="287" t="s">
        <v>1415</v>
      </c>
      <c r="D120" s="317" t="s">
        <v>900</v>
      </c>
      <c r="G120" s="135">
        <v>15</v>
      </c>
      <c r="H120" s="135">
        <v>25.700000000000003</v>
      </c>
      <c r="I120" s="135">
        <v>26.7</v>
      </c>
      <c r="J120" s="135">
        <v>28.500000000000004</v>
      </c>
      <c r="K120" s="135">
        <v>28.8</v>
      </c>
      <c r="L120" s="135">
        <v>28.3</v>
      </c>
      <c r="M120" s="135">
        <v>0</v>
      </c>
      <c r="N120" s="135">
        <v>0</v>
      </c>
      <c r="O120" s="135">
        <v>0</v>
      </c>
      <c r="P120" s="135">
        <v>0</v>
      </c>
      <c r="Q120" s="135">
        <v>0</v>
      </c>
      <c r="R120" s="135">
        <v>0</v>
      </c>
      <c r="S120" s="135">
        <v>0</v>
      </c>
      <c r="T120" s="135">
        <v>0</v>
      </c>
      <c r="U120" s="135">
        <v>0</v>
      </c>
      <c r="V120" s="135">
        <v>0</v>
      </c>
      <c r="W120" s="135">
        <v>0</v>
      </c>
      <c r="X120" s="135">
        <v>0</v>
      </c>
      <c r="Y120" s="135">
        <v>0</v>
      </c>
      <c r="Z120" s="135">
        <v>0</v>
      </c>
      <c r="AA120" s="135">
        <v>0</v>
      </c>
      <c r="AB120" s="135">
        <v>0</v>
      </c>
      <c r="AC120" s="135">
        <v>0</v>
      </c>
      <c r="AD120" s="135">
        <v>0</v>
      </c>
      <c r="AE120" s="135">
        <v>0</v>
      </c>
      <c r="AF120" s="135">
        <v>0</v>
      </c>
      <c r="AL120" s="135">
        <v>40.700000000000003</v>
      </c>
      <c r="AM120" s="135">
        <v>55.2</v>
      </c>
      <c r="AN120" s="135">
        <v>57.1</v>
      </c>
      <c r="AO120" s="135">
        <v>0</v>
      </c>
      <c r="AP120" s="135">
        <v>0</v>
      </c>
      <c r="AQ120" s="135">
        <v>0</v>
      </c>
      <c r="AR120" s="135">
        <v>0</v>
      </c>
      <c r="AS120" s="135">
        <v>0</v>
      </c>
      <c r="AT120" s="135">
        <v>0</v>
      </c>
      <c r="AU120" s="135">
        <v>0</v>
      </c>
      <c r="AV120" s="135">
        <v>0</v>
      </c>
      <c r="AW120" s="135">
        <v>0</v>
      </c>
      <c r="AX120" s="135">
        <v>0</v>
      </c>
    </row>
    <row r="121" spans="2:50" s="286" customFormat="1">
      <c r="B121" s="316" t="s">
        <v>1440</v>
      </c>
      <c r="C121" s="287" t="s">
        <v>1416</v>
      </c>
      <c r="D121" s="317" t="s">
        <v>900</v>
      </c>
      <c r="G121" s="135">
        <v>35.700000000000003</v>
      </c>
      <c r="H121" s="135">
        <v>62.099999999999994</v>
      </c>
      <c r="I121" s="135">
        <v>50.9</v>
      </c>
      <c r="J121" s="135">
        <v>34.800000000000004</v>
      </c>
      <c r="K121" s="135">
        <v>29.1</v>
      </c>
      <c r="L121" s="135">
        <v>17.899999999999999</v>
      </c>
      <c r="M121" s="135">
        <v>0</v>
      </c>
      <c r="N121" s="135">
        <v>0</v>
      </c>
      <c r="O121" s="135">
        <v>0</v>
      </c>
      <c r="P121" s="135">
        <v>0</v>
      </c>
      <c r="Q121" s="135">
        <v>0</v>
      </c>
      <c r="R121" s="135">
        <v>0</v>
      </c>
      <c r="S121" s="135">
        <v>0</v>
      </c>
      <c r="T121" s="135">
        <v>0</v>
      </c>
      <c r="U121" s="135">
        <v>0</v>
      </c>
      <c r="V121" s="135">
        <v>0</v>
      </c>
      <c r="W121" s="135">
        <v>0</v>
      </c>
      <c r="X121" s="135">
        <v>0</v>
      </c>
      <c r="Y121" s="135">
        <v>0</v>
      </c>
      <c r="Z121" s="135">
        <v>0</v>
      </c>
      <c r="AA121" s="135">
        <v>0</v>
      </c>
      <c r="AB121" s="135">
        <v>0</v>
      </c>
      <c r="AC121" s="135">
        <v>0</v>
      </c>
      <c r="AD121" s="135">
        <v>0</v>
      </c>
      <c r="AE121" s="135">
        <v>0</v>
      </c>
      <c r="AF121" s="135">
        <v>0</v>
      </c>
      <c r="AL121" s="135">
        <v>97.8</v>
      </c>
      <c r="AM121" s="135">
        <v>85.7</v>
      </c>
      <c r="AN121" s="135">
        <v>47</v>
      </c>
      <c r="AO121" s="135">
        <v>0</v>
      </c>
      <c r="AP121" s="135">
        <v>0</v>
      </c>
      <c r="AQ121" s="135">
        <v>0</v>
      </c>
      <c r="AR121" s="135">
        <v>0</v>
      </c>
      <c r="AS121" s="135">
        <v>0</v>
      </c>
      <c r="AT121" s="135">
        <v>0</v>
      </c>
      <c r="AU121" s="135">
        <v>0</v>
      </c>
      <c r="AV121" s="135">
        <v>0</v>
      </c>
      <c r="AW121" s="135">
        <v>0</v>
      </c>
      <c r="AX121" s="135">
        <v>0</v>
      </c>
    </row>
    <row r="122" spans="2:50" s="286" customFormat="1">
      <c r="B122" s="316" t="s">
        <v>1441</v>
      </c>
      <c r="C122" s="287" t="s">
        <v>1417</v>
      </c>
      <c r="D122" s="317" t="s">
        <v>900</v>
      </c>
      <c r="G122" s="135">
        <v>4.5999999999999996</v>
      </c>
      <c r="H122" s="135">
        <v>27.9</v>
      </c>
      <c r="I122" s="135">
        <v>16.2</v>
      </c>
      <c r="J122" s="135">
        <v>11.7</v>
      </c>
      <c r="K122" s="135">
        <v>7</v>
      </c>
      <c r="L122" s="135">
        <v>2.4000000000000004</v>
      </c>
      <c r="M122" s="135">
        <v>0</v>
      </c>
      <c r="N122" s="135">
        <v>0</v>
      </c>
      <c r="O122" s="135">
        <v>0</v>
      </c>
      <c r="P122" s="135">
        <v>0</v>
      </c>
      <c r="Q122" s="135">
        <v>0</v>
      </c>
      <c r="R122" s="135">
        <v>0</v>
      </c>
      <c r="S122" s="135">
        <v>0</v>
      </c>
      <c r="T122" s="135">
        <v>0</v>
      </c>
      <c r="U122" s="135">
        <v>0</v>
      </c>
      <c r="V122" s="135">
        <v>0</v>
      </c>
      <c r="W122" s="135">
        <v>0</v>
      </c>
      <c r="X122" s="135">
        <v>0</v>
      </c>
      <c r="Y122" s="135">
        <v>0</v>
      </c>
      <c r="Z122" s="135">
        <v>0</v>
      </c>
      <c r="AA122" s="135">
        <v>0</v>
      </c>
      <c r="AB122" s="135">
        <v>0</v>
      </c>
      <c r="AC122" s="135">
        <v>0</v>
      </c>
      <c r="AD122" s="135">
        <v>0</v>
      </c>
      <c r="AE122" s="135">
        <v>0</v>
      </c>
      <c r="AF122" s="135">
        <v>0</v>
      </c>
      <c r="AL122" s="135">
        <v>32.5</v>
      </c>
      <c r="AM122" s="135">
        <v>27.9</v>
      </c>
      <c r="AN122" s="135">
        <v>9.4</v>
      </c>
      <c r="AO122" s="135">
        <v>0</v>
      </c>
      <c r="AP122" s="135">
        <v>0</v>
      </c>
      <c r="AQ122" s="135">
        <v>0</v>
      </c>
      <c r="AR122" s="135">
        <v>0</v>
      </c>
      <c r="AS122" s="135">
        <v>0</v>
      </c>
      <c r="AT122" s="135">
        <v>0</v>
      </c>
      <c r="AU122" s="135">
        <v>0</v>
      </c>
      <c r="AV122" s="135">
        <v>0</v>
      </c>
      <c r="AW122" s="135">
        <v>0</v>
      </c>
      <c r="AX122" s="135">
        <v>0</v>
      </c>
    </row>
    <row r="123" spans="2:50" s="286" customFormat="1">
      <c r="B123" s="316"/>
      <c r="C123" s="287"/>
      <c r="G123" s="236"/>
      <c r="H123" s="236"/>
      <c r="I123" s="236"/>
      <c r="J123" s="236"/>
      <c r="K123" s="236"/>
      <c r="L123" s="236"/>
      <c r="M123" s="236"/>
      <c r="N123" s="236"/>
      <c r="O123" s="236"/>
      <c r="P123" s="236"/>
      <c r="Q123" s="236"/>
      <c r="R123" s="236"/>
      <c r="S123" s="236"/>
      <c r="T123" s="236"/>
      <c r="U123" s="236"/>
      <c r="V123" s="236"/>
      <c r="W123" s="236"/>
      <c r="X123" s="236"/>
      <c r="Y123" s="236"/>
      <c r="Z123" s="236"/>
      <c r="AA123" s="236"/>
      <c r="AB123" s="236"/>
      <c r="AC123" s="236"/>
      <c r="AD123" s="236"/>
      <c r="AE123" s="236"/>
      <c r="AF123" s="236"/>
      <c r="AL123" s="236"/>
      <c r="AM123" s="236"/>
      <c r="AN123" s="236"/>
      <c r="AO123" s="236"/>
      <c r="AP123" s="236"/>
      <c r="AQ123" s="236"/>
      <c r="AR123" s="236"/>
      <c r="AS123" s="236"/>
      <c r="AT123" s="236"/>
      <c r="AU123" s="236"/>
      <c r="AV123" s="236"/>
      <c r="AW123" s="236"/>
      <c r="AX123" s="236"/>
    </row>
    <row r="124" spans="2:50" s="286" customFormat="1">
      <c r="C124" s="285" t="s">
        <v>1293</v>
      </c>
    </row>
    <row r="125" spans="2:50" s="286" customFormat="1">
      <c r="B125" s="316" t="s">
        <v>1461</v>
      </c>
      <c r="C125" s="287" t="s">
        <v>1</v>
      </c>
      <c r="D125" s="317" t="s">
        <v>900</v>
      </c>
      <c r="F125" s="236"/>
      <c r="G125" s="135">
        <v>79.599999999999994</v>
      </c>
      <c r="H125" s="135">
        <v>117.30000000000001</v>
      </c>
      <c r="I125" s="135">
        <v>108.8</v>
      </c>
      <c r="J125" s="135">
        <v>94.8</v>
      </c>
      <c r="K125" s="135">
        <v>93</v>
      </c>
      <c r="L125" s="135">
        <v>83.1</v>
      </c>
      <c r="M125" s="135">
        <v>88.1</v>
      </c>
      <c r="N125" s="135">
        <v>87.700000000000017</v>
      </c>
      <c r="O125" s="135">
        <v>91.7</v>
      </c>
      <c r="P125" s="135">
        <v>91.032600000000016</v>
      </c>
      <c r="Q125" s="135">
        <v>94.451000000000008</v>
      </c>
      <c r="R125" s="135">
        <v>93.763578000000024</v>
      </c>
      <c r="S125" s="135">
        <v>97.284530000000004</v>
      </c>
      <c r="T125" s="135">
        <v>96.576485340000033</v>
      </c>
      <c r="U125" s="135">
        <v>100.20306590000001</v>
      </c>
      <c r="V125" s="135">
        <v>99.473779900200043</v>
      </c>
      <c r="W125" s="135">
        <v>103.20915787700001</v>
      </c>
      <c r="X125" s="135">
        <v>102.45799329720604</v>
      </c>
      <c r="Y125" s="135">
        <v>106.30543261331002</v>
      </c>
      <c r="Z125" s="135">
        <v>105.53173309612222</v>
      </c>
      <c r="AA125" s="135">
        <v>109.49459559170933</v>
      </c>
      <c r="AB125" s="135">
        <v>108.69768508900589</v>
      </c>
      <c r="AC125" s="135">
        <v>112.77943345946061</v>
      </c>
      <c r="AD125" s="135">
        <v>111.95861564167606</v>
      </c>
      <c r="AE125" s="135">
        <v>116.16281646324443</v>
      </c>
      <c r="AF125" s="135">
        <v>115.31737411092635</v>
      </c>
      <c r="AK125" s="236"/>
      <c r="AL125" s="135">
        <v>196.9</v>
      </c>
      <c r="AM125" s="135">
        <v>203.6</v>
      </c>
      <c r="AN125" s="135">
        <v>176.1</v>
      </c>
      <c r="AO125" s="135">
        <v>175.8</v>
      </c>
      <c r="AP125" s="135">
        <v>182.73260000000002</v>
      </c>
      <c r="AQ125" s="135">
        <v>188.21457800000002</v>
      </c>
      <c r="AR125" s="135">
        <v>193.86101534000005</v>
      </c>
      <c r="AS125" s="135">
        <v>199.67684580020006</v>
      </c>
      <c r="AT125" s="135">
        <v>205.66715117420605</v>
      </c>
      <c r="AU125" s="135">
        <v>211.83716570943224</v>
      </c>
      <c r="AV125" s="135">
        <v>218.19228068071521</v>
      </c>
      <c r="AW125" s="135">
        <v>224.73804910113665</v>
      </c>
      <c r="AX125" s="135">
        <v>231.48019057417076</v>
      </c>
    </row>
    <row r="126" spans="2:50" s="286" customFormat="1">
      <c r="B126" s="316" t="s">
        <v>1463</v>
      </c>
      <c r="C126" s="287" t="s">
        <v>1272</v>
      </c>
      <c r="D126" s="317" t="s">
        <v>900</v>
      </c>
      <c r="F126" s="236"/>
      <c r="G126" s="135">
        <v>-5</v>
      </c>
      <c r="H126" s="135">
        <v>-5.5999999999999943</v>
      </c>
      <c r="I126" s="135">
        <v>-7.3999999999999915</v>
      </c>
      <c r="J126" s="135">
        <v>-3.0000000000000142</v>
      </c>
      <c r="K126" s="135">
        <v>-1.2999999999999972</v>
      </c>
      <c r="L126" s="135">
        <v>-1.2999999999999972</v>
      </c>
      <c r="M126" s="135">
        <v>-1.7999999999999972</v>
      </c>
      <c r="N126" s="135">
        <v>-1.2000000000000028</v>
      </c>
      <c r="O126" s="135">
        <v>-1.5</v>
      </c>
      <c r="P126" s="135">
        <v>-1.4890828789531083</v>
      </c>
      <c r="Q126" s="135">
        <v>-1.5450000000000002</v>
      </c>
      <c r="R126" s="135">
        <v>-1.5337553653217018</v>
      </c>
      <c r="S126" s="135">
        <v>-1.5913500000000003</v>
      </c>
      <c r="T126" s="135">
        <v>-1.5797680262813529</v>
      </c>
      <c r="U126" s="135">
        <v>-1.6390905000000002</v>
      </c>
      <c r="V126" s="135">
        <v>-1.6271610670697936</v>
      </c>
      <c r="W126" s="135">
        <v>-1.6882632150000003</v>
      </c>
      <c r="X126" s="135">
        <v>-1.6759758990818874</v>
      </c>
      <c r="Y126" s="135">
        <v>-1.7389111114500004</v>
      </c>
      <c r="Z126" s="135">
        <v>-1.7262551760543441</v>
      </c>
      <c r="AA126" s="135">
        <v>-1.7910784447935006</v>
      </c>
      <c r="AB126" s="135">
        <v>-1.7780428313359742</v>
      </c>
      <c r="AC126" s="135">
        <v>-1.8448107981373056</v>
      </c>
      <c r="AD126" s="135">
        <v>-1.8313841162760534</v>
      </c>
      <c r="AE126" s="135">
        <v>-1.9001551220814248</v>
      </c>
      <c r="AF126" s="135">
        <v>-1.8863256397643351</v>
      </c>
      <c r="AK126" s="236"/>
      <c r="AL126" s="135">
        <v>-10.599999999999994</v>
      </c>
      <c r="AM126" s="135">
        <v>-10.400000000000006</v>
      </c>
      <c r="AN126" s="135">
        <v>-2.5999999999999943</v>
      </c>
      <c r="AO126" s="135">
        <v>-3</v>
      </c>
      <c r="AP126" s="135">
        <v>-2.9890828789531083</v>
      </c>
      <c r="AQ126" s="135">
        <v>-3.0787553653217019</v>
      </c>
      <c r="AR126" s="135">
        <v>-3.171118026281353</v>
      </c>
      <c r="AS126" s="135">
        <v>-3.2662515670697938</v>
      </c>
      <c r="AT126" s="135">
        <v>-3.3642391140818875</v>
      </c>
      <c r="AU126" s="135">
        <v>-3.4651662875043447</v>
      </c>
      <c r="AV126" s="135">
        <v>-3.5691212761294748</v>
      </c>
      <c r="AW126" s="135">
        <v>-3.676194914413359</v>
      </c>
      <c r="AX126" s="135">
        <v>-3.7864807618457599</v>
      </c>
    </row>
    <row r="127" spans="2:50" s="286" customFormat="1">
      <c r="B127" s="316" t="s">
        <v>1464</v>
      </c>
      <c r="C127" s="287" t="s">
        <v>1218</v>
      </c>
      <c r="D127" s="317" t="s">
        <v>900</v>
      </c>
      <c r="F127" s="236"/>
      <c r="G127" s="135">
        <v>74.599999999999994</v>
      </c>
      <c r="H127" s="135">
        <v>111.70000000000002</v>
      </c>
      <c r="I127" s="135">
        <v>101.4</v>
      </c>
      <c r="J127" s="135">
        <v>91.799999999999983</v>
      </c>
      <c r="K127" s="135">
        <v>91.7</v>
      </c>
      <c r="L127" s="135">
        <v>81.8</v>
      </c>
      <c r="M127" s="135">
        <v>86.3</v>
      </c>
      <c r="N127" s="135">
        <v>86.500000000000014</v>
      </c>
      <c r="O127" s="135">
        <v>90.2</v>
      </c>
      <c r="P127" s="135">
        <v>89.543517121046904</v>
      </c>
      <c r="Q127" s="135">
        <v>92.906000000000006</v>
      </c>
      <c r="R127" s="135">
        <v>92.229822634678328</v>
      </c>
      <c r="S127" s="135">
        <v>95.693179999999998</v>
      </c>
      <c r="T127" s="135">
        <v>94.996717313718676</v>
      </c>
      <c r="U127" s="135">
        <v>98.563975400000018</v>
      </c>
      <c r="V127" s="135">
        <v>97.84661883313025</v>
      </c>
      <c r="W127" s="135">
        <v>101.520894662</v>
      </c>
      <c r="X127" s="135">
        <v>100.78201739812415</v>
      </c>
      <c r="Y127" s="135">
        <v>104.56652150186002</v>
      </c>
      <c r="Z127" s="135">
        <v>103.80547792006789</v>
      </c>
      <c r="AA127" s="135">
        <v>107.70351714691583</v>
      </c>
      <c r="AB127" s="135">
        <v>106.91964225766991</v>
      </c>
      <c r="AC127" s="135">
        <v>110.9346226613233</v>
      </c>
      <c r="AD127" s="135">
        <v>110.12723152540001</v>
      </c>
      <c r="AE127" s="135">
        <v>114.262661341163</v>
      </c>
      <c r="AF127" s="135">
        <v>113.43104847116201</v>
      </c>
      <c r="AK127" s="236"/>
      <c r="AL127" s="135">
        <v>186.3</v>
      </c>
      <c r="AM127" s="135">
        <v>193.2</v>
      </c>
      <c r="AN127" s="135">
        <v>173.5</v>
      </c>
      <c r="AO127" s="135">
        <v>172.8</v>
      </c>
      <c r="AP127" s="135">
        <v>179.74351712104692</v>
      </c>
      <c r="AQ127" s="135">
        <v>185.13582263467833</v>
      </c>
      <c r="AR127" s="135">
        <v>190.68989731371869</v>
      </c>
      <c r="AS127" s="135">
        <v>196.41059423313027</v>
      </c>
      <c r="AT127" s="135">
        <v>202.30291206012416</v>
      </c>
      <c r="AU127" s="135">
        <v>208.37199942192791</v>
      </c>
      <c r="AV127" s="135">
        <v>214.62315940458575</v>
      </c>
      <c r="AW127" s="135">
        <v>221.06185418672331</v>
      </c>
      <c r="AX127" s="135">
        <v>227.69370981232501</v>
      </c>
    </row>
    <row r="128" spans="2:50" s="286" customFormat="1">
      <c r="B128" s="316" t="s">
        <v>1465</v>
      </c>
      <c r="C128" s="287" t="s">
        <v>4</v>
      </c>
      <c r="D128" s="317" t="s">
        <v>900</v>
      </c>
      <c r="F128" s="236"/>
      <c r="G128" s="135">
        <v>-55</v>
      </c>
      <c r="H128" s="135">
        <v>-58.099999999999994</v>
      </c>
      <c r="I128" s="135">
        <v>-58.5</v>
      </c>
      <c r="J128" s="135">
        <v>-51.599999999999994</v>
      </c>
      <c r="K128" s="135">
        <v>-55.9</v>
      </c>
      <c r="L128" s="135">
        <v>-51.1</v>
      </c>
      <c r="M128" s="135">
        <v>-52.8</v>
      </c>
      <c r="N128" s="135">
        <v>-57.600000000000009</v>
      </c>
      <c r="O128" s="135">
        <v>-54.2</v>
      </c>
      <c r="P128" s="135">
        <v>-56.44021200000001</v>
      </c>
      <c r="Q128" s="135">
        <v>-55.826000000000008</v>
      </c>
      <c r="R128" s="135">
        <v>-55.419693866957488</v>
      </c>
      <c r="S128" s="135">
        <v>-57.500780000000006</v>
      </c>
      <c r="T128" s="135">
        <v>-57.082284682966218</v>
      </c>
      <c r="U128" s="135">
        <v>-59.225803400000011</v>
      </c>
      <c r="V128" s="135">
        <v>-58.79475322345521</v>
      </c>
      <c r="W128" s="135">
        <v>-61.002577502000008</v>
      </c>
      <c r="X128" s="135">
        <v>-60.558595820158864</v>
      </c>
      <c r="Y128" s="135">
        <v>-62.832654827060018</v>
      </c>
      <c r="Z128" s="135">
        <v>-62.375353694763632</v>
      </c>
      <c r="AA128" s="135">
        <v>-64.717634471871818</v>
      </c>
      <c r="AB128" s="135">
        <v>-64.246614305606542</v>
      </c>
      <c r="AC128" s="135">
        <v>-66.65916350602798</v>
      </c>
      <c r="AD128" s="135">
        <v>-66.174012734774735</v>
      </c>
      <c r="AE128" s="135">
        <v>-68.658938411208808</v>
      </c>
      <c r="AF128" s="135">
        <v>-68.159233116817987</v>
      </c>
      <c r="AK128" s="236"/>
      <c r="AL128" s="135">
        <v>-113.1</v>
      </c>
      <c r="AM128" s="135">
        <v>-110.1</v>
      </c>
      <c r="AN128" s="135">
        <v>-107</v>
      </c>
      <c r="AO128" s="135">
        <v>-110.4</v>
      </c>
      <c r="AP128" s="135">
        <v>-110.64021200000002</v>
      </c>
      <c r="AQ128" s="135">
        <v>-111.2456938669575</v>
      </c>
      <c r="AR128" s="135">
        <v>-114.58306468296622</v>
      </c>
      <c r="AS128" s="135">
        <v>-118.02055662345522</v>
      </c>
      <c r="AT128" s="135">
        <v>-121.56117332215888</v>
      </c>
      <c r="AU128" s="135">
        <v>-125.20800852182364</v>
      </c>
      <c r="AV128" s="135">
        <v>-128.96424877747836</v>
      </c>
      <c r="AW128" s="135">
        <v>-132.83317624080271</v>
      </c>
      <c r="AX128" s="135">
        <v>-136.8181715280268</v>
      </c>
    </row>
    <row r="129" spans="2:50" s="286" customFormat="1">
      <c r="B129" s="316" t="s">
        <v>1466</v>
      </c>
      <c r="C129" s="287" t="s">
        <v>2</v>
      </c>
      <c r="D129" s="317" t="s">
        <v>900</v>
      </c>
      <c r="F129" s="236"/>
      <c r="G129" s="135">
        <v>19.600000000000001</v>
      </c>
      <c r="H129" s="135">
        <v>53.6</v>
      </c>
      <c r="I129" s="135">
        <v>42.9</v>
      </c>
      <c r="J129" s="135">
        <v>40.199999999999996</v>
      </c>
      <c r="K129" s="135">
        <v>35.799999999999997</v>
      </c>
      <c r="L129" s="135">
        <v>30.700000000000003</v>
      </c>
      <c r="M129" s="135">
        <v>33.5</v>
      </c>
      <c r="N129" s="135">
        <v>28.9</v>
      </c>
      <c r="O129" s="135">
        <v>36</v>
      </c>
      <c r="P129" s="135">
        <v>33.103305121046894</v>
      </c>
      <c r="Q129" s="135">
        <v>37.08</v>
      </c>
      <c r="R129" s="135">
        <v>36.81012876772084</v>
      </c>
      <c r="S129" s="135">
        <v>38.192399999999992</v>
      </c>
      <c r="T129" s="135">
        <v>37.914432630752458</v>
      </c>
      <c r="U129" s="135">
        <v>39.338172000000007</v>
      </c>
      <c r="V129" s="135">
        <v>39.051865609675041</v>
      </c>
      <c r="W129" s="135">
        <v>40.518317159999995</v>
      </c>
      <c r="X129" s="135">
        <v>40.22342157796529</v>
      </c>
      <c r="Y129" s="135">
        <v>41.733866674800005</v>
      </c>
      <c r="Z129" s="135">
        <v>41.430124225304255</v>
      </c>
      <c r="AA129" s="135">
        <v>42.98588267504401</v>
      </c>
      <c r="AB129" s="135">
        <v>42.673027952063364</v>
      </c>
      <c r="AC129" s="135">
        <v>44.275459155295323</v>
      </c>
      <c r="AD129" s="135">
        <v>43.953218790625272</v>
      </c>
      <c r="AE129" s="135">
        <v>45.603722929954188</v>
      </c>
      <c r="AF129" s="135">
        <v>45.271815354344028</v>
      </c>
      <c r="AK129" s="236"/>
      <c r="AL129" s="135">
        <v>73.2</v>
      </c>
      <c r="AM129" s="135">
        <v>83.1</v>
      </c>
      <c r="AN129" s="135">
        <v>66.5</v>
      </c>
      <c r="AO129" s="135">
        <v>62.4</v>
      </c>
      <c r="AP129" s="135">
        <v>69.103305121046901</v>
      </c>
      <c r="AQ129" s="135">
        <v>73.890128767720839</v>
      </c>
      <c r="AR129" s="135">
        <v>76.10683263075245</v>
      </c>
      <c r="AS129" s="135">
        <v>78.390037609675048</v>
      </c>
      <c r="AT129" s="135">
        <v>80.741738737965278</v>
      </c>
      <c r="AU129" s="135">
        <v>83.163990900104267</v>
      </c>
      <c r="AV129" s="135">
        <v>85.658910627107375</v>
      </c>
      <c r="AW129" s="135">
        <v>88.228677945920595</v>
      </c>
      <c r="AX129" s="135">
        <v>90.875538284298216</v>
      </c>
    </row>
    <row r="130" spans="2:50" s="286" customFormat="1">
      <c r="B130" s="316" t="s">
        <v>1467</v>
      </c>
      <c r="C130" s="287" t="s">
        <v>48</v>
      </c>
      <c r="D130" s="317" t="s">
        <v>900</v>
      </c>
      <c r="F130" s="236"/>
      <c r="G130" s="135">
        <v>-37.5</v>
      </c>
      <c r="H130" s="135">
        <v>-33.900000000000006</v>
      </c>
      <c r="I130" s="135">
        <v>-26.9</v>
      </c>
      <c r="J130" s="135">
        <v>-21.800000000000004</v>
      </c>
      <c r="K130" s="135">
        <v>-19.100000000000001</v>
      </c>
      <c r="L130" s="135">
        <v>-20.299999999999997</v>
      </c>
      <c r="M130" s="135">
        <v>-20.2</v>
      </c>
      <c r="N130" s="135">
        <v>-21.7</v>
      </c>
      <c r="O130" s="135">
        <v>-21.1</v>
      </c>
      <c r="P130" s="135">
        <v>0</v>
      </c>
      <c r="Q130" s="135">
        <v>0</v>
      </c>
      <c r="R130" s="135">
        <v>0</v>
      </c>
      <c r="S130" s="135">
        <v>0</v>
      </c>
      <c r="T130" s="135">
        <v>0</v>
      </c>
      <c r="U130" s="135">
        <v>0</v>
      </c>
      <c r="V130" s="135">
        <v>0</v>
      </c>
      <c r="W130" s="135">
        <v>0</v>
      </c>
      <c r="X130" s="135">
        <v>0</v>
      </c>
      <c r="Y130" s="135">
        <v>0</v>
      </c>
      <c r="Z130" s="135">
        <v>0</v>
      </c>
      <c r="AA130" s="135">
        <v>0</v>
      </c>
      <c r="AB130" s="135">
        <v>0</v>
      </c>
      <c r="AC130" s="135">
        <v>0</v>
      </c>
      <c r="AD130" s="135">
        <v>0</v>
      </c>
      <c r="AE130" s="135">
        <v>0</v>
      </c>
      <c r="AF130" s="135">
        <v>0</v>
      </c>
      <c r="AK130" s="236"/>
      <c r="AL130" s="135">
        <v>-71.400000000000006</v>
      </c>
      <c r="AM130" s="135">
        <v>-48.7</v>
      </c>
      <c r="AN130" s="135">
        <v>-39.4</v>
      </c>
      <c r="AO130" s="135">
        <v>-41.9</v>
      </c>
      <c r="AP130" s="135">
        <v>-21.1</v>
      </c>
      <c r="AQ130" s="135">
        <v>0</v>
      </c>
      <c r="AR130" s="135">
        <v>0</v>
      </c>
      <c r="AS130" s="135">
        <v>0</v>
      </c>
      <c r="AT130" s="135">
        <v>0</v>
      </c>
      <c r="AU130" s="135">
        <v>0</v>
      </c>
      <c r="AV130" s="135">
        <v>0</v>
      </c>
      <c r="AW130" s="135">
        <v>0</v>
      </c>
      <c r="AX130" s="135">
        <v>0</v>
      </c>
    </row>
    <row r="131" spans="2:50" s="286" customFormat="1">
      <c r="B131" s="316" t="s">
        <v>1468</v>
      </c>
      <c r="C131" s="287" t="s">
        <v>10</v>
      </c>
      <c r="D131" s="317" t="s">
        <v>900</v>
      </c>
      <c r="F131" s="236"/>
      <c r="G131" s="135">
        <v>-17.899999999999999</v>
      </c>
      <c r="H131" s="135">
        <v>19.7</v>
      </c>
      <c r="I131" s="135">
        <v>16</v>
      </c>
      <c r="J131" s="135">
        <v>18.399999999999999</v>
      </c>
      <c r="K131" s="135">
        <v>16.7</v>
      </c>
      <c r="L131" s="135">
        <v>10.400000000000002</v>
      </c>
      <c r="M131" s="135">
        <v>13.3</v>
      </c>
      <c r="N131" s="135">
        <v>7.1999999999999993</v>
      </c>
      <c r="O131" s="135">
        <v>14.9</v>
      </c>
      <c r="P131" s="135">
        <v>0</v>
      </c>
      <c r="Q131" s="135">
        <v>0</v>
      </c>
      <c r="R131" s="135">
        <v>0</v>
      </c>
      <c r="S131" s="135">
        <v>0</v>
      </c>
      <c r="T131" s="135">
        <v>0</v>
      </c>
      <c r="U131" s="135">
        <v>0</v>
      </c>
      <c r="V131" s="135">
        <v>0</v>
      </c>
      <c r="W131" s="135">
        <v>0</v>
      </c>
      <c r="X131" s="135">
        <v>0</v>
      </c>
      <c r="Y131" s="135">
        <v>0</v>
      </c>
      <c r="Z131" s="135">
        <v>0</v>
      </c>
      <c r="AA131" s="135">
        <v>0</v>
      </c>
      <c r="AB131" s="135">
        <v>0</v>
      </c>
      <c r="AC131" s="135">
        <v>0</v>
      </c>
      <c r="AD131" s="135">
        <v>0</v>
      </c>
      <c r="AE131" s="135">
        <v>0</v>
      </c>
      <c r="AF131" s="135">
        <v>0</v>
      </c>
      <c r="AK131" s="236"/>
      <c r="AL131" s="135">
        <v>1.8000000000000007</v>
      </c>
      <c r="AM131" s="135">
        <v>34.4</v>
      </c>
      <c r="AN131" s="135">
        <v>27.1</v>
      </c>
      <c r="AO131" s="135">
        <v>20.5</v>
      </c>
      <c r="AP131" s="135">
        <v>14.9</v>
      </c>
      <c r="AQ131" s="135">
        <v>0</v>
      </c>
      <c r="AR131" s="135">
        <v>0</v>
      </c>
      <c r="AS131" s="135">
        <v>0</v>
      </c>
      <c r="AT131" s="135">
        <v>0</v>
      </c>
      <c r="AU131" s="135">
        <v>0</v>
      </c>
      <c r="AV131" s="135">
        <v>0</v>
      </c>
      <c r="AW131" s="135">
        <v>0</v>
      </c>
      <c r="AX131" s="135">
        <v>0</v>
      </c>
    </row>
    <row r="132" spans="2:50" s="286" customFormat="1"/>
    <row r="133" spans="2:50" s="286" customFormat="1">
      <c r="C133" s="285" t="s">
        <v>1125</v>
      </c>
    </row>
    <row r="134" spans="2:50" s="286" customFormat="1">
      <c r="B134" s="316" t="s">
        <v>1442</v>
      </c>
      <c r="C134" s="287" t="s">
        <v>1226</v>
      </c>
      <c r="D134" s="317" t="s">
        <v>900</v>
      </c>
      <c r="F134" s="287"/>
      <c r="G134" s="135">
        <v>1073.4000000000001</v>
      </c>
      <c r="H134" s="135">
        <v>1108.5</v>
      </c>
      <c r="I134" s="135">
        <v>1165.7</v>
      </c>
      <c r="J134" s="135">
        <v>1065.1000000000001</v>
      </c>
      <c r="K134" s="135">
        <v>1116.5999999999999</v>
      </c>
      <c r="L134" s="135">
        <v>1046.2000000000003</v>
      </c>
      <c r="M134" s="135">
        <v>1243.2</v>
      </c>
      <c r="N134" s="135">
        <v>1195.6000000000001</v>
      </c>
      <c r="O134" s="135">
        <v>1253.2</v>
      </c>
      <c r="P134" s="135">
        <v>1216.792535348</v>
      </c>
      <c r="Q134" s="135">
        <v>1313.650334465</v>
      </c>
      <c r="R134" s="135">
        <v>1242.0994496340002</v>
      </c>
      <c r="S134" s="135">
        <v>1340.1458403315003</v>
      </c>
      <c r="T134" s="135">
        <v>1269.6815726935401</v>
      </c>
      <c r="U134" s="135">
        <v>1369.922578197215</v>
      </c>
      <c r="V134" s="135">
        <v>1298.0217408405715</v>
      </c>
      <c r="W134" s="135">
        <v>1400.5169016334594</v>
      </c>
      <c r="X134" s="135">
        <v>1327.1432426416761</v>
      </c>
      <c r="Y134" s="135">
        <v>1431.9538751908142</v>
      </c>
      <c r="Z134" s="135">
        <v>1357.070124324573</v>
      </c>
      <c r="AA134" s="135">
        <v>1464.2593764873138</v>
      </c>
      <c r="AB134" s="135">
        <v>1387.8272153167927</v>
      </c>
      <c r="AC134" s="135">
        <v>1486.4778229945218</v>
      </c>
      <c r="AD134" s="135">
        <v>1409.1530149885473</v>
      </c>
      <c r="AE134" s="135">
        <v>1509.6191018766604</v>
      </c>
      <c r="AF134" s="135">
        <v>1431.3611390329459</v>
      </c>
      <c r="AL134" s="135">
        <v>2181.9</v>
      </c>
      <c r="AM134" s="135">
        <v>2230.8000000000002</v>
      </c>
      <c r="AN134" s="135">
        <v>2162.8000000000002</v>
      </c>
      <c r="AO134" s="135">
        <v>2438.8000000000002</v>
      </c>
      <c r="AP134" s="135">
        <v>2469.9925353480003</v>
      </c>
      <c r="AQ134" s="135">
        <v>2555.749784099</v>
      </c>
      <c r="AR134" s="135">
        <v>2609.8274130250402</v>
      </c>
      <c r="AS134" s="135">
        <v>2667.9443190377865</v>
      </c>
      <c r="AT134" s="135">
        <v>2727.6601442751353</v>
      </c>
      <c r="AU134" s="135">
        <v>2789.023999515387</v>
      </c>
      <c r="AV134" s="135">
        <v>2852.0865918041063</v>
      </c>
      <c r="AW134" s="135">
        <v>2895.6308379830689</v>
      </c>
      <c r="AX134" s="135">
        <v>2940.9802409096064</v>
      </c>
    </row>
    <row r="135" spans="2:50" s="286" customFormat="1">
      <c r="B135" s="316" t="s">
        <v>1443</v>
      </c>
      <c r="C135" s="287" t="s">
        <v>1227</v>
      </c>
      <c r="D135" s="317" t="s">
        <v>900</v>
      </c>
      <c r="F135" s="287"/>
      <c r="G135" s="135">
        <v>79.599999999999994</v>
      </c>
      <c r="H135" s="135">
        <v>117.30000000000001</v>
      </c>
      <c r="I135" s="135">
        <v>108.8</v>
      </c>
      <c r="J135" s="135">
        <v>94.8</v>
      </c>
      <c r="K135" s="135">
        <v>93</v>
      </c>
      <c r="L135" s="135">
        <v>83.1</v>
      </c>
      <c r="M135" s="135">
        <v>88.1</v>
      </c>
      <c r="N135" s="135">
        <v>87.700000000000017</v>
      </c>
      <c r="O135" s="135">
        <v>91.7</v>
      </c>
      <c r="P135" s="135">
        <v>91.032600000000016</v>
      </c>
      <c r="Q135" s="135">
        <v>94.451000000000008</v>
      </c>
      <c r="R135" s="135">
        <v>93.763578000000024</v>
      </c>
      <c r="S135" s="135">
        <v>97.284530000000004</v>
      </c>
      <c r="T135" s="135">
        <v>96.576485340000033</v>
      </c>
      <c r="U135" s="135">
        <v>100.20306590000001</v>
      </c>
      <c r="V135" s="135">
        <v>99.473779900200043</v>
      </c>
      <c r="W135" s="135">
        <v>103.20915787700001</v>
      </c>
      <c r="X135" s="135">
        <v>102.45799329720604</v>
      </c>
      <c r="Y135" s="135">
        <v>106.30543261331002</v>
      </c>
      <c r="Z135" s="135">
        <v>105.53173309612222</v>
      </c>
      <c r="AA135" s="135">
        <v>109.49459559170933</v>
      </c>
      <c r="AB135" s="135">
        <v>108.69768508900589</v>
      </c>
      <c r="AC135" s="135">
        <v>112.77943345946061</v>
      </c>
      <c r="AD135" s="135">
        <v>111.95861564167606</v>
      </c>
      <c r="AE135" s="135">
        <v>116.16281646324443</v>
      </c>
      <c r="AF135" s="135">
        <v>115.31737411092635</v>
      </c>
      <c r="AL135" s="135">
        <v>196.9</v>
      </c>
      <c r="AM135" s="135">
        <v>203.6</v>
      </c>
      <c r="AN135" s="135">
        <v>176.1</v>
      </c>
      <c r="AO135" s="135">
        <v>175.8</v>
      </c>
      <c r="AP135" s="135">
        <v>182.73260000000002</v>
      </c>
      <c r="AQ135" s="135">
        <v>188.21457800000002</v>
      </c>
      <c r="AR135" s="135">
        <v>193.86101534000005</v>
      </c>
      <c r="AS135" s="135">
        <v>199.67684580020006</v>
      </c>
      <c r="AT135" s="135">
        <v>205.66715117420605</v>
      </c>
      <c r="AU135" s="135">
        <v>211.83716570943224</v>
      </c>
      <c r="AV135" s="135">
        <v>218.19228068071521</v>
      </c>
      <c r="AW135" s="135">
        <v>224.73804910113665</v>
      </c>
      <c r="AX135" s="135">
        <v>231.48019057417076</v>
      </c>
    </row>
    <row r="136" spans="2:50" s="286" customFormat="1">
      <c r="B136" s="316" t="s">
        <v>1444</v>
      </c>
      <c r="C136" s="287" t="s">
        <v>979</v>
      </c>
      <c r="D136" s="317" t="s">
        <v>900</v>
      </c>
      <c r="F136" s="287"/>
      <c r="G136" s="135">
        <v>1152.3</v>
      </c>
      <c r="H136" s="135">
        <v>1225.0000000000002</v>
      </c>
      <c r="I136" s="135">
        <v>1274.5</v>
      </c>
      <c r="J136" s="135">
        <v>1159.9000000000001</v>
      </c>
      <c r="K136" s="135">
        <v>1209.5999999999999</v>
      </c>
      <c r="L136" s="135">
        <v>1129.3000000000002</v>
      </c>
      <c r="M136" s="135">
        <v>1331.3</v>
      </c>
      <c r="N136" s="135">
        <v>1283.3</v>
      </c>
      <c r="O136" s="135">
        <v>1344.9</v>
      </c>
      <c r="P136" s="135">
        <v>1307.825135348</v>
      </c>
      <c r="Q136" s="135">
        <v>1408.101334465</v>
      </c>
      <c r="R136" s="135">
        <v>1335.8630276340002</v>
      </c>
      <c r="S136" s="135">
        <v>1437.4303703315002</v>
      </c>
      <c r="T136" s="135">
        <v>1366.2580580335402</v>
      </c>
      <c r="U136" s="135">
        <v>1470.1256440972149</v>
      </c>
      <c r="V136" s="135">
        <v>1397.4955207407716</v>
      </c>
      <c r="W136" s="135">
        <v>1503.7260595104594</v>
      </c>
      <c r="X136" s="135">
        <v>1429.6012359388822</v>
      </c>
      <c r="Y136" s="135">
        <v>1538.2593078041241</v>
      </c>
      <c r="Z136" s="135">
        <v>1462.6018574206953</v>
      </c>
      <c r="AA136" s="135">
        <v>1573.7539720790232</v>
      </c>
      <c r="AB136" s="135">
        <v>1496.5249004057987</v>
      </c>
      <c r="AC136" s="135">
        <v>1599.2572564539823</v>
      </c>
      <c r="AD136" s="135">
        <v>1521.1116306302233</v>
      </c>
      <c r="AE136" s="135">
        <v>1625.7819183399047</v>
      </c>
      <c r="AF136" s="135">
        <v>1546.6785131438721</v>
      </c>
      <c r="AL136" s="135">
        <v>2377.3000000000002</v>
      </c>
      <c r="AM136" s="135">
        <v>2434.4</v>
      </c>
      <c r="AN136" s="135">
        <v>2338.9</v>
      </c>
      <c r="AO136" s="135">
        <v>2614.6</v>
      </c>
      <c r="AP136" s="135">
        <v>2652.7251353480001</v>
      </c>
      <c r="AQ136" s="135">
        <v>2743.964362099</v>
      </c>
      <c r="AR136" s="135">
        <v>2803.6884283650406</v>
      </c>
      <c r="AS136" s="135">
        <v>2867.6211648379867</v>
      </c>
      <c r="AT136" s="135">
        <v>2933.3272954493414</v>
      </c>
      <c r="AU136" s="135">
        <v>3000.8611652248192</v>
      </c>
      <c r="AV136" s="135">
        <v>3070.2788724848219</v>
      </c>
      <c r="AW136" s="135">
        <v>3120.3688870842057</v>
      </c>
      <c r="AX136" s="135">
        <v>3172.460431483777</v>
      </c>
    </row>
    <row r="137" spans="2:50" s="286" customFormat="1"/>
    <row r="138" spans="2:50" s="286" customFormat="1">
      <c r="C138" s="285" t="s">
        <v>1126</v>
      </c>
    </row>
    <row r="139" spans="2:50" s="286" customFormat="1">
      <c r="B139" s="316" t="s">
        <v>1445</v>
      </c>
      <c r="C139" s="287" t="s">
        <v>1226</v>
      </c>
      <c r="D139" s="317" t="s">
        <v>900</v>
      </c>
      <c r="F139" s="287"/>
      <c r="G139" s="135">
        <v>137.9</v>
      </c>
      <c r="H139" s="135">
        <v>149.1</v>
      </c>
      <c r="I139" s="135">
        <v>154.4</v>
      </c>
      <c r="J139" s="135">
        <v>153.6</v>
      </c>
      <c r="K139" s="135">
        <v>134</v>
      </c>
      <c r="L139" s="135">
        <v>117.19999999999999</v>
      </c>
      <c r="M139" s="135">
        <v>156.69999999999999</v>
      </c>
      <c r="N139" s="135">
        <v>172.40000000000003</v>
      </c>
      <c r="O139" s="135">
        <v>181.4</v>
      </c>
      <c r="P139" s="135">
        <v>177.92792610898005</v>
      </c>
      <c r="Q139" s="135">
        <v>209.81163044135002</v>
      </c>
      <c r="R139" s="135">
        <v>189.10235425652814</v>
      </c>
      <c r="S139" s="135">
        <v>215.26236940994818</v>
      </c>
      <c r="T139" s="135">
        <v>192.46953074586781</v>
      </c>
      <c r="U139" s="135">
        <v>219.18298065330833</v>
      </c>
      <c r="V139" s="135">
        <v>195.94773551575412</v>
      </c>
      <c r="W139" s="135">
        <v>223.23028869031617</v>
      </c>
      <c r="X139" s="135">
        <v>199.54144454944344</v>
      </c>
      <c r="Y139" s="135">
        <v>227.40927390604929</v>
      </c>
      <c r="Z139" s="135">
        <v>203.25531450498676</v>
      </c>
      <c r="AA139" s="135">
        <v>231.7251142850584</v>
      </c>
      <c r="AB139" s="135">
        <v>207.09418981818072</v>
      </c>
      <c r="AC139" s="135">
        <v>231.87813128343475</v>
      </c>
      <c r="AD139" s="135">
        <v>207.03055132485855</v>
      </c>
      <c r="AE139" s="135">
        <v>232.17898322197266</v>
      </c>
      <c r="AF139" s="135">
        <v>207.10220018649647</v>
      </c>
      <c r="AL139" s="135">
        <v>287</v>
      </c>
      <c r="AM139" s="135">
        <v>308</v>
      </c>
      <c r="AN139" s="135">
        <v>251.2</v>
      </c>
      <c r="AO139" s="135">
        <v>329.1</v>
      </c>
      <c r="AP139" s="135">
        <v>359.32792610898002</v>
      </c>
      <c r="AQ139" s="135">
        <v>398.91398469787816</v>
      </c>
      <c r="AR139" s="135">
        <v>407.73190015581599</v>
      </c>
      <c r="AS139" s="135">
        <v>415.13071616906245</v>
      </c>
      <c r="AT139" s="135">
        <v>422.77173323975961</v>
      </c>
      <c r="AU139" s="135">
        <v>430.66458841103605</v>
      </c>
      <c r="AV139" s="135">
        <v>438.81930410323912</v>
      </c>
      <c r="AW139" s="135">
        <v>438.9086826082933</v>
      </c>
      <c r="AX139" s="135">
        <v>439.28118340846913</v>
      </c>
    </row>
    <row r="140" spans="2:50" s="286" customFormat="1">
      <c r="B140" s="316" t="s">
        <v>1446</v>
      </c>
      <c r="C140" s="287" t="s">
        <v>1227</v>
      </c>
      <c r="D140" s="317" t="s">
        <v>900</v>
      </c>
      <c r="F140" s="287"/>
      <c r="G140" s="135">
        <v>19.600000000000001</v>
      </c>
      <c r="H140" s="135">
        <v>53.6</v>
      </c>
      <c r="I140" s="135">
        <v>42.9</v>
      </c>
      <c r="J140" s="135">
        <v>40.199999999999996</v>
      </c>
      <c r="K140" s="135">
        <v>35.799999999999997</v>
      </c>
      <c r="L140" s="135">
        <v>30.700000000000003</v>
      </c>
      <c r="M140" s="135">
        <v>33.5</v>
      </c>
      <c r="N140" s="135">
        <v>28.9</v>
      </c>
      <c r="O140" s="135">
        <v>36</v>
      </c>
      <c r="P140" s="135">
        <v>33.103305121046894</v>
      </c>
      <c r="Q140" s="135">
        <v>37.08</v>
      </c>
      <c r="R140" s="135">
        <v>36.81012876772084</v>
      </c>
      <c r="S140" s="135">
        <v>38.192399999999992</v>
      </c>
      <c r="T140" s="135">
        <v>37.914432630752458</v>
      </c>
      <c r="U140" s="135">
        <v>39.338172000000007</v>
      </c>
      <c r="V140" s="135">
        <v>39.051865609675041</v>
      </c>
      <c r="W140" s="135">
        <v>40.518317159999995</v>
      </c>
      <c r="X140" s="135">
        <v>40.22342157796529</v>
      </c>
      <c r="Y140" s="135">
        <v>41.733866674800005</v>
      </c>
      <c r="Z140" s="135">
        <v>41.430124225304255</v>
      </c>
      <c r="AA140" s="135">
        <v>42.98588267504401</v>
      </c>
      <c r="AB140" s="135">
        <v>42.673027952063364</v>
      </c>
      <c r="AC140" s="135">
        <v>44.275459155295323</v>
      </c>
      <c r="AD140" s="135">
        <v>43.953218790625272</v>
      </c>
      <c r="AE140" s="135">
        <v>45.603722929954188</v>
      </c>
      <c r="AF140" s="135">
        <v>45.271815354344028</v>
      </c>
      <c r="AL140" s="135">
        <v>73.2</v>
      </c>
      <c r="AM140" s="135">
        <v>83.1</v>
      </c>
      <c r="AN140" s="135">
        <v>66.5</v>
      </c>
      <c r="AO140" s="135">
        <v>62.4</v>
      </c>
      <c r="AP140" s="135">
        <v>69.103305121046901</v>
      </c>
      <c r="AQ140" s="135">
        <v>73.890128767720839</v>
      </c>
      <c r="AR140" s="135">
        <v>76.10683263075245</v>
      </c>
      <c r="AS140" s="135">
        <v>78.390037609675048</v>
      </c>
      <c r="AT140" s="135">
        <v>80.741738737965278</v>
      </c>
      <c r="AU140" s="135">
        <v>83.163990900104267</v>
      </c>
      <c r="AV140" s="135">
        <v>85.658910627107375</v>
      </c>
      <c r="AW140" s="135">
        <v>88.228677945920595</v>
      </c>
      <c r="AX140" s="135">
        <v>90.875538284298216</v>
      </c>
    </row>
    <row r="141" spans="2:50" s="286" customFormat="1">
      <c r="B141" s="316" t="s">
        <v>1447</v>
      </c>
      <c r="C141" s="287" t="s">
        <v>979</v>
      </c>
      <c r="D141" s="317" t="s">
        <v>900</v>
      </c>
      <c r="F141" s="287"/>
      <c r="G141" s="135">
        <v>159</v>
      </c>
      <c r="H141" s="135">
        <v>201.60000000000002</v>
      </c>
      <c r="I141" s="135">
        <v>196.6</v>
      </c>
      <c r="J141" s="135">
        <v>194.4</v>
      </c>
      <c r="K141" s="135">
        <v>169.8</v>
      </c>
      <c r="L141" s="135">
        <v>147.89999999999998</v>
      </c>
      <c r="M141" s="135">
        <v>190.2</v>
      </c>
      <c r="N141" s="135">
        <v>201.3</v>
      </c>
      <c r="O141" s="135">
        <v>217.4</v>
      </c>
      <c r="P141" s="135">
        <v>211.03123123002695</v>
      </c>
      <c r="Q141" s="135">
        <v>246.89163044135</v>
      </c>
      <c r="R141" s="135">
        <v>225.91248302424898</v>
      </c>
      <c r="S141" s="135">
        <v>253.45476940994817</v>
      </c>
      <c r="T141" s="135">
        <v>230.38396337662027</v>
      </c>
      <c r="U141" s="135">
        <v>258.52115265330832</v>
      </c>
      <c r="V141" s="135">
        <v>234.99960112542917</v>
      </c>
      <c r="W141" s="135">
        <v>263.74860585031615</v>
      </c>
      <c r="X141" s="135">
        <v>239.76486612740874</v>
      </c>
      <c r="Y141" s="135">
        <v>269.14314058084932</v>
      </c>
      <c r="Z141" s="135">
        <v>244.68543873029103</v>
      </c>
      <c r="AA141" s="135">
        <v>274.71099696010242</v>
      </c>
      <c r="AB141" s="135">
        <v>249.76721777024409</v>
      </c>
      <c r="AC141" s="135">
        <v>276.15359043873008</v>
      </c>
      <c r="AD141" s="135">
        <v>250.98377011548382</v>
      </c>
      <c r="AE141" s="135">
        <v>277.78270615192685</v>
      </c>
      <c r="AF141" s="135">
        <v>252.3740155408405</v>
      </c>
      <c r="AL141" s="135">
        <v>360.6</v>
      </c>
      <c r="AM141" s="135">
        <v>391</v>
      </c>
      <c r="AN141" s="135">
        <v>317.7</v>
      </c>
      <c r="AO141" s="135">
        <v>391.5</v>
      </c>
      <c r="AP141" s="135">
        <v>428.43123123002692</v>
      </c>
      <c r="AQ141" s="135">
        <v>472.80411346559902</v>
      </c>
      <c r="AR141" s="135">
        <v>483.83873278656847</v>
      </c>
      <c r="AS141" s="135">
        <v>493.52075377873746</v>
      </c>
      <c r="AT141" s="135">
        <v>503.51347197772486</v>
      </c>
      <c r="AU141" s="135">
        <v>513.8285793111404</v>
      </c>
      <c r="AV141" s="135">
        <v>524.47821473034651</v>
      </c>
      <c r="AW141" s="135">
        <v>527.13736055421396</v>
      </c>
      <c r="AX141" s="135">
        <v>530.15672169276741</v>
      </c>
    </row>
    <row r="142" spans="2:50" s="286" customFormat="1"/>
    <row r="143" spans="2:50" s="286" customFormat="1">
      <c r="C143" s="285" t="s">
        <v>998</v>
      </c>
    </row>
    <row r="144" spans="2:50" s="286" customFormat="1">
      <c r="B144" s="316" t="s">
        <v>1448</v>
      </c>
      <c r="C144" s="287" t="s">
        <v>1</v>
      </c>
      <c r="D144" s="317" t="s">
        <v>900</v>
      </c>
      <c r="F144" s="287"/>
      <c r="G144" s="135"/>
      <c r="H144" s="135"/>
      <c r="I144" s="135">
        <v>1274.5</v>
      </c>
      <c r="J144" s="135">
        <v>1159.9000000000001</v>
      </c>
      <c r="K144" s="135">
        <v>1209.5999999999999</v>
      </c>
      <c r="L144" s="135">
        <v>1129.3000000000002</v>
      </c>
      <c r="M144" s="135">
        <v>1331.3</v>
      </c>
      <c r="N144" s="135">
        <v>1283.3</v>
      </c>
      <c r="O144" s="135">
        <v>1344.9</v>
      </c>
      <c r="P144" s="135">
        <v>1307.825135348</v>
      </c>
      <c r="Q144" s="135">
        <v>1408.101334465</v>
      </c>
      <c r="R144" s="135">
        <v>1335.8630276340002</v>
      </c>
      <c r="S144" s="135">
        <v>1437.4303703315002</v>
      </c>
      <c r="T144" s="135">
        <v>1366.2580580335402</v>
      </c>
      <c r="U144" s="135">
        <v>1470.1256440972149</v>
      </c>
      <c r="V144" s="135">
        <v>1397.4955207407716</v>
      </c>
      <c r="W144" s="135">
        <v>1503.7260595104594</v>
      </c>
      <c r="X144" s="135">
        <v>1429.6012359388822</v>
      </c>
      <c r="Y144" s="135">
        <v>1538.2593078041241</v>
      </c>
      <c r="Z144" s="135">
        <v>1462.6018574206953</v>
      </c>
      <c r="AA144" s="135">
        <v>1573.7539720790232</v>
      </c>
      <c r="AB144" s="135">
        <v>1496.5249004057987</v>
      </c>
      <c r="AC144" s="135">
        <v>1599.2572564539823</v>
      </c>
      <c r="AD144" s="135">
        <v>1521.1116306302233</v>
      </c>
      <c r="AE144" s="135">
        <v>1625.7819183399047</v>
      </c>
      <c r="AF144" s="135">
        <v>1546.6785131438721</v>
      </c>
      <c r="AL144" s="135"/>
      <c r="AM144" s="135">
        <v>2434.4</v>
      </c>
      <c r="AN144" s="135">
        <v>2338.9</v>
      </c>
      <c r="AO144" s="135">
        <v>2614.6</v>
      </c>
      <c r="AP144" s="135">
        <v>2652.7251353480001</v>
      </c>
      <c r="AQ144" s="135">
        <v>2743.964362099</v>
      </c>
      <c r="AR144" s="135">
        <v>2803.6884283650406</v>
      </c>
      <c r="AS144" s="135">
        <v>2867.6211648379867</v>
      </c>
      <c r="AT144" s="135">
        <v>2933.3272954493414</v>
      </c>
      <c r="AU144" s="135">
        <v>3000.8611652248192</v>
      </c>
      <c r="AV144" s="135">
        <v>3070.2788724848219</v>
      </c>
      <c r="AW144" s="135">
        <v>3120.3688870842057</v>
      </c>
      <c r="AX144" s="135">
        <v>3172.460431483777</v>
      </c>
    </row>
    <row r="145" spans="2:50" s="286" customFormat="1">
      <c r="B145" s="316" t="s">
        <v>1449</v>
      </c>
      <c r="C145" s="287" t="s">
        <v>1272</v>
      </c>
      <c r="D145" s="317" t="s">
        <v>900</v>
      </c>
      <c r="F145" s="287"/>
      <c r="G145" s="135"/>
      <c r="H145" s="135"/>
      <c r="I145" s="135">
        <v>-774.80000000000007</v>
      </c>
      <c r="J145" s="135">
        <v>-691.40000000000009</v>
      </c>
      <c r="K145" s="135">
        <v>-723.99999999999989</v>
      </c>
      <c r="L145" s="135">
        <v>-683.20000000000016</v>
      </c>
      <c r="M145" s="135">
        <v>-786.9</v>
      </c>
      <c r="N145" s="135">
        <v>-739.00000000000023</v>
      </c>
      <c r="O145" s="135">
        <v>-777.30000000000007</v>
      </c>
      <c r="P145" s="135">
        <v>-749.8164921179731</v>
      </c>
      <c r="Q145" s="135">
        <v>-802.87170402364995</v>
      </c>
      <c r="R145" s="135">
        <v>-756.73022074279379</v>
      </c>
      <c r="S145" s="135">
        <v>-816.40002092155214</v>
      </c>
      <c r="T145" s="135">
        <v>-773.54616422395372</v>
      </c>
      <c r="U145" s="135">
        <v>-834.55201804390663</v>
      </c>
      <c r="V145" s="135">
        <v>-790.82437949813732</v>
      </c>
      <c r="W145" s="135">
        <v>-853.20253940814325</v>
      </c>
      <c r="X145" s="135">
        <v>-808.57906742522096</v>
      </c>
      <c r="Y145" s="135">
        <v>-872.36686722746492</v>
      </c>
      <c r="Z145" s="135">
        <v>-826.82489076539468</v>
      </c>
      <c r="AA145" s="135">
        <v>-892.06077934908024</v>
      </c>
      <c r="AB145" s="135">
        <v>-845.57698974394589</v>
      </c>
      <c r="AC145" s="135">
        <v>-905.62332717880656</v>
      </c>
      <c r="AD145" s="135">
        <v>-858.59641722931269</v>
      </c>
      <c r="AE145" s="135">
        <v>-919.74856906309083</v>
      </c>
      <c r="AF145" s="135">
        <v>-872.15389817179539</v>
      </c>
      <c r="AL145" s="135"/>
      <c r="AM145" s="135">
        <v>-1466.2000000000003</v>
      </c>
      <c r="AN145" s="135">
        <v>-1407.2</v>
      </c>
      <c r="AO145" s="135">
        <v>-1525.9</v>
      </c>
      <c r="AP145" s="135">
        <v>-1527.1164921179732</v>
      </c>
      <c r="AQ145" s="135">
        <v>-1559.6019247664437</v>
      </c>
      <c r="AR145" s="135">
        <v>-1589.9461851455058</v>
      </c>
      <c r="AS145" s="135">
        <v>-1625.3763975420438</v>
      </c>
      <c r="AT145" s="135">
        <v>-1661.7816068333641</v>
      </c>
      <c r="AU145" s="135">
        <v>-1699.1917579928595</v>
      </c>
      <c r="AV145" s="135">
        <v>-1737.6377690930262</v>
      </c>
      <c r="AW145" s="135">
        <v>-1764.2197444081194</v>
      </c>
      <c r="AX145" s="135">
        <v>-1791.9024672348862</v>
      </c>
    </row>
    <row r="146" spans="2:50" s="286" customFormat="1">
      <c r="B146" s="316" t="s">
        <v>1450</v>
      </c>
      <c r="C146" s="287" t="s">
        <v>1218</v>
      </c>
      <c r="D146" s="317" t="s">
        <v>900</v>
      </c>
      <c r="F146" s="287"/>
      <c r="G146" s="135"/>
      <c r="H146" s="135"/>
      <c r="I146" s="135">
        <v>499.7</v>
      </c>
      <c r="J146" s="135">
        <v>468.7</v>
      </c>
      <c r="K146" s="135">
        <v>485.6</v>
      </c>
      <c r="L146" s="135">
        <v>446.1</v>
      </c>
      <c r="M146" s="135">
        <v>544.4</v>
      </c>
      <c r="N146" s="135">
        <v>544.30000000000007</v>
      </c>
      <c r="O146" s="135">
        <v>567.6</v>
      </c>
      <c r="P146" s="135">
        <v>558.00864323002691</v>
      </c>
      <c r="Q146" s="135">
        <v>605.22963044135008</v>
      </c>
      <c r="R146" s="135">
        <v>579.13280689120643</v>
      </c>
      <c r="S146" s="135">
        <v>621.03034940994814</v>
      </c>
      <c r="T146" s="135">
        <v>592.7118938095864</v>
      </c>
      <c r="U146" s="135">
        <v>635.57362605330832</v>
      </c>
      <c r="V146" s="135">
        <v>606.67114124263423</v>
      </c>
      <c r="W146" s="135">
        <v>650.52352010231618</v>
      </c>
      <c r="X146" s="135">
        <v>621.0221685136612</v>
      </c>
      <c r="Y146" s="135">
        <v>665.89244057665928</v>
      </c>
      <c r="Z146" s="135">
        <v>635.77696665530061</v>
      </c>
      <c r="AA146" s="135">
        <v>681.69319272994289</v>
      </c>
      <c r="AB146" s="135">
        <v>650.94791066185269</v>
      </c>
      <c r="AC146" s="135">
        <v>693.63392927517589</v>
      </c>
      <c r="AD146" s="135">
        <v>662.51521340091062</v>
      </c>
      <c r="AE146" s="135">
        <v>706.03334927681396</v>
      </c>
      <c r="AF146" s="135">
        <v>674.52461497207685</v>
      </c>
      <c r="AL146" s="135"/>
      <c r="AM146" s="135">
        <v>968.4</v>
      </c>
      <c r="AN146" s="135">
        <v>931.7</v>
      </c>
      <c r="AO146" s="135">
        <v>1088.7</v>
      </c>
      <c r="AP146" s="135">
        <v>1125.6086432300269</v>
      </c>
      <c r="AQ146" s="135">
        <v>1184.3624373325565</v>
      </c>
      <c r="AR146" s="135">
        <v>1213.7422432195344</v>
      </c>
      <c r="AS146" s="135">
        <v>1242.2447672959424</v>
      </c>
      <c r="AT146" s="135">
        <v>1271.5456886159773</v>
      </c>
      <c r="AU146" s="135">
        <v>1301.6694072319599</v>
      </c>
      <c r="AV146" s="135">
        <v>1332.6411033917957</v>
      </c>
      <c r="AW146" s="135">
        <v>1356.1491426760865</v>
      </c>
      <c r="AX146" s="135">
        <v>1380.5579642488908</v>
      </c>
    </row>
    <row r="147" spans="2:50" s="286" customFormat="1">
      <c r="B147" s="316" t="s">
        <v>1451</v>
      </c>
      <c r="C147" s="287" t="s">
        <v>4</v>
      </c>
      <c r="D147" s="317" t="s">
        <v>900</v>
      </c>
      <c r="F147" s="287"/>
      <c r="G147" s="135"/>
      <c r="H147" s="135"/>
      <c r="I147" s="135">
        <v>-303.10000000000002</v>
      </c>
      <c r="J147" s="135">
        <v>-274.29999999999995</v>
      </c>
      <c r="K147" s="135">
        <v>-315.8</v>
      </c>
      <c r="L147" s="135">
        <v>-298.2</v>
      </c>
      <c r="M147" s="135">
        <v>-354.2</v>
      </c>
      <c r="N147" s="135">
        <v>-343.00000000000006</v>
      </c>
      <c r="O147" s="135">
        <v>-350.2</v>
      </c>
      <c r="P147" s="135">
        <v>-346.97741200000002</v>
      </c>
      <c r="Q147" s="135">
        <v>-358.33800000000002</v>
      </c>
      <c r="R147" s="135">
        <v>-353.22032386695741</v>
      </c>
      <c r="S147" s="135">
        <v>-367.57558</v>
      </c>
      <c r="T147" s="135">
        <v>-362.32793043296613</v>
      </c>
      <c r="U147" s="135">
        <v>-377.0524734</v>
      </c>
      <c r="V147" s="135">
        <v>-371.6715401172051</v>
      </c>
      <c r="W147" s="135">
        <v>-386.77491425199997</v>
      </c>
      <c r="X147" s="135">
        <v>-381.25730238625249</v>
      </c>
      <c r="Y147" s="135">
        <v>-396.74929999580996</v>
      </c>
      <c r="Z147" s="135">
        <v>-391.09152792500959</v>
      </c>
      <c r="AA147" s="135">
        <v>-406.98219576984047</v>
      </c>
      <c r="AB147" s="135">
        <v>-401.1806928916086</v>
      </c>
      <c r="AC147" s="135">
        <v>-417.48033883644587</v>
      </c>
      <c r="AD147" s="135">
        <v>-411.5314432854268</v>
      </c>
      <c r="AE147" s="135">
        <v>-428.25064312488706</v>
      </c>
      <c r="AF147" s="135">
        <v>-422.15059943123629</v>
      </c>
      <c r="AL147" s="135"/>
      <c r="AM147" s="135">
        <v>-577.4</v>
      </c>
      <c r="AN147" s="135">
        <v>-614</v>
      </c>
      <c r="AO147" s="135">
        <v>-697.2</v>
      </c>
      <c r="AP147" s="135">
        <v>-697.177412</v>
      </c>
      <c r="AQ147" s="135">
        <v>-711.55832386695738</v>
      </c>
      <c r="AR147" s="135">
        <v>-729.90351043296619</v>
      </c>
      <c r="AS147" s="135">
        <v>-748.72401351720509</v>
      </c>
      <c r="AT147" s="135">
        <v>-768.03221663825252</v>
      </c>
      <c r="AU147" s="135">
        <v>-787.84082792081949</v>
      </c>
      <c r="AV147" s="135">
        <v>-808.16288866144907</v>
      </c>
      <c r="AW147" s="135">
        <v>-829.01178212187267</v>
      </c>
      <c r="AX147" s="135">
        <v>-850.40124255612341</v>
      </c>
    </row>
    <row r="148" spans="2:50" s="286" customFormat="1">
      <c r="B148" s="316" t="s">
        <v>1452</v>
      </c>
      <c r="C148" s="287" t="s">
        <v>2</v>
      </c>
      <c r="D148" s="317" t="s">
        <v>900</v>
      </c>
      <c r="F148" s="287"/>
      <c r="G148" s="135"/>
      <c r="H148" s="135"/>
      <c r="I148" s="135">
        <v>196.6</v>
      </c>
      <c r="J148" s="135">
        <v>194.4</v>
      </c>
      <c r="K148" s="135">
        <v>169.8</v>
      </c>
      <c r="L148" s="135">
        <v>147.89999999999998</v>
      </c>
      <c r="M148" s="135">
        <v>190.2</v>
      </c>
      <c r="N148" s="135">
        <v>201.3</v>
      </c>
      <c r="O148" s="135">
        <v>217.4</v>
      </c>
      <c r="P148" s="135">
        <v>211.03123123002695</v>
      </c>
      <c r="Q148" s="135">
        <v>246.89163044135</v>
      </c>
      <c r="R148" s="135">
        <v>225.91248302424898</v>
      </c>
      <c r="S148" s="135">
        <v>253.45476940994817</v>
      </c>
      <c r="T148" s="135">
        <v>230.38396337662027</v>
      </c>
      <c r="U148" s="135">
        <v>258.52115265330832</v>
      </c>
      <c r="V148" s="135">
        <v>234.99960112542917</v>
      </c>
      <c r="W148" s="135">
        <v>263.74860585031615</v>
      </c>
      <c r="X148" s="135">
        <v>239.76486612740874</v>
      </c>
      <c r="Y148" s="135">
        <v>269.14314058084932</v>
      </c>
      <c r="Z148" s="135">
        <v>244.68543873029103</v>
      </c>
      <c r="AA148" s="135">
        <v>274.71099696010242</v>
      </c>
      <c r="AB148" s="135">
        <v>249.76721777024409</v>
      </c>
      <c r="AC148" s="135">
        <v>276.15359043873008</v>
      </c>
      <c r="AD148" s="135">
        <v>250.98377011548382</v>
      </c>
      <c r="AE148" s="135">
        <v>277.78270615192685</v>
      </c>
      <c r="AF148" s="135">
        <v>252.3740155408405</v>
      </c>
      <c r="AL148" s="135"/>
      <c r="AM148" s="135">
        <v>391</v>
      </c>
      <c r="AN148" s="135">
        <v>317.7</v>
      </c>
      <c r="AO148" s="135">
        <v>391.5</v>
      </c>
      <c r="AP148" s="135">
        <v>428.43123123002692</v>
      </c>
      <c r="AQ148" s="135">
        <v>472.80411346559902</v>
      </c>
      <c r="AR148" s="135">
        <v>483.83873278656847</v>
      </c>
      <c r="AS148" s="135">
        <v>493.52075377873746</v>
      </c>
      <c r="AT148" s="135">
        <v>503.51347197772486</v>
      </c>
      <c r="AU148" s="135">
        <v>513.8285793111404</v>
      </c>
      <c r="AV148" s="135">
        <v>524.47821473034651</v>
      </c>
      <c r="AW148" s="135">
        <v>527.13736055421396</v>
      </c>
      <c r="AX148" s="135">
        <v>530.15672169276741</v>
      </c>
    </row>
    <row r="149" spans="2:50" s="286" customFormat="1">
      <c r="B149" s="316" t="s">
        <v>1453</v>
      </c>
      <c r="C149" s="287" t="s">
        <v>48</v>
      </c>
      <c r="D149" s="317" t="s">
        <v>900</v>
      </c>
      <c r="F149" s="287"/>
      <c r="G149" s="135"/>
      <c r="H149" s="135"/>
      <c r="I149" s="135">
        <v>-123.39999999999998</v>
      </c>
      <c r="J149" s="135">
        <v>-117.10000000000002</v>
      </c>
      <c r="K149" s="135">
        <v>-119.80000000000001</v>
      </c>
      <c r="L149" s="135">
        <v>-100.49999999999997</v>
      </c>
      <c r="M149" s="135">
        <v>-97.499999999999986</v>
      </c>
      <c r="N149" s="135">
        <v>-105.30000000000001</v>
      </c>
      <c r="O149" s="135">
        <v>-107.20000000000002</v>
      </c>
      <c r="P149" s="135">
        <v>-108.50588235294123</v>
      </c>
      <c r="Q149" s="135">
        <v>-109.03132595584884</v>
      </c>
      <c r="R149" s="135">
        <v>-109.75449106201134</v>
      </c>
      <c r="S149" s="135">
        <v>-108.20560818506272</v>
      </c>
      <c r="T149" s="135">
        <v>-108.52831397583535</v>
      </c>
      <c r="U149" s="135">
        <v>-107.80316636766527</v>
      </c>
      <c r="V149" s="135">
        <v>-105.91253713519808</v>
      </c>
      <c r="W149" s="135">
        <v>-104.13927877215718</v>
      </c>
      <c r="X149" s="135">
        <v>-102.88074945349531</v>
      </c>
      <c r="Y149" s="135">
        <v>-101.64376899722326</v>
      </c>
      <c r="Z149" s="135">
        <v>-100.84883582950147</v>
      </c>
      <c r="AA149" s="135">
        <v>-100.00425284570953</v>
      </c>
      <c r="AB149" s="135">
        <v>-99.550288682380369</v>
      </c>
      <c r="AC149" s="135">
        <v>-98.993367491465307</v>
      </c>
      <c r="AD149" s="135">
        <v>-98.765312446356049</v>
      </c>
      <c r="AE149" s="135">
        <v>-98.398658335053796</v>
      </c>
      <c r="AF149" s="135">
        <v>-98.33715381641548</v>
      </c>
      <c r="AL149" s="135"/>
      <c r="AM149" s="135">
        <v>-240.5</v>
      </c>
      <c r="AN149" s="135">
        <v>-220.29999999999998</v>
      </c>
      <c r="AO149" s="135">
        <v>-202.8</v>
      </c>
      <c r="AP149" s="135">
        <v>-215.70588235294125</v>
      </c>
      <c r="AQ149" s="135">
        <v>-218.78581701786018</v>
      </c>
      <c r="AR149" s="135">
        <v>-216.73392216089806</v>
      </c>
      <c r="AS149" s="135">
        <v>-213.71570350286333</v>
      </c>
      <c r="AT149" s="135">
        <v>-207.02002822565248</v>
      </c>
      <c r="AU149" s="135">
        <v>-202.49260482672474</v>
      </c>
      <c r="AV149" s="135">
        <v>-199.55454152808989</v>
      </c>
      <c r="AW149" s="135">
        <v>-197.75867993782134</v>
      </c>
      <c r="AX149" s="135">
        <v>-196.73581215146928</v>
      </c>
    </row>
    <row r="150" spans="2:50" s="286" customFormat="1">
      <c r="B150" s="316" t="s">
        <v>1454</v>
      </c>
      <c r="C150" s="287" t="s">
        <v>10</v>
      </c>
      <c r="D150" s="317" t="s">
        <v>900</v>
      </c>
      <c r="F150" s="287"/>
      <c r="G150" s="135"/>
      <c r="H150" s="135"/>
      <c r="I150" s="135">
        <v>73.2</v>
      </c>
      <c r="J150" s="135">
        <v>77.3</v>
      </c>
      <c r="K150" s="135">
        <v>50</v>
      </c>
      <c r="L150" s="135">
        <v>47.400000000000006</v>
      </c>
      <c r="M150" s="135">
        <v>92.7</v>
      </c>
      <c r="N150" s="135">
        <v>95.999999999999986</v>
      </c>
      <c r="O150" s="135">
        <v>110.2</v>
      </c>
      <c r="P150" s="135">
        <v>102.52534887708572</v>
      </c>
      <c r="Q150" s="135">
        <v>137.86030448550116</v>
      </c>
      <c r="R150" s="135">
        <v>116.15799196223765</v>
      </c>
      <c r="S150" s="135">
        <v>145.24916122488546</v>
      </c>
      <c r="T150" s="135">
        <v>121.85564940078493</v>
      </c>
      <c r="U150" s="135">
        <v>150.71798628564306</v>
      </c>
      <c r="V150" s="135">
        <v>129.08706399023109</v>
      </c>
      <c r="W150" s="135">
        <v>159.60932707815897</v>
      </c>
      <c r="X150" s="135">
        <v>136.88411667391341</v>
      </c>
      <c r="Y150" s="135">
        <v>167.49937158362604</v>
      </c>
      <c r="Z150" s="135">
        <v>143.83660290078956</v>
      </c>
      <c r="AA150" s="135">
        <v>174.7067441143929</v>
      </c>
      <c r="AB150" s="135">
        <v>150.21692908786372</v>
      </c>
      <c r="AC150" s="135">
        <v>177.16022294726477</v>
      </c>
      <c r="AD150" s="135">
        <v>152.21845766912776</v>
      </c>
      <c r="AE150" s="135">
        <v>179.38404781687305</v>
      </c>
      <c r="AF150" s="135">
        <v>154.03686172442502</v>
      </c>
      <c r="AL150" s="135"/>
      <c r="AM150" s="135">
        <v>150.5</v>
      </c>
      <c r="AN150" s="135">
        <v>97.4</v>
      </c>
      <c r="AO150" s="135">
        <v>188.7</v>
      </c>
      <c r="AP150" s="135">
        <v>212.72534887708571</v>
      </c>
      <c r="AQ150" s="135">
        <v>254.01829644773881</v>
      </c>
      <c r="AR150" s="135">
        <v>267.10481062567038</v>
      </c>
      <c r="AS150" s="135">
        <v>279.80505027587412</v>
      </c>
      <c r="AT150" s="135">
        <v>296.49344375207238</v>
      </c>
      <c r="AU150" s="135">
        <v>311.3359744844156</v>
      </c>
      <c r="AV150" s="135">
        <v>324.92367320225662</v>
      </c>
      <c r="AW150" s="135">
        <v>329.37868061639256</v>
      </c>
      <c r="AX150" s="135">
        <v>333.4209095412981</v>
      </c>
    </row>
    <row r="151" spans="2:50" s="286" customFormat="1">
      <c r="B151" s="316" t="s">
        <v>1455</v>
      </c>
      <c r="C151" s="287" t="s">
        <v>1234</v>
      </c>
      <c r="D151" s="317" t="s">
        <v>900</v>
      </c>
      <c r="F151" s="287"/>
      <c r="G151" s="135"/>
      <c r="H151" s="135"/>
      <c r="I151" s="135">
        <v>-1.2</v>
      </c>
      <c r="J151" s="135">
        <v>-1.5000000000000002</v>
      </c>
      <c r="K151" s="135">
        <v>-2.8</v>
      </c>
      <c r="L151" s="135">
        <v>-0.40000000000000036</v>
      </c>
      <c r="M151" s="135">
        <v>-0.5</v>
      </c>
      <c r="N151" s="135">
        <v>4.3</v>
      </c>
      <c r="O151" s="135">
        <v>-4.5999999999999996</v>
      </c>
      <c r="P151" s="135">
        <v>0</v>
      </c>
      <c r="Q151" s="135">
        <v>4</v>
      </c>
      <c r="R151" s="135">
        <v>8</v>
      </c>
      <c r="S151" s="135">
        <v>10</v>
      </c>
      <c r="T151" s="135">
        <v>12</v>
      </c>
      <c r="U151" s="135">
        <v>14</v>
      </c>
      <c r="V151" s="135">
        <v>16</v>
      </c>
      <c r="W151" s="135">
        <v>14.42</v>
      </c>
      <c r="X151" s="135">
        <v>16.48</v>
      </c>
      <c r="Y151" s="135">
        <v>14.852600000000001</v>
      </c>
      <c r="Z151" s="135">
        <v>16.974399999999999</v>
      </c>
      <c r="AA151" s="135">
        <v>15.298178000000002</v>
      </c>
      <c r="AB151" s="135">
        <v>17.483632</v>
      </c>
      <c r="AC151" s="135">
        <v>15.757123340000001</v>
      </c>
      <c r="AD151" s="135">
        <v>18.008140960000002</v>
      </c>
      <c r="AE151" s="135">
        <v>16.229837040200003</v>
      </c>
      <c r="AF151" s="135">
        <v>18.548385188800001</v>
      </c>
      <c r="AL151" s="135"/>
      <c r="AM151" s="135">
        <v>-2.7</v>
      </c>
      <c r="AN151" s="135">
        <v>-3.2</v>
      </c>
      <c r="AO151" s="135">
        <v>3.8</v>
      </c>
      <c r="AP151" s="135">
        <v>-4.5999999999999996</v>
      </c>
      <c r="AQ151" s="135">
        <v>12</v>
      </c>
      <c r="AR151" s="135">
        <v>22</v>
      </c>
      <c r="AS151" s="135">
        <v>30</v>
      </c>
      <c r="AT151" s="135">
        <v>30.9</v>
      </c>
      <c r="AU151" s="135">
        <v>31.826999999999998</v>
      </c>
      <c r="AV151" s="135">
        <v>32.78181</v>
      </c>
      <c r="AW151" s="135">
        <v>33.765264300000005</v>
      </c>
      <c r="AX151" s="135">
        <v>34.778222229000008</v>
      </c>
    </row>
    <row r="152" spans="2:50" s="286" customFormat="1">
      <c r="B152" s="316" t="s">
        <v>1128</v>
      </c>
      <c r="C152" s="287" t="s">
        <v>1080</v>
      </c>
      <c r="D152" s="317" t="s">
        <v>900</v>
      </c>
      <c r="F152" s="287"/>
      <c r="G152" s="135"/>
      <c r="H152" s="135"/>
      <c r="I152" s="135">
        <v>-12.9</v>
      </c>
      <c r="J152" s="135">
        <v>-19.600000000000001</v>
      </c>
      <c r="K152" s="135">
        <v>-20.9</v>
      </c>
      <c r="L152" s="135">
        <v>-21.3</v>
      </c>
      <c r="M152" s="135">
        <v>-46</v>
      </c>
      <c r="N152" s="135">
        <v>-45.5</v>
      </c>
      <c r="O152" s="135">
        <v>-42.9</v>
      </c>
      <c r="P152" s="135">
        <v>-30.534710958904114</v>
      </c>
      <c r="Q152" s="135">
        <v>-33.837700784510439</v>
      </c>
      <c r="R152" s="135">
        <v>-32.795826965392642</v>
      </c>
      <c r="S152" s="135">
        <v>-33.024727872007702</v>
      </c>
      <c r="T152" s="135">
        <v>-31.615693511090619</v>
      </c>
      <c r="U152" s="135">
        <v>-31.331820119263504</v>
      </c>
      <c r="V152" s="135">
        <v>-29.688285515657416</v>
      </c>
      <c r="W152" s="135">
        <v>-29.378126292227535</v>
      </c>
      <c r="X152" s="135">
        <v>-27.69393415058267</v>
      </c>
      <c r="Y152" s="135">
        <v>-27.271622930668428</v>
      </c>
      <c r="Z152" s="135">
        <v>-25.60510500399203</v>
      </c>
      <c r="AA152" s="135">
        <v>-25.141604709712848</v>
      </c>
      <c r="AB152" s="135">
        <v>-22.935825488292721</v>
      </c>
      <c r="AC152" s="135">
        <v>-21.846927169534972</v>
      </c>
      <c r="AD152" s="135">
        <v>-19.59517731204248</v>
      </c>
      <c r="AE152" s="135">
        <v>-18.454862249051029</v>
      </c>
      <c r="AF152" s="135">
        <v>-16.247539254909771</v>
      </c>
      <c r="AL152" s="135"/>
      <c r="AM152" s="135">
        <v>-32.5</v>
      </c>
      <c r="AN152" s="135">
        <v>-42.2</v>
      </c>
      <c r="AO152" s="135">
        <v>-91.5</v>
      </c>
      <c r="AP152" s="135">
        <v>-73.434710958904105</v>
      </c>
      <c r="AQ152" s="135">
        <v>-66.633527749903081</v>
      </c>
      <c r="AR152" s="135">
        <v>-64.640421383098328</v>
      </c>
      <c r="AS152" s="135">
        <v>-61.020105634920924</v>
      </c>
      <c r="AT152" s="135">
        <v>-57.072060442810205</v>
      </c>
      <c r="AU152" s="135">
        <v>-52.876727934660458</v>
      </c>
      <c r="AV152" s="135">
        <v>-48.077430198005572</v>
      </c>
      <c r="AW152" s="135">
        <v>-41.442104481577452</v>
      </c>
      <c r="AX152" s="135">
        <v>-34.7024015039608</v>
      </c>
    </row>
    <row r="153" spans="2:50" s="286" customFormat="1">
      <c r="B153" s="316" t="s">
        <v>1129</v>
      </c>
      <c r="C153" s="287" t="s">
        <v>13</v>
      </c>
      <c r="D153" s="317" t="s">
        <v>900</v>
      </c>
      <c r="G153" s="135"/>
      <c r="H153" s="135"/>
      <c r="I153" s="135">
        <v>59.1</v>
      </c>
      <c r="J153" s="135">
        <v>56.199999999999996</v>
      </c>
      <c r="K153" s="135">
        <v>26.300000000000004</v>
      </c>
      <c r="L153" s="135">
        <v>25.700000000000003</v>
      </c>
      <c r="M153" s="135">
        <v>46.2</v>
      </c>
      <c r="N153" s="135">
        <v>54.799999999999983</v>
      </c>
      <c r="O153" s="135">
        <v>62.70000000000001</v>
      </c>
      <c r="P153" s="135">
        <v>71.990637918181605</v>
      </c>
      <c r="Q153" s="135">
        <v>108.02260370099071</v>
      </c>
      <c r="R153" s="135">
        <v>91.362164996844996</v>
      </c>
      <c r="S153" s="135">
        <v>122.22443335287775</v>
      </c>
      <c r="T153" s="135">
        <v>102.2399558896943</v>
      </c>
      <c r="U153" s="135">
        <v>133.38616616637955</v>
      </c>
      <c r="V153" s="135">
        <v>115.39877847457367</v>
      </c>
      <c r="W153" s="135">
        <v>144.65120078593142</v>
      </c>
      <c r="X153" s="135">
        <v>125.67018252333074</v>
      </c>
      <c r="Y153" s="135">
        <v>155.08034865295761</v>
      </c>
      <c r="Z153" s="135">
        <v>135.20589789679752</v>
      </c>
      <c r="AA153" s="135">
        <v>164.86331740468006</v>
      </c>
      <c r="AB153" s="135">
        <v>144.764735599571</v>
      </c>
      <c r="AC153" s="135">
        <v>171.07041911772978</v>
      </c>
      <c r="AD153" s="135">
        <v>150.63142131708526</v>
      </c>
      <c r="AE153" s="135">
        <v>177.15902260802204</v>
      </c>
      <c r="AF153" s="135">
        <v>156.33770765831525</v>
      </c>
      <c r="AL153" s="135"/>
      <c r="AM153" s="135">
        <v>115.3</v>
      </c>
      <c r="AN153" s="135">
        <v>52.000000000000007</v>
      </c>
      <c r="AO153" s="135">
        <v>100.99999999999999</v>
      </c>
      <c r="AP153" s="135">
        <v>134.69063791818161</v>
      </c>
      <c r="AQ153" s="135">
        <v>199.38476869783571</v>
      </c>
      <c r="AR153" s="135">
        <v>224.46438924257205</v>
      </c>
      <c r="AS153" s="135">
        <v>248.78494464095323</v>
      </c>
      <c r="AT153" s="135">
        <v>270.32138330926216</v>
      </c>
      <c r="AU153" s="135">
        <v>290.28624654975511</v>
      </c>
      <c r="AV153" s="135">
        <v>309.62805300425106</v>
      </c>
      <c r="AW153" s="135">
        <v>321.70184043481504</v>
      </c>
      <c r="AX153" s="135">
        <v>333.49673026633729</v>
      </c>
    </row>
    <row r="154" spans="2:50" s="286" customFormat="1">
      <c r="B154" s="316" t="s">
        <v>1456</v>
      </c>
      <c r="C154" s="287" t="s">
        <v>14</v>
      </c>
      <c r="D154" s="317" t="s">
        <v>900</v>
      </c>
      <c r="G154" s="135"/>
      <c r="H154" s="135"/>
      <c r="I154" s="135">
        <v>-11.8</v>
      </c>
      <c r="J154" s="135">
        <v>-19.2</v>
      </c>
      <c r="K154" s="135">
        <v>-8.6999999999999993</v>
      </c>
      <c r="L154" s="135">
        <v>-15.3</v>
      </c>
      <c r="M154" s="135">
        <v>-24.1</v>
      </c>
      <c r="N154" s="135">
        <v>-27.4</v>
      </c>
      <c r="O154" s="135">
        <v>-27</v>
      </c>
      <c r="P154" s="135">
        <v>-32.395787063181722</v>
      </c>
      <c r="Q154" s="135">
        <v>-43.209041480396287</v>
      </c>
      <c r="R154" s="135">
        <v>-38.3721092986749</v>
      </c>
      <c r="S154" s="135">
        <v>-46.44528467409355</v>
      </c>
      <c r="T154" s="135">
        <v>-40.89598235587772</v>
      </c>
      <c r="U154" s="135">
        <v>-40.015849849913863</v>
      </c>
      <c r="V154" s="135">
        <v>-34.6196335423721</v>
      </c>
      <c r="W154" s="135">
        <v>-43.395360235779428</v>
      </c>
      <c r="X154" s="135">
        <v>-37.70105475699922</v>
      </c>
      <c r="Y154" s="135">
        <v>-46.52410459588728</v>
      </c>
      <c r="Z154" s="135">
        <v>-40.561769369039254</v>
      </c>
      <c r="AA154" s="135">
        <v>-49.458995221404017</v>
      </c>
      <c r="AB154" s="135">
        <v>-43.429420679871299</v>
      </c>
      <c r="AC154" s="135">
        <v>-51.321125735318937</v>
      </c>
      <c r="AD154" s="135">
        <v>-45.189426395125572</v>
      </c>
      <c r="AE154" s="135">
        <v>-53.147706782406608</v>
      </c>
      <c r="AF154" s="135">
        <v>-46.901312297494577</v>
      </c>
      <c r="AL154" s="135"/>
      <c r="AM154" s="135">
        <v>-31</v>
      </c>
      <c r="AN154" s="135">
        <v>-24</v>
      </c>
      <c r="AO154" s="135">
        <v>-51.5</v>
      </c>
      <c r="AP154" s="135">
        <v>-59.395787063181722</v>
      </c>
      <c r="AQ154" s="135">
        <v>-81.58115077907118</v>
      </c>
      <c r="AR154" s="135">
        <v>-87.341267029971277</v>
      </c>
      <c r="AS154" s="135">
        <v>-74.635483392285963</v>
      </c>
      <c r="AT154" s="135">
        <v>-81.096414992778648</v>
      </c>
      <c r="AU154" s="135">
        <v>-87.085873964926535</v>
      </c>
      <c r="AV154" s="135">
        <v>-92.888415901275323</v>
      </c>
      <c r="AW154" s="135">
        <v>-96.510552130444509</v>
      </c>
      <c r="AX154" s="135">
        <v>-100.04901907990119</v>
      </c>
    </row>
    <row r="155" spans="2:50" s="286" customFormat="1">
      <c r="B155" s="316" t="s">
        <v>1457</v>
      </c>
      <c r="C155" s="287" t="s">
        <v>1228</v>
      </c>
      <c r="D155" s="317" t="s">
        <v>900</v>
      </c>
      <c r="G155" s="135"/>
      <c r="H155" s="135"/>
      <c r="I155" s="135">
        <v>47.3</v>
      </c>
      <c r="J155" s="135">
        <v>37</v>
      </c>
      <c r="K155" s="135">
        <v>17.600000000000001</v>
      </c>
      <c r="L155" s="135">
        <v>10.399999999999999</v>
      </c>
      <c r="M155" s="135">
        <v>22.1</v>
      </c>
      <c r="N155" s="135">
        <v>27.4</v>
      </c>
      <c r="O155" s="135">
        <v>35.700000000000003</v>
      </c>
      <c r="P155" s="135">
        <v>39.594850854999883</v>
      </c>
      <c r="Q155" s="135">
        <v>64.813562220594434</v>
      </c>
      <c r="R155" s="135">
        <v>52.990055698170096</v>
      </c>
      <c r="S155" s="135">
        <v>75.779148678784196</v>
      </c>
      <c r="T155" s="135">
        <v>61.34397353381658</v>
      </c>
      <c r="U155" s="135">
        <v>93.37031631646569</v>
      </c>
      <c r="V155" s="135">
        <v>80.779144932201575</v>
      </c>
      <c r="W155" s="135">
        <v>101.25584055015199</v>
      </c>
      <c r="X155" s="135">
        <v>87.969127766331525</v>
      </c>
      <c r="Y155" s="135">
        <v>108.55624405707033</v>
      </c>
      <c r="Z155" s="135">
        <v>94.644128527758269</v>
      </c>
      <c r="AA155" s="135">
        <v>115.40432218327604</v>
      </c>
      <c r="AB155" s="135">
        <v>101.3353149196997</v>
      </c>
      <c r="AC155" s="135">
        <v>119.74929338241085</v>
      </c>
      <c r="AD155" s="135">
        <v>105.44199492195969</v>
      </c>
      <c r="AE155" s="135">
        <v>124.01131582561544</v>
      </c>
      <c r="AF155" s="135">
        <v>109.43639536082068</v>
      </c>
      <c r="AL155" s="135"/>
      <c r="AM155" s="135">
        <v>84.3</v>
      </c>
      <c r="AN155" s="135">
        <v>28</v>
      </c>
      <c r="AO155" s="135">
        <v>49.5</v>
      </c>
      <c r="AP155" s="135">
        <v>75.294850854999879</v>
      </c>
      <c r="AQ155" s="135">
        <v>117.80361791876453</v>
      </c>
      <c r="AR155" s="135">
        <v>137.12312221260078</v>
      </c>
      <c r="AS155" s="135">
        <v>174.14946124866725</v>
      </c>
      <c r="AT155" s="135">
        <v>189.22496831648351</v>
      </c>
      <c r="AU155" s="135">
        <v>203.20037258482859</v>
      </c>
      <c r="AV155" s="135">
        <v>216.73963710297573</v>
      </c>
      <c r="AW155" s="135">
        <v>225.19128830437054</v>
      </c>
      <c r="AX155" s="135">
        <v>233.44771118643612</v>
      </c>
    </row>
    <row r="156" spans="2:50" s="286" customFormat="1">
      <c r="B156" s="316" t="s">
        <v>1458</v>
      </c>
      <c r="C156" s="287" t="s">
        <v>1231</v>
      </c>
      <c r="D156" s="317" t="s">
        <v>900</v>
      </c>
      <c r="G156" s="135"/>
      <c r="H156" s="135"/>
      <c r="I156" s="135">
        <v>51.7</v>
      </c>
      <c r="J156" s="135">
        <v>14.799999999999997</v>
      </c>
      <c r="K156" s="135">
        <v>-636.79999999999995</v>
      </c>
      <c r="L156" s="135">
        <v>-722.90000000000009</v>
      </c>
      <c r="M156" s="135">
        <v>25.3</v>
      </c>
      <c r="N156" s="135">
        <v>11.3</v>
      </c>
      <c r="O156" s="135">
        <v>21.7</v>
      </c>
      <c r="P156" s="135">
        <v>29.594850854999883</v>
      </c>
      <c r="Q156" s="135">
        <v>54.813562220594434</v>
      </c>
      <c r="R156" s="135">
        <v>42.990055698170096</v>
      </c>
      <c r="S156" s="135">
        <v>75.779148678784196</v>
      </c>
      <c r="T156" s="135">
        <v>61.34397353381658</v>
      </c>
      <c r="U156" s="135">
        <v>93.37031631646569</v>
      </c>
      <c r="V156" s="135">
        <v>80.779144932201575</v>
      </c>
      <c r="W156" s="135">
        <v>101.25584055015199</v>
      </c>
      <c r="X156" s="135">
        <v>87.969127766331525</v>
      </c>
      <c r="Y156" s="135">
        <v>108.55624405707033</v>
      </c>
      <c r="Z156" s="135">
        <v>94.644128527758269</v>
      </c>
      <c r="AA156" s="135">
        <v>115.40432218327604</v>
      </c>
      <c r="AB156" s="135">
        <v>101.3353149196997</v>
      </c>
      <c r="AC156" s="135">
        <v>119.74929338241085</v>
      </c>
      <c r="AD156" s="135">
        <v>105.44199492195969</v>
      </c>
      <c r="AE156" s="135">
        <v>124.01131582561544</v>
      </c>
      <c r="AF156" s="135">
        <v>109.43639536082068</v>
      </c>
      <c r="AL156" s="135"/>
      <c r="AM156" s="135">
        <v>66.5</v>
      </c>
      <c r="AN156" s="135">
        <v>-1359.7</v>
      </c>
      <c r="AO156" s="135">
        <v>36.6</v>
      </c>
      <c r="AP156" s="135">
        <v>51.294850854999879</v>
      </c>
      <c r="AQ156" s="135">
        <v>97.80361791876453</v>
      </c>
      <c r="AR156" s="135">
        <v>137.12312221260078</v>
      </c>
      <c r="AS156" s="135">
        <v>174.14946124866725</v>
      </c>
      <c r="AT156" s="135">
        <v>189.22496831648351</v>
      </c>
      <c r="AU156" s="135">
        <v>203.20037258482859</v>
      </c>
      <c r="AV156" s="135">
        <v>216.73963710297573</v>
      </c>
      <c r="AW156" s="135">
        <v>225.19128830437054</v>
      </c>
      <c r="AX156" s="135">
        <v>233.44771118643612</v>
      </c>
    </row>
    <row r="157" spans="2:50" s="286" customFormat="1">
      <c r="B157" s="316" t="s">
        <v>1459</v>
      </c>
      <c r="C157" s="287" t="s">
        <v>1232</v>
      </c>
      <c r="D157" s="317" t="s">
        <v>1029</v>
      </c>
      <c r="G157" s="135"/>
      <c r="H157" s="135"/>
      <c r="I157" s="135">
        <v>2.2999999999999998</v>
      </c>
      <c r="J157" s="135">
        <v>0.60000000000000009</v>
      </c>
      <c r="K157" s="135">
        <v>-28.2</v>
      </c>
      <c r="L157" s="135">
        <v>-31.400000000000002</v>
      </c>
      <c r="M157" s="135">
        <v>1.1000000000000001</v>
      </c>
      <c r="N157" s="135">
        <v>0.5</v>
      </c>
      <c r="O157" s="135">
        <v>0.9</v>
      </c>
      <c r="P157" s="135">
        <v>1.2928032000262051</v>
      </c>
      <c r="Q157" s="135">
        <v>2.394441823370367</v>
      </c>
      <c r="R157" s="135">
        <v>1.8779510614262667</v>
      </c>
      <c r="S157" s="135">
        <v>3.3102895631130611</v>
      </c>
      <c r="T157" s="135">
        <v>2.6797122808761396</v>
      </c>
      <c r="U157" s="135">
        <v>4.0787312736530534</v>
      </c>
      <c r="V157" s="135">
        <v>3.528706313655495</v>
      </c>
      <c r="W157" s="135">
        <v>4.4231976476564743</v>
      </c>
      <c r="X157" s="135">
        <v>3.8427890864202139</v>
      </c>
      <c r="Y157" s="135">
        <v>4.7421039689441873</v>
      </c>
      <c r="Z157" s="135">
        <v>4.134375700146701</v>
      </c>
      <c r="AA157" s="135">
        <v>5.0412511874574548</v>
      </c>
      <c r="AB157" s="135">
        <v>4.4266693569674862</v>
      </c>
      <c r="AC157" s="135">
        <v>5.2310542277831056</v>
      </c>
      <c r="AD157" s="135">
        <v>4.6060630317123756</v>
      </c>
      <c r="AE157" s="135">
        <v>5.4172337858472588</v>
      </c>
      <c r="AF157" s="135">
        <v>4.780551955304067</v>
      </c>
      <c r="AL157" s="135"/>
      <c r="AM157" s="135">
        <v>2.9</v>
      </c>
      <c r="AN157" s="135">
        <v>-59.6</v>
      </c>
      <c r="AO157" s="135">
        <v>1.6</v>
      </c>
      <c r="AP157" s="135">
        <v>2.192803200026205</v>
      </c>
      <c r="AQ157" s="135">
        <v>4.2723928847966341</v>
      </c>
      <c r="AR157" s="135">
        <v>5.9900018439892007</v>
      </c>
      <c r="AS157" s="135">
        <v>7.6074375873085485</v>
      </c>
      <c r="AT157" s="135">
        <v>8.2659867340766873</v>
      </c>
      <c r="AU157" s="135">
        <v>8.8764796690908874</v>
      </c>
      <c r="AV157" s="135">
        <v>9.4679205444249419</v>
      </c>
      <c r="AW157" s="135">
        <v>9.8371172594954821</v>
      </c>
      <c r="AX157" s="135">
        <v>10.197785741151325</v>
      </c>
    </row>
    <row r="158" spans="2:50" s="286" customFormat="1">
      <c r="B158" s="316" t="s">
        <v>1460</v>
      </c>
      <c r="C158" s="287" t="s">
        <v>1233</v>
      </c>
      <c r="D158" s="317" t="s">
        <v>1029</v>
      </c>
      <c r="G158" s="135"/>
      <c r="H158" s="135"/>
      <c r="I158" s="135">
        <v>2.2000000000000002</v>
      </c>
      <c r="J158" s="135">
        <v>1.5999999999999996</v>
      </c>
      <c r="K158" s="135">
        <v>0.9</v>
      </c>
      <c r="L158" s="135">
        <v>0.49999999999999989</v>
      </c>
      <c r="M158" s="135">
        <v>1.9</v>
      </c>
      <c r="N158" s="135">
        <v>2</v>
      </c>
      <c r="O158" s="135">
        <v>2.7</v>
      </c>
      <c r="P158" s="135">
        <v>1.7296370284378773</v>
      </c>
      <c r="Q158" s="135">
        <v>2.6565421204173703</v>
      </c>
      <c r="R158" s="135">
        <v>1.9653178271086011</v>
      </c>
      <c r="S158" s="135">
        <v>2.8734557347013889</v>
      </c>
      <c r="T158" s="135">
        <v>2.1555116867821327</v>
      </c>
      <c r="U158" s="135">
        <v>3.4671639138767119</v>
      </c>
      <c r="V158" s="135">
        <v>2.8297721881968192</v>
      </c>
      <c r="W158" s="135">
        <v>3.7932832670868422</v>
      </c>
      <c r="X158" s="135">
        <v>3.1228869371977779</v>
      </c>
      <c r="Y158" s="135">
        <v>4.0932921569574674</v>
      </c>
      <c r="Z158" s="135">
        <v>3.3928764864475922</v>
      </c>
      <c r="AA158" s="135">
        <v>4.3729750211111318</v>
      </c>
      <c r="AB158" s="135">
        <v>3.6629251668574043</v>
      </c>
      <c r="AC158" s="135">
        <v>4.5427297764463939</v>
      </c>
      <c r="AD158" s="135">
        <v>3.8194065158989905</v>
      </c>
      <c r="AE158" s="135">
        <v>4.7082596009704458</v>
      </c>
      <c r="AF158" s="135">
        <v>3.9702957440162807</v>
      </c>
      <c r="AL158" s="135"/>
      <c r="AM158" s="135">
        <v>3.8</v>
      </c>
      <c r="AN158" s="135">
        <v>1.4</v>
      </c>
      <c r="AO158" s="135">
        <v>3.9</v>
      </c>
      <c r="AP158" s="135">
        <v>4.4296370284378774</v>
      </c>
      <c r="AQ158" s="135">
        <v>4.6218599475259712</v>
      </c>
      <c r="AR158" s="135">
        <v>5.0289674214835216</v>
      </c>
      <c r="AS158" s="135">
        <v>6.2969361020735306</v>
      </c>
      <c r="AT158" s="135">
        <v>6.9161702042846205</v>
      </c>
      <c r="AU158" s="135">
        <v>7.4861686434050601</v>
      </c>
      <c r="AV158" s="135">
        <v>8.0359001879685366</v>
      </c>
      <c r="AW158" s="135">
        <v>8.3621362923453848</v>
      </c>
      <c r="AX158" s="135">
        <v>8.6785553449867265</v>
      </c>
    </row>
    <row r="159" spans="2:50" s="286" customFormat="1">
      <c r="B159" s="316" t="s">
        <v>1130</v>
      </c>
      <c r="C159" s="287" t="s">
        <v>291</v>
      </c>
      <c r="D159" s="317" t="s">
        <v>1029</v>
      </c>
      <c r="G159" s="135"/>
      <c r="H159" s="135"/>
      <c r="I159" s="135">
        <v>1.3</v>
      </c>
      <c r="J159" s="135">
        <v>0.99999999999999978</v>
      </c>
      <c r="K159" s="135">
        <v>1</v>
      </c>
      <c r="L159" s="135">
        <v>0.30000000000000004</v>
      </c>
      <c r="M159" s="135">
        <v>1</v>
      </c>
      <c r="N159" s="135">
        <v>1.2999999999999998</v>
      </c>
      <c r="O159" s="135">
        <v>1.5</v>
      </c>
      <c r="P159" s="135">
        <v>1.3837096227503018</v>
      </c>
      <c r="Q159" s="135">
        <v>2.1252336963338965</v>
      </c>
      <c r="R159" s="135">
        <v>1.5722542616868811</v>
      </c>
      <c r="S159" s="135">
        <v>1.7240734408208336</v>
      </c>
      <c r="T159" s="135">
        <v>1.2933070120692796</v>
      </c>
      <c r="U159" s="135">
        <v>2.0802983483260271</v>
      </c>
      <c r="V159" s="135">
        <v>1.6978633129180913</v>
      </c>
      <c r="W159" s="135">
        <v>1.8966416335434211</v>
      </c>
      <c r="X159" s="135">
        <v>1.5614434685988889</v>
      </c>
      <c r="Y159" s="135">
        <v>2.0466460784787337</v>
      </c>
      <c r="Z159" s="135">
        <v>1.6964382432237961</v>
      </c>
      <c r="AA159" s="135">
        <v>0</v>
      </c>
      <c r="AB159" s="135">
        <v>0</v>
      </c>
      <c r="AC159" s="135">
        <v>0</v>
      </c>
      <c r="AD159" s="135">
        <v>0</v>
      </c>
      <c r="AE159" s="135">
        <v>0</v>
      </c>
      <c r="AF159" s="135">
        <v>0</v>
      </c>
      <c r="AL159" s="135"/>
      <c r="AM159" s="135">
        <v>2.2999999999999998</v>
      </c>
      <c r="AN159" s="135">
        <v>1.3</v>
      </c>
      <c r="AO159" s="135">
        <v>2.2999999999999998</v>
      </c>
      <c r="AP159" s="135">
        <v>2.8837096227503016</v>
      </c>
      <c r="AQ159" s="135">
        <v>3.6974879580207776</v>
      </c>
      <c r="AR159" s="135">
        <v>3.0173804528901131</v>
      </c>
      <c r="AS159" s="135">
        <v>3.7781616612441185</v>
      </c>
      <c r="AT159" s="135">
        <v>3.4580851021423102</v>
      </c>
      <c r="AU159" s="135">
        <v>3.74308432170253</v>
      </c>
      <c r="AV159" s="135">
        <v>0</v>
      </c>
      <c r="AW159" s="135">
        <v>0</v>
      </c>
      <c r="AX159" s="135">
        <v>0</v>
      </c>
    </row>
    <row r="160" spans="2:50" s="286" customFormat="1">
      <c r="B160" s="316"/>
      <c r="C160" s="287"/>
      <c r="D160" s="317"/>
      <c r="G160" s="236"/>
      <c r="H160" s="236"/>
      <c r="I160" s="236"/>
      <c r="J160" s="236"/>
      <c r="K160" s="236"/>
      <c r="L160" s="236"/>
      <c r="M160" s="236"/>
      <c r="N160" s="236"/>
      <c r="O160" s="236"/>
      <c r="P160" s="236"/>
      <c r="Q160" s="236"/>
      <c r="R160" s="236"/>
      <c r="S160" s="236"/>
      <c r="T160" s="236"/>
      <c r="U160" s="236"/>
      <c r="V160" s="236"/>
      <c r="W160" s="236"/>
      <c r="X160" s="236"/>
      <c r="Y160" s="236"/>
      <c r="Z160" s="236"/>
      <c r="AA160" s="236"/>
      <c r="AB160" s="236"/>
      <c r="AC160" s="236"/>
      <c r="AD160" s="236"/>
      <c r="AE160" s="236"/>
      <c r="AF160" s="236"/>
      <c r="AL160" s="236"/>
      <c r="AM160" s="236"/>
      <c r="AN160" s="236"/>
      <c r="AO160" s="236"/>
      <c r="AP160" s="236"/>
      <c r="AQ160" s="236"/>
      <c r="AR160" s="236"/>
      <c r="AS160" s="236"/>
      <c r="AT160" s="236"/>
      <c r="AU160" s="236"/>
      <c r="AV160" s="236"/>
      <c r="AW160" s="236"/>
      <c r="AX160" s="236"/>
    </row>
    <row r="161" spans="2:50" s="286" customFormat="1">
      <c r="C161" s="285" t="s">
        <v>1419</v>
      </c>
    </row>
    <row r="162" spans="2:50" s="286" customFormat="1">
      <c r="B162" s="316" t="s">
        <v>1462</v>
      </c>
      <c r="C162" s="287" t="s">
        <v>79</v>
      </c>
      <c r="D162" s="317" t="s">
        <v>900</v>
      </c>
      <c r="F162" s="287"/>
      <c r="G162" s="135"/>
      <c r="H162" s="135"/>
      <c r="I162" s="135">
        <v>-125</v>
      </c>
      <c r="J162" s="135">
        <v>244.3</v>
      </c>
      <c r="K162" s="135">
        <v>121.3</v>
      </c>
      <c r="L162" s="135">
        <v>123.89999999999999</v>
      </c>
      <c r="M162" s="135">
        <v>172</v>
      </c>
      <c r="N162" s="135">
        <v>234.5</v>
      </c>
      <c r="O162" s="135">
        <v>95.3</v>
      </c>
      <c r="P162" s="135">
        <v>138.35829749941456</v>
      </c>
      <c r="Q162" s="135">
        <v>193.31940261886646</v>
      </c>
      <c r="R162" s="135">
        <v>134.19834095699724</v>
      </c>
      <c r="S162" s="135">
        <v>202.10777600193657</v>
      </c>
      <c r="T162" s="135">
        <v>137.23993435550636</v>
      </c>
      <c r="U162" s="135">
        <v>218.47816664737221</v>
      </c>
      <c r="V162" s="135">
        <v>152.2568099299736</v>
      </c>
      <c r="W162" s="135">
        <v>220.37487853149966</v>
      </c>
      <c r="X162" s="135">
        <v>155.57213243688508</v>
      </c>
      <c r="Y162" s="135">
        <v>225.41157369621408</v>
      </c>
      <c r="Z162" s="135">
        <v>159.34916977570373</v>
      </c>
      <c r="AA162" s="135">
        <v>230.85700025133144</v>
      </c>
      <c r="AB162" s="135">
        <v>161.06378618557579</v>
      </c>
      <c r="AC162" s="135">
        <v>233.21606927527358</v>
      </c>
      <c r="AD162" s="135">
        <v>166.45054006921129</v>
      </c>
      <c r="AE162" s="135">
        <v>234.15134454334833</v>
      </c>
      <c r="AF162" s="135">
        <v>169.26846884987057</v>
      </c>
      <c r="AL162" s="135"/>
      <c r="AM162" s="135">
        <v>119.30000000000001</v>
      </c>
      <c r="AN162" s="135">
        <v>245.2</v>
      </c>
      <c r="AO162" s="135">
        <v>406.5</v>
      </c>
      <c r="AP162" s="135">
        <v>233.65829749941457</v>
      </c>
      <c r="AQ162" s="135">
        <v>327.51774357586373</v>
      </c>
      <c r="AR162" s="135">
        <v>339.34771035744291</v>
      </c>
      <c r="AS162" s="135">
        <v>370.73497657734583</v>
      </c>
      <c r="AT162" s="135">
        <v>375.94701096838475</v>
      </c>
      <c r="AU162" s="135">
        <v>384.76074347191781</v>
      </c>
      <c r="AV162" s="135">
        <v>391.92078643690724</v>
      </c>
      <c r="AW162" s="135">
        <v>399.66660934448487</v>
      </c>
      <c r="AX162" s="135">
        <v>403.41981339321887</v>
      </c>
    </row>
    <row r="163" spans="2:50" s="286" customFormat="1">
      <c r="B163" s="316" t="s">
        <v>1469</v>
      </c>
      <c r="C163" s="287" t="s">
        <v>81</v>
      </c>
      <c r="D163" s="317" t="s">
        <v>900</v>
      </c>
      <c r="F163" s="287"/>
      <c r="G163" s="135"/>
      <c r="H163" s="135"/>
      <c r="I163" s="135">
        <v>-112.2</v>
      </c>
      <c r="J163" s="135">
        <v>-17.800000000000011</v>
      </c>
      <c r="K163" s="135">
        <v>-53.2</v>
      </c>
      <c r="L163" s="135">
        <v>-686.5</v>
      </c>
      <c r="M163" s="135">
        <v>-66.3</v>
      </c>
      <c r="N163" s="135">
        <v>-50.7</v>
      </c>
      <c r="O163" s="135">
        <v>-71</v>
      </c>
      <c r="P163" s="135">
        <v>-99.772152977655992</v>
      </c>
      <c r="Q163" s="135">
        <v>-91.978229358229996</v>
      </c>
      <c r="R163" s="135">
        <v>-86.388986607947999</v>
      </c>
      <c r="S163" s="135">
        <v>-69.684366664917505</v>
      </c>
      <c r="T163" s="135">
        <v>-66.260920418958307</v>
      </c>
      <c r="U163" s="135">
        <v>-66.338272140231808</v>
      </c>
      <c r="V163" s="135">
        <v>-62.885669673102939</v>
      </c>
      <c r="W163" s="135">
        <v>-66.590280448496699</v>
      </c>
      <c r="X163" s="135">
        <v>-63.047783977065151</v>
      </c>
      <c r="Y163" s="135">
        <v>-66.848345414369987</v>
      </c>
      <c r="Z163" s="135">
        <v>-63.213396406701406</v>
      </c>
      <c r="AA163" s="135">
        <v>-67.112660699867959</v>
      </c>
      <c r="AB163" s="135">
        <v>-63.38262526640348</v>
      </c>
      <c r="AC163" s="135">
        <v>-67.163781047367152</v>
      </c>
      <c r="AD163" s="135">
        <v>-63.349850910891959</v>
      </c>
      <c r="AE163" s="135">
        <v>-67.221560584885594</v>
      </c>
      <c r="AF163" s="135">
        <v>-63.320944332364945</v>
      </c>
      <c r="AL163" s="135"/>
      <c r="AM163" s="135">
        <v>-130</v>
      </c>
      <c r="AN163" s="135">
        <v>-739.7</v>
      </c>
      <c r="AO163" s="135">
        <v>-117</v>
      </c>
      <c r="AP163" s="135">
        <v>-170.77215297765599</v>
      </c>
      <c r="AQ163" s="135">
        <v>-178.36721596617798</v>
      </c>
      <c r="AR163" s="135">
        <v>-135.94528708387583</v>
      </c>
      <c r="AS163" s="135">
        <v>-129.22394181333476</v>
      </c>
      <c r="AT163" s="135">
        <v>-129.63806442556185</v>
      </c>
      <c r="AU163" s="135">
        <v>-130.06174182107139</v>
      </c>
      <c r="AV163" s="135">
        <v>-130.49528596627144</v>
      </c>
      <c r="AW163" s="135">
        <v>-130.51363195825911</v>
      </c>
      <c r="AX163" s="135">
        <v>-130.54250491725054</v>
      </c>
    </row>
    <row r="164" spans="2:50" s="286" customFormat="1">
      <c r="B164" s="316" t="s">
        <v>1470</v>
      </c>
      <c r="C164" s="287" t="s">
        <v>82</v>
      </c>
      <c r="D164" s="317" t="s">
        <v>900</v>
      </c>
      <c r="F164" s="287"/>
      <c r="G164" s="135"/>
      <c r="H164" s="135"/>
      <c r="I164" s="135">
        <v>294.2</v>
      </c>
      <c r="J164" s="135">
        <v>-192.2</v>
      </c>
      <c r="K164" s="135">
        <v>-45.4</v>
      </c>
      <c r="L164" s="135">
        <v>562.9</v>
      </c>
      <c r="M164" s="135">
        <v>-159.1</v>
      </c>
      <c r="N164" s="135">
        <v>-207.6</v>
      </c>
      <c r="O164" s="135">
        <v>-42.5</v>
      </c>
      <c r="P164" s="135">
        <v>-31.675880683999907</v>
      </c>
      <c r="Q164" s="135">
        <v>-48.650849776475553</v>
      </c>
      <c r="R164" s="135">
        <v>-35.99204455853608</v>
      </c>
      <c r="S164" s="135">
        <v>-39.467489207270518</v>
      </c>
      <c r="T164" s="135">
        <v>-29.606384120289945</v>
      </c>
      <c r="U164" s="135">
        <v>-47.622189789879414</v>
      </c>
      <c r="V164" s="135">
        <v>-38.867486959320942</v>
      </c>
      <c r="W164" s="135">
        <v>-43.417920275075993</v>
      </c>
      <c r="X164" s="135">
        <v>-35.74456388316576</v>
      </c>
      <c r="Y164" s="135">
        <v>-46.851822028535167</v>
      </c>
      <c r="Z164" s="135">
        <v>-38.834864263879133</v>
      </c>
      <c r="AA164" s="135">
        <v>0</v>
      </c>
      <c r="AB164" s="135">
        <v>0</v>
      </c>
      <c r="AC164" s="135">
        <v>0</v>
      </c>
      <c r="AD164" s="135">
        <v>0</v>
      </c>
      <c r="AE164" s="135">
        <v>0</v>
      </c>
      <c r="AF164" s="135">
        <v>0</v>
      </c>
      <c r="AL164" s="135"/>
      <c r="AM164" s="135">
        <v>102</v>
      </c>
      <c r="AN164" s="135">
        <v>517.5</v>
      </c>
      <c r="AO164" s="135">
        <v>-366.7</v>
      </c>
      <c r="AP164" s="135">
        <v>-74.175880683999907</v>
      </c>
      <c r="AQ164" s="135">
        <v>-84.642894335011633</v>
      </c>
      <c r="AR164" s="135">
        <v>-69.073873327560463</v>
      </c>
      <c r="AS164" s="135">
        <v>-86.489676749200356</v>
      </c>
      <c r="AT164" s="135">
        <v>-79.162484158241753</v>
      </c>
      <c r="AU164" s="135">
        <v>-85.686686292414294</v>
      </c>
      <c r="AV164" s="135">
        <v>0</v>
      </c>
      <c r="AW164" s="135">
        <v>0</v>
      </c>
      <c r="AX164" s="135">
        <v>0</v>
      </c>
    </row>
    <row r="165" spans="2:50" s="286" customFormat="1">
      <c r="B165" s="316" t="s">
        <v>1471</v>
      </c>
      <c r="C165" s="287" t="s">
        <v>85</v>
      </c>
      <c r="D165" s="317" t="s">
        <v>900</v>
      </c>
      <c r="F165" s="287"/>
      <c r="G165" s="135"/>
      <c r="H165" s="135"/>
      <c r="I165" s="135">
        <v>57</v>
      </c>
      <c r="J165" s="135">
        <v>34.300000000000011</v>
      </c>
      <c r="K165" s="135">
        <v>22.700000000000003</v>
      </c>
      <c r="L165" s="135">
        <v>0.29999999999996874</v>
      </c>
      <c r="M165" s="135">
        <v>-53.399999999999977</v>
      </c>
      <c r="N165" s="135">
        <v>-23.800000000000011</v>
      </c>
      <c r="O165" s="135">
        <v>-18.200000000000003</v>
      </c>
      <c r="P165" s="135">
        <v>6.9102638377586629</v>
      </c>
      <c r="Q165" s="135">
        <v>52.690323484160928</v>
      </c>
      <c r="R165" s="135">
        <v>11.817309790513164</v>
      </c>
      <c r="S165" s="135">
        <v>92.955920129748549</v>
      </c>
      <c r="T165" s="135">
        <v>41.372629816258112</v>
      </c>
      <c r="U165" s="135">
        <v>104.51770471726098</v>
      </c>
      <c r="V165" s="135">
        <v>50.503653297549718</v>
      </c>
      <c r="W165" s="135">
        <v>110.36667780792698</v>
      </c>
      <c r="X165" s="135">
        <v>56.77978457665418</v>
      </c>
      <c r="Y165" s="135">
        <v>111.71140625330892</v>
      </c>
      <c r="Z165" s="135">
        <v>57.300909105123196</v>
      </c>
      <c r="AA165" s="135">
        <v>163.7443395514635</v>
      </c>
      <c r="AB165" s="135">
        <v>97.681160919172314</v>
      </c>
      <c r="AC165" s="135">
        <v>166.05228822790644</v>
      </c>
      <c r="AD165" s="135">
        <v>103.10068915831933</v>
      </c>
      <c r="AE165" s="135">
        <v>166.92978395846274</v>
      </c>
      <c r="AF165" s="135">
        <v>105.94752451750563</v>
      </c>
      <c r="AL165" s="135"/>
      <c r="AM165" s="135">
        <v>91.300000000000011</v>
      </c>
      <c r="AN165" s="135">
        <v>22.999999999999972</v>
      </c>
      <c r="AO165" s="135">
        <v>-77.199999999999989</v>
      </c>
      <c r="AP165" s="135">
        <v>-11.28973616224134</v>
      </c>
      <c r="AQ165" s="135">
        <v>64.507633274674092</v>
      </c>
      <c r="AR165" s="135">
        <v>134.32854994600666</v>
      </c>
      <c r="AS165" s="135">
        <v>155.02135801481069</v>
      </c>
      <c r="AT165" s="135">
        <v>167.14646238458116</v>
      </c>
      <c r="AU165" s="135">
        <v>169.01231535843212</v>
      </c>
      <c r="AV165" s="135">
        <v>261.42550047063582</v>
      </c>
      <c r="AW165" s="135">
        <v>269.15297738622576</v>
      </c>
      <c r="AX165" s="135">
        <v>272.87730847596833</v>
      </c>
    </row>
    <row r="166" spans="2:50" s="286" customFormat="1">
      <c r="B166" s="316" t="s">
        <v>1472</v>
      </c>
      <c r="C166" s="287" t="s">
        <v>1345</v>
      </c>
      <c r="D166" s="317" t="s">
        <v>900</v>
      </c>
      <c r="F166" s="287"/>
      <c r="G166" s="135"/>
      <c r="H166" s="135"/>
      <c r="I166" s="135">
        <v>69.900000000000006</v>
      </c>
      <c r="J166" s="135">
        <v>85.5</v>
      </c>
      <c r="K166" s="135">
        <v>84.1</v>
      </c>
      <c r="L166" s="135">
        <v>84.1</v>
      </c>
      <c r="M166" s="135">
        <v>57</v>
      </c>
      <c r="N166" s="135">
        <v>57.800000000000004</v>
      </c>
      <c r="O166" s="135">
        <v>51</v>
      </c>
      <c r="P166" s="135">
        <v>78.772152977655992</v>
      </c>
      <c r="Q166" s="135">
        <v>80.978229358229996</v>
      </c>
      <c r="R166" s="135">
        <v>79.388986607947999</v>
      </c>
      <c r="S166" s="135">
        <v>64.684366664917505</v>
      </c>
      <c r="T166" s="135">
        <v>63.260920418958307</v>
      </c>
      <c r="U166" s="135">
        <v>65.338272140231808</v>
      </c>
      <c r="V166" s="135">
        <v>63.885669673102939</v>
      </c>
      <c r="W166" s="135">
        <v>66.010280448496701</v>
      </c>
      <c r="X166" s="135">
        <v>64.527783977065155</v>
      </c>
      <c r="Y166" s="135">
        <v>66.700945414369983</v>
      </c>
      <c r="Z166" s="135">
        <v>65.187796406701409</v>
      </c>
      <c r="AA166" s="135">
        <v>67.410838699867966</v>
      </c>
      <c r="AB166" s="135">
        <v>65.86625726640348</v>
      </c>
      <c r="AC166" s="135">
        <v>67.920904387367159</v>
      </c>
      <c r="AD166" s="135">
        <v>66.357991870891965</v>
      </c>
      <c r="AE166" s="135">
        <v>68.451397625085605</v>
      </c>
      <c r="AF166" s="135">
        <v>66.869329521164943</v>
      </c>
      <c r="AL166" s="135"/>
      <c r="AM166" s="135">
        <v>155.4</v>
      </c>
      <c r="AN166" s="135">
        <v>168.2</v>
      </c>
      <c r="AO166" s="135">
        <v>114.80000000000001</v>
      </c>
      <c r="AP166" s="135">
        <v>129.77215297765599</v>
      </c>
      <c r="AQ166" s="135">
        <v>160.36721596617798</v>
      </c>
      <c r="AR166" s="135">
        <v>127.94528708387581</v>
      </c>
      <c r="AS166" s="135">
        <v>129.22394181333476</v>
      </c>
      <c r="AT166" s="135">
        <v>130.53806442556186</v>
      </c>
      <c r="AU166" s="135">
        <v>131.88874182107139</v>
      </c>
      <c r="AV166" s="135">
        <v>133.27709596627145</v>
      </c>
      <c r="AW166" s="135">
        <v>134.27889625825912</v>
      </c>
      <c r="AX166" s="135">
        <v>135.32072714625053</v>
      </c>
    </row>
    <row r="167" spans="2:50" s="286" customFormat="1">
      <c r="B167" s="316" t="s">
        <v>1473</v>
      </c>
      <c r="C167" s="287" t="s">
        <v>87</v>
      </c>
      <c r="D167" s="317" t="s">
        <v>900</v>
      </c>
      <c r="F167" s="287"/>
      <c r="G167" s="135"/>
      <c r="H167" s="135"/>
      <c r="I167" s="135">
        <v>0</v>
      </c>
      <c r="J167" s="135">
        <v>290.7</v>
      </c>
      <c r="K167" s="135">
        <v>313.39999999999998</v>
      </c>
      <c r="L167" s="135">
        <v>313.7</v>
      </c>
      <c r="M167" s="135">
        <v>260.3</v>
      </c>
      <c r="N167" s="135">
        <v>236.5</v>
      </c>
      <c r="O167" s="135">
        <v>218.3</v>
      </c>
      <c r="P167" s="135">
        <v>225.21026383775867</v>
      </c>
      <c r="Q167" s="135">
        <v>277.9005873219196</v>
      </c>
      <c r="R167" s="135">
        <v>289.71789711243275</v>
      </c>
      <c r="S167" s="135">
        <v>382.67381724218131</v>
      </c>
      <c r="T167" s="135">
        <v>424.04644705843941</v>
      </c>
      <c r="U167" s="135">
        <v>528.56415177570034</v>
      </c>
      <c r="V167" s="135">
        <v>579.06780507325004</v>
      </c>
      <c r="W167" s="135">
        <v>689.43448288117702</v>
      </c>
      <c r="X167" s="135">
        <v>746.21426745783117</v>
      </c>
      <c r="Y167" s="135">
        <v>857.92567371114012</v>
      </c>
      <c r="Z167" s="135">
        <v>915.22658281626332</v>
      </c>
      <c r="AA167" s="135">
        <v>1078.9709223677269</v>
      </c>
      <c r="AB167" s="135">
        <v>1176.6520832868991</v>
      </c>
      <c r="AC167" s="135">
        <v>1342.7043715148056</v>
      </c>
      <c r="AD167" s="135">
        <v>1445.8050606731249</v>
      </c>
      <c r="AE167" s="135">
        <v>1612.7348446315877</v>
      </c>
      <c r="AF167" s="135">
        <v>1718.6823691490933</v>
      </c>
      <c r="AL167" s="524"/>
      <c r="AM167" s="524">
        <v>290.7</v>
      </c>
      <c r="AN167" s="524">
        <v>313.7</v>
      </c>
      <c r="AO167" s="524">
        <v>236.5</v>
      </c>
      <c r="AP167" s="524">
        <v>225.21026383775867</v>
      </c>
      <c r="AQ167" s="524">
        <v>289.71789711243275</v>
      </c>
      <c r="AR167" s="524">
        <v>424.04644705843941</v>
      </c>
      <c r="AS167" s="524">
        <v>579.06780507325004</v>
      </c>
      <c r="AT167" s="524">
        <v>746.21426745783117</v>
      </c>
      <c r="AU167" s="524">
        <v>915.22658281626332</v>
      </c>
      <c r="AV167" s="524">
        <v>1176.6520832868991</v>
      </c>
      <c r="AW167" s="524">
        <v>1445.8050606731249</v>
      </c>
      <c r="AX167" s="524">
        <v>1718.6823691490933</v>
      </c>
    </row>
    <row r="168" spans="2:50" s="286" customFormat="1">
      <c r="B168" s="316" t="s">
        <v>1474</v>
      </c>
      <c r="C168" s="287" t="s">
        <v>1420</v>
      </c>
      <c r="D168" s="317" t="s">
        <v>900</v>
      </c>
      <c r="F168" s="287"/>
      <c r="G168" s="135"/>
      <c r="H168" s="135"/>
      <c r="I168" s="135"/>
      <c r="J168" s="135">
        <v>295</v>
      </c>
      <c r="K168" s="135"/>
      <c r="L168" s="135">
        <v>860</v>
      </c>
      <c r="M168" s="135">
        <v>753</v>
      </c>
      <c r="N168" s="135">
        <v>609</v>
      </c>
      <c r="O168" s="135">
        <v>631</v>
      </c>
      <c r="P168" s="135">
        <v>624.08973616224125</v>
      </c>
      <c r="Q168" s="135">
        <v>571.39941267808035</v>
      </c>
      <c r="R168" s="135">
        <v>559.5821028875672</v>
      </c>
      <c r="S168" s="135">
        <v>466.62618275781864</v>
      </c>
      <c r="T168" s="135">
        <v>425.25355294156054</v>
      </c>
      <c r="U168" s="135">
        <v>320.73584822429962</v>
      </c>
      <c r="V168" s="135">
        <v>270.23219492674991</v>
      </c>
      <c r="W168" s="135">
        <v>159.86551711882294</v>
      </c>
      <c r="X168" s="135">
        <v>103.08573254216878</v>
      </c>
      <c r="Y168" s="135">
        <v>-8.6256737111401662</v>
      </c>
      <c r="Z168" s="135">
        <v>-65.926582816263362</v>
      </c>
      <c r="AA168" s="135">
        <v>-229.67092236772692</v>
      </c>
      <c r="AB168" s="135">
        <v>-327.35208328689919</v>
      </c>
      <c r="AC168" s="135">
        <v>-493.40437151480569</v>
      </c>
      <c r="AD168" s="135">
        <v>-596.50506067312494</v>
      </c>
      <c r="AE168" s="135">
        <v>-763.43484463158779</v>
      </c>
      <c r="AF168" s="135">
        <v>-869.38236914909339</v>
      </c>
      <c r="AL168" s="524"/>
      <c r="AM168" s="524">
        <v>295</v>
      </c>
      <c r="AN168" s="524">
        <v>860</v>
      </c>
      <c r="AO168" s="524">
        <v>609</v>
      </c>
      <c r="AP168" s="524">
        <v>624.08973616224125</v>
      </c>
      <c r="AQ168" s="524">
        <v>559.5821028875672</v>
      </c>
      <c r="AR168" s="524">
        <v>425.25355294156054</v>
      </c>
      <c r="AS168" s="524">
        <v>270.23219492674991</v>
      </c>
      <c r="AT168" s="524">
        <v>103.08573254216878</v>
      </c>
      <c r="AU168" s="524">
        <v>-65.926582816263362</v>
      </c>
      <c r="AV168" s="524">
        <v>-327.35208328689919</v>
      </c>
      <c r="AW168" s="524">
        <v>-596.50506067312494</v>
      </c>
      <c r="AX168" s="524">
        <v>-869.38236914909339</v>
      </c>
    </row>
    <row r="169" spans="2:50" s="286" customFormat="1">
      <c r="B169" s="316" t="s">
        <v>1475</v>
      </c>
      <c r="C169" s="287" t="s">
        <v>1347</v>
      </c>
      <c r="D169" s="317" t="s">
        <v>1079</v>
      </c>
      <c r="F169" s="287"/>
      <c r="G169" s="716"/>
      <c r="H169" s="716"/>
      <c r="I169" s="716"/>
      <c r="J169" s="716">
        <v>0.8</v>
      </c>
      <c r="K169" s="716"/>
      <c r="L169" s="716">
        <v>2.7</v>
      </c>
      <c r="M169" s="716">
        <v>2.2000000000000002</v>
      </c>
      <c r="N169" s="716">
        <v>1.6</v>
      </c>
      <c r="O169" s="716">
        <v>1.5</v>
      </c>
      <c r="P169" s="716">
        <v>1.4566859058581663</v>
      </c>
      <c r="Q169" s="716">
        <v>1.2478071319534567</v>
      </c>
      <c r="R169" s="716">
        <v>1.1835389899336866</v>
      </c>
      <c r="S169" s="716">
        <v>0.97342106785209015</v>
      </c>
      <c r="T169" s="716">
        <v>0.87891589516283908</v>
      </c>
      <c r="U169" s="716">
        <v>0.65602882381101035</v>
      </c>
      <c r="V169" s="716">
        <v>0.54755994121354501</v>
      </c>
      <c r="W169" s="716">
        <v>0.32053351748008863</v>
      </c>
      <c r="X169" s="716">
        <v>0.20473281903910853</v>
      </c>
      <c r="Y169" s="716">
        <v>-1.6949377092597032E-2</v>
      </c>
      <c r="Z169" s="716">
        <v>-0.12830462428665848</v>
      </c>
      <c r="AA169" s="716">
        <v>-0.44218809869660186</v>
      </c>
      <c r="AB169" s="716">
        <v>-0.62414810394975684</v>
      </c>
      <c r="AC169" s="716">
        <v>-0.93817237084628124</v>
      </c>
      <c r="AD169" s="716">
        <v>-1.1315932151839516</v>
      </c>
      <c r="AE169" s="716">
        <v>-1.4438034158684057</v>
      </c>
      <c r="AF169" s="716">
        <v>-1.6398591842298882</v>
      </c>
      <c r="AL169" s="717"/>
      <c r="AM169" s="717">
        <v>0.8</v>
      </c>
      <c r="AN169" s="717">
        <v>2.7</v>
      </c>
      <c r="AO169" s="717">
        <v>1.6</v>
      </c>
      <c r="AP169" s="717">
        <v>1.4566859058581663</v>
      </c>
      <c r="AQ169" s="717">
        <v>1.1835389899336866</v>
      </c>
      <c r="AR169" s="717">
        <v>0.87891589516283908</v>
      </c>
      <c r="AS169" s="717">
        <v>0.54755994121354501</v>
      </c>
      <c r="AT169" s="717">
        <v>0.20473281903910853</v>
      </c>
      <c r="AU169" s="717">
        <v>-0.12830462428665848</v>
      </c>
      <c r="AV169" s="717">
        <v>-0.62414810394975684</v>
      </c>
      <c r="AW169" s="717">
        <v>-1.1315932151839516</v>
      </c>
      <c r="AX169" s="717">
        <v>-1.6398591842298882</v>
      </c>
    </row>
    <row r="170" spans="2:50" s="286" customFormat="1">
      <c r="B170" s="316" t="s">
        <v>1476</v>
      </c>
      <c r="C170" s="287" t="s">
        <v>1151</v>
      </c>
      <c r="D170" s="317" t="s">
        <v>1342</v>
      </c>
      <c r="F170" s="287"/>
      <c r="G170" s="236"/>
      <c r="H170" s="236"/>
      <c r="I170" s="135">
        <v>2279.4</v>
      </c>
      <c r="J170" s="135">
        <v>2281.5</v>
      </c>
      <c r="K170" s="135">
        <v>2282.410989</v>
      </c>
      <c r="L170" s="135">
        <v>2283.6</v>
      </c>
      <c r="M170" s="135">
        <v>2284.8698250000002</v>
      </c>
      <c r="N170" s="135">
        <v>2286.1999999999998</v>
      </c>
      <c r="O170" s="135">
        <v>2289.1999999999998</v>
      </c>
      <c r="P170" s="135">
        <v>2289.1999999999998</v>
      </c>
      <c r="Q170" s="135">
        <v>2289.1999999999998</v>
      </c>
      <c r="R170" s="135">
        <v>2289.1999999999998</v>
      </c>
      <c r="S170" s="135">
        <v>2289.1999999999998</v>
      </c>
      <c r="T170" s="135">
        <v>2289.1999999999998</v>
      </c>
      <c r="U170" s="135">
        <v>2289.1999999999998</v>
      </c>
      <c r="V170" s="135">
        <v>2289.1999999999998</v>
      </c>
      <c r="W170" s="135">
        <v>2289.1999999999998</v>
      </c>
      <c r="X170" s="135">
        <v>2289.1999999999998</v>
      </c>
      <c r="Y170" s="135">
        <v>2289.1999999999998</v>
      </c>
      <c r="Z170" s="135">
        <v>2289.1999999999998</v>
      </c>
      <c r="AA170" s="135">
        <v>2289.1999999999998</v>
      </c>
      <c r="AB170" s="135">
        <v>2289.1999999999998</v>
      </c>
      <c r="AC170" s="135">
        <v>2289.1999999999998</v>
      </c>
      <c r="AD170" s="135">
        <v>2289.1999999999998</v>
      </c>
      <c r="AE170" s="135">
        <v>2289.1999999999998</v>
      </c>
      <c r="AF170" s="135">
        <v>2289.1999999999998</v>
      </c>
      <c r="AL170" s="524"/>
      <c r="AM170" s="524">
        <v>2281.5</v>
      </c>
      <c r="AN170" s="524">
        <v>2283.6</v>
      </c>
      <c r="AO170" s="524">
        <v>2286.1999999999998</v>
      </c>
      <c r="AP170" s="524">
        <v>2289.1999999999998</v>
      </c>
      <c r="AQ170" s="524">
        <v>2289.1999999999998</v>
      </c>
      <c r="AR170" s="524">
        <v>2289.1999999999998</v>
      </c>
      <c r="AS170" s="524">
        <v>2289.1999999999998</v>
      </c>
      <c r="AT170" s="524">
        <v>2289.1999999999998</v>
      </c>
      <c r="AU170" s="524">
        <v>2289.1999999999998</v>
      </c>
      <c r="AV170" s="524">
        <v>2289.1999999999998</v>
      </c>
      <c r="AW170" s="524">
        <v>2289.1999999999998</v>
      </c>
      <c r="AX170" s="524">
        <v>2289.1999999999998</v>
      </c>
    </row>
    <row r="171" spans="2:50" s="286" customFormat="1">
      <c r="B171" s="316"/>
      <c r="C171" s="287"/>
      <c r="D171" s="317"/>
      <c r="G171" s="236"/>
      <c r="H171" s="236"/>
      <c r="I171" s="236"/>
      <c r="J171" s="236"/>
      <c r="K171" s="236"/>
      <c r="L171" s="236"/>
      <c r="M171" s="236"/>
      <c r="N171" s="236"/>
      <c r="O171" s="236"/>
      <c r="P171" s="236"/>
      <c r="Q171" s="236"/>
      <c r="R171" s="236"/>
      <c r="S171" s="236"/>
      <c r="T171" s="236"/>
      <c r="U171" s="236"/>
      <c r="V171" s="236"/>
      <c r="W171" s="236"/>
      <c r="X171" s="236"/>
      <c r="Y171" s="236"/>
      <c r="Z171" s="236"/>
      <c r="AA171" s="236"/>
      <c r="AB171" s="236"/>
      <c r="AC171" s="236"/>
      <c r="AD171" s="236"/>
      <c r="AE171" s="236"/>
      <c r="AF171" s="236"/>
      <c r="AL171" s="236"/>
      <c r="AM171" s="236"/>
      <c r="AN171" s="236"/>
      <c r="AO171" s="236"/>
      <c r="AP171" s="236"/>
      <c r="AQ171" s="236"/>
      <c r="AR171" s="236"/>
      <c r="AS171" s="236"/>
      <c r="AT171" s="236"/>
      <c r="AU171" s="236"/>
      <c r="AV171" s="236"/>
      <c r="AW171" s="236"/>
      <c r="AX171" s="236"/>
    </row>
    <row r="172" spans="2:50" s="286" customFormat="1">
      <c r="C172" s="285" t="s">
        <v>997</v>
      </c>
    </row>
    <row r="173" spans="2:50" s="286" customFormat="1">
      <c r="B173" s="316" t="s">
        <v>1131</v>
      </c>
      <c r="C173" s="287" t="s">
        <v>62</v>
      </c>
      <c r="D173" s="317" t="s">
        <v>842</v>
      </c>
      <c r="F173" s="194">
        <v>0.13</v>
      </c>
      <c r="AK173" s="194">
        <v>0.13</v>
      </c>
    </row>
    <row r="174" spans="2:50" s="286" customFormat="1">
      <c r="B174" s="316" t="s">
        <v>1132</v>
      </c>
      <c r="C174" s="287" t="s">
        <v>1120</v>
      </c>
      <c r="D174" s="317" t="s">
        <v>1079</v>
      </c>
      <c r="F174" s="288">
        <v>11</v>
      </c>
      <c r="AK174" s="288">
        <v>11</v>
      </c>
    </row>
    <row r="175" spans="2:50" s="286" customFormat="1">
      <c r="B175" s="316" t="s">
        <v>1133</v>
      </c>
      <c r="C175" s="287" t="s">
        <v>94</v>
      </c>
      <c r="D175" s="317" t="s">
        <v>1127</v>
      </c>
      <c r="F175" s="237">
        <v>1.285498653621024</v>
      </c>
      <c r="AK175" s="237">
        <v>1.285498653621024</v>
      </c>
    </row>
    <row r="176" spans="2:50" s="286" customFormat="1">
      <c r="B176" s="316" t="s">
        <v>1134</v>
      </c>
      <c r="C176" s="287" t="s">
        <v>0</v>
      </c>
      <c r="D176" s="317" t="s">
        <v>977</v>
      </c>
      <c r="F176" s="289">
        <v>46079</v>
      </c>
      <c r="AK176" s="289">
        <v>46079</v>
      </c>
    </row>
    <row r="177" spans="1:50">
      <c r="C177" s="138"/>
      <c r="F177" s="282"/>
      <c r="AK177" s="282"/>
    </row>
    <row r="178" spans="1:50" s="290" customFormat="1">
      <c r="A178" s="290" t="s">
        <v>971</v>
      </c>
    </row>
    <row r="180" spans="1:50">
      <c r="A180" t="s">
        <v>971</v>
      </c>
      <c r="C180" s="810" t="s">
        <v>1385</v>
      </c>
      <c r="D180" s="292"/>
      <c r="E180" s="292"/>
      <c r="F180" s="292"/>
      <c r="G180" s="292"/>
      <c r="H180" s="292"/>
      <c r="I180" s="292"/>
      <c r="J180" s="292"/>
      <c r="K180" s="292"/>
      <c r="L180" s="292"/>
      <c r="M180" s="292"/>
      <c r="N180" s="292"/>
      <c r="O180" s="292"/>
      <c r="P180" s="293"/>
      <c r="Q180" s="293"/>
      <c r="R180" s="293"/>
      <c r="S180" s="293"/>
      <c r="T180" s="293"/>
      <c r="U180" s="293"/>
      <c r="V180" s="293"/>
      <c r="W180" s="293"/>
      <c r="X180" s="293"/>
      <c r="Y180" s="293"/>
      <c r="Z180" s="293"/>
      <c r="AA180" s="293"/>
      <c r="AB180" s="293"/>
      <c r="AC180" s="293"/>
      <c r="AD180" s="293"/>
      <c r="AE180" s="293"/>
      <c r="AF180" s="293"/>
      <c r="AG180" s="293"/>
      <c r="AH180" s="293"/>
      <c r="AI180" s="293"/>
      <c r="AJ180" s="292"/>
      <c r="AK180" s="292"/>
      <c r="AL180" s="294"/>
      <c r="AM180" s="293"/>
      <c r="AN180" s="295"/>
    </row>
    <row r="181" spans="1:50">
      <c r="C181" s="296"/>
      <c r="D181" s="296" t="s">
        <v>960</v>
      </c>
      <c r="E181" s="296"/>
      <c r="F181" s="296" t="str">
        <f>F$5</f>
        <v>VAL</v>
      </c>
      <c r="G181" s="297" t="str">
        <f t="shared" ref="G181:AX181" si="22">G$5</f>
        <v>1H22A</v>
      </c>
      <c r="H181" s="298" t="str">
        <f t="shared" si="22"/>
        <v>2H22A</v>
      </c>
      <c r="I181" s="297" t="str">
        <f t="shared" si="22"/>
        <v>1H23A</v>
      </c>
      <c r="J181" s="298" t="str">
        <f t="shared" si="22"/>
        <v>2H23A</v>
      </c>
      <c r="K181" s="297" t="str">
        <f t="shared" si="22"/>
        <v>1H24E</v>
      </c>
      <c r="L181" s="298" t="str">
        <f t="shared" si="22"/>
        <v>2H24E</v>
      </c>
      <c r="M181" s="297" t="str">
        <f t="shared" si="22"/>
        <v>1H25E</v>
      </c>
      <c r="N181" s="298" t="str">
        <f t="shared" si="22"/>
        <v>2H25E</v>
      </c>
      <c r="O181" s="297" t="str">
        <f t="shared" si="22"/>
        <v>1H26E</v>
      </c>
      <c r="P181" s="298" t="str">
        <f t="shared" si="22"/>
        <v>2H26E</v>
      </c>
      <c r="Q181" s="297" t="str">
        <f t="shared" si="22"/>
        <v>1H27E</v>
      </c>
      <c r="R181" s="298" t="str">
        <f t="shared" si="22"/>
        <v>2H27E</v>
      </c>
      <c r="S181" s="297" t="str">
        <f t="shared" si="22"/>
        <v>1H28E</v>
      </c>
      <c r="T181" s="298" t="str">
        <f t="shared" si="22"/>
        <v>2H28E</v>
      </c>
      <c r="U181" s="297" t="str">
        <f t="shared" si="22"/>
        <v>1H29E</v>
      </c>
      <c r="V181" s="298" t="str">
        <f t="shared" si="22"/>
        <v>2H29E</v>
      </c>
      <c r="W181" s="297" t="str">
        <f t="shared" si="22"/>
        <v>1H30E</v>
      </c>
      <c r="X181" s="298" t="str">
        <f t="shared" si="22"/>
        <v>2H30E</v>
      </c>
      <c r="Y181" s="298" t="str">
        <f t="shared" si="22"/>
        <v>1H31E</v>
      </c>
      <c r="Z181" s="298" t="str">
        <f t="shared" si="22"/>
        <v>2H31E</v>
      </c>
      <c r="AA181" s="298" t="str">
        <f t="shared" si="22"/>
        <v>1H32E</v>
      </c>
      <c r="AB181" s="298" t="str">
        <f t="shared" si="22"/>
        <v>2H32E</v>
      </c>
      <c r="AC181" s="298" t="str">
        <f t="shared" si="22"/>
        <v>1H33E</v>
      </c>
      <c r="AD181" s="298" t="str">
        <f t="shared" si="22"/>
        <v>2H33E</v>
      </c>
      <c r="AE181" s="298" t="str">
        <f t="shared" si="22"/>
        <v>1H34E</v>
      </c>
      <c r="AF181" s="298" t="str">
        <f t="shared" si="22"/>
        <v>2H34E</v>
      </c>
      <c r="AG181" s="299"/>
      <c r="AH181" s="723"/>
      <c r="AI181" s="723" t="s">
        <v>960</v>
      </c>
      <c r="AJ181" s="723"/>
      <c r="AK181" s="723" t="str">
        <f>AK$5</f>
        <v>VAL</v>
      </c>
      <c r="AL181" s="723" t="str">
        <f t="shared" si="22"/>
        <v>FY22A</v>
      </c>
      <c r="AM181" s="723" t="str">
        <f t="shared" si="22"/>
        <v>FY23A</v>
      </c>
      <c r="AN181" s="723" t="str">
        <f t="shared" si="22"/>
        <v>FY24A</v>
      </c>
      <c r="AO181" s="723" t="str">
        <f t="shared" si="22"/>
        <v>FY25A</v>
      </c>
      <c r="AP181" s="723" t="str">
        <f t="shared" si="22"/>
        <v>FY26A</v>
      </c>
      <c r="AQ181" s="723" t="str">
        <f t="shared" si="22"/>
        <v>FY27A</v>
      </c>
      <c r="AR181" s="723" t="str">
        <f t="shared" si="22"/>
        <v>FY28A</v>
      </c>
      <c r="AS181" s="723" t="str">
        <f t="shared" si="22"/>
        <v>FY29A</v>
      </c>
      <c r="AT181" s="723" t="str">
        <f t="shared" si="22"/>
        <v>FY30A</v>
      </c>
      <c r="AU181" s="723" t="str">
        <f t="shared" si="22"/>
        <v>FY31A</v>
      </c>
      <c r="AV181" s="723" t="str">
        <f t="shared" si="22"/>
        <v>FY32A</v>
      </c>
      <c r="AW181" s="723" t="str">
        <f t="shared" si="22"/>
        <v>FY33A</v>
      </c>
      <c r="AX181" s="723" t="str">
        <f t="shared" si="22"/>
        <v>FY34A</v>
      </c>
    </row>
    <row r="182" spans="1:50">
      <c r="C182" s="300"/>
      <c r="D182" s="300"/>
      <c r="E182" s="300"/>
      <c r="F182" s="300"/>
      <c r="G182" s="301">
        <f t="shared" ref="G182:AX182" si="23">G$6</f>
        <v>44561</v>
      </c>
      <c r="H182" s="302">
        <f t="shared" si="23"/>
        <v>44742</v>
      </c>
      <c r="I182" s="301">
        <f t="shared" si="23"/>
        <v>44926</v>
      </c>
      <c r="J182" s="302">
        <f t="shared" si="23"/>
        <v>45107</v>
      </c>
      <c r="K182" s="301">
        <f t="shared" si="23"/>
        <v>45291</v>
      </c>
      <c r="L182" s="302">
        <f t="shared" si="23"/>
        <v>45473</v>
      </c>
      <c r="M182" s="301">
        <f t="shared" si="23"/>
        <v>45657</v>
      </c>
      <c r="N182" s="302">
        <f t="shared" si="23"/>
        <v>45838</v>
      </c>
      <c r="O182" s="301">
        <f t="shared" si="23"/>
        <v>46022</v>
      </c>
      <c r="P182" s="302">
        <f t="shared" si="23"/>
        <v>46203</v>
      </c>
      <c r="Q182" s="301">
        <f t="shared" si="23"/>
        <v>46387</v>
      </c>
      <c r="R182" s="302">
        <f t="shared" si="23"/>
        <v>46568</v>
      </c>
      <c r="S182" s="301">
        <f t="shared" si="23"/>
        <v>46752</v>
      </c>
      <c r="T182" s="302">
        <f t="shared" si="23"/>
        <v>46934</v>
      </c>
      <c r="U182" s="301">
        <f t="shared" si="23"/>
        <v>47118</v>
      </c>
      <c r="V182" s="302">
        <f t="shared" si="23"/>
        <v>47299</v>
      </c>
      <c r="W182" s="301">
        <f t="shared" si="23"/>
        <v>47483</v>
      </c>
      <c r="X182" s="300">
        <f t="shared" si="23"/>
        <v>47664</v>
      </c>
      <c r="Y182" s="300">
        <f t="shared" si="23"/>
        <v>47848</v>
      </c>
      <c r="Z182" s="300">
        <f t="shared" si="23"/>
        <v>48029</v>
      </c>
      <c r="AA182" s="300">
        <f t="shared" si="23"/>
        <v>48213</v>
      </c>
      <c r="AB182" s="300">
        <f t="shared" si="23"/>
        <v>48395</v>
      </c>
      <c r="AC182" s="300">
        <f t="shared" si="23"/>
        <v>48579</v>
      </c>
      <c r="AD182" s="300">
        <f t="shared" si="23"/>
        <v>48760</v>
      </c>
      <c r="AE182" s="300">
        <f t="shared" si="23"/>
        <v>48944</v>
      </c>
      <c r="AF182" s="300">
        <f t="shared" si="23"/>
        <v>49125</v>
      </c>
      <c r="AG182" s="303"/>
      <c r="AH182" s="724"/>
      <c r="AI182" s="724"/>
      <c r="AJ182" s="724"/>
      <c r="AK182" s="724"/>
      <c r="AL182" s="724">
        <f t="shared" si="23"/>
        <v>44742</v>
      </c>
      <c r="AM182" s="724">
        <f t="shared" si="23"/>
        <v>45107</v>
      </c>
      <c r="AN182" s="724">
        <f t="shared" si="23"/>
        <v>45473</v>
      </c>
      <c r="AO182" s="724">
        <f t="shared" si="23"/>
        <v>45838</v>
      </c>
      <c r="AP182" s="724">
        <f t="shared" si="23"/>
        <v>46203</v>
      </c>
      <c r="AQ182" s="724">
        <f t="shared" si="23"/>
        <v>46568</v>
      </c>
      <c r="AR182" s="724">
        <f t="shared" si="23"/>
        <v>46934</v>
      </c>
      <c r="AS182" s="724">
        <f t="shared" si="23"/>
        <v>47299</v>
      </c>
      <c r="AT182" s="724">
        <f t="shared" si="23"/>
        <v>47664</v>
      </c>
      <c r="AU182" s="724">
        <f t="shared" si="23"/>
        <v>48029</v>
      </c>
      <c r="AV182" s="724">
        <f t="shared" si="23"/>
        <v>48395</v>
      </c>
      <c r="AW182" s="724">
        <f t="shared" si="23"/>
        <v>48760</v>
      </c>
      <c r="AX182" s="724">
        <f t="shared" si="23"/>
        <v>49125</v>
      </c>
    </row>
    <row r="183" spans="1:50" s="704" customFormat="1">
      <c r="B183" s="705" t="s">
        <v>1421</v>
      </c>
      <c r="C183" s="706" t="str">
        <f>_xlfn.TEXTAFTER($B183,$C$180)&amp;" - old"</f>
        <v>Digital Turnover - old</v>
      </c>
      <c r="D183" s="707" t="str" cm="1">
        <f t="array" ref="D183">_xlfn.XLOOKUP($B183,$B$96:$B$176,_xlfn.XLOOKUP(D$181,$D$5:$AX$5,$D$96:$AX$176))</f>
        <v>A$m</v>
      </c>
      <c r="E183" s="707"/>
      <c r="F183" s="707"/>
      <c r="G183" s="708" cm="1">
        <f t="array" ref="G183">_xlfn.XLOOKUP($B183,$B$96:$B$176,_xlfn.XLOOKUP(G$181,$D$5:$AX$5,$D$96:$AX$176))</f>
        <v>5259</v>
      </c>
      <c r="H183" s="708" cm="1">
        <f t="array" ref="H183">_xlfn.XLOOKUP($B183,$B$96:$B$176,_xlfn.XLOOKUP(H$181,$D$5:$AX$5,$D$96:$AX$176))</f>
        <v>4438</v>
      </c>
      <c r="I183" s="708" cm="1">
        <f t="array" ref="I183">_xlfn.XLOOKUP($B183,$B$96:$B$176,_xlfn.XLOOKUP(I$181,$D$5:$AX$5,$D$96:$AX$176))</f>
        <v>4920.5</v>
      </c>
      <c r="J183" s="708" cm="1">
        <f t="array" ref="J183">_xlfn.XLOOKUP($B183,$B$96:$B$176,_xlfn.XLOOKUP(J$181,$D$5:$AX$5,$D$96:$AX$176))</f>
        <v>4346.2000000000007</v>
      </c>
      <c r="K183" s="708" cm="1">
        <f t="array" ref="K183">_xlfn.XLOOKUP($B183,$B$96:$B$176,_xlfn.XLOOKUP(K$181,$D$5:$AX$5,$D$96:$AX$176))</f>
        <v>4731.2</v>
      </c>
      <c r="L183" s="708" cm="1">
        <f t="array" ref="L183">_xlfn.XLOOKUP($B183,$B$96:$B$176,_xlfn.XLOOKUP(L$181,$D$5:$AX$5,$D$96:$AX$176))</f>
        <v>4077.9000000000005</v>
      </c>
      <c r="M183" s="708" cm="1">
        <f t="array" ref="M183">_xlfn.XLOOKUP($B183,$B$96:$B$176,_xlfn.XLOOKUP(M$181,$D$5:$AX$5,$D$96:$AX$176))</f>
        <v>4353.8999999999996</v>
      </c>
      <c r="N183" s="708" cm="1">
        <f t="array" ref="N183">_xlfn.XLOOKUP($B183,$B$96:$B$176,_xlfn.XLOOKUP(N$181,$D$5:$AX$5,$D$96:$AX$176))</f>
        <v>4028</v>
      </c>
      <c r="O183" s="708" cm="1">
        <f t="array" ref="O183">_xlfn.XLOOKUP($B183,$B$96:$B$176,_xlfn.XLOOKUP(O$181,$D$5:$AX$5,$D$96:$AX$176))</f>
        <v>4343.3999999999996</v>
      </c>
      <c r="P183" s="708" cm="1">
        <f t="array" ref="P183">_xlfn.XLOOKUP($B183,$B$96:$B$176,_xlfn.XLOOKUP(P$181,$D$5:$AX$5,$D$96:$AX$176))</f>
        <v>4076.3360000000002</v>
      </c>
      <c r="Q183" s="708" cm="1">
        <f t="array" ref="Q183">_xlfn.XLOOKUP($B183,$B$96:$B$176,_xlfn.XLOOKUP(Q$181,$D$5:$AX$5,$D$96:$AX$176))</f>
        <v>4430.268</v>
      </c>
      <c r="R183" s="708" cm="1">
        <f t="array" ref="R183">_xlfn.XLOOKUP($B183,$B$96:$B$176,_xlfn.XLOOKUP(R$181,$D$5:$AX$5,$D$96:$AX$176))</f>
        <v>4157.8627200000001</v>
      </c>
      <c r="S183" s="708" cm="1">
        <f t="array" ref="S183">_xlfn.XLOOKUP($B183,$B$96:$B$176,_xlfn.XLOOKUP(S$181,$D$5:$AX$5,$D$96:$AX$176))</f>
        <v>4563.1760400000003</v>
      </c>
      <c r="T183" s="708" cm="1">
        <f t="array" ref="T183">_xlfn.XLOOKUP($B183,$B$96:$B$176,_xlfn.XLOOKUP(T$181,$D$5:$AX$5,$D$96:$AX$176))</f>
        <v>4282.5986016000006</v>
      </c>
      <c r="U183" s="708" cm="1">
        <f t="array" ref="U183">_xlfn.XLOOKUP($B183,$B$96:$B$176,_xlfn.XLOOKUP(U$181,$D$5:$AX$5,$D$96:$AX$176))</f>
        <v>4700.0713212000001</v>
      </c>
      <c r="V183" s="708" cm="1">
        <f t="array" ref="V183">_xlfn.XLOOKUP($B183,$B$96:$B$176,_xlfn.XLOOKUP(V$181,$D$5:$AX$5,$D$96:$AX$176))</f>
        <v>4411.0765596480005</v>
      </c>
      <c r="W183" s="708" cm="1">
        <f t="array" ref="W183">_xlfn.XLOOKUP($B183,$B$96:$B$176,_xlfn.XLOOKUP(W$181,$D$5:$AX$5,$D$96:$AX$176))</f>
        <v>4841.0734608359999</v>
      </c>
      <c r="X183" s="708" cm="1">
        <f t="array" ref="X183">_xlfn.XLOOKUP($B183,$B$96:$B$176,_xlfn.XLOOKUP(X$181,$D$5:$AX$5,$D$96:$AX$176))</f>
        <v>4543.4088564374406</v>
      </c>
      <c r="Y183" s="708" cm="1">
        <f t="array" ref="Y183">_xlfn.XLOOKUP($B183,$B$96:$B$176,_xlfn.XLOOKUP(Y$181,$D$5:$AX$5,$D$96:$AX$176))</f>
        <v>4986.3056646610803</v>
      </c>
      <c r="Z183" s="708" cm="1">
        <f t="array" ref="Z183">_xlfn.XLOOKUP($B183,$B$96:$B$176,_xlfn.XLOOKUP(Z$181,$D$5:$AX$5,$D$96:$AX$176))</f>
        <v>4679.711122130564</v>
      </c>
      <c r="AA183" s="708" cm="1">
        <f t="array" ref="AA183">_xlfn.XLOOKUP($B183,$B$96:$B$176,_xlfn.XLOOKUP(AA$181,$D$5:$AX$5,$D$96:$AX$176))</f>
        <v>5135.8948346009129</v>
      </c>
      <c r="AB183" s="708" cm="1">
        <f t="array" ref="AB183">_xlfn.XLOOKUP($B183,$B$96:$B$176,_xlfn.XLOOKUP(AB$181,$D$5:$AX$5,$D$96:$AX$176))</f>
        <v>4820.1024557944811</v>
      </c>
      <c r="AC183" s="708" cm="1">
        <f t="array" ref="AC183">_xlfn.XLOOKUP($B183,$B$96:$B$176,_xlfn.XLOOKUP(AC$181,$D$5:$AX$5,$D$96:$AX$176))</f>
        <v>5289.9716796389403</v>
      </c>
      <c r="AD183" s="708" cm="1">
        <f t="array" ref="AD183">_xlfn.XLOOKUP($B183,$B$96:$B$176,_xlfn.XLOOKUP(AD$181,$D$5:$AX$5,$D$96:$AX$176))</f>
        <v>4964.7055294683159</v>
      </c>
      <c r="AE183" s="708" cm="1">
        <f t="array" ref="AE183">_xlfn.XLOOKUP($B183,$B$96:$B$176,_xlfn.XLOOKUP(AE$181,$D$5:$AX$5,$D$96:$AX$176))</f>
        <v>5448.6708300281089</v>
      </c>
      <c r="AF183" s="708" cm="1">
        <f t="array" ref="AF183">_xlfn.XLOOKUP($B183,$B$96:$B$176,_xlfn.XLOOKUP(AF$181,$D$5:$AX$5,$D$96:$AX$176))</f>
        <v>5113.6466953523659</v>
      </c>
      <c r="AG183" s="709"/>
      <c r="AH183" s="706" t="str">
        <f t="shared" ref="AH183:AH210" si="24">C183</f>
        <v>Digital Turnover - old</v>
      </c>
      <c r="AI183" s="707" t="str" cm="1">
        <f t="array" ref="AI183">_xlfn.XLOOKUP($B183,$B$96:$B$176,_xlfn.XLOOKUP(AI$181,$D$5:$AX$5,$D$96:$AX$176))</f>
        <v>A$m</v>
      </c>
      <c r="AJ183" s="707"/>
      <c r="AK183" s="707"/>
      <c r="AL183" s="708" cm="1">
        <f t="array" ref="AL183">_xlfn.XLOOKUP($B183,$B$96:$B$176,_xlfn.XLOOKUP(AL$181,$D$5:$AX$5,$D$96:$AX$176))</f>
        <v>9697</v>
      </c>
      <c r="AM183" s="708" cm="1">
        <f t="array" ref="AM183">_xlfn.XLOOKUP($B183,$B$96:$B$176,_xlfn.XLOOKUP(AM$181,$D$5:$AX$5,$D$96:$AX$176))</f>
        <v>9266.7000000000007</v>
      </c>
      <c r="AN183" s="708" cm="1">
        <f t="array" ref="AN183">_xlfn.XLOOKUP($B183,$B$96:$B$176,_xlfn.XLOOKUP(AN$181,$D$5:$AX$5,$D$96:$AX$176))</f>
        <v>8809.1</v>
      </c>
      <c r="AO183" s="708" cm="1">
        <f t="array" ref="AO183">_xlfn.XLOOKUP($B183,$B$96:$B$176,_xlfn.XLOOKUP(AO$181,$D$5:$AX$5,$D$96:$AX$176))</f>
        <v>8381.9</v>
      </c>
      <c r="AP183" s="708" cm="1">
        <f t="array" ref="AP183">_xlfn.XLOOKUP($B183,$B$96:$B$176,_xlfn.XLOOKUP(AP$181,$D$5:$AX$5,$D$96:$AX$176))</f>
        <v>8419.7360000000008</v>
      </c>
      <c r="AQ183" s="708" cm="1">
        <f t="array" ref="AQ183">_xlfn.XLOOKUP($B183,$B$96:$B$176,_xlfn.XLOOKUP(AQ$181,$D$5:$AX$5,$D$96:$AX$176))</f>
        <v>8588.130720000001</v>
      </c>
      <c r="AR183" s="708" cm="1">
        <f t="array" ref="AR183">_xlfn.XLOOKUP($B183,$B$96:$B$176,_xlfn.XLOOKUP(AR$181,$D$5:$AX$5,$D$96:$AX$176))</f>
        <v>8845.7746416000009</v>
      </c>
      <c r="AS183" s="708" cm="1">
        <f t="array" ref="AS183">_xlfn.XLOOKUP($B183,$B$96:$B$176,_xlfn.XLOOKUP(AS$181,$D$5:$AX$5,$D$96:$AX$176))</f>
        <v>9111.1478808480006</v>
      </c>
      <c r="AT183" s="708" cm="1">
        <f t="array" ref="AT183">_xlfn.XLOOKUP($B183,$B$96:$B$176,_xlfn.XLOOKUP(AT$181,$D$5:$AX$5,$D$96:$AX$176))</f>
        <v>9384.4823172734395</v>
      </c>
      <c r="AU183" s="708" cm="1">
        <f t="array" ref="AU183">_xlfn.XLOOKUP($B183,$B$96:$B$176,_xlfn.XLOOKUP(AU$181,$D$5:$AX$5,$D$96:$AX$176))</f>
        <v>9666.0167867916443</v>
      </c>
      <c r="AV183" s="708" cm="1">
        <f t="array" ref="AV183">_xlfn.XLOOKUP($B183,$B$96:$B$176,_xlfn.XLOOKUP(AV$181,$D$5:$AX$5,$D$96:$AX$176))</f>
        <v>9955.9972903953931</v>
      </c>
      <c r="AW183" s="708" cm="1">
        <f t="array" ref="AW183">_xlfn.XLOOKUP($B183,$B$96:$B$176,_xlfn.XLOOKUP(AW$181,$D$5:$AX$5,$D$96:$AX$176))</f>
        <v>10254.677209107256</v>
      </c>
      <c r="AX183" s="708" cm="1">
        <f t="array" ref="AX183">_xlfn.XLOOKUP($B183,$B$96:$B$176,_xlfn.XLOOKUP(AX$181,$D$5:$AX$5,$D$96:$AX$176))</f>
        <v>10562.317525380475</v>
      </c>
    </row>
    <row r="184" spans="1:50">
      <c r="B184" s="305" t="s">
        <v>1421</v>
      </c>
      <c r="C184" s="318" t="str">
        <f>_xlfn.TEXTAFTER($B184,$C$180)&amp;" - New"</f>
        <v>Digital Turnover - New</v>
      </c>
      <c r="D184" s="311" t="str" cm="1">
        <f t="array" ref="D184">_xlfn.XLOOKUP($B184,$B$11:$B$91,_xlfn.XLOOKUP(D$181,$D$5:$AX$5,$D$11:$AX$91))</f>
        <v>A$m</v>
      </c>
      <c r="E184" s="311"/>
      <c r="F184" s="311"/>
      <c r="G184" s="312" cm="1">
        <f t="array" ref="G184">_xlfn.XLOOKUP($B184,$B$11:$B$91,_xlfn.XLOOKUP(G$181,$D$5:$AX$5,$D$11:$AX$91))</f>
        <v>5259</v>
      </c>
      <c r="H184" s="312" cm="1">
        <f t="array" ref="H184">_xlfn.XLOOKUP($B184,$B$11:$B$91,_xlfn.XLOOKUP(H$181,$D$5:$AX$5,$D$11:$AX$91))</f>
        <v>4438</v>
      </c>
      <c r="I184" s="312" cm="1">
        <f t="array" ref="I184">_xlfn.XLOOKUP($B184,$B$11:$B$91,_xlfn.XLOOKUP(I$181,$D$5:$AX$5,$D$11:$AX$91))</f>
        <v>4920.5</v>
      </c>
      <c r="J184" s="312" cm="1">
        <f t="array" ref="J184">_xlfn.XLOOKUP($B184,$B$11:$B$91,_xlfn.XLOOKUP(J$181,$D$5:$AX$5,$D$11:$AX$91))</f>
        <v>4346.2000000000007</v>
      </c>
      <c r="K184" s="312" cm="1">
        <f t="array" ref="K184">_xlfn.XLOOKUP($B184,$B$11:$B$91,_xlfn.XLOOKUP(K$181,$D$5:$AX$5,$D$11:$AX$91))</f>
        <v>4731.2</v>
      </c>
      <c r="L184" s="312" cm="1">
        <f t="array" ref="L184">_xlfn.XLOOKUP($B184,$B$11:$B$91,_xlfn.XLOOKUP(L$181,$D$5:$AX$5,$D$11:$AX$91))</f>
        <v>4077.9000000000005</v>
      </c>
      <c r="M184" s="312" cm="1">
        <f t="array" ref="M184">_xlfn.XLOOKUP($B184,$B$11:$B$91,_xlfn.XLOOKUP(M$181,$D$5:$AX$5,$D$11:$AX$91))</f>
        <v>4353.8999999999996</v>
      </c>
      <c r="N184" s="312" cm="1">
        <f t="array" ref="N184">_xlfn.XLOOKUP($B184,$B$11:$B$91,_xlfn.XLOOKUP(N$181,$D$5:$AX$5,$D$11:$AX$91))</f>
        <v>4028</v>
      </c>
      <c r="O184" s="312" cm="1">
        <f t="array" ref="O184">_xlfn.XLOOKUP($B184,$B$11:$B$91,_xlfn.XLOOKUP(O$181,$D$5:$AX$5,$D$11:$AX$91))</f>
        <v>4343.3999999999996</v>
      </c>
      <c r="P184" s="312" cm="1">
        <f t="array" ref="P184">_xlfn.XLOOKUP($B184,$B$11:$B$91,_xlfn.XLOOKUP(P$181,$D$5:$AX$5,$D$11:$AX$91))</f>
        <v>4102.8999999999996</v>
      </c>
      <c r="Q184" s="312" cm="1">
        <f t="array" ref="Q184">_xlfn.XLOOKUP($B184,$B$11:$B$91,_xlfn.XLOOKUP(Q$181,$D$5:$AX$5,$D$11:$AX$91))</f>
        <v>4421.5811999999996</v>
      </c>
      <c r="R184" s="312" cm="1">
        <f t="array" ref="R184">_xlfn.XLOOKUP($B184,$B$11:$B$91,_xlfn.XLOOKUP(R$181,$D$5:$AX$5,$D$11:$AX$91))</f>
        <v>4139.8260999999993</v>
      </c>
      <c r="S184" s="312" cm="1">
        <f t="array" ref="S184">_xlfn.XLOOKUP($B184,$B$11:$B$91,_xlfn.XLOOKUP(S$181,$D$5:$AX$5,$D$11:$AX$91))</f>
        <v>4465.797012</v>
      </c>
      <c r="T184" s="312" cm="1">
        <f t="array" ref="T184">_xlfn.XLOOKUP($B184,$B$11:$B$91,_xlfn.XLOOKUP(T$181,$D$5:$AX$5,$D$11:$AX$91))</f>
        <v>4264.0208829999992</v>
      </c>
      <c r="U184" s="312" cm="1">
        <f t="array" ref="U184">_xlfn.XLOOKUP($B184,$B$11:$B$91,_xlfn.XLOOKUP(U$181,$D$5:$AX$5,$D$11:$AX$91))</f>
        <v>4555.1129522399997</v>
      </c>
      <c r="V184" s="312" cm="1">
        <f t="array" ref="V184">_xlfn.XLOOKUP($B184,$B$11:$B$91,_xlfn.XLOOKUP(V$181,$D$5:$AX$5,$D$11:$AX$91))</f>
        <v>4349.3013006599995</v>
      </c>
      <c r="W184" s="312" cm="1">
        <f t="array" ref="W184">_xlfn.XLOOKUP($B184,$B$11:$B$91,_xlfn.XLOOKUP(W$181,$D$5:$AX$5,$D$11:$AX$91))</f>
        <v>4691.7663408071994</v>
      </c>
      <c r="X184" s="312" cm="1">
        <f t="array" ref="X184">_xlfn.XLOOKUP($B184,$B$11:$B$91,_xlfn.XLOOKUP(X$181,$D$5:$AX$5,$D$11:$AX$91))</f>
        <v>4479.7803396797999</v>
      </c>
      <c r="Y184" s="312" cm="1">
        <f t="array" ref="Y184">_xlfn.XLOOKUP($B184,$B$11:$B$91,_xlfn.XLOOKUP(Y$181,$D$5:$AX$5,$D$11:$AX$91))</f>
        <v>4832.5193310314153</v>
      </c>
      <c r="Z184" s="312" cm="1">
        <f t="array" ref="Z184">_xlfn.XLOOKUP($B184,$B$11:$B$91,_xlfn.XLOOKUP(Z$181,$D$5:$AX$5,$D$11:$AX$91))</f>
        <v>4614.1737498701941</v>
      </c>
      <c r="AA184" s="312" cm="1">
        <f t="array" ref="AA184">_xlfn.XLOOKUP($B184,$B$11:$B$91,_xlfn.XLOOKUP(AA$181,$D$5:$AX$5,$D$11:$AX$91))</f>
        <v>4977.4949109623576</v>
      </c>
      <c r="AB184" s="312" cm="1">
        <f t="array" ref="AB184">_xlfn.XLOOKUP($B184,$B$11:$B$91,_xlfn.XLOOKUP(AB$181,$D$5:$AX$5,$D$11:$AX$91))</f>
        <v>4752.5989623662999</v>
      </c>
      <c r="AC184" s="312" cm="1">
        <f t="array" ref="AC184">_xlfn.XLOOKUP($B184,$B$11:$B$91,_xlfn.XLOOKUP(AC$181,$D$5:$AX$5,$D$11:$AX$91))</f>
        <v>5126.819758291228</v>
      </c>
      <c r="AD184" s="312" cm="1">
        <f t="array" ref="AD184">_xlfn.XLOOKUP($B184,$B$11:$B$91,_xlfn.XLOOKUP(AD$181,$D$5:$AX$5,$D$11:$AX$91))</f>
        <v>4895.176931237289</v>
      </c>
      <c r="AE184" s="312" cm="1">
        <f t="array" ref="AE184">_xlfn.XLOOKUP($B184,$B$11:$B$91,_xlfn.XLOOKUP(AE$181,$D$5:$AX$5,$D$11:$AX$91))</f>
        <v>5280.6243510399654</v>
      </c>
      <c r="AF184" s="312" cm="1">
        <f t="array" ref="AF184">_xlfn.XLOOKUP($B184,$B$11:$B$91,_xlfn.XLOOKUP(AF$181,$D$5:$AX$5,$D$11:$AX$91))</f>
        <v>5042.0322391744076</v>
      </c>
      <c r="AG184" s="312"/>
      <c r="AH184" s="310" t="str">
        <f t="shared" si="24"/>
        <v>Digital Turnover - New</v>
      </c>
      <c r="AI184" s="311" t="str" cm="1">
        <f t="array" ref="AI184">_xlfn.XLOOKUP($B184,$B$11:$B$91,_xlfn.XLOOKUP(AI$181,$D$5:$AX$5,$D$11:$AX$91))</f>
        <v>A$m</v>
      </c>
      <c r="AJ184" s="311"/>
      <c r="AK184" s="311"/>
      <c r="AL184" s="312" cm="1">
        <f t="array" ref="AL184">_xlfn.XLOOKUP($B184,$B$11:$B$91,_xlfn.XLOOKUP(AL$181,$D$5:$AX$5,$D$11:$AX$91))</f>
        <v>9697</v>
      </c>
      <c r="AM184" s="312" cm="1">
        <f t="array" ref="AM184">_xlfn.XLOOKUP($B184,$B$11:$B$91,_xlfn.XLOOKUP(AM$181,$D$5:$AX$5,$D$11:$AX$91))</f>
        <v>9266.7000000000007</v>
      </c>
      <c r="AN184" s="312" cm="1">
        <f t="array" ref="AN184">_xlfn.XLOOKUP($B184,$B$11:$B$91,_xlfn.XLOOKUP(AN$181,$D$5:$AX$5,$D$11:$AX$91))</f>
        <v>8809.1</v>
      </c>
      <c r="AO184" s="312" cm="1">
        <f t="array" ref="AO184">_xlfn.XLOOKUP($B184,$B$11:$B$91,_xlfn.XLOOKUP(AO$181,$D$5:$AX$5,$D$11:$AX$91))</f>
        <v>8381.9</v>
      </c>
      <c r="AP184" s="312" cm="1">
        <f t="array" ref="AP184">_xlfn.XLOOKUP($B184,$B$11:$B$91,_xlfn.XLOOKUP(AP$181,$D$5:$AX$5,$D$11:$AX$91))</f>
        <v>8446.2999999999993</v>
      </c>
      <c r="AQ184" s="312" cm="1">
        <f t="array" ref="AQ184">_xlfn.XLOOKUP($B184,$B$11:$B$91,_xlfn.XLOOKUP(AQ$181,$D$5:$AX$5,$D$11:$AX$91))</f>
        <v>8561.4072999999989</v>
      </c>
      <c r="AR184" s="312" cm="1">
        <f t="array" ref="AR184">_xlfn.XLOOKUP($B184,$B$11:$B$91,_xlfn.XLOOKUP(AR$181,$D$5:$AX$5,$D$11:$AX$91))</f>
        <v>8729.8178950000001</v>
      </c>
      <c r="AS184" s="312" cm="1">
        <f t="array" ref="AS184">_xlfn.XLOOKUP($B184,$B$11:$B$91,_xlfn.XLOOKUP(AS$181,$D$5:$AX$5,$D$11:$AX$91))</f>
        <v>8904.4142528999982</v>
      </c>
      <c r="AT184" s="312" cm="1">
        <f t="array" ref="AT184">_xlfn.XLOOKUP($B184,$B$11:$B$91,_xlfn.XLOOKUP(AT$181,$D$5:$AX$5,$D$11:$AX$91))</f>
        <v>9171.5466804869993</v>
      </c>
      <c r="AU184" s="312" cm="1">
        <f t="array" ref="AU184">_xlfn.XLOOKUP($B184,$B$11:$B$91,_xlfn.XLOOKUP(AU$181,$D$5:$AX$5,$D$11:$AX$91))</f>
        <v>9446.6930809016085</v>
      </c>
      <c r="AV184" s="312" cm="1">
        <f t="array" ref="AV184">_xlfn.XLOOKUP($B184,$B$11:$B$91,_xlfn.XLOOKUP(AV$181,$D$5:$AX$5,$D$11:$AX$91))</f>
        <v>9730.0938733286566</v>
      </c>
      <c r="AW184" s="312" cm="1">
        <f t="array" ref="AW184">_xlfn.XLOOKUP($B184,$B$11:$B$91,_xlfn.XLOOKUP(AW$181,$D$5:$AX$5,$D$11:$AX$91))</f>
        <v>10021.996689528518</v>
      </c>
      <c r="AX184" s="312" cm="1">
        <f t="array" ref="AX184">_xlfn.XLOOKUP($B184,$B$11:$B$91,_xlfn.XLOOKUP(AX$181,$D$5:$AX$5,$D$11:$AX$91))</f>
        <v>10322.656590214374</v>
      </c>
    </row>
    <row r="185" spans="1:50" hidden="1" outlineLevel="1">
      <c r="C185" s="313" t="s">
        <v>1121</v>
      </c>
      <c r="D185" s="307" t="s">
        <v>842</v>
      </c>
      <c r="E185" s="307"/>
      <c r="F185" s="307"/>
      <c r="G185" s="314" t="s">
        <v>967</v>
      </c>
      <c r="H185" s="314" t="s">
        <v>967</v>
      </c>
      <c r="I185" s="314">
        <f>I184/G184-1</f>
        <v>-6.4365849020726396E-2</v>
      </c>
      <c r="J185" s="314">
        <f t="shared" ref="J185:X185" si="25">J184/H184-1</f>
        <v>-2.0684993240198124E-2</v>
      </c>
      <c r="K185" s="314">
        <f t="shared" si="25"/>
        <v>-3.8471700030484723E-2</v>
      </c>
      <c r="L185" s="314">
        <f t="shared" si="25"/>
        <v>-6.1732087800837498E-2</v>
      </c>
      <c r="M185" s="314">
        <f t="shared" si="25"/>
        <v>-7.9747210010145508E-2</v>
      </c>
      <c r="N185" s="314">
        <f t="shared" si="25"/>
        <v>-1.2236690453419796E-2</v>
      </c>
      <c r="O185" s="314">
        <f t="shared" si="25"/>
        <v>-2.4116309515607171E-3</v>
      </c>
      <c r="P185" s="314">
        <f t="shared" si="25"/>
        <v>1.8594836146971216E-2</v>
      </c>
      <c r="Q185" s="314">
        <f t="shared" si="25"/>
        <v>1.8000000000000016E-2</v>
      </c>
      <c r="R185" s="314">
        <f t="shared" si="25"/>
        <v>8.999999999999897E-3</v>
      </c>
      <c r="S185" s="314">
        <f t="shared" si="25"/>
        <v>1.0000000000000009E-2</v>
      </c>
      <c r="T185" s="314">
        <f t="shared" si="25"/>
        <v>3.0000000000000027E-2</v>
      </c>
      <c r="U185" s="314">
        <f t="shared" si="25"/>
        <v>2.0000000000000018E-2</v>
      </c>
      <c r="V185" s="314">
        <f t="shared" si="25"/>
        <v>2.0000000000000018E-2</v>
      </c>
      <c r="W185" s="314">
        <f t="shared" si="25"/>
        <v>3.0000000000000027E-2</v>
      </c>
      <c r="X185" s="314">
        <f t="shared" si="25"/>
        <v>3.0000000000000027E-2</v>
      </c>
      <c r="Y185" s="314">
        <f t="shared" ref="Y185:AF185" si="26">Y184/W184-1</f>
        <v>3.0000000000000027E-2</v>
      </c>
      <c r="Z185" s="314">
        <f t="shared" si="26"/>
        <v>3.0000000000000027E-2</v>
      </c>
      <c r="AA185" s="314">
        <f t="shared" si="26"/>
        <v>3.0000000000000027E-2</v>
      </c>
      <c r="AB185" s="314">
        <f t="shared" si="26"/>
        <v>3.0000000000000027E-2</v>
      </c>
      <c r="AC185" s="314">
        <f t="shared" si="26"/>
        <v>3.0000000000000027E-2</v>
      </c>
      <c r="AD185" s="314">
        <f t="shared" si="26"/>
        <v>3.0000000000000027E-2</v>
      </c>
      <c r="AE185" s="314">
        <f t="shared" si="26"/>
        <v>3.0000000000000027E-2</v>
      </c>
      <c r="AF185" s="314">
        <f t="shared" si="26"/>
        <v>3.0000000000000027E-2</v>
      </c>
      <c r="AG185" s="315"/>
      <c r="AH185" s="313" t="str">
        <f t="shared" si="24"/>
        <v>- Growth</v>
      </c>
      <c r="AI185" s="307" t="str">
        <f>D185</f>
        <v>%</v>
      </c>
      <c r="AJ185" s="307"/>
      <c r="AK185" s="307"/>
      <c r="AL185" s="314" t="s">
        <v>967</v>
      </c>
      <c r="AM185" s="314">
        <f>AM184/AL184-1</f>
        <v>-4.4374548829534843E-2</v>
      </c>
      <c r="AN185" s="314">
        <f t="shared" ref="AN185:AX185" si="27">AN184/AM184-1</f>
        <v>-4.9381117334110325E-2</v>
      </c>
      <c r="AO185" s="314">
        <f t="shared" si="27"/>
        <v>-4.849530599039642E-2</v>
      </c>
      <c r="AP185" s="314">
        <f t="shared" si="27"/>
        <v>7.6832221811282686E-3</v>
      </c>
      <c r="AQ185" s="314">
        <f t="shared" si="27"/>
        <v>1.3628133028663392E-2</v>
      </c>
      <c r="AR185" s="314">
        <f t="shared" si="27"/>
        <v>1.9670900951062276E-2</v>
      </c>
      <c r="AS185" s="314">
        <f t="shared" si="27"/>
        <v>1.9999999999999796E-2</v>
      </c>
      <c r="AT185" s="314">
        <f t="shared" si="27"/>
        <v>3.0000000000000027E-2</v>
      </c>
      <c r="AU185" s="314">
        <f t="shared" si="27"/>
        <v>2.9999999999999805E-2</v>
      </c>
      <c r="AV185" s="314">
        <f t="shared" si="27"/>
        <v>3.0000000000000027E-2</v>
      </c>
      <c r="AW185" s="314">
        <f t="shared" si="27"/>
        <v>3.0000000000000249E-2</v>
      </c>
      <c r="AX185" s="314">
        <f t="shared" si="27"/>
        <v>3.0000000000000027E-2</v>
      </c>
    </row>
    <row r="186" spans="1:50" collapsed="1">
      <c r="C186" s="313" t="s">
        <v>1122</v>
      </c>
      <c r="D186" s="307" t="s">
        <v>842</v>
      </c>
      <c r="E186" s="307"/>
      <c r="F186" s="307"/>
      <c r="G186" s="314">
        <f xml:space="preserve"> IFERROR(ROUND( G184 / G183,3) - 1, 0)</f>
        <v>0</v>
      </c>
      <c r="H186" s="314">
        <f t="shared" ref="H186:AF186" si="28" xml:space="preserve"> IFERROR(ROUND( H184 / H183,3) - 1, 0)</f>
        <v>0</v>
      </c>
      <c r="I186" s="314">
        <f t="shared" si="28"/>
        <v>0</v>
      </c>
      <c r="J186" s="314">
        <f t="shared" si="28"/>
        <v>0</v>
      </c>
      <c r="K186" s="314">
        <f t="shared" si="28"/>
        <v>0</v>
      </c>
      <c r="L186" s="314">
        <f t="shared" si="28"/>
        <v>0</v>
      </c>
      <c r="M186" s="314">
        <f t="shared" si="28"/>
        <v>0</v>
      </c>
      <c r="N186" s="314">
        <f t="shared" si="28"/>
        <v>0</v>
      </c>
      <c r="O186" s="314">
        <f t="shared" si="28"/>
        <v>0</v>
      </c>
      <c r="P186" s="314">
        <f t="shared" si="28"/>
        <v>6.9999999999998952E-3</v>
      </c>
      <c r="Q186" s="314">
        <f t="shared" si="28"/>
        <v>-2.0000000000000018E-3</v>
      </c>
      <c r="R186" s="314">
        <f t="shared" si="28"/>
        <v>-4.0000000000000036E-3</v>
      </c>
      <c r="S186" s="314">
        <f t="shared" si="28"/>
        <v>-2.1000000000000019E-2</v>
      </c>
      <c r="T186" s="314">
        <f t="shared" si="28"/>
        <v>-4.0000000000000036E-3</v>
      </c>
      <c r="U186" s="314">
        <f t="shared" si="28"/>
        <v>-3.1000000000000028E-2</v>
      </c>
      <c r="V186" s="314">
        <f t="shared" si="28"/>
        <v>-1.4000000000000012E-2</v>
      </c>
      <c r="W186" s="314">
        <f t="shared" si="28"/>
        <v>-3.1000000000000028E-2</v>
      </c>
      <c r="X186" s="314">
        <f t="shared" si="28"/>
        <v>-1.4000000000000012E-2</v>
      </c>
      <c r="Y186" s="314">
        <f t="shared" si="28"/>
        <v>-3.1000000000000028E-2</v>
      </c>
      <c r="Z186" s="314">
        <f t="shared" si="28"/>
        <v>-1.4000000000000012E-2</v>
      </c>
      <c r="AA186" s="314">
        <f t="shared" si="28"/>
        <v>-3.1000000000000028E-2</v>
      </c>
      <c r="AB186" s="314">
        <f t="shared" si="28"/>
        <v>-1.4000000000000012E-2</v>
      </c>
      <c r="AC186" s="314">
        <f t="shared" si="28"/>
        <v>-3.1000000000000028E-2</v>
      </c>
      <c r="AD186" s="314">
        <f t="shared" si="28"/>
        <v>-1.4000000000000012E-2</v>
      </c>
      <c r="AE186" s="314">
        <f t="shared" si="28"/>
        <v>-3.1000000000000028E-2</v>
      </c>
      <c r="AF186" s="314">
        <f t="shared" si="28"/>
        <v>-1.4000000000000012E-2</v>
      </c>
      <c r="AG186" s="314"/>
      <c r="AH186" s="313" t="str">
        <f t="shared" si="24"/>
        <v>- Revision</v>
      </c>
      <c r="AI186" s="307" t="str">
        <f>D186</f>
        <v>%</v>
      </c>
      <c r="AJ186" s="307"/>
      <c r="AK186" s="307"/>
      <c r="AL186" s="314">
        <f xml:space="preserve"> IFERROR(ROUND( AL184 / AL183,3) - 1, 0)</f>
        <v>0</v>
      </c>
      <c r="AM186" s="314">
        <f xml:space="preserve"> IFERROR(ROUND( AM184 / AM183,3) - 1, 0)</f>
        <v>0</v>
      </c>
      <c r="AN186" s="314">
        <f t="shared" ref="AN186:AX186" si="29" xml:space="preserve"> IFERROR(ROUND( AN184 / AN183,3) - 1, 0)</f>
        <v>0</v>
      </c>
      <c r="AO186" s="314">
        <f t="shared" si="29"/>
        <v>0</v>
      </c>
      <c r="AP186" s="314">
        <f t="shared" si="29"/>
        <v>2.9999999999998916E-3</v>
      </c>
      <c r="AQ186" s="314">
        <f t="shared" si="29"/>
        <v>-3.0000000000000027E-3</v>
      </c>
      <c r="AR186" s="314">
        <f t="shared" si="29"/>
        <v>-1.3000000000000012E-2</v>
      </c>
      <c r="AS186" s="314">
        <f t="shared" si="29"/>
        <v>-2.300000000000002E-2</v>
      </c>
      <c r="AT186" s="314">
        <f t="shared" si="29"/>
        <v>-2.300000000000002E-2</v>
      </c>
      <c r="AU186" s="314">
        <f t="shared" si="29"/>
        <v>-2.300000000000002E-2</v>
      </c>
      <c r="AV186" s="314">
        <f t="shared" si="29"/>
        <v>-2.300000000000002E-2</v>
      </c>
      <c r="AW186" s="314">
        <f t="shared" si="29"/>
        <v>-2.300000000000002E-2</v>
      </c>
      <c r="AX186" s="314">
        <f t="shared" si="29"/>
        <v>-2.300000000000002E-2</v>
      </c>
    </row>
    <row r="187" spans="1:50">
      <c r="B187" s="305" t="s">
        <v>1422</v>
      </c>
      <c r="C187" s="706" t="str">
        <f>_xlfn.TEXTAFTER($B187,$C$180)&amp;" - old"</f>
        <v>Retail Turnover - old</v>
      </c>
      <c r="D187" s="707" t="str" cm="1">
        <f t="array" ref="D187">_xlfn.XLOOKUP($B187,$B$96:$B$176,_xlfn.XLOOKUP(D$181,$D$5:$AX$5,$D$96:$AX$176))</f>
        <v>A$m</v>
      </c>
      <c r="E187" s="307"/>
      <c r="F187" s="307"/>
      <c r="G187" s="708" cm="1">
        <f t="array" ref="G187">_xlfn.XLOOKUP($B187,$B$96:$B$176,_xlfn.XLOOKUP(G$181,$D$5:$AX$5,$D$96:$AX$176))</f>
        <v>1720.5</v>
      </c>
      <c r="H187" s="708" cm="1">
        <f t="array" ref="H187">_xlfn.XLOOKUP($B187,$B$96:$B$176,_xlfn.XLOOKUP(H$181,$D$5:$AX$5,$D$96:$AX$176))</f>
        <v>2476.1999999999998</v>
      </c>
      <c r="I187" s="708" cm="1">
        <f t="array" ref="I187">_xlfn.XLOOKUP($B187,$B$96:$B$176,_xlfn.XLOOKUP(I$181,$D$5:$AX$5,$D$96:$AX$176))</f>
        <v>2839</v>
      </c>
      <c r="J187" s="708" cm="1">
        <f t="array" ref="J187">_xlfn.XLOOKUP($B187,$B$96:$B$176,_xlfn.XLOOKUP(J$181,$D$5:$AX$5,$D$96:$AX$176))</f>
        <v>2445.1000000000004</v>
      </c>
      <c r="K187" s="708" cm="1">
        <f t="array" ref="K187">_xlfn.XLOOKUP($B187,$B$96:$B$176,_xlfn.XLOOKUP(K$181,$D$5:$AX$5,$D$96:$AX$176))</f>
        <v>2732.4</v>
      </c>
      <c r="L187" s="708" cm="1">
        <f t="array" ref="L187">_xlfn.XLOOKUP($B187,$B$96:$B$176,_xlfn.XLOOKUP(L$181,$D$5:$AX$5,$D$96:$AX$176))</f>
        <v>2516.2000000000003</v>
      </c>
      <c r="M187" s="708" cm="1">
        <f t="array" ref="M187">_xlfn.XLOOKUP($B187,$B$96:$B$176,_xlfn.XLOOKUP(M$181,$D$5:$AX$5,$D$96:$AX$176))</f>
        <v>2791.8</v>
      </c>
      <c r="N187" s="708" cm="1">
        <f t="array" ref="N187">_xlfn.XLOOKUP($B187,$B$96:$B$176,_xlfn.XLOOKUP(N$181,$D$5:$AX$5,$D$96:$AX$176))</f>
        <v>2569.1999999999998</v>
      </c>
      <c r="O187" s="708" cm="1">
        <f t="array" ref="O187">_xlfn.XLOOKUP($B187,$B$96:$B$176,_xlfn.XLOOKUP(O$181,$D$5:$AX$5,$D$96:$AX$176))</f>
        <v>2825.1</v>
      </c>
      <c r="P187" s="708" cm="1">
        <f t="array" ref="P187">_xlfn.XLOOKUP($B187,$B$96:$B$176,_xlfn.XLOOKUP(P$181,$D$5:$AX$5,$D$96:$AX$176))</f>
        <v>2646.2759999999998</v>
      </c>
      <c r="Q187" s="708" cm="1">
        <f t="array" ref="Q187">_xlfn.XLOOKUP($B187,$B$96:$B$176,_xlfn.XLOOKUP(Q$181,$D$5:$AX$5,$D$96:$AX$176))</f>
        <v>2909.8530000000001</v>
      </c>
      <c r="R187" s="708" cm="1">
        <f t="array" ref="R187">_xlfn.XLOOKUP($B187,$B$96:$B$176,_xlfn.XLOOKUP(R$181,$D$5:$AX$5,$D$96:$AX$176))</f>
        <v>2725.66428</v>
      </c>
      <c r="S187" s="708" cm="1">
        <f t="array" ref="S187">_xlfn.XLOOKUP($B187,$B$96:$B$176,_xlfn.XLOOKUP(S$181,$D$5:$AX$5,$D$96:$AX$176))</f>
        <v>2938.9515300000003</v>
      </c>
      <c r="T187" s="708" cm="1">
        <f t="array" ref="T187">_xlfn.XLOOKUP($B187,$B$96:$B$176,_xlfn.XLOOKUP(T$181,$D$5:$AX$5,$D$96:$AX$176))</f>
        <v>2752.9209228</v>
      </c>
      <c r="U187" s="708" cm="1">
        <f t="array" ref="U187">_xlfn.XLOOKUP($B187,$B$96:$B$176,_xlfn.XLOOKUP(U$181,$D$5:$AX$5,$D$96:$AX$176))</f>
        <v>2968.3410453000001</v>
      </c>
      <c r="V187" s="708" cm="1">
        <f t="array" ref="V187">_xlfn.XLOOKUP($B187,$B$96:$B$176,_xlfn.XLOOKUP(V$181,$D$5:$AX$5,$D$96:$AX$176))</f>
        <v>2780.4501320280001</v>
      </c>
      <c r="W187" s="708" cm="1">
        <f t="array" ref="W187">_xlfn.XLOOKUP($B187,$B$96:$B$176,_xlfn.XLOOKUP(W$181,$D$5:$AX$5,$D$96:$AX$176))</f>
        <v>2998.024455753</v>
      </c>
      <c r="X187" s="708" cm="1">
        <f t="array" ref="X187">_xlfn.XLOOKUP($B187,$B$96:$B$176,_xlfn.XLOOKUP(X$181,$D$5:$AX$5,$D$96:$AX$176))</f>
        <v>2808.2546333482801</v>
      </c>
      <c r="Y187" s="708" cm="1">
        <f t="array" ref="Y187">_xlfn.XLOOKUP($B187,$B$96:$B$176,_xlfn.XLOOKUP(Y$181,$D$5:$AX$5,$D$96:$AX$176))</f>
        <v>3028.0047003105301</v>
      </c>
      <c r="Z187" s="708" cm="1">
        <f t="array" ref="Z187">_xlfn.XLOOKUP($B187,$B$96:$B$176,_xlfn.XLOOKUP(Z$181,$D$5:$AX$5,$D$96:$AX$176))</f>
        <v>2836.3371796817628</v>
      </c>
      <c r="AA187" s="708" cm="1">
        <f t="array" ref="AA187">_xlfn.XLOOKUP($B187,$B$96:$B$176,_xlfn.XLOOKUP(AA$181,$D$5:$AX$5,$D$96:$AX$176))</f>
        <v>3058.2847473136353</v>
      </c>
      <c r="AB187" s="708" cm="1">
        <f t="array" ref="AB187">_xlfn.XLOOKUP($B187,$B$96:$B$176,_xlfn.XLOOKUP(AB$181,$D$5:$AX$5,$D$96:$AX$176))</f>
        <v>2864.7005514785806</v>
      </c>
      <c r="AC187" s="708" cm="1">
        <f t="array" ref="AC187">_xlfn.XLOOKUP($B187,$B$96:$B$176,_xlfn.XLOOKUP(AC$181,$D$5:$AX$5,$D$96:$AX$176))</f>
        <v>3027.7018998404988</v>
      </c>
      <c r="AD187" s="708" cm="1">
        <f t="array" ref="AD187">_xlfn.XLOOKUP($B187,$B$96:$B$176,_xlfn.XLOOKUP(AD$181,$D$5:$AX$5,$D$96:$AX$176))</f>
        <v>2836.0535459637949</v>
      </c>
      <c r="AE187" s="708" cm="1">
        <f t="array" ref="AE187">_xlfn.XLOOKUP($B187,$B$96:$B$176,_xlfn.XLOOKUP(AE$181,$D$5:$AX$5,$D$96:$AX$176))</f>
        <v>2997.4248808420939</v>
      </c>
      <c r="AF187" s="708" cm="1">
        <f t="array" ref="AF187">_xlfn.XLOOKUP($B187,$B$96:$B$176,_xlfn.XLOOKUP(AF$181,$D$5:$AX$5,$D$96:$AX$176))</f>
        <v>2807.693010504157</v>
      </c>
      <c r="AG187" s="309"/>
      <c r="AH187" s="306" t="str">
        <f t="shared" si="24"/>
        <v>Retail Turnover - old</v>
      </c>
      <c r="AI187" s="707" t="str" cm="1">
        <f t="array" ref="AI187">_xlfn.XLOOKUP($B187,$B$96:$B$176,_xlfn.XLOOKUP(AI$181,$D$5:$AX$5,$D$96:$AX$176))</f>
        <v>A$m</v>
      </c>
      <c r="AJ187" s="307"/>
      <c r="AK187" s="307"/>
      <c r="AL187" s="708" cm="1">
        <f t="array" ref="AL187">_xlfn.XLOOKUP($B187,$B$96:$B$176,_xlfn.XLOOKUP(AL$181,$D$5:$AX$5,$D$96:$AX$176))</f>
        <v>4196.7</v>
      </c>
      <c r="AM187" s="708" cm="1">
        <f t="array" ref="AM187">_xlfn.XLOOKUP($B187,$B$96:$B$176,_xlfn.XLOOKUP(AM$181,$D$5:$AX$5,$D$96:$AX$176))</f>
        <v>5284.1</v>
      </c>
      <c r="AN187" s="708" cm="1">
        <f t="array" ref="AN187">_xlfn.XLOOKUP($B187,$B$96:$B$176,_xlfn.XLOOKUP(AN$181,$D$5:$AX$5,$D$96:$AX$176))</f>
        <v>5248.6</v>
      </c>
      <c r="AO187" s="708" cm="1">
        <f t="array" ref="AO187">_xlfn.XLOOKUP($B187,$B$96:$B$176,_xlfn.XLOOKUP(AO$181,$D$5:$AX$5,$D$96:$AX$176))</f>
        <v>5361</v>
      </c>
      <c r="AP187" s="708" cm="1">
        <f t="array" ref="AP187">_xlfn.XLOOKUP($B187,$B$96:$B$176,_xlfn.XLOOKUP(AP$181,$D$5:$AX$5,$D$96:$AX$176))</f>
        <v>5471.3760000000002</v>
      </c>
      <c r="AQ187" s="708" cm="1">
        <f t="array" ref="AQ187">_xlfn.XLOOKUP($B187,$B$96:$B$176,_xlfn.XLOOKUP(AQ$181,$D$5:$AX$5,$D$96:$AX$176))</f>
        <v>5635.51728</v>
      </c>
      <c r="AR187" s="708" cm="1">
        <f t="array" ref="AR187">_xlfn.XLOOKUP($B187,$B$96:$B$176,_xlfn.XLOOKUP(AR$181,$D$5:$AX$5,$D$96:$AX$176))</f>
        <v>5691.8724528000002</v>
      </c>
      <c r="AS187" s="708" cm="1">
        <f t="array" ref="AS187">_xlfn.XLOOKUP($B187,$B$96:$B$176,_xlfn.XLOOKUP(AS$181,$D$5:$AX$5,$D$96:$AX$176))</f>
        <v>5748.7911773280002</v>
      </c>
      <c r="AT187" s="708" cm="1">
        <f t="array" ref="AT187">_xlfn.XLOOKUP($B187,$B$96:$B$176,_xlfn.XLOOKUP(AT$181,$D$5:$AX$5,$D$96:$AX$176))</f>
        <v>5806.2790891012801</v>
      </c>
      <c r="AU187" s="708" cm="1">
        <f t="array" ref="AU187">_xlfn.XLOOKUP($B187,$B$96:$B$176,_xlfn.XLOOKUP(AU$181,$D$5:$AX$5,$D$96:$AX$176))</f>
        <v>5864.3418799922929</v>
      </c>
      <c r="AV187" s="708" cm="1">
        <f t="array" ref="AV187">_xlfn.XLOOKUP($B187,$B$96:$B$176,_xlfn.XLOOKUP(AV$181,$D$5:$AX$5,$D$96:$AX$176))</f>
        <v>5922.9852987922159</v>
      </c>
      <c r="AW187" s="708" cm="1">
        <f t="array" ref="AW187">_xlfn.XLOOKUP($B187,$B$96:$B$176,_xlfn.XLOOKUP(AW$181,$D$5:$AX$5,$D$96:$AX$176))</f>
        <v>5863.7554458042941</v>
      </c>
      <c r="AX187" s="708" cm="1">
        <f t="array" ref="AX187">_xlfn.XLOOKUP($B187,$B$96:$B$176,_xlfn.XLOOKUP(AX$181,$D$5:$AX$5,$D$96:$AX$176))</f>
        <v>5805.1178913462509</v>
      </c>
    </row>
    <row r="188" spans="1:50">
      <c r="B188" s="305" t="s">
        <v>1422</v>
      </c>
      <c r="C188" s="318" t="str">
        <f>_xlfn.TEXTAFTER($B188,$C$180)&amp;" - New"</f>
        <v>Retail Turnover - New</v>
      </c>
      <c r="D188" s="311" t="str" cm="1">
        <f t="array" ref="D188">_xlfn.XLOOKUP($B188,$B$11:$B$91,_xlfn.XLOOKUP(D$181,$D$5:$AX$5,$D$11:$AX$91))</f>
        <v>A$m</v>
      </c>
      <c r="E188" s="311"/>
      <c r="F188" s="311"/>
      <c r="G188" s="312" cm="1">
        <f t="array" ref="G188">_xlfn.XLOOKUP($B188,$B$11:$B$91,_xlfn.XLOOKUP(G$181,$D$5:$AX$5,$D$11:$AX$91))</f>
        <v>1720.5</v>
      </c>
      <c r="H188" s="312" cm="1">
        <f t="array" ref="H188">_xlfn.XLOOKUP($B188,$B$11:$B$91,_xlfn.XLOOKUP(H$181,$D$5:$AX$5,$D$11:$AX$91))</f>
        <v>2476.1999999999998</v>
      </c>
      <c r="I188" s="312" cm="1">
        <f t="array" ref="I188">_xlfn.XLOOKUP($B188,$B$11:$B$91,_xlfn.XLOOKUP(I$181,$D$5:$AX$5,$D$11:$AX$91))</f>
        <v>2839</v>
      </c>
      <c r="J188" s="312" cm="1">
        <f t="array" ref="J188">_xlfn.XLOOKUP($B188,$B$11:$B$91,_xlfn.XLOOKUP(J$181,$D$5:$AX$5,$D$11:$AX$91))</f>
        <v>2445.1000000000004</v>
      </c>
      <c r="K188" s="312" cm="1">
        <f t="array" ref="K188">_xlfn.XLOOKUP($B188,$B$11:$B$91,_xlfn.XLOOKUP(K$181,$D$5:$AX$5,$D$11:$AX$91))</f>
        <v>2732.4</v>
      </c>
      <c r="L188" s="312" cm="1">
        <f t="array" ref="L188">_xlfn.XLOOKUP($B188,$B$11:$B$91,_xlfn.XLOOKUP(L$181,$D$5:$AX$5,$D$11:$AX$91))</f>
        <v>2516.2000000000003</v>
      </c>
      <c r="M188" s="312" cm="1">
        <f t="array" ref="M188">_xlfn.XLOOKUP($B188,$B$11:$B$91,_xlfn.XLOOKUP(M$181,$D$5:$AX$5,$D$11:$AX$91))</f>
        <v>2791.8</v>
      </c>
      <c r="N188" s="312" cm="1">
        <f t="array" ref="N188">_xlfn.XLOOKUP($B188,$B$11:$B$91,_xlfn.XLOOKUP(N$181,$D$5:$AX$5,$D$11:$AX$91))</f>
        <v>2569.1999999999998</v>
      </c>
      <c r="O188" s="312" cm="1">
        <f t="array" ref="O188">_xlfn.XLOOKUP($B188,$B$11:$B$91,_xlfn.XLOOKUP(O$181,$D$5:$AX$5,$D$11:$AX$91))</f>
        <v>2825.1</v>
      </c>
      <c r="P188" s="312" cm="1">
        <f t="array" ref="P188">_xlfn.XLOOKUP($B188,$B$11:$B$91,_xlfn.XLOOKUP(P$181,$D$5:$AX$5,$D$11:$AX$91))</f>
        <v>2590.0000000000005</v>
      </c>
      <c r="Q188" s="312" cm="1">
        <f t="array" ref="Q188">_xlfn.XLOOKUP($B188,$B$11:$B$91,_xlfn.XLOOKUP(Q$181,$D$5:$AX$5,$D$11:$AX$91))</f>
        <v>2844.8756999999996</v>
      </c>
      <c r="R188" s="312" cm="1">
        <f t="array" ref="R188">_xlfn.XLOOKUP($B188,$B$11:$B$91,_xlfn.XLOOKUP(R$181,$D$5:$AX$5,$D$11:$AX$91))</f>
        <v>2584.8200000000006</v>
      </c>
      <c r="S188" s="312" cm="1">
        <f t="array" ref="S188">_xlfn.XLOOKUP($B188,$B$11:$B$91,_xlfn.XLOOKUP(S$181,$D$5:$AX$5,$D$11:$AX$91))</f>
        <v>2802.2025644999994</v>
      </c>
      <c r="T188" s="312" cm="1">
        <f t="array" ref="T188">_xlfn.XLOOKUP($B188,$B$11:$B$91,_xlfn.XLOOKUP(T$181,$D$5:$AX$5,$D$11:$AX$91))</f>
        <v>2546.0477000000005</v>
      </c>
      <c r="U188" s="312" cm="1">
        <f t="array" ref="U188">_xlfn.XLOOKUP($B188,$B$11:$B$91,_xlfn.XLOOKUP(U$181,$D$5:$AX$5,$D$11:$AX$91))</f>
        <v>2760.1695260324996</v>
      </c>
      <c r="V188" s="312" cm="1">
        <f t="array" ref="V188">_xlfn.XLOOKUP($B188,$B$11:$B$91,_xlfn.XLOOKUP(V$181,$D$5:$AX$5,$D$11:$AX$91))</f>
        <v>2507.8569845000006</v>
      </c>
      <c r="W188" s="312" cm="1">
        <f t="array" ref="W188">_xlfn.XLOOKUP($B188,$B$11:$B$91,_xlfn.XLOOKUP(W$181,$D$5:$AX$5,$D$11:$AX$91))</f>
        <v>2787.7712212928245</v>
      </c>
      <c r="X188" s="312" cm="1">
        <f t="array" ref="X188">_xlfn.XLOOKUP($B188,$B$11:$B$91,_xlfn.XLOOKUP(X$181,$D$5:$AX$5,$D$11:$AX$91))</f>
        <v>2532.9355543450006</v>
      </c>
      <c r="Y188" s="312" cm="1">
        <f t="array" ref="Y188">_xlfn.XLOOKUP($B188,$B$11:$B$91,_xlfn.XLOOKUP(Y$181,$D$5:$AX$5,$D$11:$AX$91))</f>
        <v>2759.8935090798964</v>
      </c>
      <c r="Z188" s="312" cm="1">
        <f t="array" ref="Z188">_xlfn.XLOOKUP($B188,$B$11:$B$91,_xlfn.XLOOKUP(Z$181,$D$5:$AX$5,$D$11:$AX$91))</f>
        <v>2507.6061988015504</v>
      </c>
      <c r="AA188" s="312" cm="1">
        <f t="array" ref="AA188">_xlfn.XLOOKUP($B188,$B$11:$B$91,_xlfn.XLOOKUP(AA$181,$D$5:$AX$5,$D$11:$AX$91))</f>
        <v>2732.2945739890974</v>
      </c>
      <c r="AB188" s="312" cm="1">
        <f t="array" ref="AB188">_xlfn.XLOOKUP($B188,$B$11:$B$91,_xlfn.XLOOKUP(AB$181,$D$5:$AX$5,$D$11:$AX$91))</f>
        <v>2482.5301368135347</v>
      </c>
      <c r="AC188" s="312" cm="1">
        <f t="array" ref="AC188">_xlfn.XLOOKUP($B188,$B$11:$B$91,_xlfn.XLOOKUP(AC$181,$D$5:$AX$5,$D$11:$AX$91))</f>
        <v>2704.9716282492063</v>
      </c>
      <c r="AD188" s="312" cm="1">
        <f t="array" ref="AD188">_xlfn.XLOOKUP($B188,$B$11:$B$91,_xlfn.XLOOKUP(AD$181,$D$5:$AX$5,$D$11:$AX$91))</f>
        <v>2457.7048354453991</v>
      </c>
      <c r="AE188" s="312" cm="1">
        <f t="array" ref="AE188">_xlfn.XLOOKUP($B188,$B$11:$B$91,_xlfn.XLOOKUP(AE$181,$D$5:$AX$5,$D$11:$AX$91))</f>
        <v>2677.9219119667141</v>
      </c>
      <c r="AF188" s="312" cm="1">
        <f t="array" ref="AF188">_xlfn.XLOOKUP($B188,$B$11:$B$91,_xlfn.XLOOKUP(AF$181,$D$5:$AX$5,$D$11:$AX$91))</f>
        <v>2433.1277870909453</v>
      </c>
      <c r="AG188" s="312"/>
      <c r="AH188" s="310" t="str">
        <f t="shared" si="24"/>
        <v>Retail Turnover - New</v>
      </c>
      <c r="AI188" s="311" t="str" cm="1">
        <f t="array" ref="AI188">_xlfn.XLOOKUP($B188,$B$11:$B$91,_xlfn.XLOOKUP(AI$181,$D$5:$AX$5,$D$11:$AX$91))</f>
        <v>A$m</v>
      </c>
      <c r="AJ188" s="311"/>
      <c r="AK188" s="311"/>
      <c r="AL188" s="312" cm="1">
        <f t="array" ref="AL188">_xlfn.XLOOKUP($B188,$B$11:$B$91,_xlfn.XLOOKUP(AL$181,$D$5:$AX$5,$D$11:$AX$91))</f>
        <v>4196.7</v>
      </c>
      <c r="AM188" s="312" cm="1">
        <f t="array" ref="AM188">_xlfn.XLOOKUP($B188,$B$11:$B$91,_xlfn.XLOOKUP(AM$181,$D$5:$AX$5,$D$11:$AX$91))</f>
        <v>5284.1</v>
      </c>
      <c r="AN188" s="312" cm="1">
        <f t="array" ref="AN188">_xlfn.XLOOKUP($B188,$B$11:$B$91,_xlfn.XLOOKUP(AN$181,$D$5:$AX$5,$D$11:$AX$91))</f>
        <v>5248.6</v>
      </c>
      <c r="AO188" s="312" cm="1">
        <f t="array" ref="AO188">_xlfn.XLOOKUP($B188,$B$11:$B$91,_xlfn.XLOOKUP(AO$181,$D$5:$AX$5,$D$11:$AX$91))</f>
        <v>5361</v>
      </c>
      <c r="AP188" s="312" cm="1">
        <f t="array" ref="AP188">_xlfn.XLOOKUP($B188,$B$11:$B$91,_xlfn.XLOOKUP(AP$181,$D$5:$AX$5,$D$11:$AX$91))</f>
        <v>5415.1</v>
      </c>
      <c r="AQ188" s="312" cm="1">
        <f t="array" ref="AQ188">_xlfn.XLOOKUP($B188,$B$11:$B$91,_xlfn.XLOOKUP(AQ$181,$D$5:$AX$5,$D$11:$AX$91))</f>
        <v>5429.6957000000002</v>
      </c>
      <c r="AR188" s="312" cm="1">
        <f t="array" ref="AR188">_xlfn.XLOOKUP($B188,$B$11:$B$91,_xlfn.XLOOKUP(AR$181,$D$5:$AX$5,$D$11:$AX$91))</f>
        <v>5348.2502645000004</v>
      </c>
      <c r="AS188" s="312" cm="1">
        <f t="array" ref="AS188">_xlfn.XLOOKUP($B188,$B$11:$B$91,_xlfn.XLOOKUP(AS$181,$D$5:$AX$5,$D$11:$AX$91))</f>
        <v>5268.0265105324997</v>
      </c>
      <c r="AT188" s="312" cm="1">
        <f t="array" ref="AT188">_xlfn.XLOOKUP($B188,$B$11:$B$91,_xlfn.XLOOKUP(AT$181,$D$5:$AX$5,$D$11:$AX$91))</f>
        <v>5320.7067756378256</v>
      </c>
      <c r="AU188" s="312" cm="1">
        <f t="array" ref="AU188">_xlfn.XLOOKUP($B188,$B$11:$B$91,_xlfn.XLOOKUP(AU$181,$D$5:$AX$5,$D$11:$AX$91))</f>
        <v>5267.4997078814467</v>
      </c>
      <c r="AV188" s="312" cm="1">
        <f t="array" ref="AV188">_xlfn.XLOOKUP($B188,$B$11:$B$91,_xlfn.XLOOKUP(AV$181,$D$5:$AX$5,$D$11:$AX$91))</f>
        <v>5214.8247108026317</v>
      </c>
      <c r="AW188" s="312" cm="1">
        <f t="array" ref="AW188">_xlfn.XLOOKUP($B188,$B$11:$B$91,_xlfn.XLOOKUP(AW$181,$D$5:$AX$5,$D$11:$AX$91))</f>
        <v>5162.6764636946054</v>
      </c>
      <c r="AX188" s="312" cm="1">
        <f t="array" ref="AX188">_xlfn.XLOOKUP($B188,$B$11:$B$91,_xlfn.XLOOKUP(AX$181,$D$5:$AX$5,$D$11:$AX$91))</f>
        <v>5111.0496990576594</v>
      </c>
    </row>
    <row r="189" spans="1:50" hidden="1" outlineLevel="1">
      <c r="C189" s="313" t="s">
        <v>1121</v>
      </c>
      <c r="D189" s="307" t="s">
        <v>842</v>
      </c>
      <c r="E189" s="307"/>
      <c r="F189" s="307"/>
      <c r="G189" s="314" t="s">
        <v>967</v>
      </c>
      <c r="H189" s="314" t="s">
        <v>967</v>
      </c>
      <c r="I189" s="314">
        <f t="shared" ref="I189:AF189" si="30">I188/G188-1</f>
        <v>0.65010171461784361</v>
      </c>
      <c r="J189" s="314">
        <f t="shared" si="30"/>
        <v>-1.2559567078587963E-2</v>
      </c>
      <c r="K189" s="314">
        <f t="shared" si="30"/>
        <v>-3.7548432546671284E-2</v>
      </c>
      <c r="L189" s="314">
        <f t="shared" si="30"/>
        <v>2.9078565293852998E-2</v>
      </c>
      <c r="M189" s="314">
        <f t="shared" si="30"/>
        <v>2.1739130434782705E-2</v>
      </c>
      <c r="N189" s="314">
        <f t="shared" si="30"/>
        <v>2.1063508465145597E-2</v>
      </c>
      <c r="O189" s="314">
        <f t="shared" si="30"/>
        <v>1.1927788523533156E-2</v>
      </c>
      <c r="P189" s="314">
        <f t="shared" si="30"/>
        <v>8.0959053401838954E-3</v>
      </c>
      <c r="Q189" s="314">
        <f t="shared" si="30"/>
        <v>6.9999999999998952E-3</v>
      </c>
      <c r="R189" s="314">
        <f t="shared" si="30"/>
        <v>-1.9999999999998908E-3</v>
      </c>
      <c r="S189" s="314">
        <f t="shared" si="30"/>
        <v>-1.5000000000000013E-2</v>
      </c>
      <c r="T189" s="314">
        <f t="shared" si="30"/>
        <v>-1.5000000000000013E-2</v>
      </c>
      <c r="U189" s="314">
        <f t="shared" si="30"/>
        <v>-1.4999999999999902E-2</v>
      </c>
      <c r="V189" s="314">
        <f t="shared" si="30"/>
        <v>-1.4999999999999902E-2</v>
      </c>
      <c r="W189" s="314">
        <f t="shared" si="30"/>
        <v>1.0000000000000009E-2</v>
      </c>
      <c r="X189" s="314">
        <f t="shared" si="30"/>
        <v>1.0000000000000009E-2</v>
      </c>
      <c r="Y189" s="314">
        <f t="shared" si="30"/>
        <v>-1.0000000000000009E-2</v>
      </c>
      <c r="Z189" s="314">
        <f t="shared" si="30"/>
        <v>-1.000000000000012E-2</v>
      </c>
      <c r="AA189" s="314">
        <f t="shared" si="30"/>
        <v>-1.0000000000000009E-2</v>
      </c>
      <c r="AB189" s="314">
        <f t="shared" si="30"/>
        <v>-1.000000000000012E-2</v>
      </c>
      <c r="AC189" s="314">
        <f t="shared" si="30"/>
        <v>-1.0000000000000009E-2</v>
      </c>
      <c r="AD189" s="314">
        <f t="shared" si="30"/>
        <v>-1.000000000000012E-2</v>
      </c>
      <c r="AE189" s="314">
        <f t="shared" si="30"/>
        <v>-1.0000000000000009E-2</v>
      </c>
      <c r="AF189" s="314">
        <f t="shared" si="30"/>
        <v>-9.9999999999998979E-3</v>
      </c>
      <c r="AG189" s="315"/>
      <c r="AH189" s="313" t="str">
        <f t="shared" si="24"/>
        <v>- Growth</v>
      </c>
      <c r="AI189" s="307" t="str">
        <f>D189</f>
        <v>%</v>
      </c>
      <c r="AJ189" s="307"/>
      <c r="AK189" s="307"/>
      <c r="AL189" s="314" t="s">
        <v>967</v>
      </c>
      <c r="AM189" s="314">
        <f t="shared" ref="AM189:AX189" si="31">AM188/AL188-1</f>
        <v>0.25910834703457497</v>
      </c>
      <c r="AN189" s="314">
        <f t="shared" si="31"/>
        <v>-6.7182680115819293E-3</v>
      </c>
      <c r="AO189" s="314">
        <f t="shared" si="31"/>
        <v>2.1415234538734174E-2</v>
      </c>
      <c r="AP189" s="314">
        <f t="shared" si="31"/>
        <v>1.0091400858049049E-2</v>
      </c>
      <c r="AQ189" s="314">
        <f t="shared" si="31"/>
        <v>2.6953703532712758E-3</v>
      </c>
      <c r="AR189" s="314">
        <f t="shared" si="31"/>
        <v>-1.5000000000000013E-2</v>
      </c>
      <c r="AS189" s="314">
        <f t="shared" si="31"/>
        <v>-1.5000000000000124E-2</v>
      </c>
      <c r="AT189" s="314">
        <f t="shared" si="31"/>
        <v>1.0000000000000231E-2</v>
      </c>
      <c r="AU189" s="314">
        <f t="shared" si="31"/>
        <v>-1.000000000000012E-2</v>
      </c>
      <c r="AV189" s="314">
        <f t="shared" si="31"/>
        <v>-1.000000000000012E-2</v>
      </c>
      <c r="AW189" s="314">
        <f t="shared" si="31"/>
        <v>-1.0000000000000009E-2</v>
      </c>
      <c r="AX189" s="314">
        <f t="shared" si="31"/>
        <v>-1.0000000000000009E-2</v>
      </c>
    </row>
    <row r="190" spans="1:50" collapsed="1">
      <c r="C190" s="313" t="s">
        <v>1122</v>
      </c>
      <c r="D190" s="307" t="s">
        <v>842</v>
      </c>
      <c r="E190" s="307"/>
      <c r="F190" s="307"/>
      <c r="G190" s="314">
        <f xml:space="preserve"> IFERROR(ROUND( G188 / G187,3) - 1, 0)</f>
        <v>0</v>
      </c>
      <c r="H190" s="314">
        <f t="shared" ref="H190:AF190" si="32" xml:space="preserve"> IFERROR(ROUND( H188 / H187,3) - 1, 0)</f>
        <v>0</v>
      </c>
      <c r="I190" s="314">
        <f t="shared" si="32"/>
        <v>0</v>
      </c>
      <c r="J190" s="314">
        <f t="shared" si="32"/>
        <v>0</v>
      </c>
      <c r="K190" s="314">
        <f t="shared" si="32"/>
        <v>0</v>
      </c>
      <c r="L190" s="314">
        <f t="shared" si="32"/>
        <v>0</v>
      </c>
      <c r="M190" s="314">
        <f t="shared" si="32"/>
        <v>0</v>
      </c>
      <c r="N190" s="314">
        <f t="shared" si="32"/>
        <v>0</v>
      </c>
      <c r="O190" s="314">
        <f t="shared" si="32"/>
        <v>0</v>
      </c>
      <c r="P190" s="314">
        <f t="shared" si="32"/>
        <v>-2.1000000000000019E-2</v>
      </c>
      <c r="Q190" s="314">
        <f t="shared" si="32"/>
        <v>-2.200000000000002E-2</v>
      </c>
      <c r="R190" s="314">
        <f t="shared" si="32"/>
        <v>-5.2000000000000046E-2</v>
      </c>
      <c r="S190" s="314">
        <f t="shared" si="32"/>
        <v>-4.7000000000000042E-2</v>
      </c>
      <c r="T190" s="314">
        <f t="shared" si="32"/>
        <v>-7.4999999999999956E-2</v>
      </c>
      <c r="U190" s="314">
        <f t="shared" si="32"/>
        <v>-6.9999999999999951E-2</v>
      </c>
      <c r="V190" s="314">
        <f t="shared" si="32"/>
        <v>-9.7999999999999976E-2</v>
      </c>
      <c r="W190" s="314">
        <f t="shared" si="32"/>
        <v>-6.9999999999999951E-2</v>
      </c>
      <c r="X190" s="314">
        <f t="shared" si="32"/>
        <v>-9.7999999999999976E-2</v>
      </c>
      <c r="Y190" s="314">
        <f t="shared" si="32"/>
        <v>-8.8999999999999968E-2</v>
      </c>
      <c r="Z190" s="314">
        <f t="shared" si="32"/>
        <v>-0.11599999999999999</v>
      </c>
      <c r="AA190" s="314">
        <f t="shared" si="32"/>
        <v>-0.10699999999999998</v>
      </c>
      <c r="AB190" s="314">
        <f t="shared" si="32"/>
        <v>-0.13300000000000001</v>
      </c>
      <c r="AC190" s="314">
        <f t="shared" si="32"/>
        <v>-0.10699999999999998</v>
      </c>
      <c r="AD190" s="314">
        <f t="shared" si="32"/>
        <v>-0.13300000000000001</v>
      </c>
      <c r="AE190" s="314">
        <f t="shared" si="32"/>
        <v>-0.10699999999999998</v>
      </c>
      <c r="AF190" s="314">
        <f t="shared" si="32"/>
        <v>-0.13300000000000001</v>
      </c>
      <c r="AG190" s="314"/>
      <c r="AH190" s="313" t="str">
        <f t="shared" si="24"/>
        <v>- Revision</v>
      </c>
      <c r="AI190" s="307" t="str">
        <f>D190</f>
        <v>%</v>
      </c>
      <c r="AJ190" s="307"/>
      <c r="AK190" s="307"/>
      <c r="AL190" s="314">
        <f xml:space="preserve"> IFERROR(ROUND( AL188 / AL187,3) - 1, 0)</f>
        <v>0</v>
      </c>
      <c r="AM190" s="314">
        <f xml:space="preserve"> IFERROR(ROUND( AM188 / AM187,3) - 1, 0)</f>
        <v>0</v>
      </c>
      <c r="AN190" s="314">
        <f t="shared" ref="AN190:AX190" si="33" xml:space="preserve"> IFERROR(ROUND( AN188 / AN187,3) - 1, 0)</f>
        <v>0</v>
      </c>
      <c r="AO190" s="314">
        <f t="shared" si="33"/>
        <v>0</v>
      </c>
      <c r="AP190" s="314">
        <f t="shared" si="33"/>
        <v>-1.0000000000000009E-2</v>
      </c>
      <c r="AQ190" s="314">
        <f t="shared" si="33"/>
        <v>-3.7000000000000033E-2</v>
      </c>
      <c r="AR190" s="314">
        <f t="shared" si="33"/>
        <v>-6.0000000000000053E-2</v>
      </c>
      <c r="AS190" s="314">
        <f t="shared" si="33"/>
        <v>-8.3999999999999964E-2</v>
      </c>
      <c r="AT190" s="314">
        <f t="shared" si="33"/>
        <v>-8.3999999999999964E-2</v>
      </c>
      <c r="AU190" s="314">
        <f t="shared" si="33"/>
        <v>-0.10199999999999998</v>
      </c>
      <c r="AV190" s="314">
        <f t="shared" si="33"/>
        <v>-0.12</v>
      </c>
      <c r="AW190" s="314">
        <f t="shared" si="33"/>
        <v>-0.12</v>
      </c>
      <c r="AX190" s="314">
        <f t="shared" si="33"/>
        <v>-0.12</v>
      </c>
    </row>
    <row r="191" spans="1:50">
      <c r="B191" s="305" t="s">
        <v>1423</v>
      </c>
      <c r="C191" s="706" t="str">
        <f>_xlfn.TEXTAFTER($B191,$C$180)&amp;" - old"</f>
        <v>Digital Revenue - old</v>
      </c>
      <c r="D191" s="707" t="str" cm="1">
        <f t="array" ref="D191">_xlfn.XLOOKUP($B191,$B$96:$B$176,_xlfn.XLOOKUP(D$181,$D$5:$AX$5,$D$96:$AX$176))</f>
        <v>A$m</v>
      </c>
      <c r="E191" s="307"/>
      <c r="F191" s="307"/>
      <c r="G191" s="708" cm="1">
        <f t="array" ref="G191">_xlfn.XLOOKUP($B191,$B$96:$B$176,_xlfn.XLOOKUP(G$181,$D$5:$AX$5,$D$96:$AX$176))</f>
        <v>579.9</v>
      </c>
      <c r="H191" s="708" cm="1">
        <f t="array" ref="H191">_xlfn.XLOOKUP($B191,$B$96:$B$176,_xlfn.XLOOKUP(H$181,$D$5:$AX$5,$D$96:$AX$176))</f>
        <v>493.6</v>
      </c>
      <c r="I191" s="708" cm="1">
        <f t="array" ref="I191">_xlfn.XLOOKUP($B191,$B$96:$B$176,_xlfn.XLOOKUP(I$181,$D$5:$AX$5,$D$96:$AX$176))</f>
        <v>493</v>
      </c>
      <c r="J191" s="708" cm="1">
        <f t="array" ref="J191">_xlfn.XLOOKUP($B191,$B$96:$B$176,_xlfn.XLOOKUP(J$181,$D$5:$AX$5,$D$96:$AX$176))</f>
        <v>449.70000000000005</v>
      </c>
      <c r="K191" s="708" cm="1">
        <f t="array" ref="K191">_xlfn.XLOOKUP($B191,$B$96:$B$176,_xlfn.XLOOKUP(K$181,$D$5:$AX$5,$D$96:$AX$176))</f>
        <v>473.4</v>
      </c>
      <c r="L191" s="708" cm="1">
        <f t="array" ref="L191">_xlfn.XLOOKUP($B191,$B$96:$B$176,_xlfn.XLOOKUP(L$181,$D$5:$AX$5,$D$96:$AX$176))</f>
        <v>448.6</v>
      </c>
      <c r="M191" s="708" cm="1">
        <f t="array" ref="M191">_xlfn.XLOOKUP($B191,$B$96:$B$176,_xlfn.XLOOKUP(M$181,$D$5:$AX$5,$D$96:$AX$176))</f>
        <v>539.6</v>
      </c>
      <c r="N191" s="708" cm="1">
        <f t="array" ref="N191">_xlfn.XLOOKUP($B191,$B$96:$B$176,_xlfn.XLOOKUP(N$181,$D$5:$AX$5,$D$96:$AX$176))</f>
        <v>530.1</v>
      </c>
      <c r="O191" s="708" cm="1">
        <f t="array" ref="O191">_xlfn.XLOOKUP($B191,$B$96:$B$176,_xlfn.XLOOKUP(O$181,$D$5:$AX$5,$D$96:$AX$176))</f>
        <v>536.9</v>
      </c>
      <c r="P191" s="708" cm="1">
        <f t="array" ref="P191">_xlfn.XLOOKUP($B191,$B$96:$B$176,_xlfn.XLOOKUP(P$181,$D$5:$AX$5,$D$96:$AX$176))</f>
        <v>525.77100800000005</v>
      </c>
      <c r="Q191" s="708" cm="1">
        <f t="array" ref="Q191">_xlfn.XLOOKUP($B191,$B$96:$B$176,_xlfn.XLOOKUP(Q$181,$D$5:$AX$5,$D$96:$AX$176))</f>
        <v>571.07430399999998</v>
      </c>
      <c r="R191" s="708" cm="1">
        <f t="array" ref="R191">_xlfn.XLOOKUP($B191,$B$96:$B$176,_xlfn.XLOOKUP(R$181,$D$5:$AX$5,$D$96:$AX$176))</f>
        <v>536.20642816000009</v>
      </c>
      <c r="S191" s="708" cm="1">
        <f t="array" ref="S191">_xlfn.XLOOKUP($B191,$B$96:$B$176,_xlfn.XLOOKUP(S$181,$D$5:$AX$5,$D$96:$AX$176))</f>
        <v>588.08653312000001</v>
      </c>
      <c r="T191" s="708" cm="1">
        <f t="array" ref="T191">_xlfn.XLOOKUP($B191,$B$96:$B$176,_xlfn.XLOOKUP(T$181,$D$5:$AX$5,$D$96:$AX$176))</f>
        <v>552.17262100480013</v>
      </c>
      <c r="U191" s="708" cm="1">
        <f t="array" ref="U191">_xlfn.XLOOKUP($B191,$B$96:$B$176,_xlfn.XLOOKUP(U$181,$D$5:$AX$5,$D$96:$AX$176))</f>
        <v>605.60912911360003</v>
      </c>
      <c r="V191" s="708" cm="1">
        <f t="array" ref="V191">_xlfn.XLOOKUP($B191,$B$96:$B$176,_xlfn.XLOOKUP(V$181,$D$5:$AX$5,$D$96:$AX$176))</f>
        <v>568.61779963494405</v>
      </c>
      <c r="W191" s="708" cm="1">
        <f t="array" ref="W191">_xlfn.XLOOKUP($B191,$B$96:$B$176,_xlfn.XLOOKUP(W$181,$D$5:$AX$5,$D$96:$AX$176))</f>
        <v>623.65740298700803</v>
      </c>
      <c r="X191" s="708" cm="1">
        <f t="array" ref="X191">_xlfn.XLOOKUP($B191,$B$96:$B$176,_xlfn.XLOOKUP(X$181,$D$5:$AX$5,$D$96:$AX$176))</f>
        <v>585.55633362399249</v>
      </c>
      <c r="Y191" s="708" cm="1">
        <f t="array" ref="Y191">_xlfn.XLOOKUP($B191,$B$96:$B$176,_xlfn.XLOOKUP(Y$181,$D$5:$AX$5,$D$96:$AX$176))</f>
        <v>642.24712507661832</v>
      </c>
      <c r="Z191" s="708" cm="1">
        <f t="array" ref="Z191">_xlfn.XLOOKUP($B191,$B$96:$B$176,_xlfn.XLOOKUP(Z$181,$D$5:$AX$5,$D$96:$AX$176))</f>
        <v>603.00302363271226</v>
      </c>
      <c r="AA191" s="708" cm="1">
        <f t="array" ref="AA191">_xlfn.XLOOKUP($B191,$B$96:$B$176,_xlfn.XLOOKUP(AA$181,$D$5:$AX$5,$D$96:$AX$176))</f>
        <v>661.39453882891689</v>
      </c>
      <c r="AB191" s="708" cm="1">
        <f t="array" ref="AB191">_xlfn.XLOOKUP($B191,$B$96:$B$176,_xlfn.XLOOKUP(AB$181,$D$5:$AX$5,$D$96:$AX$176))</f>
        <v>620.97311434169364</v>
      </c>
      <c r="AC191" s="708" cm="1">
        <f t="array" ref="AC191">_xlfn.XLOOKUP($B191,$B$96:$B$176,_xlfn.XLOOKUP(AC$181,$D$5:$AX$5,$D$96:$AX$176))</f>
        <v>681.11637499378435</v>
      </c>
      <c r="AD191" s="708" cm="1">
        <f t="array" ref="AD191">_xlfn.XLOOKUP($B191,$B$96:$B$176,_xlfn.XLOOKUP(AD$181,$D$5:$AX$5,$D$96:$AX$176))</f>
        <v>639.48230777194453</v>
      </c>
      <c r="AE191" s="708" cm="1">
        <f t="array" ref="AE191">_xlfn.XLOOKUP($B191,$B$96:$B$176,_xlfn.XLOOKUP(AE$181,$D$5:$AX$5,$D$96:$AX$176))</f>
        <v>701.42986624359798</v>
      </c>
      <c r="AF191" s="708" cm="1">
        <f t="array" ref="AF191">_xlfn.XLOOKUP($B191,$B$96:$B$176,_xlfn.XLOOKUP(AF$181,$D$5:$AX$5,$D$96:$AX$176))</f>
        <v>658.54677700510285</v>
      </c>
      <c r="AG191" s="309"/>
      <c r="AH191" s="306" t="str">
        <f t="shared" si="24"/>
        <v>Digital Revenue - old</v>
      </c>
      <c r="AI191" s="707" t="str" cm="1">
        <f t="array" ref="AI191">_xlfn.XLOOKUP($B191,$B$96:$B$176,_xlfn.XLOOKUP(AI$181,$D$5:$AX$5,$D$96:$AX$176))</f>
        <v>A$m</v>
      </c>
      <c r="AJ191" s="307"/>
      <c r="AK191" s="307"/>
      <c r="AL191" s="708" cm="1">
        <f t="array" ref="AL191">_xlfn.XLOOKUP($B191,$B$96:$B$176,_xlfn.XLOOKUP(AL$181,$D$5:$AX$5,$D$96:$AX$176))</f>
        <v>1073.5</v>
      </c>
      <c r="AM191" s="708" cm="1">
        <f t="array" ref="AM191">_xlfn.XLOOKUP($B191,$B$96:$B$176,_xlfn.XLOOKUP(AM$181,$D$5:$AX$5,$D$96:$AX$176))</f>
        <v>942.7</v>
      </c>
      <c r="AN191" s="708" cm="1">
        <f t="array" ref="AN191">_xlfn.XLOOKUP($B191,$B$96:$B$176,_xlfn.XLOOKUP(AN$181,$D$5:$AX$5,$D$96:$AX$176))</f>
        <v>922</v>
      </c>
      <c r="AO191" s="708" cm="1">
        <f t="array" ref="AO191">_xlfn.XLOOKUP($B191,$B$96:$B$176,_xlfn.XLOOKUP(AO$181,$D$5:$AX$5,$D$96:$AX$176))</f>
        <v>1069.7</v>
      </c>
      <c r="AP191" s="708" cm="1">
        <f t="array" ref="AP191">_xlfn.XLOOKUP($B191,$B$96:$B$176,_xlfn.XLOOKUP(AP$181,$D$5:$AX$5,$D$96:$AX$176))</f>
        <v>1062.671008</v>
      </c>
      <c r="AQ191" s="708" cm="1">
        <f t="array" ref="AQ191">_xlfn.XLOOKUP($B191,$B$96:$B$176,_xlfn.XLOOKUP(AQ$181,$D$5:$AX$5,$D$96:$AX$176))</f>
        <v>1107.2807321600001</v>
      </c>
      <c r="AR191" s="708" cm="1">
        <f t="array" ref="AR191">_xlfn.XLOOKUP($B191,$B$96:$B$176,_xlfn.XLOOKUP(AR$181,$D$5:$AX$5,$D$96:$AX$176))</f>
        <v>1140.2591541248003</v>
      </c>
      <c r="AS191" s="708" cm="1">
        <f t="array" ref="AS191">_xlfn.XLOOKUP($B191,$B$96:$B$176,_xlfn.XLOOKUP(AS$181,$D$5:$AX$5,$D$96:$AX$176))</f>
        <v>1174.2269287485442</v>
      </c>
      <c r="AT191" s="708" cm="1">
        <f t="array" ref="AT191">_xlfn.XLOOKUP($B191,$B$96:$B$176,_xlfn.XLOOKUP(AT$181,$D$5:$AX$5,$D$96:$AX$176))</f>
        <v>1209.2137366110005</v>
      </c>
      <c r="AU191" s="708" cm="1">
        <f t="array" ref="AU191">_xlfn.XLOOKUP($B191,$B$96:$B$176,_xlfn.XLOOKUP(AU$181,$D$5:$AX$5,$D$96:$AX$176))</f>
        <v>1245.2501487093305</v>
      </c>
      <c r="AV191" s="708" cm="1">
        <f t="array" ref="AV191">_xlfn.XLOOKUP($B191,$B$96:$B$176,_xlfn.XLOOKUP(AV$181,$D$5:$AX$5,$D$96:$AX$176))</f>
        <v>1282.3676531706105</v>
      </c>
      <c r="AW191" s="708" cm="1">
        <f t="array" ref="AW191">_xlfn.XLOOKUP($B191,$B$96:$B$176,_xlfn.XLOOKUP(AW$181,$D$5:$AX$5,$D$96:$AX$176))</f>
        <v>1320.5986827657289</v>
      </c>
      <c r="AX191" s="708" cm="1">
        <f t="array" ref="AX191">_xlfn.XLOOKUP($B191,$B$96:$B$176,_xlfn.XLOOKUP(AX$181,$D$5:$AX$5,$D$96:$AX$176))</f>
        <v>1359.9766432487008</v>
      </c>
    </row>
    <row r="192" spans="1:50">
      <c r="B192" s="305" t="s">
        <v>1423</v>
      </c>
      <c r="C192" s="318" t="str">
        <f>_xlfn.TEXTAFTER($B192,$C$180)&amp;" - New"</f>
        <v>Digital Revenue - New</v>
      </c>
      <c r="D192" s="311" t="str" cm="1">
        <f t="array" ref="D192">_xlfn.XLOOKUP($B192,$B$11:$B$91,_xlfn.XLOOKUP(D$181,$D$5:$AX$5,$D$11:$AX$91))</f>
        <v>A$m</v>
      </c>
      <c r="E192" s="311"/>
      <c r="F192" s="311"/>
      <c r="G192" s="312" cm="1">
        <f t="array" ref="G192">_xlfn.XLOOKUP($B192,$B$11:$B$91,_xlfn.XLOOKUP(G$181,$D$5:$AX$5,$D$11:$AX$91))</f>
        <v>579.9</v>
      </c>
      <c r="H192" s="312" cm="1">
        <f t="array" ref="H192">_xlfn.XLOOKUP($B192,$B$11:$B$91,_xlfn.XLOOKUP(H$181,$D$5:$AX$5,$D$11:$AX$91))</f>
        <v>493.6</v>
      </c>
      <c r="I192" s="312" cm="1">
        <f t="array" ref="I192">_xlfn.XLOOKUP($B192,$B$11:$B$91,_xlfn.XLOOKUP(I$181,$D$5:$AX$5,$D$11:$AX$91))</f>
        <v>493</v>
      </c>
      <c r="J192" s="312" cm="1">
        <f t="array" ref="J192">_xlfn.XLOOKUP($B192,$B$11:$B$91,_xlfn.XLOOKUP(J$181,$D$5:$AX$5,$D$11:$AX$91))</f>
        <v>449.70000000000005</v>
      </c>
      <c r="K192" s="312" cm="1">
        <f t="array" ref="K192">_xlfn.XLOOKUP($B192,$B$11:$B$91,_xlfn.XLOOKUP(K$181,$D$5:$AX$5,$D$11:$AX$91))</f>
        <v>473.4</v>
      </c>
      <c r="L192" s="312" cm="1">
        <f t="array" ref="L192">_xlfn.XLOOKUP($B192,$B$11:$B$91,_xlfn.XLOOKUP(L$181,$D$5:$AX$5,$D$11:$AX$91))</f>
        <v>448.6</v>
      </c>
      <c r="M192" s="312" cm="1">
        <f t="array" ref="M192">_xlfn.XLOOKUP($B192,$B$11:$B$91,_xlfn.XLOOKUP(M$181,$D$5:$AX$5,$D$11:$AX$91))</f>
        <v>539.6</v>
      </c>
      <c r="N192" s="312" cm="1">
        <f t="array" ref="N192">_xlfn.XLOOKUP($B192,$B$11:$B$91,_xlfn.XLOOKUP(N$181,$D$5:$AX$5,$D$11:$AX$91))</f>
        <v>530.1</v>
      </c>
      <c r="O192" s="312" cm="1">
        <f t="array" ref="O192">_xlfn.XLOOKUP($B192,$B$11:$B$91,_xlfn.XLOOKUP(O$181,$D$5:$AX$5,$D$11:$AX$91))</f>
        <v>536.9</v>
      </c>
      <c r="P192" s="312" cm="1">
        <f t="array" ref="P192">_xlfn.XLOOKUP($B192,$B$11:$B$91,_xlfn.XLOOKUP(P$181,$D$5:$AX$5,$D$11:$AX$91))</f>
        <v>535.9</v>
      </c>
      <c r="Q192" s="312" cm="1">
        <f t="array" ref="Q192">_xlfn.XLOOKUP($B192,$B$11:$B$91,_xlfn.XLOOKUP(Q$181,$D$5:$AX$5,$D$11:$AX$91))</f>
        <v>571.16239360000009</v>
      </c>
      <c r="R192" s="312" cm="1">
        <f t="array" ref="R192">_xlfn.XLOOKUP($B192,$B$11:$B$91,_xlfn.XLOOKUP(R$181,$D$5:$AX$5,$D$11:$AX$91))</f>
        <v>537.16765384999997</v>
      </c>
      <c r="S192" s="312" cm="1">
        <f t="array" ref="S192">_xlfn.XLOOKUP($B192,$B$11:$B$91,_xlfn.XLOOKUP(S$181,$D$5:$AX$5,$D$11:$AX$91))</f>
        <v>576.82201753599998</v>
      </c>
      <c r="T192" s="312" cm="1">
        <f t="array" ref="T192">_xlfn.XLOOKUP($B192,$B$11:$B$91,_xlfn.XLOOKUP(T$181,$D$5:$AX$5,$D$11:$AX$91))</f>
        <v>550.99467302399989</v>
      </c>
      <c r="U192" s="312" cm="1">
        <f t="array" ref="U192">_xlfn.XLOOKUP($B192,$B$11:$B$91,_xlfn.XLOOKUP(U$181,$D$5:$AX$5,$D$11:$AX$91))</f>
        <v>588.25445788672005</v>
      </c>
      <c r="V192" s="312" cm="1">
        <f t="array" ref="V192">_xlfn.XLOOKUP($B192,$B$11:$B$91,_xlfn.XLOOKUP(V$181,$D$5:$AX$5,$D$11:$AX$91))</f>
        <v>561.91056648448</v>
      </c>
      <c r="W192" s="312" cm="1">
        <f t="array" ref="W192">_xlfn.XLOOKUP($B192,$B$11:$B$91,_xlfn.XLOOKUP(W$181,$D$5:$AX$5,$D$11:$AX$91))</f>
        <v>605.7460916233216</v>
      </c>
      <c r="X192" s="312" cm="1">
        <f t="array" ref="X192">_xlfn.XLOOKUP($B192,$B$11:$B$91,_xlfn.XLOOKUP(X$181,$D$5:$AX$5,$D$11:$AX$91))</f>
        <v>578.61188347901452</v>
      </c>
      <c r="Y192" s="312" cm="1">
        <f t="array" ref="Y192">_xlfn.XLOOKUP($B192,$B$11:$B$91,_xlfn.XLOOKUP(Y$181,$D$5:$AX$5,$D$11:$AX$91))</f>
        <v>623.7624743720213</v>
      </c>
      <c r="Z192" s="312" cm="1">
        <f t="array" ref="Z192">_xlfn.XLOOKUP($B192,$B$11:$B$91,_xlfn.XLOOKUP(Z$181,$D$5:$AX$5,$D$11:$AX$91))</f>
        <v>595.81423998338482</v>
      </c>
      <c r="AA192" s="312" cm="1">
        <f t="array" ref="AA192">_xlfn.XLOOKUP($B192,$B$11:$B$91,_xlfn.XLOOKUP(AA$181,$D$5:$AX$5,$D$11:$AX$91))</f>
        <v>642.31934860318188</v>
      </c>
      <c r="AB192" s="312" cm="1">
        <f t="array" ref="AB192">_xlfn.XLOOKUP($B192,$B$11:$B$91,_xlfn.XLOOKUP(AB$181,$D$5:$AX$5,$D$11:$AX$91))</f>
        <v>613.53266718288648</v>
      </c>
      <c r="AC192" s="312" cm="1">
        <f t="array" ref="AC192">_xlfn.XLOOKUP($B192,$B$11:$B$91,_xlfn.XLOOKUP(AC$181,$D$5:$AX$5,$D$11:$AX$91))</f>
        <v>661.43292906127726</v>
      </c>
      <c r="AD192" s="312" cm="1">
        <f t="array" ref="AD192">_xlfn.XLOOKUP($B192,$B$11:$B$91,_xlfn.XLOOKUP(AD$181,$D$5:$AX$5,$D$11:$AX$91))</f>
        <v>631.78264719837307</v>
      </c>
      <c r="AE192" s="312" cm="1">
        <f t="array" ref="AE192">_xlfn.XLOOKUP($B192,$B$11:$B$91,_xlfn.XLOOKUP(AE$181,$D$5:$AX$5,$D$11:$AX$91))</f>
        <v>681.11991693311575</v>
      </c>
      <c r="AF192" s="312" cm="1">
        <f t="array" ref="AF192">_xlfn.XLOOKUP($B192,$B$11:$B$91,_xlfn.XLOOKUP(AF$181,$D$5:$AX$5,$D$11:$AX$91))</f>
        <v>650.58012661432417</v>
      </c>
      <c r="AG192" s="312"/>
      <c r="AH192" s="310" t="str">
        <f t="shared" si="24"/>
        <v>Digital Revenue - New</v>
      </c>
      <c r="AI192" s="311" t="str" cm="1">
        <f t="array" ref="AI192">_xlfn.XLOOKUP($B192,$B$11:$B$91,_xlfn.XLOOKUP(AI$181,$D$5:$AX$5,$D$11:$AX$91))</f>
        <v>A$m</v>
      </c>
      <c r="AJ192" s="311"/>
      <c r="AK192" s="311"/>
      <c r="AL192" s="312" cm="1">
        <f t="array" ref="AL192">_xlfn.XLOOKUP($B192,$B$11:$B$91,_xlfn.XLOOKUP(AL$181,$D$5:$AX$5,$D$11:$AX$91))</f>
        <v>1073.5</v>
      </c>
      <c r="AM192" s="312" cm="1">
        <f t="array" ref="AM192">_xlfn.XLOOKUP($B192,$B$11:$B$91,_xlfn.XLOOKUP(AM$181,$D$5:$AX$5,$D$11:$AX$91))</f>
        <v>942.7</v>
      </c>
      <c r="AN192" s="312" cm="1">
        <f t="array" ref="AN192">_xlfn.XLOOKUP($B192,$B$11:$B$91,_xlfn.XLOOKUP(AN$181,$D$5:$AX$5,$D$11:$AX$91))</f>
        <v>922</v>
      </c>
      <c r="AO192" s="312" cm="1">
        <f t="array" ref="AO192">_xlfn.XLOOKUP($B192,$B$11:$B$91,_xlfn.XLOOKUP(AO$181,$D$5:$AX$5,$D$11:$AX$91))</f>
        <v>1069.7</v>
      </c>
      <c r="AP192" s="312" cm="1">
        <f t="array" ref="AP192">_xlfn.XLOOKUP($B192,$B$11:$B$91,_xlfn.XLOOKUP(AP$181,$D$5:$AX$5,$D$11:$AX$91))</f>
        <v>1072.8</v>
      </c>
      <c r="AQ192" s="312" cm="1">
        <f t="array" ref="AQ192">_xlfn.XLOOKUP($B192,$B$11:$B$91,_xlfn.XLOOKUP(AQ$181,$D$5:$AX$5,$D$11:$AX$91))</f>
        <v>1108.3300474500002</v>
      </c>
      <c r="AR192" s="312" cm="1">
        <f t="array" ref="AR192">_xlfn.XLOOKUP($B192,$B$11:$B$91,_xlfn.XLOOKUP(AR$181,$D$5:$AX$5,$D$11:$AX$91))</f>
        <v>1127.8166905599999</v>
      </c>
      <c r="AS192" s="312" cm="1">
        <f t="array" ref="AS192">_xlfn.XLOOKUP($B192,$B$11:$B$91,_xlfn.XLOOKUP(AS$181,$D$5:$AX$5,$D$11:$AX$91))</f>
        <v>1150.1650243712002</v>
      </c>
      <c r="AT192" s="312" cm="1">
        <f t="array" ref="AT192">_xlfn.XLOOKUP($B192,$B$11:$B$91,_xlfn.XLOOKUP(AT$181,$D$5:$AX$5,$D$11:$AX$91))</f>
        <v>1184.3579751023362</v>
      </c>
      <c r="AU192" s="312" cm="1">
        <f t="array" ref="AU192">_xlfn.XLOOKUP($B192,$B$11:$B$91,_xlfn.XLOOKUP(AU$181,$D$5:$AX$5,$D$11:$AX$91))</f>
        <v>1219.5767143554062</v>
      </c>
      <c r="AV192" s="312" cm="1">
        <f t="array" ref="AV192">_xlfn.XLOOKUP($B192,$B$11:$B$91,_xlfn.XLOOKUP(AV$181,$D$5:$AX$5,$D$11:$AX$91))</f>
        <v>1255.8520157860685</v>
      </c>
      <c r="AW192" s="312" cm="1">
        <f t="array" ref="AW192">_xlfn.XLOOKUP($B192,$B$11:$B$91,_xlfn.XLOOKUP(AW$181,$D$5:$AX$5,$D$11:$AX$91))</f>
        <v>1293.2155762596503</v>
      </c>
      <c r="AX192" s="312" cm="1">
        <f t="array" ref="AX192">_xlfn.XLOOKUP($B192,$B$11:$B$91,_xlfn.XLOOKUP(AX$181,$D$5:$AX$5,$D$11:$AX$91))</f>
        <v>1331.7000435474399</v>
      </c>
    </row>
    <row r="193" spans="2:50" hidden="1" outlineLevel="1">
      <c r="B193" s="305"/>
      <c r="C193" s="313" t="s">
        <v>1121</v>
      </c>
      <c r="D193" s="307" t="s">
        <v>842</v>
      </c>
      <c r="E193" s="307"/>
      <c r="F193" s="307"/>
      <c r="G193" s="314" t="s">
        <v>967</v>
      </c>
      <c r="H193" s="314" t="s">
        <v>967</v>
      </c>
      <c r="I193" s="314">
        <f t="shared" ref="I193:AF193" si="34">I192/G192-1</f>
        <v>-0.1498534230039662</v>
      </c>
      <c r="J193" s="314">
        <f t="shared" si="34"/>
        <v>-8.8938411669367889E-2</v>
      </c>
      <c r="K193" s="314">
        <f t="shared" si="34"/>
        <v>-3.9756592292089277E-2</v>
      </c>
      <c r="L193" s="314">
        <f t="shared" si="34"/>
        <v>-2.4460751612186415E-3</v>
      </c>
      <c r="M193" s="314">
        <f t="shared" si="34"/>
        <v>0.13983945923109431</v>
      </c>
      <c r="N193" s="314">
        <f t="shared" si="34"/>
        <v>0.18167632634864028</v>
      </c>
      <c r="O193" s="314">
        <f t="shared" si="34"/>
        <v>-5.0037064492217675E-3</v>
      </c>
      <c r="P193" s="314">
        <f t="shared" si="34"/>
        <v>1.0941331824183997E-2</v>
      </c>
      <c r="Q193" s="314">
        <f t="shared" si="34"/>
        <v>6.3815223691562784E-2</v>
      </c>
      <c r="R193" s="314">
        <f t="shared" si="34"/>
        <v>2.3654671580517483E-3</v>
      </c>
      <c r="S193" s="314">
        <f t="shared" si="34"/>
        <v>9.9089575914261818E-3</v>
      </c>
      <c r="T193" s="314">
        <f t="shared" si="34"/>
        <v>2.5740602724118933E-2</v>
      </c>
      <c r="U193" s="314">
        <f t="shared" si="34"/>
        <v>1.9819701750560359E-2</v>
      </c>
      <c r="V193" s="314">
        <f t="shared" si="34"/>
        <v>1.9811250443803496E-2</v>
      </c>
      <c r="W193" s="314">
        <f t="shared" si="34"/>
        <v>2.9734808639512167E-2</v>
      </c>
      <c r="X193" s="314">
        <f t="shared" si="34"/>
        <v>2.9722375749265728E-2</v>
      </c>
      <c r="Y193" s="314">
        <f t="shared" si="34"/>
        <v>2.9742466353217534E-2</v>
      </c>
      <c r="Z193" s="314">
        <f t="shared" si="34"/>
        <v>2.9730389222111686E-2</v>
      </c>
      <c r="AA193" s="314">
        <f t="shared" si="34"/>
        <v>2.9749904801251281E-2</v>
      </c>
      <c r="AB193" s="314">
        <f t="shared" si="34"/>
        <v>2.973817342800622E-2</v>
      </c>
      <c r="AC193" s="314">
        <f t="shared" si="34"/>
        <v>2.9757130155989575E-2</v>
      </c>
      <c r="AD193" s="314">
        <f t="shared" si="34"/>
        <v>2.9745734810313618E-2</v>
      </c>
      <c r="AE193" s="314">
        <f t="shared" si="34"/>
        <v>2.9764148422091408E-2</v>
      </c>
      <c r="AF193" s="314">
        <f t="shared" si="34"/>
        <v>2.9753079637923063E-2</v>
      </c>
      <c r="AG193" s="315"/>
      <c r="AH193" s="313" t="str">
        <f t="shared" si="24"/>
        <v>- Growth</v>
      </c>
      <c r="AI193" s="307" t="str">
        <f>D193</f>
        <v>%</v>
      </c>
      <c r="AJ193" s="307"/>
      <c r="AK193" s="307"/>
      <c r="AL193" s="314" t="s">
        <v>967</v>
      </c>
      <c r="AM193" s="314">
        <f t="shared" ref="AM193:AX193" si="35">AM192/AL192-1</f>
        <v>-0.12184443409408474</v>
      </c>
      <c r="AN193" s="314">
        <f t="shared" si="35"/>
        <v>-2.1958205155404698E-2</v>
      </c>
      <c r="AO193" s="314">
        <f t="shared" si="35"/>
        <v>0.16019522776572681</v>
      </c>
      <c r="AP193" s="314">
        <f t="shared" si="35"/>
        <v>2.8980087875103422E-3</v>
      </c>
      <c r="AQ193" s="314">
        <f t="shared" si="35"/>
        <v>3.3118985318792094E-2</v>
      </c>
      <c r="AR193" s="314">
        <f t="shared" si="35"/>
        <v>1.7581985758514662E-2</v>
      </c>
      <c r="AS193" s="314">
        <f t="shared" si="35"/>
        <v>1.9815572865927056E-2</v>
      </c>
      <c r="AT193" s="314">
        <f t="shared" si="35"/>
        <v>2.9728734578613691E-2</v>
      </c>
      <c r="AU193" s="314">
        <f t="shared" si="35"/>
        <v>2.9736566134092035E-2</v>
      </c>
      <c r="AV193" s="314">
        <f t="shared" si="35"/>
        <v>2.9744173534696605E-2</v>
      </c>
      <c r="AW193" s="314">
        <f t="shared" si="35"/>
        <v>2.9751563085396615E-2</v>
      </c>
      <c r="AX193" s="314">
        <f t="shared" si="35"/>
        <v>2.9758740920131643E-2</v>
      </c>
    </row>
    <row r="194" spans="2:50" collapsed="1">
      <c r="B194" s="305"/>
      <c r="C194" s="313" t="s">
        <v>1122</v>
      </c>
      <c r="D194" s="307" t="s">
        <v>842</v>
      </c>
      <c r="E194" s="307"/>
      <c r="F194" s="307"/>
      <c r="G194" s="314">
        <f xml:space="preserve"> IFERROR(ROUND( G192 / G191,3) - 1, 0)</f>
        <v>0</v>
      </c>
      <c r="H194" s="314">
        <f t="shared" ref="H194:AF194" si="36" xml:space="preserve"> IFERROR(ROUND( H192 / H191,3) - 1, 0)</f>
        <v>0</v>
      </c>
      <c r="I194" s="314">
        <f t="shared" si="36"/>
        <v>0</v>
      </c>
      <c r="J194" s="314">
        <f t="shared" si="36"/>
        <v>0</v>
      </c>
      <c r="K194" s="314">
        <f t="shared" si="36"/>
        <v>0</v>
      </c>
      <c r="L194" s="314">
        <f t="shared" si="36"/>
        <v>0</v>
      </c>
      <c r="M194" s="314">
        <f t="shared" si="36"/>
        <v>0</v>
      </c>
      <c r="N194" s="314">
        <f t="shared" si="36"/>
        <v>0</v>
      </c>
      <c r="O194" s="314">
        <f t="shared" si="36"/>
        <v>0</v>
      </c>
      <c r="P194" s="314">
        <f t="shared" si="36"/>
        <v>1.8999999999999906E-2</v>
      </c>
      <c r="Q194" s="314">
        <f t="shared" si="36"/>
        <v>0</v>
      </c>
      <c r="R194" s="314">
        <f t="shared" si="36"/>
        <v>2.0000000000000018E-3</v>
      </c>
      <c r="S194" s="314">
        <f t="shared" si="36"/>
        <v>-1.9000000000000017E-2</v>
      </c>
      <c r="T194" s="314">
        <f t="shared" si="36"/>
        <v>-2.0000000000000018E-3</v>
      </c>
      <c r="U194" s="314">
        <f t="shared" si="36"/>
        <v>-2.9000000000000026E-2</v>
      </c>
      <c r="V194" s="314">
        <f t="shared" si="36"/>
        <v>-1.2000000000000011E-2</v>
      </c>
      <c r="W194" s="314">
        <f t="shared" si="36"/>
        <v>-2.9000000000000026E-2</v>
      </c>
      <c r="X194" s="314">
        <f t="shared" si="36"/>
        <v>-1.2000000000000011E-2</v>
      </c>
      <c r="Y194" s="314">
        <f t="shared" si="36"/>
        <v>-2.9000000000000026E-2</v>
      </c>
      <c r="Z194" s="314">
        <f t="shared" si="36"/>
        <v>-1.2000000000000011E-2</v>
      </c>
      <c r="AA194" s="314">
        <f t="shared" si="36"/>
        <v>-2.9000000000000026E-2</v>
      </c>
      <c r="AB194" s="314">
        <f t="shared" si="36"/>
        <v>-1.2000000000000011E-2</v>
      </c>
      <c r="AC194" s="314">
        <f t="shared" si="36"/>
        <v>-2.9000000000000026E-2</v>
      </c>
      <c r="AD194" s="314">
        <f t="shared" si="36"/>
        <v>-1.2000000000000011E-2</v>
      </c>
      <c r="AE194" s="314">
        <f t="shared" si="36"/>
        <v>-2.9000000000000026E-2</v>
      </c>
      <c r="AF194" s="314">
        <f t="shared" si="36"/>
        <v>-1.2000000000000011E-2</v>
      </c>
      <c r="AG194" s="314"/>
      <c r="AH194" s="313" t="str">
        <f t="shared" si="24"/>
        <v>- Revision</v>
      </c>
      <c r="AI194" s="307" t="str">
        <f>D194</f>
        <v>%</v>
      </c>
      <c r="AJ194" s="307"/>
      <c r="AK194" s="307"/>
      <c r="AL194" s="314">
        <f xml:space="preserve"> IFERROR(ROUND( AL192 / AL191,3) - 1, 0)</f>
        <v>0</v>
      </c>
      <c r="AM194" s="314">
        <f xml:space="preserve"> IFERROR(ROUND( AM192 / AM191,3) - 1, 0)</f>
        <v>0</v>
      </c>
      <c r="AN194" s="314">
        <f t="shared" ref="AN194:AX194" si="37" xml:space="preserve"> IFERROR(ROUND( AN192 / AN191,3) - 1, 0)</f>
        <v>0</v>
      </c>
      <c r="AO194" s="314">
        <f t="shared" si="37"/>
        <v>0</v>
      </c>
      <c r="AP194" s="314">
        <f t="shared" si="37"/>
        <v>1.0000000000000009E-2</v>
      </c>
      <c r="AQ194" s="314">
        <f t="shared" si="37"/>
        <v>9.9999999999988987E-4</v>
      </c>
      <c r="AR194" s="314">
        <f t="shared" si="37"/>
        <v>-1.100000000000001E-2</v>
      </c>
      <c r="AS194" s="314">
        <f t="shared" si="37"/>
        <v>-2.0000000000000018E-2</v>
      </c>
      <c r="AT194" s="314">
        <f t="shared" si="37"/>
        <v>-2.1000000000000019E-2</v>
      </c>
      <c r="AU194" s="314">
        <f t="shared" si="37"/>
        <v>-2.1000000000000019E-2</v>
      </c>
      <c r="AV194" s="314">
        <f t="shared" si="37"/>
        <v>-2.1000000000000019E-2</v>
      </c>
      <c r="AW194" s="314">
        <f t="shared" si="37"/>
        <v>-2.1000000000000019E-2</v>
      </c>
      <c r="AX194" s="314">
        <f t="shared" si="37"/>
        <v>-2.1000000000000019E-2</v>
      </c>
    </row>
    <row r="195" spans="2:50">
      <c r="B195" s="305" t="s">
        <v>1424</v>
      </c>
      <c r="C195" s="706" t="str">
        <f>_xlfn.TEXTAFTER($B195,$C$180)&amp;" - old"</f>
        <v>Retail Revenue - old</v>
      </c>
      <c r="D195" s="707" t="str" cm="1">
        <f t="array" ref="D195">_xlfn.XLOOKUP($B195,$B$96:$B$176,_xlfn.XLOOKUP(D$181,$D$5:$AX$5,$D$96:$AX$176))</f>
        <v>A$m</v>
      </c>
      <c r="E195" s="307"/>
      <c r="F195" s="307"/>
      <c r="G195" s="708" cm="1">
        <f t="array" ref="G195">_xlfn.XLOOKUP($B195,$B$96:$B$176,_xlfn.XLOOKUP(G$181,$D$5:$AX$5,$D$96:$AX$176))</f>
        <v>276.60000000000002</v>
      </c>
      <c r="H195" s="708" cm="1">
        <f t="array" ref="H195">_xlfn.XLOOKUP($B195,$B$96:$B$176,_xlfn.XLOOKUP(H$181,$D$5:$AX$5,$D$96:$AX$176))</f>
        <v>377.4</v>
      </c>
      <c r="I195" s="708" cm="1">
        <f t="array" ref="I195">_xlfn.XLOOKUP($B195,$B$96:$B$176,_xlfn.XLOOKUP(I$181,$D$5:$AX$5,$D$96:$AX$176))</f>
        <v>437.4</v>
      </c>
      <c r="J195" s="708" cm="1">
        <f t="array" ref="J195">_xlfn.XLOOKUP($B195,$B$96:$B$176,_xlfn.XLOOKUP(J$181,$D$5:$AX$5,$D$96:$AX$176))</f>
        <v>381</v>
      </c>
      <c r="K195" s="708" cm="1">
        <f t="array" ref="K195">_xlfn.XLOOKUP($B195,$B$96:$B$176,_xlfn.XLOOKUP(K$181,$D$5:$AX$5,$D$96:$AX$176))</f>
        <v>420.6</v>
      </c>
      <c r="L195" s="708" cm="1">
        <f t="array" ref="L195">_xlfn.XLOOKUP($B195,$B$96:$B$176,_xlfn.XLOOKUP(L$181,$D$5:$AX$5,$D$96:$AX$176))</f>
        <v>401.19999999999993</v>
      </c>
      <c r="M195" s="708" cm="1">
        <f t="array" ref="M195">_xlfn.XLOOKUP($B195,$B$96:$B$176,_xlfn.XLOOKUP(M$181,$D$5:$AX$5,$D$96:$AX$176))</f>
        <v>497.1</v>
      </c>
      <c r="N195" s="708" cm="1">
        <f t="array" ref="N195">_xlfn.XLOOKUP($B195,$B$96:$B$176,_xlfn.XLOOKUP(N$181,$D$5:$AX$5,$D$96:$AX$176))</f>
        <v>468.6</v>
      </c>
      <c r="O195" s="708" cm="1">
        <f t="array" ref="O195">_xlfn.XLOOKUP($B195,$B$96:$B$176,_xlfn.XLOOKUP(O$181,$D$5:$AX$5,$D$96:$AX$176))</f>
        <v>511.1</v>
      </c>
      <c r="P195" s="708" cm="1">
        <f t="array" ref="P195">_xlfn.XLOOKUP($B195,$B$96:$B$176,_xlfn.XLOOKUP(P$181,$D$5:$AX$5,$D$96:$AX$176))</f>
        <v>481.02152734800001</v>
      </c>
      <c r="Q195" s="708" cm="1">
        <f t="array" ref="Q195">_xlfn.XLOOKUP($B195,$B$96:$B$176,_xlfn.XLOOKUP(Q$181,$D$5:$AX$5,$D$96:$AX$176))</f>
        <v>524.95203046500001</v>
      </c>
      <c r="R195" s="708" cm="1">
        <f t="array" ref="R195">_xlfn.XLOOKUP($B195,$B$96:$B$176,_xlfn.XLOOKUP(R$181,$D$5:$AX$5,$D$96:$AX$176))</f>
        <v>489.39302147400002</v>
      </c>
      <c r="S195" s="708" cm="1">
        <f t="array" ref="S195">_xlfn.XLOOKUP($B195,$B$96:$B$176,_xlfn.XLOOKUP(S$181,$D$5:$AX$5,$D$96:$AX$176))</f>
        <v>527.68874721150007</v>
      </c>
      <c r="T195" s="708" cm="1">
        <f t="array" ref="T195">_xlfn.XLOOKUP($B195,$B$96:$B$176,_xlfn.XLOOKUP(T$181,$D$5:$AX$5,$D$96:$AX$176))</f>
        <v>494.28695168874003</v>
      </c>
      <c r="U195" s="708" cm="1">
        <f t="array" ref="U195">_xlfn.XLOOKUP($B195,$B$96:$B$176,_xlfn.XLOOKUP(U$181,$D$5:$AX$5,$D$96:$AX$176))</f>
        <v>532.96563468361501</v>
      </c>
      <c r="V195" s="708" cm="1">
        <f t="array" ref="V195">_xlfn.XLOOKUP($B195,$B$96:$B$176,_xlfn.XLOOKUP(V$181,$D$5:$AX$5,$D$96:$AX$176))</f>
        <v>499.2298212056275</v>
      </c>
      <c r="W195" s="708" cm="1">
        <f t="array" ref="W195">_xlfn.XLOOKUP($B195,$B$96:$B$176,_xlfn.XLOOKUP(W$181,$D$5:$AX$5,$D$96:$AX$176))</f>
        <v>538.29529103045115</v>
      </c>
      <c r="X195" s="708" cm="1">
        <f t="array" ref="X195">_xlfn.XLOOKUP($B195,$B$96:$B$176,_xlfn.XLOOKUP(X$181,$D$5:$AX$5,$D$96:$AX$176))</f>
        <v>504.2221194176837</v>
      </c>
      <c r="Y195" s="708" cm="1">
        <f t="array" ref="Y195">_xlfn.XLOOKUP($B195,$B$96:$B$176,_xlfn.XLOOKUP(Y$181,$D$5:$AX$5,$D$96:$AX$176))</f>
        <v>543.67824394075569</v>
      </c>
      <c r="Z195" s="708" cm="1">
        <f t="array" ref="Z195">_xlfn.XLOOKUP($B195,$B$96:$B$176,_xlfn.XLOOKUP(Z$181,$D$5:$AX$5,$D$96:$AX$176))</f>
        <v>509.26434061186058</v>
      </c>
      <c r="AA195" s="708" cm="1">
        <f t="array" ref="AA195">_xlfn.XLOOKUP($B195,$B$96:$B$176,_xlfn.XLOOKUP(AA$181,$D$5:$AX$5,$D$96:$AX$176))</f>
        <v>549.11502638016327</v>
      </c>
      <c r="AB195" s="708" cm="1">
        <f t="array" ref="AB195">_xlfn.XLOOKUP($B195,$B$96:$B$176,_xlfn.XLOOKUP(AB$181,$D$5:$AX$5,$D$96:$AX$176))</f>
        <v>514.35698401797924</v>
      </c>
      <c r="AC195" s="708" cm="1">
        <f t="array" ref="AC195">_xlfn.XLOOKUP($B195,$B$96:$B$176,_xlfn.XLOOKUP(AC$181,$D$5:$AX$5,$D$96:$AX$176))</f>
        <v>543.62387611636154</v>
      </c>
      <c r="AD195" s="708" cm="1">
        <f t="array" ref="AD195">_xlfn.XLOOKUP($B195,$B$96:$B$176,_xlfn.XLOOKUP(AD$181,$D$5:$AX$5,$D$96:$AX$176))</f>
        <v>509.21341417779945</v>
      </c>
      <c r="AE195" s="708" cm="1">
        <f t="array" ref="AE195">_xlfn.XLOOKUP($B195,$B$96:$B$176,_xlfn.XLOOKUP(AE$181,$D$5:$AX$5,$D$96:$AX$176))</f>
        <v>538.18763735519804</v>
      </c>
      <c r="AF195" s="708" cm="1">
        <f t="array" ref="AF195">_xlfn.XLOOKUP($B195,$B$96:$B$176,_xlfn.XLOOKUP(AF$181,$D$5:$AX$5,$D$96:$AX$176))</f>
        <v>504.1212800360214</v>
      </c>
      <c r="AG195" s="309"/>
      <c r="AH195" s="306" t="str">
        <f t="shared" si="24"/>
        <v>Retail Revenue - old</v>
      </c>
      <c r="AI195" s="707" t="str" cm="1">
        <f t="array" ref="AI195">_xlfn.XLOOKUP($B195,$B$96:$B$176,_xlfn.XLOOKUP(AI$181,$D$5:$AX$5,$D$96:$AX$176))</f>
        <v>A$m</v>
      </c>
      <c r="AJ195" s="307"/>
      <c r="AK195" s="307"/>
      <c r="AL195" s="708" cm="1">
        <f t="array" ref="AL195">_xlfn.XLOOKUP($B195,$B$96:$B$176,_xlfn.XLOOKUP(AL$181,$D$5:$AX$5,$D$96:$AX$176))</f>
        <v>654</v>
      </c>
      <c r="AM195" s="708" cm="1">
        <f t="array" ref="AM195">_xlfn.XLOOKUP($B195,$B$96:$B$176,_xlfn.XLOOKUP(AM$181,$D$5:$AX$5,$D$96:$AX$176))</f>
        <v>818.4</v>
      </c>
      <c r="AN195" s="708" cm="1">
        <f t="array" ref="AN195">_xlfn.XLOOKUP($B195,$B$96:$B$176,_xlfn.XLOOKUP(AN$181,$D$5:$AX$5,$D$96:$AX$176))</f>
        <v>821.8</v>
      </c>
      <c r="AO195" s="708" cm="1">
        <f t="array" ref="AO195">_xlfn.XLOOKUP($B195,$B$96:$B$176,_xlfn.XLOOKUP(AO$181,$D$5:$AX$5,$D$96:$AX$176))</f>
        <v>965.7</v>
      </c>
      <c r="AP195" s="708" cm="1">
        <f t="array" ref="AP195">_xlfn.XLOOKUP($B195,$B$96:$B$176,_xlfn.XLOOKUP(AP$181,$D$5:$AX$5,$D$96:$AX$176))</f>
        <v>992.12152734799997</v>
      </c>
      <c r="AQ195" s="708" cm="1">
        <f t="array" ref="AQ195">_xlfn.XLOOKUP($B195,$B$96:$B$176,_xlfn.XLOOKUP(AQ$181,$D$5:$AX$5,$D$96:$AX$176))</f>
        <v>1014.3450519390001</v>
      </c>
      <c r="AR195" s="708" cm="1">
        <f t="array" ref="AR195">_xlfn.XLOOKUP($B195,$B$96:$B$176,_xlfn.XLOOKUP(AR$181,$D$5:$AX$5,$D$96:$AX$176))</f>
        <v>1021.9756989002401</v>
      </c>
      <c r="AS195" s="708" cm="1">
        <f t="array" ref="AS195">_xlfn.XLOOKUP($B195,$B$96:$B$176,_xlfn.XLOOKUP(AS$181,$D$5:$AX$5,$D$96:$AX$176))</f>
        <v>1032.1954558892426</v>
      </c>
      <c r="AT195" s="708" cm="1">
        <f t="array" ref="AT195">_xlfn.XLOOKUP($B195,$B$96:$B$176,_xlfn.XLOOKUP(AT$181,$D$5:$AX$5,$D$96:$AX$176))</f>
        <v>1042.5174104481348</v>
      </c>
      <c r="AU195" s="708" cm="1">
        <f t="array" ref="AU195">_xlfn.XLOOKUP($B195,$B$96:$B$176,_xlfn.XLOOKUP(AU$181,$D$5:$AX$5,$D$96:$AX$176))</f>
        <v>1052.9425845526162</v>
      </c>
      <c r="AV195" s="708" cm="1">
        <f t="array" ref="AV195">_xlfn.XLOOKUP($B195,$B$96:$B$176,_xlfn.XLOOKUP(AV$181,$D$5:$AX$5,$D$96:$AX$176))</f>
        <v>1063.4720103981426</v>
      </c>
      <c r="AW195" s="708" cm="1">
        <f t="array" ref="AW195">_xlfn.XLOOKUP($B195,$B$96:$B$176,_xlfn.XLOOKUP(AW$181,$D$5:$AX$5,$D$96:$AX$176))</f>
        <v>1052.837290294161</v>
      </c>
      <c r="AX195" s="708" cm="1">
        <f t="array" ref="AX195">_xlfn.XLOOKUP($B195,$B$96:$B$176,_xlfn.XLOOKUP(AX$181,$D$5:$AX$5,$D$96:$AX$176))</f>
        <v>1042.3089173912194</v>
      </c>
    </row>
    <row r="196" spans="2:50">
      <c r="B196" s="305" t="s">
        <v>1424</v>
      </c>
      <c r="C196" s="318" t="str">
        <f>_xlfn.TEXTAFTER($B196,$C$180)&amp;" - New"</f>
        <v>Retail Revenue - New</v>
      </c>
      <c r="D196" s="311" t="str" cm="1">
        <f t="array" ref="D196">_xlfn.XLOOKUP($B196,$B$11:$B$91,_xlfn.XLOOKUP(D$181,$D$5:$AX$5,$D$11:$AX$91))</f>
        <v>A$m</v>
      </c>
      <c r="E196" s="311"/>
      <c r="F196" s="311"/>
      <c r="G196" s="312" cm="1">
        <f t="array" ref="G196">_xlfn.XLOOKUP($B196,$B$11:$B$91,_xlfn.XLOOKUP(G$181,$D$5:$AX$5,$D$11:$AX$91))</f>
        <v>276.60000000000002</v>
      </c>
      <c r="H196" s="312" cm="1">
        <f t="array" ref="H196">_xlfn.XLOOKUP($B196,$B$11:$B$91,_xlfn.XLOOKUP(H$181,$D$5:$AX$5,$D$11:$AX$91))</f>
        <v>377.4</v>
      </c>
      <c r="I196" s="312" cm="1">
        <f t="array" ref="I196">_xlfn.XLOOKUP($B196,$B$11:$B$91,_xlfn.XLOOKUP(I$181,$D$5:$AX$5,$D$11:$AX$91))</f>
        <v>437.4</v>
      </c>
      <c r="J196" s="312" cm="1">
        <f t="array" ref="J196">_xlfn.XLOOKUP($B196,$B$11:$B$91,_xlfn.XLOOKUP(J$181,$D$5:$AX$5,$D$11:$AX$91))</f>
        <v>381</v>
      </c>
      <c r="K196" s="312" cm="1">
        <f t="array" ref="K196">_xlfn.XLOOKUP($B196,$B$11:$B$91,_xlfn.XLOOKUP(K$181,$D$5:$AX$5,$D$11:$AX$91))</f>
        <v>420.6</v>
      </c>
      <c r="L196" s="312" cm="1">
        <f t="array" ref="L196">_xlfn.XLOOKUP($B196,$B$11:$B$91,_xlfn.XLOOKUP(L$181,$D$5:$AX$5,$D$11:$AX$91))</f>
        <v>401.19999999999993</v>
      </c>
      <c r="M196" s="312" cm="1">
        <f t="array" ref="M196">_xlfn.XLOOKUP($B196,$B$11:$B$91,_xlfn.XLOOKUP(M$181,$D$5:$AX$5,$D$11:$AX$91))</f>
        <v>497.1</v>
      </c>
      <c r="N196" s="312" cm="1">
        <f t="array" ref="N196">_xlfn.XLOOKUP($B196,$B$11:$B$91,_xlfn.XLOOKUP(N$181,$D$5:$AX$5,$D$11:$AX$91))</f>
        <v>468.6</v>
      </c>
      <c r="O196" s="312" cm="1">
        <f t="array" ref="O196">_xlfn.XLOOKUP($B196,$B$11:$B$91,_xlfn.XLOOKUP(O$181,$D$5:$AX$5,$D$11:$AX$91))</f>
        <v>511.1</v>
      </c>
      <c r="P196" s="312" cm="1">
        <f t="array" ref="P196">_xlfn.XLOOKUP($B196,$B$11:$B$91,_xlfn.XLOOKUP(P$181,$D$5:$AX$5,$D$11:$AX$91))</f>
        <v>470.1</v>
      </c>
      <c r="Q196" s="312" cm="1">
        <f t="array" ref="Q196">_xlfn.XLOOKUP($B196,$B$11:$B$91,_xlfn.XLOOKUP(Q$181,$D$5:$AX$5,$D$11:$AX$91))</f>
        <v>530.82886899999994</v>
      </c>
      <c r="R196" s="312" cm="1">
        <f t="array" ref="R196">_xlfn.XLOOKUP($B196,$B$11:$B$91,_xlfn.XLOOKUP(R$181,$D$5:$AX$5,$D$11:$AX$91))</f>
        <v>484.41940000000011</v>
      </c>
      <c r="S196" s="312" cm="1">
        <f t="array" ref="S196">_xlfn.XLOOKUP($B196,$B$11:$B$91,_xlfn.XLOOKUP(S$181,$D$5:$AX$5,$D$11:$AX$91))</f>
        <v>523.57443596499991</v>
      </c>
      <c r="T196" s="312" cm="1">
        <f t="array" ref="T196">_xlfn.XLOOKUP($B196,$B$11:$B$91,_xlfn.XLOOKUP(T$181,$D$5:$AX$5,$D$11:$AX$91))</f>
        <v>477.8281090000001</v>
      </c>
      <c r="U196" s="312" cm="1">
        <f t="array" ref="U196">_xlfn.XLOOKUP($B196,$B$11:$B$91,_xlfn.XLOOKUP(U$181,$D$5:$AX$5,$D$11:$AX$91))</f>
        <v>518.01330554157937</v>
      </c>
      <c r="V196" s="312" cm="1">
        <f t="array" ref="V196">_xlfn.XLOOKUP($B196,$B$11:$B$91,_xlfn.XLOOKUP(V$181,$D$5:$AX$5,$D$11:$AX$91))</f>
        <v>470.66068736500011</v>
      </c>
      <c r="W196" s="312" cm="1">
        <f t="array" ref="W196">_xlfn.XLOOKUP($B196,$B$11:$B$91,_xlfn.XLOOKUP(W$181,$D$5:$AX$5,$D$11:$AX$91))</f>
        <v>523.19343859699529</v>
      </c>
      <c r="X196" s="312" cm="1">
        <f t="array" ref="X196">_xlfn.XLOOKUP($B196,$B$11:$B$91,_xlfn.XLOOKUP(X$181,$D$5:$AX$5,$D$11:$AX$91))</f>
        <v>475.36729423865017</v>
      </c>
      <c r="Y196" s="312" cm="1">
        <f t="array" ref="Y196">_xlfn.XLOOKUP($B196,$B$11:$B$91,_xlfn.XLOOKUP(Y$181,$D$5:$AX$5,$D$11:$AX$91))</f>
        <v>517.96150421102527</v>
      </c>
      <c r="Z196" s="312" cm="1">
        <f t="array" ref="Z196">_xlfn.XLOOKUP($B196,$B$11:$B$91,_xlfn.XLOOKUP(Z$181,$D$5:$AX$5,$D$11:$AX$91))</f>
        <v>470.61362129626355</v>
      </c>
      <c r="AA196" s="312" cm="1">
        <f t="array" ref="AA196">_xlfn.XLOOKUP($B196,$B$11:$B$91,_xlfn.XLOOKUP(AA$181,$D$5:$AX$5,$D$11:$AX$91))</f>
        <v>512.78188916891509</v>
      </c>
      <c r="AB196" s="312" cm="1">
        <f t="array" ref="AB196">_xlfn.XLOOKUP($B196,$B$11:$B$91,_xlfn.XLOOKUP(AB$181,$D$5:$AX$5,$D$11:$AX$91))</f>
        <v>465.90748508330091</v>
      </c>
      <c r="AC196" s="312" cm="1">
        <f t="array" ref="AC196">_xlfn.XLOOKUP($B196,$B$11:$B$91,_xlfn.XLOOKUP(AC$181,$D$5:$AX$5,$D$11:$AX$91))</f>
        <v>507.65407027722591</v>
      </c>
      <c r="AD196" s="312" cm="1">
        <f t="array" ref="AD196">_xlfn.XLOOKUP($B196,$B$11:$B$91,_xlfn.XLOOKUP(AD$181,$D$5:$AX$5,$D$11:$AX$91))</f>
        <v>461.2484102324679</v>
      </c>
      <c r="AE196" s="312" cm="1">
        <f t="array" ref="AE196">_xlfn.XLOOKUP($B196,$B$11:$B$91,_xlfn.XLOOKUP(AE$181,$D$5:$AX$5,$D$11:$AX$91))</f>
        <v>502.57752957445359</v>
      </c>
      <c r="AF196" s="312" cm="1">
        <f t="array" ref="AF196">_xlfn.XLOOKUP($B196,$B$11:$B$91,_xlfn.XLOOKUP(AF$181,$D$5:$AX$5,$D$11:$AX$91))</f>
        <v>456.63592613014328</v>
      </c>
      <c r="AG196" s="312"/>
      <c r="AH196" s="310" t="str">
        <f t="shared" si="24"/>
        <v>Retail Revenue - New</v>
      </c>
      <c r="AI196" s="311" t="str" cm="1">
        <f t="array" ref="AI196">_xlfn.XLOOKUP($B196,$B$11:$B$91,_xlfn.XLOOKUP(AI$181,$D$5:$AX$5,$D$11:$AX$91))</f>
        <v>A$m</v>
      </c>
      <c r="AJ196" s="311"/>
      <c r="AK196" s="311"/>
      <c r="AL196" s="312" cm="1">
        <f t="array" ref="AL196">_xlfn.XLOOKUP($B196,$B$11:$B$91,_xlfn.XLOOKUP(AL$181,$D$5:$AX$5,$D$11:$AX$91))</f>
        <v>654</v>
      </c>
      <c r="AM196" s="312" cm="1">
        <f t="array" ref="AM196">_xlfn.XLOOKUP($B196,$B$11:$B$91,_xlfn.XLOOKUP(AM$181,$D$5:$AX$5,$D$11:$AX$91))</f>
        <v>818.4</v>
      </c>
      <c r="AN196" s="312" cm="1">
        <f t="array" ref="AN196">_xlfn.XLOOKUP($B196,$B$11:$B$91,_xlfn.XLOOKUP(AN$181,$D$5:$AX$5,$D$11:$AX$91))</f>
        <v>821.8</v>
      </c>
      <c r="AO196" s="312" cm="1">
        <f t="array" ref="AO196">_xlfn.XLOOKUP($B196,$B$11:$B$91,_xlfn.XLOOKUP(AO$181,$D$5:$AX$5,$D$11:$AX$91))</f>
        <v>965.7</v>
      </c>
      <c r="AP196" s="312" cm="1">
        <f t="array" ref="AP196">_xlfn.XLOOKUP($B196,$B$11:$B$91,_xlfn.XLOOKUP(AP$181,$D$5:$AX$5,$D$11:$AX$91))</f>
        <v>981.2</v>
      </c>
      <c r="AQ196" s="312" cm="1">
        <f t="array" ref="AQ196">_xlfn.XLOOKUP($B196,$B$11:$B$91,_xlfn.XLOOKUP(AQ$181,$D$5:$AX$5,$D$11:$AX$91))</f>
        <v>1015.2482690000001</v>
      </c>
      <c r="AR196" s="312" cm="1">
        <f t="array" ref="AR196">_xlfn.XLOOKUP($B196,$B$11:$B$91,_xlfn.XLOOKUP(AR$181,$D$5:$AX$5,$D$11:$AX$91))</f>
        <v>1001.4025449650001</v>
      </c>
      <c r="AS196" s="312" cm="1">
        <f t="array" ref="AS196">_xlfn.XLOOKUP($B196,$B$11:$B$91,_xlfn.XLOOKUP(AS$181,$D$5:$AX$5,$D$11:$AX$91))</f>
        <v>988.67399290657954</v>
      </c>
      <c r="AT196" s="312" cm="1">
        <f t="array" ref="AT196">_xlfn.XLOOKUP($B196,$B$11:$B$91,_xlfn.XLOOKUP(AT$181,$D$5:$AX$5,$D$11:$AX$91))</f>
        <v>998.56073283564547</v>
      </c>
      <c r="AU196" s="312" cm="1">
        <f t="array" ref="AU196">_xlfn.XLOOKUP($B196,$B$11:$B$91,_xlfn.XLOOKUP(AU$181,$D$5:$AX$5,$D$11:$AX$91))</f>
        <v>988.57512550728882</v>
      </c>
      <c r="AV196" s="312" cm="1">
        <f t="array" ref="AV196">_xlfn.XLOOKUP($B196,$B$11:$B$91,_xlfn.XLOOKUP(AV$181,$D$5:$AX$5,$D$11:$AX$91))</f>
        <v>978.689374252216</v>
      </c>
      <c r="AW196" s="312" cm="1">
        <f t="array" ref="AW196">_xlfn.XLOOKUP($B196,$B$11:$B$91,_xlfn.XLOOKUP(AW$181,$D$5:$AX$5,$D$11:$AX$91))</f>
        <v>968.90248050969376</v>
      </c>
      <c r="AX196" s="312" cm="1">
        <f t="array" ref="AX196">_xlfn.XLOOKUP($B196,$B$11:$B$91,_xlfn.XLOOKUP(AX$181,$D$5:$AX$5,$D$11:$AX$91))</f>
        <v>959.21345570459687</v>
      </c>
    </row>
    <row r="197" spans="2:50" hidden="1" outlineLevel="1">
      <c r="B197" s="305"/>
      <c r="C197" s="313" t="s">
        <v>1121</v>
      </c>
      <c r="D197" s="307" t="s">
        <v>842</v>
      </c>
      <c r="E197" s="307"/>
      <c r="F197" s="307"/>
      <c r="G197" s="314" t="s">
        <v>967</v>
      </c>
      <c r="H197" s="314" t="s">
        <v>967</v>
      </c>
      <c r="I197" s="314">
        <f t="shared" ref="I197:AF197" si="38">I196/G196-1</f>
        <v>0.58134490238611702</v>
      </c>
      <c r="J197" s="314">
        <f t="shared" si="38"/>
        <v>9.5389507154213238E-3</v>
      </c>
      <c r="K197" s="314">
        <f t="shared" si="38"/>
        <v>-3.8408779149519789E-2</v>
      </c>
      <c r="L197" s="314">
        <f t="shared" si="38"/>
        <v>5.301837270341192E-2</v>
      </c>
      <c r="M197" s="314">
        <f t="shared" si="38"/>
        <v>0.18188302425106984</v>
      </c>
      <c r="N197" s="314">
        <f t="shared" si="38"/>
        <v>0.16799601196410796</v>
      </c>
      <c r="O197" s="314">
        <f t="shared" si="38"/>
        <v>2.8163347415007145E-2</v>
      </c>
      <c r="P197" s="314">
        <f t="shared" si="38"/>
        <v>3.2010243277849071E-3</v>
      </c>
      <c r="Q197" s="314">
        <f t="shared" si="38"/>
        <v>3.8600800234787513E-2</v>
      </c>
      <c r="R197" s="314">
        <f t="shared" si="38"/>
        <v>3.0460327589874714E-2</v>
      </c>
      <c r="S197" s="314">
        <f t="shared" si="38"/>
        <v>-1.3666236820665478E-2</v>
      </c>
      <c r="T197" s="314">
        <f t="shared" si="38"/>
        <v>-1.3606579340133762E-2</v>
      </c>
      <c r="U197" s="314">
        <f t="shared" si="38"/>
        <v>-1.0621470494774687E-2</v>
      </c>
      <c r="V197" s="314">
        <f t="shared" si="38"/>
        <v>-1.5000000000000013E-2</v>
      </c>
      <c r="W197" s="314">
        <f t="shared" si="38"/>
        <v>1.0000000000000231E-2</v>
      </c>
      <c r="X197" s="314">
        <f t="shared" si="38"/>
        <v>1.0000000000000231E-2</v>
      </c>
      <c r="Y197" s="314">
        <f t="shared" si="38"/>
        <v>-1.000000000000012E-2</v>
      </c>
      <c r="Z197" s="314">
        <f t="shared" si="38"/>
        <v>-1.0000000000000231E-2</v>
      </c>
      <c r="AA197" s="314">
        <f t="shared" si="38"/>
        <v>-9.9999999999998979E-3</v>
      </c>
      <c r="AB197" s="314">
        <f t="shared" si="38"/>
        <v>-1.0000000000000009E-2</v>
      </c>
      <c r="AC197" s="314">
        <f t="shared" si="38"/>
        <v>-1.0000000000000009E-2</v>
      </c>
      <c r="AD197" s="314">
        <f t="shared" si="38"/>
        <v>-1.0000000000000009E-2</v>
      </c>
      <c r="AE197" s="314">
        <f t="shared" si="38"/>
        <v>-1.000000000000012E-2</v>
      </c>
      <c r="AF197" s="314">
        <f t="shared" si="38"/>
        <v>-9.9999999999998979E-3</v>
      </c>
      <c r="AG197" s="315"/>
      <c r="AH197" s="313" t="str">
        <f t="shared" si="24"/>
        <v>- Growth</v>
      </c>
      <c r="AI197" s="307" t="str">
        <f>D197</f>
        <v>%</v>
      </c>
      <c r="AJ197" s="307"/>
      <c r="AK197" s="307"/>
      <c r="AL197" s="314" t="s">
        <v>967</v>
      </c>
      <c r="AM197" s="314">
        <f t="shared" ref="AM197:AX197" si="39">AM196/AL196-1</f>
        <v>0.25137614678899078</v>
      </c>
      <c r="AN197" s="314">
        <f t="shared" si="39"/>
        <v>4.1544477028347959E-3</v>
      </c>
      <c r="AO197" s="314">
        <f t="shared" si="39"/>
        <v>0.17510343149184737</v>
      </c>
      <c r="AP197" s="314">
        <f t="shared" si="39"/>
        <v>1.6050533291912528E-2</v>
      </c>
      <c r="AQ197" s="314">
        <f t="shared" si="39"/>
        <v>3.4700641051773395E-2</v>
      </c>
      <c r="AR197" s="314">
        <f t="shared" si="39"/>
        <v>-1.3637771624705919E-2</v>
      </c>
      <c r="AS197" s="314">
        <f t="shared" si="39"/>
        <v>-1.2710724695497388E-2</v>
      </c>
      <c r="AT197" s="314">
        <f t="shared" si="39"/>
        <v>1.0000000000000231E-2</v>
      </c>
      <c r="AU197" s="314">
        <f t="shared" si="39"/>
        <v>-1.0000000000000231E-2</v>
      </c>
      <c r="AV197" s="314">
        <f t="shared" si="39"/>
        <v>-9.9999999999998979E-3</v>
      </c>
      <c r="AW197" s="314">
        <f t="shared" si="39"/>
        <v>-1.000000000000012E-2</v>
      </c>
      <c r="AX197" s="314">
        <f t="shared" si="39"/>
        <v>-9.9999999999998979E-3</v>
      </c>
    </row>
    <row r="198" spans="2:50" collapsed="1">
      <c r="B198" s="305"/>
      <c r="C198" s="313" t="s">
        <v>1122</v>
      </c>
      <c r="D198" s="307" t="s">
        <v>842</v>
      </c>
      <c r="E198" s="307"/>
      <c r="F198" s="307"/>
      <c r="G198" s="314">
        <f xml:space="preserve"> IFERROR(ROUND( G196 / G195,3) - 1, 0)</f>
        <v>0</v>
      </c>
      <c r="H198" s="314">
        <f t="shared" ref="H198:AF198" si="40" xml:space="preserve"> IFERROR(ROUND( H196 / H195,3) - 1, 0)</f>
        <v>0</v>
      </c>
      <c r="I198" s="314">
        <f t="shared" si="40"/>
        <v>0</v>
      </c>
      <c r="J198" s="314">
        <f t="shared" si="40"/>
        <v>0</v>
      </c>
      <c r="K198" s="314">
        <f t="shared" si="40"/>
        <v>0</v>
      </c>
      <c r="L198" s="314">
        <f t="shared" si="40"/>
        <v>0</v>
      </c>
      <c r="M198" s="314">
        <f t="shared" si="40"/>
        <v>0</v>
      </c>
      <c r="N198" s="314">
        <f t="shared" si="40"/>
        <v>0</v>
      </c>
      <c r="O198" s="314">
        <f t="shared" si="40"/>
        <v>0</v>
      </c>
      <c r="P198" s="314">
        <f t="shared" si="40"/>
        <v>-2.300000000000002E-2</v>
      </c>
      <c r="Q198" s="314">
        <f t="shared" si="40"/>
        <v>1.0999999999999899E-2</v>
      </c>
      <c r="R198" s="314">
        <f t="shared" si="40"/>
        <v>-1.0000000000000009E-2</v>
      </c>
      <c r="S198" s="314">
        <f t="shared" si="40"/>
        <v>-8.0000000000000071E-3</v>
      </c>
      <c r="T198" s="314">
        <f t="shared" si="40"/>
        <v>-3.3000000000000029E-2</v>
      </c>
      <c r="U198" s="314">
        <f t="shared" si="40"/>
        <v>-2.8000000000000025E-2</v>
      </c>
      <c r="V198" s="314">
        <f t="shared" si="40"/>
        <v>-5.7000000000000051E-2</v>
      </c>
      <c r="W198" s="314">
        <f t="shared" si="40"/>
        <v>-2.8000000000000025E-2</v>
      </c>
      <c r="X198" s="314">
        <f t="shared" si="40"/>
        <v>-5.7000000000000051E-2</v>
      </c>
      <c r="Y198" s="314">
        <f t="shared" si="40"/>
        <v>-4.7000000000000042E-2</v>
      </c>
      <c r="Z198" s="314">
        <f t="shared" si="40"/>
        <v>-7.5999999999999956E-2</v>
      </c>
      <c r="AA198" s="314">
        <f t="shared" si="40"/>
        <v>-6.5999999999999948E-2</v>
      </c>
      <c r="AB198" s="314">
        <f t="shared" si="40"/>
        <v>-9.3999999999999972E-2</v>
      </c>
      <c r="AC198" s="314">
        <f t="shared" si="40"/>
        <v>-6.5999999999999948E-2</v>
      </c>
      <c r="AD198" s="314">
        <f t="shared" si="40"/>
        <v>-9.3999999999999972E-2</v>
      </c>
      <c r="AE198" s="314">
        <f t="shared" si="40"/>
        <v>-6.5999999999999948E-2</v>
      </c>
      <c r="AF198" s="314">
        <f t="shared" si="40"/>
        <v>-9.3999999999999972E-2</v>
      </c>
      <c r="AG198" s="314"/>
      <c r="AH198" s="313" t="str">
        <f t="shared" si="24"/>
        <v>- Revision</v>
      </c>
      <c r="AI198" s="307" t="str">
        <f>D198</f>
        <v>%</v>
      </c>
      <c r="AJ198" s="307"/>
      <c r="AK198" s="307"/>
      <c r="AL198" s="314">
        <f xml:space="preserve"> IFERROR(ROUND( AL196 / AL195,3) - 1, 0)</f>
        <v>0</v>
      </c>
      <c r="AM198" s="314">
        <f xml:space="preserve"> IFERROR(ROUND( AM196 / AM195,3) - 1, 0)</f>
        <v>0</v>
      </c>
      <c r="AN198" s="314">
        <f t="shared" ref="AN198:AX198" si="41" xml:space="preserve"> IFERROR(ROUND( AN196 / AN195,3) - 1, 0)</f>
        <v>0</v>
      </c>
      <c r="AO198" s="314">
        <f t="shared" si="41"/>
        <v>0</v>
      </c>
      <c r="AP198" s="314">
        <f t="shared" si="41"/>
        <v>-1.100000000000001E-2</v>
      </c>
      <c r="AQ198" s="314">
        <f t="shared" si="41"/>
        <v>9.9999999999988987E-4</v>
      </c>
      <c r="AR198" s="314">
        <f t="shared" si="41"/>
        <v>-2.0000000000000018E-2</v>
      </c>
      <c r="AS198" s="314">
        <f t="shared" si="41"/>
        <v>-4.2000000000000037E-2</v>
      </c>
      <c r="AT198" s="314">
        <f t="shared" si="41"/>
        <v>-4.2000000000000037E-2</v>
      </c>
      <c r="AU198" s="314">
        <f t="shared" si="41"/>
        <v>-6.1000000000000054E-2</v>
      </c>
      <c r="AV198" s="314">
        <f t="shared" si="41"/>
        <v>-7.999999999999996E-2</v>
      </c>
      <c r="AW198" s="314">
        <f t="shared" si="41"/>
        <v>-7.999999999999996E-2</v>
      </c>
      <c r="AX198" s="314">
        <f t="shared" si="41"/>
        <v>-7.999999999999996E-2</v>
      </c>
    </row>
    <row r="199" spans="2:50">
      <c r="B199" s="305" t="s">
        <v>1425</v>
      </c>
      <c r="C199" s="706" t="str">
        <f>_xlfn.TEXTAFTER($B199,$C$180)&amp;" - old"</f>
        <v>Digital Gross Yield - old</v>
      </c>
      <c r="D199" s="707" t="str" cm="1">
        <f t="array" ref="D199">_xlfn.XLOOKUP($B199,$B$96:$B$176,_xlfn.XLOOKUP(D$181,$D$5:$AX$5,$D$96:$AX$176))</f>
        <v>%</v>
      </c>
      <c r="E199" s="307"/>
      <c r="F199" s="307"/>
      <c r="G199" s="718" cm="1">
        <f t="array" ref="G199">_xlfn.XLOOKUP($B199,$B$96:$B$176,_xlfn.XLOOKUP(G$181,$D$5:$AX$5,$D$96:$AX$176))</f>
        <v>0.17</v>
      </c>
      <c r="H199" s="718" cm="1">
        <f t="array" ref="H199">_xlfn.XLOOKUP($B199,$B$96:$B$176,_xlfn.XLOOKUP(H$181,$D$5:$AX$5,$D$96:$AX$176))</f>
        <v>0.16781500675980171</v>
      </c>
      <c r="I199" s="718" cm="1">
        <f t="array" ref="I199">_xlfn.XLOOKUP($B199,$B$96:$B$176,_xlfn.XLOOKUP(I$181,$D$5:$AX$5,$D$96:$AX$176))</f>
        <v>0.16400000000000001</v>
      </c>
      <c r="J199" s="718" cm="1">
        <f t="array" ref="J199">_xlfn.XLOOKUP($B199,$B$96:$B$176,_xlfn.XLOOKUP(J$181,$D$5:$AX$5,$D$96:$AX$176))</f>
        <v>0.16400000000000001</v>
      </c>
      <c r="K199" s="718" cm="1">
        <f t="array" ref="K199">_xlfn.XLOOKUP($B199,$B$96:$B$176,_xlfn.XLOOKUP(K$181,$D$5:$AX$5,$D$96:$AX$176))</f>
        <v>0.16500000000000001</v>
      </c>
      <c r="L199" s="718" cm="1">
        <f t="array" ref="L199">_xlfn.XLOOKUP($B199,$B$96:$B$176,_xlfn.XLOOKUP(L$181,$D$5:$AX$5,$D$96:$AX$176))</f>
        <v>0.17199999999999999</v>
      </c>
      <c r="M199" s="718" cm="1">
        <f t="array" ref="M199">_xlfn.XLOOKUP($B199,$B$96:$B$176,_xlfn.XLOOKUP(M$181,$D$5:$AX$5,$D$96:$AX$176))</f>
        <v>0.17</v>
      </c>
      <c r="N199" s="718" cm="1">
        <f t="array" ref="N199">_xlfn.XLOOKUP($B199,$B$96:$B$176,_xlfn.XLOOKUP(N$181,$D$5:$AX$5,$D$96:$AX$176))</f>
        <v>0.16900000000000001</v>
      </c>
      <c r="O199" s="718" cm="1">
        <f t="array" ref="O199">_xlfn.XLOOKUP($B199,$B$96:$B$176,_xlfn.XLOOKUP(O$181,$D$5:$AX$5,$D$96:$AX$176))</f>
        <v>0.16300000000000001</v>
      </c>
      <c r="P199" s="718" cm="1">
        <f t="array" ref="P199">_xlfn.XLOOKUP($B199,$B$96:$B$176,_xlfn.XLOOKUP(P$181,$D$5:$AX$5,$D$96:$AX$176))</f>
        <v>0.16800000000000001</v>
      </c>
      <c r="Q199" s="718" cm="1">
        <f t="array" ref="Q199">_xlfn.XLOOKUP($B199,$B$96:$B$176,_xlfn.XLOOKUP(Q$181,$D$5:$AX$5,$D$96:$AX$176))</f>
        <v>0.16800000000000001</v>
      </c>
      <c r="R199" s="718" cm="1">
        <f t="array" ref="R199">_xlfn.XLOOKUP($B199,$B$96:$B$176,_xlfn.XLOOKUP(R$181,$D$5:$AX$5,$D$96:$AX$176))</f>
        <v>0.16800000000000001</v>
      </c>
      <c r="S199" s="718" cm="1">
        <f t="array" ref="S199">_xlfn.XLOOKUP($B199,$B$96:$B$176,_xlfn.XLOOKUP(S$181,$D$5:$AX$5,$D$96:$AX$176))</f>
        <v>0.16800000000000001</v>
      </c>
      <c r="T199" s="718" cm="1">
        <f t="array" ref="T199">_xlfn.XLOOKUP($B199,$B$96:$B$176,_xlfn.XLOOKUP(T$181,$D$5:$AX$5,$D$96:$AX$176))</f>
        <v>0.16800000000000001</v>
      </c>
      <c r="U199" s="718" cm="1">
        <f t="array" ref="U199">_xlfn.XLOOKUP($B199,$B$96:$B$176,_xlfn.XLOOKUP(U$181,$D$5:$AX$5,$D$96:$AX$176))</f>
        <v>0.16800000000000001</v>
      </c>
      <c r="V199" s="718" cm="1">
        <f t="array" ref="V199">_xlfn.XLOOKUP($B199,$B$96:$B$176,_xlfn.XLOOKUP(V$181,$D$5:$AX$5,$D$96:$AX$176))</f>
        <v>0.16800000000000001</v>
      </c>
      <c r="W199" s="718" cm="1">
        <f t="array" ref="W199">_xlfn.XLOOKUP($B199,$B$96:$B$176,_xlfn.XLOOKUP(W$181,$D$5:$AX$5,$D$96:$AX$176))</f>
        <v>0.16800000000000001</v>
      </c>
      <c r="X199" s="718" cm="1">
        <f t="array" ref="X199">_xlfn.XLOOKUP($B199,$B$96:$B$176,_xlfn.XLOOKUP(X$181,$D$5:$AX$5,$D$96:$AX$176))</f>
        <v>0.16800000000000001</v>
      </c>
      <c r="Y199" s="718" cm="1">
        <f t="array" ref="Y199">_xlfn.XLOOKUP($B199,$B$96:$B$176,_xlfn.XLOOKUP(Y$181,$D$5:$AX$5,$D$96:$AX$176))</f>
        <v>0.16800000000000001</v>
      </c>
      <c r="Z199" s="718" cm="1">
        <f t="array" ref="Z199">_xlfn.XLOOKUP($B199,$B$96:$B$176,_xlfn.XLOOKUP(Z$181,$D$5:$AX$5,$D$96:$AX$176))</f>
        <v>0.16800000000000001</v>
      </c>
      <c r="AA199" s="718" cm="1">
        <f t="array" ref="AA199">_xlfn.XLOOKUP($B199,$B$96:$B$176,_xlfn.XLOOKUP(AA$181,$D$5:$AX$5,$D$96:$AX$176))</f>
        <v>0.16800000000000001</v>
      </c>
      <c r="AB199" s="718" cm="1">
        <f t="array" ref="AB199">_xlfn.XLOOKUP($B199,$B$96:$B$176,_xlfn.XLOOKUP(AB$181,$D$5:$AX$5,$D$96:$AX$176))</f>
        <v>0.16800000000000001</v>
      </c>
      <c r="AC199" s="718" cm="1">
        <f t="array" ref="AC199">_xlfn.XLOOKUP($B199,$B$96:$B$176,_xlfn.XLOOKUP(AC$181,$D$5:$AX$5,$D$96:$AX$176))</f>
        <v>0.16800000000000001</v>
      </c>
      <c r="AD199" s="718" cm="1">
        <f t="array" ref="AD199">_xlfn.XLOOKUP($B199,$B$96:$B$176,_xlfn.XLOOKUP(AD$181,$D$5:$AX$5,$D$96:$AX$176))</f>
        <v>0.16800000000000001</v>
      </c>
      <c r="AE199" s="718" cm="1">
        <f t="array" ref="AE199">_xlfn.XLOOKUP($B199,$B$96:$B$176,_xlfn.XLOOKUP(AE$181,$D$5:$AX$5,$D$96:$AX$176))</f>
        <v>0.16800000000000001</v>
      </c>
      <c r="AF199" s="718" cm="1">
        <f t="array" ref="AF199">_xlfn.XLOOKUP($B199,$B$96:$B$176,_xlfn.XLOOKUP(AF$181,$D$5:$AX$5,$D$96:$AX$176))</f>
        <v>0.16800000000000001</v>
      </c>
      <c r="AG199" s="309"/>
      <c r="AH199" s="306" t="str">
        <f t="shared" si="24"/>
        <v>Digital Gross Yield - old</v>
      </c>
      <c r="AI199" s="707" t="str" cm="1">
        <f t="array" ref="AI199">_xlfn.XLOOKUP($B199,$B$96:$B$176,_xlfn.XLOOKUP(AI$181,$D$5:$AX$5,$D$96:$AX$176))</f>
        <v>%</v>
      </c>
      <c r="AJ199" s="307"/>
      <c r="AK199" s="307"/>
      <c r="AL199" s="718" cm="1">
        <f t="array" ref="AL199">_xlfn.XLOOKUP($B199,$B$96:$B$176,_xlfn.XLOOKUP(AL$181,$D$5:$AX$5,$D$96:$AX$176))</f>
        <v>0.16890750337990085</v>
      </c>
      <c r="AM199" s="718" cm="1">
        <f t="array" ref="AM199">_xlfn.XLOOKUP($B199,$B$96:$B$176,_xlfn.XLOOKUP(AM$181,$D$5:$AX$5,$D$96:$AX$176))</f>
        <v>0.16400000000000001</v>
      </c>
      <c r="AN199" s="718" cm="1">
        <f t="array" ref="AN199">_xlfn.XLOOKUP($B199,$B$96:$B$176,_xlfn.XLOOKUP(AN$181,$D$5:$AX$5,$D$96:$AX$176))</f>
        <v>0.16849999999999998</v>
      </c>
      <c r="AO199" s="718" cm="1">
        <f t="array" ref="AO199">_xlfn.XLOOKUP($B199,$B$96:$B$176,_xlfn.XLOOKUP(AO$181,$D$5:$AX$5,$D$96:$AX$176))</f>
        <v>0.16950000000000001</v>
      </c>
      <c r="AP199" s="718" cm="1">
        <f t="array" ref="AP199">_xlfn.XLOOKUP($B199,$B$96:$B$176,_xlfn.XLOOKUP(AP$181,$D$5:$AX$5,$D$96:$AX$176))</f>
        <v>0.16550000000000001</v>
      </c>
      <c r="AQ199" s="718" cm="1">
        <f t="array" ref="AQ199">_xlfn.XLOOKUP($B199,$B$96:$B$176,_xlfn.XLOOKUP(AQ$181,$D$5:$AX$5,$D$96:$AX$176))</f>
        <v>0.16800000000000001</v>
      </c>
      <c r="AR199" s="718" cm="1">
        <f t="array" ref="AR199">_xlfn.XLOOKUP($B199,$B$96:$B$176,_xlfn.XLOOKUP(AR$181,$D$5:$AX$5,$D$96:$AX$176))</f>
        <v>0.16800000000000001</v>
      </c>
      <c r="AS199" s="718" cm="1">
        <f t="array" ref="AS199">_xlfn.XLOOKUP($B199,$B$96:$B$176,_xlfn.XLOOKUP(AS$181,$D$5:$AX$5,$D$96:$AX$176))</f>
        <v>0.16800000000000001</v>
      </c>
      <c r="AT199" s="718" cm="1">
        <f t="array" ref="AT199">_xlfn.XLOOKUP($B199,$B$96:$B$176,_xlfn.XLOOKUP(AT$181,$D$5:$AX$5,$D$96:$AX$176))</f>
        <v>0.16800000000000001</v>
      </c>
      <c r="AU199" s="718" cm="1">
        <f t="array" ref="AU199">_xlfn.XLOOKUP($B199,$B$96:$B$176,_xlfn.XLOOKUP(AU$181,$D$5:$AX$5,$D$96:$AX$176))</f>
        <v>0.16800000000000001</v>
      </c>
      <c r="AV199" s="718" cm="1">
        <f t="array" ref="AV199">_xlfn.XLOOKUP($B199,$B$96:$B$176,_xlfn.XLOOKUP(AV$181,$D$5:$AX$5,$D$96:$AX$176))</f>
        <v>0.16800000000000001</v>
      </c>
      <c r="AW199" s="718" cm="1">
        <f t="array" ref="AW199">_xlfn.XLOOKUP($B199,$B$96:$B$176,_xlfn.XLOOKUP(AW$181,$D$5:$AX$5,$D$96:$AX$176))</f>
        <v>0.16800000000000001</v>
      </c>
      <c r="AX199" s="718" cm="1">
        <f t="array" ref="AX199">_xlfn.XLOOKUP($B199,$B$96:$B$176,_xlfn.XLOOKUP(AX$181,$D$5:$AX$5,$D$96:$AX$176))</f>
        <v>0.16800000000000001</v>
      </c>
    </row>
    <row r="200" spans="2:50">
      <c r="B200" s="305" t="s">
        <v>1425</v>
      </c>
      <c r="C200" s="318" t="str">
        <f>_xlfn.TEXTAFTER($B200,$C$180)&amp;" - New"</f>
        <v>Digital Gross Yield - New</v>
      </c>
      <c r="D200" s="311" t="str" cm="1">
        <f t="array" ref="D200">_xlfn.XLOOKUP($B200,$B$11:$B$91,_xlfn.XLOOKUP(D$181,$D$5:$AX$5,$D$11:$AX$91))</f>
        <v>%</v>
      </c>
      <c r="E200" s="311"/>
      <c r="F200" s="311"/>
      <c r="G200" s="719" cm="1">
        <f t="array" ref="G200">_xlfn.XLOOKUP($B200,$B$11:$B$91,_xlfn.XLOOKUP(G$181,$D$5:$AX$5,$D$11:$AX$91))</f>
        <v>0.17</v>
      </c>
      <c r="H200" s="719" cm="1">
        <f t="array" ref="H200">_xlfn.XLOOKUP($B200,$B$11:$B$91,_xlfn.XLOOKUP(H$181,$D$5:$AX$5,$D$11:$AX$91))</f>
        <v>0.16781500675980171</v>
      </c>
      <c r="I200" s="719" cm="1">
        <f t="array" ref="I200">_xlfn.XLOOKUP($B200,$B$11:$B$91,_xlfn.XLOOKUP(I$181,$D$5:$AX$5,$D$11:$AX$91))</f>
        <v>0.16400000000000001</v>
      </c>
      <c r="J200" s="719" cm="1">
        <f t="array" ref="J200">_xlfn.XLOOKUP($B200,$B$11:$B$91,_xlfn.XLOOKUP(J$181,$D$5:$AX$5,$D$11:$AX$91))</f>
        <v>0.16400000000000001</v>
      </c>
      <c r="K200" s="719" cm="1">
        <f t="array" ref="K200">_xlfn.XLOOKUP($B200,$B$11:$B$91,_xlfn.XLOOKUP(K$181,$D$5:$AX$5,$D$11:$AX$91))</f>
        <v>0.16500000000000001</v>
      </c>
      <c r="L200" s="719" cm="1">
        <f t="array" ref="L200">_xlfn.XLOOKUP($B200,$B$11:$B$91,_xlfn.XLOOKUP(L$181,$D$5:$AX$5,$D$11:$AX$91))</f>
        <v>0.17199999999999999</v>
      </c>
      <c r="M200" s="719" cm="1">
        <f t="array" ref="M200">_xlfn.XLOOKUP($B200,$B$11:$B$91,_xlfn.XLOOKUP(M$181,$D$5:$AX$5,$D$11:$AX$91))</f>
        <v>0.17</v>
      </c>
      <c r="N200" s="719" cm="1">
        <f t="array" ref="N200">_xlfn.XLOOKUP($B200,$B$11:$B$91,_xlfn.XLOOKUP(N$181,$D$5:$AX$5,$D$11:$AX$91))</f>
        <v>0.16900000000000001</v>
      </c>
      <c r="O200" s="719" cm="1">
        <f t="array" ref="O200">_xlfn.XLOOKUP($B200,$B$11:$B$91,_xlfn.XLOOKUP(O$181,$D$5:$AX$5,$D$11:$AX$91))</f>
        <v>0.16300000000000001</v>
      </c>
      <c r="P200" s="719" cm="1">
        <f t="array" ref="P200">_xlfn.XLOOKUP($B200,$B$11:$B$91,_xlfn.XLOOKUP(P$181,$D$5:$AX$5,$D$11:$AX$91))</f>
        <v>0.16800000000000001</v>
      </c>
      <c r="Q200" s="719" cm="1">
        <f t="array" ref="Q200">_xlfn.XLOOKUP($B200,$B$11:$B$91,_xlfn.XLOOKUP(Q$181,$D$5:$AX$5,$D$11:$AX$91))</f>
        <v>0.16800000000000001</v>
      </c>
      <c r="R200" s="719" cm="1">
        <f t="array" ref="R200">_xlfn.XLOOKUP($B200,$B$11:$B$91,_xlfn.XLOOKUP(R$181,$D$5:$AX$5,$D$11:$AX$91))</f>
        <v>0.16800000000000001</v>
      </c>
      <c r="S200" s="719" cm="1">
        <f t="array" ref="S200">_xlfn.XLOOKUP($B200,$B$11:$B$91,_xlfn.XLOOKUP(S$181,$D$5:$AX$5,$D$11:$AX$91))</f>
        <v>0.16800000000000001</v>
      </c>
      <c r="T200" s="719" cm="1">
        <f t="array" ref="T200">_xlfn.XLOOKUP($B200,$B$11:$B$91,_xlfn.XLOOKUP(T$181,$D$5:$AX$5,$D$11:$AX$91))</f>
        <v>0.16800000000000001</v>
      </c>
      <c r="U200" s="719" cm="1">
        <f t="array" ref="U200">_xlfn.XLOOKUP($B200,$B$11:$B$91,_xlfn.XLOOKUP(U$181,$D$5:$AX$5,$D$11:$AX$91))</f>
        <v>0.16800000000000001</v>
      </c>
      <c r="V200" s="719" cm="1">
        <f t="array" ref="V200">_xlfn.XLOOKUP($B200,$B$11:$B$91,_xlfn.XLOOKUP(V$181,$D$5:$AX$5,$D$11:$AX$91))</f>
        <v>0.16800000000000001</v>
      </c>
      <c r="W200" s="719" cm="1">
        <f t="array" ref="W200">_xlfn.XLOOKUP($B200,$B$11:$B$91,_xlfn.XLOOKUP(W$181,$D$5:$AX$5,$D$11:$AX$91))</f>
        <v>0.16800000000000001</v>
      </c>
      <c r="X200" s="719" cm="1">
        <f t="array" ref="X200">_xlfn.XLOOKUP($B200,$B$11:$B$91,_xlfn.XLOOKUP(X$181,$D$5:$AX$5,$D$11:$AX$91))</f>
        <v>0.16800000000000001</v>
      </c>
      <c r="Y200" s="719" cm="1">
        <f t="array" ref="Y200">_xlfn.XLOOKUP($B200,$B$11:$B$91,_xlfn.XLOOKUP(Y$181,$D$5:$AX$5,$D$11:$AX$91))</f>
        <v>0.16800000000000001</v>
      </c>
      <c r="Z200" s="719" cm="1">
        <f t="array" ref="Z200">_xlfn.XLOOKUP($B200,$B$11:$B$91,_xlfn.XLOOKUP(Z$181,$D$5:$AX$5,$D$11:$AX$91))</f>
        <v>0.16800000000000001</v>
      </c>
      <c r="AA200" s="719" cm="1">
        <f t="array" ref="AA200">_xlfn.XLOOKUP($B200,$B$11:$B$91,_xlfn.XLOOKUP(AA$181,$D$5:$AX$5,$D$11:$AX$91))</f>
        <v>0.16800000000000001</v>
      </c>
      <c r="AB200" s="719" cm="1">
        <f t="array" ref="AB200">_xlfn.XLOOKUP($B200,$B$11:$B$91,_xlfn.XLOOKUP(AB$181,$D$5:$AX$5,$D$11:$AX$91))</f>
        <v>0.16800000000000001</v>
      </c>
      <c r="AC200" s="719" cm="1">
        <f t="array" ref="AC200">_xlfn.XLOOKUP($B200,$B$11:$B$91,_xlfn.XLOOKUP(AC$181,$D$5:$AX$5,$D$11:$AX$91))</f>
        <v>0.16800000000000001</v>
      </c>
      <c r="AD200" s="719" cm="1">
        <f t="array" ref="AD200">_xlfn.XLOOKUP($B200,$B$11:$B$91,_xlfn.XLOOKUP(AD$181,$D$5:$AX$5,$D$11:$AX$91))</f>
        <v>0.16800000000000001</v>
      </c>
      <c r="AE200" s="719" cm="1">
        <f t="array" ref="AE200">_xlfn.XLOOKUP($B200,$B$11:$B$91,_xlfn.XLOOKUP(AE$181,$D$5:$AX$5,$D$11:$AX$91))</f>
        <v>0.16800000000000001</v>
      </c>
      <c r="AF200" s="719" cm="1">
        <f t="array" ref="AF200">_xlfn.XLOOKUP($B200,$B$11:$B$91,_xlfn.XLOOKUP(AF$181,$D$5:$AX$5,$D$11:$AX$91))</f>
        <v>0.16800000000000001</v>
      </c>
      <c r="AG200" s="312"/>
      <c r="AH200" s="310" t="str">
        <f t="shared" si="24"/>
        <v>Digital Gross Yield - New</v>
      </c>
      <c r="AI200" s="311" t="str" cm="1">
        <f t="array" ref="AI200">_xlfn.XLOOKUP($B200,$B$11:$B$91,_xlfn.XLOOKUP(AI$181,$D$5:$AX$5,$D$11:$AX$91))</f>
        <v>%</v>
      </c>
      <c r="AJ200" s="311"/>
      <c r="AK200" s="311"/>
      <c r="AL200" s="719" cm="1">
        <f t="array" ref="AL200">_xlfn.XLOOKUP($B200,$B$11:$B$91,_xlfn.XLOOKUP(AL$181,$D$5:$AX$5,$D$11:$AX$91))</f>
        <v>0.16890750337990085</v>
      </c>
      <c r="AM200" s="719" cm="1">
        <f t="array" ref="AM200">_xlfn.XLOOKUP($B200,$B$11:$B$91,_xlfn.XLOOKUP(AM$181,$D$5:$AX$5,$D$11:$AX$91))</f>
        <v>0.16400000000000001</v>
      </c>
      <c r="AN200" s="719" cm="1">
        <f t="array" ref="AN200">_xlfn.XLOOKUP($B200,$B$11:$B$91,_xlfn.XLOOKUP(AN$181,$D$5:$AX$5,$D$11:$AX$91))</f>
        <v>0.16849999999999998</v>
      </c>
      <c r="AO200" s="719" cm="1">
        <f t="array" ref="AO200">_xlfn.XLOOKUP($B200,$B$11:$B$91,_xlfn.XLOOKUP(AO$181,$D$5:$AX$5,$D$11:$AX$91))</f>
        <v>0.16950000000000001</v>
      </c>
      <c r="AP200" s="719" cm="1">
        <f t="array" ref="AP200">_xlfn.XLOOKUP($B200,$B$11:$B$91,_xlfn.XLOOKUP(AP$181,$D$5:$AX$5,$D$11:$AX$91))</f>
        <v>0.16550000000000001</v>
      </c>
      <c r="AQ200" s="719" cm="1">
        <f t="array" ref="AQ200">_xlfn.XLOOKUP($B200,$B$11:$B$91,_xlfn.XLOOKUP(AQ$181,$D$5:$AX$5,$D$11:$AX$91))</f>
        <v>0.16800000000000001</v>
      </c>
      <c r="AR200" s="719" cm="1">
        <f t="array" ref="AR200">_xlfn.XLOOKUP($B200,$B$11:$B$91,_xlfn.XLOOKUP(AR$181,$D$5:$AX$5,$D$11:$AX$91))</f>
        <v>0.16800000000000001</v>
      </c>
      <c r="AS200" s="719" cm="1">
        <f t="array" ref="AS200">_xlfn.XLOOKUP($B200,$B$11:$B$91,_xlfn.XLOOKUP(AS$181,$D$5:$AX$5,$D$11:$AX$91))</f>
        <v>0.16800000000000001</v>
      </c>
      <c r="AT200" s="719" cm="1">
        <f t="array" ref="AT200">_xlfn.XLOOKUP($B200,$B$11:$B$91,_xlfn.XLOOKUP(AT$181,$D$5:$AX$5,$D$11:$AX$91))</f>
        <v>0.16800000000000001</v>
      </c>
      <c r="AU200" s="719" cm="1">
        <f t="array" ref="AU200">_xlfn.XLOOKUP($B200,$B$11:$B$91,_xlfn.XLOOKUP(AU$181,$D$5:$AX$5,$D$11:$AX$91))</f>
        <v>0.16800000000000001</v>
      </c>
      <c r="AV200" s="719" cm="1">
        <f t="array" ref="AV200">_xlfn.XLOOKUP($B200,$B$11:$B$91,_xlfn.XLOOKUP(AV$181,$D$5:$AX$5,$D$11:$AX$91))</f>
        <v>0.16800000000000001</v>
      </c>
      <c r="AW200" s="719" cm="1">
        <f t="array" ref="AW200">_xlfn.XLOOKUP($B200,$B$11:$B$91,_xlfn.XLOOKUP(AW$181,$D$5:$AX$5,$D$11:$AX$91))</f>
        <v>0.16800000000000001</v>
      </c>
      <c r="AX200" s="719" cm="1">
        <f t="array" ref="AX200">_xlfn.XLOOKUP($B200,$B$11:$B$91,_xlfn.XLOOKUP(AX$181,$D$5:$AX$5,$D$11:$AX$91))</f>
        <v>0.16800000000000001</v>
      </c>
    </row>
    <row r="201" spans="2:50" hidden="1" outlineLevel="1">
      <c r="B201" s="305"/>
      <c r="C201" s="313" t="s">
        <v>1121</v>
      </c>
      <c r="D201" s="307" t="s">
        <v>842</v>
      </c>
      <c r="E201" s="307"/>
      <c r="F201" s="307"/>
      <c r="G201" s="314" t="s">
        <v>967</v>
      </c>
      <c r="H201" s="314" t="s">
        <v>967</v>
      </c>
      <c r="I201" s="314">
        <f t="shared" ref="I201:AF201" si="42">I200/G200-1</f>
        <v>-3.5294117647058809E-2</v>
      </c>
      <c r="J201" s="314">
        <f t="shared" si="42"/>
        <v>-2.273340646621802E-2</v>
      </c>
      <c r="K201" s="314">
        <f t="shared" si="42"/>
        <v>6.0975609756097615E-3</v>
      </c>
      <c r="L201" s="314">
        <f t="shared" si="42"/>
        <v>4.878048780487787E-2</v>
      </c>
      <c r="M201" s="314">
        <f t="shared" si="42"/>
        <v>3.0303030303030276E-2</v>
      </c>
      <c r="N201" s="314">
        <f t="shared" si="42"/>
        <v>-1.7441860465116088E-2</v>
      </c>
      <c r="O201" s="314">
        <f t="shared" si="42"/>
        <v>-4.117647058823537E-2</v>
      </c>
      <c r="P201" s="314">
        <f t="shared" si="42"/>
        <v>-5.9171597633136397E-3</v>
      </c>
      <c r="Q201" s="314">
        <f t="shared" si="42"/>
        <v>3.0674846625766916E-2</v>
      </c>
      <c r="R201" s="314">
        <f t="shared" si="42"/>
        <v>0</v>
      </c>
      <c r="S201" s="314">
        <f t="shared" si="42"/>
        <v>0</v>
      </c>
      <c r="T201" s="314">
        <f t="shared" si="42"/>
        <v>0</v>
      </c>
      <c r="U201" s="314">
        <f t="shared" si="42"/>
        <v>0</v>
      </c>
      <c r="V201" s="314">
        <f t="shared" si="42"/>
        <v>0</v>
      </c>
      <c r="W201" s="314">
        <f t="shared" si="42"/>
        <v>0</v>
      </c>
      <c r="X201" s="314">
        <f t="shared" si="42"/>
        <v>0</v>
      </c>
      <c r="Y201" s="314">
        <f t="shared" si="42"/>
        <v>0</v>
      </c>
      <c r="Z201" s="314">
        <f t="shared" si="42"/>
        <v>0</v>
      </c>
      <c r="AA201" s="314">
        <f t="shared" si="42"/>
        <v>0</v>
      </c>
      <c r="AB201" s="314">
        <f t="shared" si="42"/>
        <v>0</v>
      </c>
      <c r="AC201" s="314">
        <f t="shared" si="42"/>
        <v>0</v>
      </c>
      <c r="AD201" s="314">
        <f t="shared" si="42"/>
        <v>0</v>
      </c>
      <c r="AE201" s="314">
        <f t="shared" si="42"/>
        <v>0</v>
      </c>
      <c r="AF201" s="314">
        <f t="shared" si="42"/>
        <v>0</v>
      </c>
      <c r="AG201" s="315"/>
      <c r="AH201" s="313" t="str">
        <f t="shared" si="24"/>
        <v>- Growth</v>
      </c>
      <c r="AI201" s="307" t="str">
        <f>D201</f>
        <v>%</v>
      </c>
      <c r="AJ201" s="307"/>
      <c r="AK201" s="307"/>
      <c r="AL201" s="314" t="s">
        <v>967</v>
      </c>
      <c r="AM201" s="314">
        <f t="shared" ref="AM201:AX201" si="43">AM200/AL200-1</f>
        <v>-2.9054383503988257E-2</v>
      </c>
      <c r="AN201" s="314">
        <f t="shared" si="43"/>
        <v>2.7439024390243816E-2</v>
      </c>
      <c r="AO201" s="314">
        <f t="shared" si="43"/>
        <v>5.9347181008904126E-3</v>
      </c>
      <c r="AP201" s="314">
        <f t="shared" si="43"/>
        <v>-2.359882005899705E-2</v>
      </c>
      <c r="AQ201" s="314">
        <f t="shared" si="43"/>
        <v>1.5105740181268867E-2</v>
      </c>
      <c r="AR201" s="314">
        <f t="shared" si="43"/>
        <v>0</v>
      </c>
      <c r="AS201" s="314">
        <f t="shared" si="43"/>
        <v>0</v>
      </c>
      <c r="AT201" s="314">
        <f t="shared" si="43"/>
        <v>0</v>
      </c>
      <c r="AU201" s="314">
        <f t="shared" si="43"/>
        <v>0</v>
      </c>
      <c r="AV201" s="314">
        <f t="shared" si="43"/>
        <v>0</v>
      </c>
      <c r="AW201" s="314">
        <f t="shared" si="43"/>
        <v>0</v>
      </c>
      <c r="AX201" s="314">
        <f t="shared" si="43"/>
        <v>0</v>
      </c>
    </row>
    <row r="202" spans="2:50" collapsed="1">
      <c r="B202" s="305"/>
      <c r="C202" s="313" t="s">
        <v>1122</v>
      </c>
      <c r="D202" s="307" t="s">
        <v>842</v>
      </c>
      <c r="E202" s="307"/>
      <c r="F202" s="307"/>
      <c r="G202" s="314">
        <f xml:space="preserve"> IFERROR(ROUND( G200 / G199,3) - 1, 0)</f>
        <v>0</v>
      </c>
      <c r="H202" s="314">
        <f t="shared" ref="H202:AF202" si="44" xml:space="preserve"> IFERROR(ROUND( H200 / H199,3) - 1, 0)</f>
        <v>0</v>
      </c>
      <c r="I202" s="314">
        <f t="shared" si="44"/>
        <v>0</v>
      </c>
      <c r="J202" s="314">
        <f t="shared" si="44"/>
        <v>0</v>
      </c>
      <c r="K202" s="314">
        <f t="shared" si="44"/>
        <v>0</v>
      </c>
      <c r="L202" s="314">
        <f t="shared" si="44"/>
        <v>0</v>
      </c>
      <c r="M202" s="314">
        <f t="shared" si="44"/>
        <v>0</v>
      </c>
      <c r="N202" s="314">
        <f t="shared" si="44"/>
        <v>0</v>
      </c>
      <c r="O202" s="314">
        <f t="shared" si="44"/>
        <v>0</v>
      </c>
      <c r="P202" s="314">
        <f t="shared" si="44"/>
        <v>0</v>
      </c>
      <c r="Q202" s="314">
        <f t="shared" si="44"/>
        <v>0</v>
      </c>
      <c r="R202" s="314">
        <f t="shared" si="44"/>
        <v>0</v>
      </c>
      <c r="S202" s="314">
        <f t="shared" si="44"/>
        <v>0</v>
      </c>
      <c r="T202" s="314">
        <f t="shared" si="44"/>
        <v>0</v>
      </c>
      <c r="U202" s="314">
        <f t="shared" si="44"/>
        <v>0</v>
      </c>
      <c r="V202" s="314">
        <f t="shared" si="44"/>
        <v>0</v>
      </c>
      <c r="W202" s="314">
        <f t="shared" si="44"/>
        <v>0</v>
      </c>
      <c r="X202" s="314">
        <f t="shared" si="44"/>
        <v>0</v>
      </c>
      <c r="Y202" s="314">
        <f t="shared" si="44"/>
        <v>0</v>
      </c>
      <c r="Z202" s="314">
        <f t="shared" si="44"/>
        <v>0</v>
      </c>
      <c r="AA202" s="314">
        <f t="shared" si="44"/>
        <v>0</v>
      </c>
      <c r="AB202" s="314">
        <f t="shared" si="44"/>
        <v>0</v>
      </c>
      <c r="AC202" s="314">
        <f t="shared" si="44"/>
        <v>0</v>
      </c>
      <c r="AD202" s="314">
        <f t="shared" si="44"/>
        <v>0</v>
      </c>
      <c r="AE202" s="314">
        <f t="shared" si="44"/>
        <v>0</v>
      </c>
      <c r="AF202" s="314">
        <f t="shared" si="44"/>
        <v>0</v>
      </c>
      <c r="AG202" s="314"/>
      <c r="AH202" s="313" t="str">
        <f t="shared" si="24"/>
        <v>- Revision</v>
      </c>
      <c r="AI202" s="307" t="str">
        <f>D202</f>
        <v>%</v>
      </c>
      <c r="AJ202" s="307"/>
      <c r="AK202" s="307"/>
      <c r="AL202" s="314">
        <f xml:space="preserve"> IFERROR(ROUND( AL200 / AL199,3) - 1, 0)</f>
        <v>0</v>
      </c>
      <c r="AM202" s="314">
        <f xml:space="preserve"> IFERROR(ROUND( AM200 / AM199,3) - 1, 0)</f>
        <v>0</v>
      </c>
      <c r="AN202" s="314">
        <f t="shared" ref="AN202:AX202" si="45" xml:space="preserve"> IFERROR(ROUND( AN200 / AN199,3) - 1, 0)</f>
        <v>0</v>
      </c>
      <c r="AO202" s="314">
        <f t="shared" si="45"/>
        <v>0</v>
      </c>
      <c r="AP202" s="314">
        <f t="shared" si="45"/>
        <v>0</v>
      </c>
      <c r="AQ202" s="314">
        <f t="shared" si="45"/>
        <v>0</v>
      </c>
      <c r="AR202" s="314">
        <f t="shared" si="45"/>
        <v>0</v>
      </c>
      <c r="AS202" s="314">
        <f t="shared" si="45"/>
        <v>0</v>
      </c>
      <c r="AT202" s="314">
        <f t="shared" si="45"/>
        <v>0</v>
      </c>
      <c r="AU202" s="314">
        <f t="shared" si="45"/>
        <v>0</v>
      </c>
      <c r="AV202" s="314">
        <f t="shared" si="45"/>
        <v>0</v>
      </c>
      <c r="AW202" s="314">
        <f t="shared" si="45"/>
        <v>0</v>
      </c>
      <c r="AX202" s="314">
        <f t="shared" si="45"/>
        <v>0</v>
      </c>
    </row>
    <row r="203" spans="2:50">
      <c r="B203" s="305" t="s">
        <v>1426</v>
      </c>
      <c r="C203" s="706" t="str">
        <f>_xlfn.TEXTAFTER($B203,$C$180)&amp;" - old"</f>
        <v>Digital Net Yield - old</v>
      </c>
      <c r="D203" s="707" t="str" cm="1">
        <f t="array" ref="D203">_xlfn.XLOOKUP($B203,$B$96:$B$176,_xlfn.XLOOKUP(D$181,$D$5:$AX$5,$D$96:$AX$176))</f>
        <v>%</v>
      </c>
      <c r="E203" s="307"/>
      <c r="F203" s="307"/>
      <c r="G203" s="718" cm="1">
        <f t="array" ref="G203">_xlfn.XLOOKUP($B203,$B$96:$B$176,_xlfn.XLOOKUP(G$181,$D$5:$AX$5,$D$96:$AX$176))</f>
        <v>0.13400000000000001</v>
      </c>
      <c r="H203" s="718" cm="1">
        <f t="array" ref="H203">_xlfn.XLOOKUP($B203,$B$96:$B$176,_xlfn.XLOOKUP(H$181,$D$5:$AX$5,$D$96:$AX$176))</f>
        <v>0.1351509689049121</v>
      </c>
      <c r="I203" s="718" cm="1">
        <f t="array" ref="I203">_xlfn.XLOOKUP($B203,$B$96:$B$176,_xlfn.XLOOKUP(I$181,$D$5:$AX$5,$D$96:$AX$176))</f>
        <v>0.122</v>
      </c>
      <c r="J203" s="718" cm="1">
        <f t="array" ref="J203">_xlfn.XLOOKUP($B203,$B$96:$B$176,_xlfn.XLOOKUP(J$181,$D$5:$AX$5,$D$96:$AX$176))</f>
        <v>0.124</v>
      </c>
      <c r="K203" s="718" cm="1">
        <f t="array" ref="K203">_xlfn.XLOOKUP($B203,$B$96:$B$176,_xlfn.XLOOKUP(K$181,$D$5:$AX$5,$D$96:$AX$176))</f>
        <v>0.121</v>
      </c>
      <c r="L203" s="718" cm="1">
        <f t="array" ref="L203">_xlfn.XLOOKUP($B203,$B$96:$B$176,_xlfn.XLOOKUP(L$181,$D$5:$AX$5,$D$96:$AX$176))</f>
        <v>0.13300000000000001</v>
      </c>
      <c r="M203" s="718" cm="1">
        <f t="array" ref="M203">_xlfn.XLOOKUP($B203,$B$96:$B$176,_xlfn.XLOOKUP(M$181,$D$5:$AX$5,$D$96:$AX$176))</f>
        <v>0.128</v>
      </c>
      <c r="N203" s="718" cm="1">
        <f t="array" ref="N203">_xlfn.XLOOKUP($B203,$B$96:$B$176,_xlfn.XLOOKUP(N$181,$D$5:$AX$5,$D$96:$AX$176))</f>
        <v>0.13</v>
      </c>
      <c r="O203" s="718" cm="1">
        <f t="array" ref="O203">_xlfn.XLOOKUP($B203,$B$96:$B$176,_xlfn.XLOOKUP(O$181,$D$5:$AX$5,$D$96:$AX$176))</f>
        <v>0.123</v>
      </c>
      <c r="P203" s="718" cm="1">
        <f t="array" ref="P203">_xlfn.XLOOKUP($B203,$B$96:$B$176,_xlfn.XLOOKUP(P$181,$D$5:$AX$5,$D$96:$AX$176))</f>
        <v>0.128</v>
      </c>
      <c r="Q203" s="718" cm="1">
        <f t="array" ref="Q203">_xlfn.XLOOKUP($B203,$B$96:$B$176,_xlfn.XLOOKUP(Q$181,$D$5:$AX$5,$D$96:$AX$176))</f>
        <v>0.128</v>
      </c>
      <c r="R203" s="718" cm="1">
        <f t="array" ref="R203">_xlfn.XLOOKUP($B203,$B$96:$B$176,_xlfn.XLOOKUP(R$181,$D$5:$AX$5,$D$96:$AX$176))</f>
        <v>0.128</v>
      </c>
      <c r="S203" s="718" cm="1">
        <f t="array" ref="S203">_xlfn.XLOOKUP($B203,$B$96:$B$176,_xlfn.XLOOKUP(S$181,$D$5:$AX$5,$D$96:$AX$176))</f>
        <v>0.128</v>
      </c>
      <c r="T203" s="718" cm="1">
        <f t="array" ref="T203">_xlfn.XLOOKUP($B203,$B$96:$B$176,_xlfn.XLOOKUP(T$181,$D$5:$AX$5,$D$96:$AX$176))</f>
        <v>0.128</v>
      </c>
      <c r="U203" s="718" cm="1">
        <f t="array" ref="U203">_xlfn.XLOOKUP($B203,$B$96:$B$176,_xlfn.XLOOKUP(U$181,$D$5:$AX$5,$D$96:$AX$176))</f>
        <v>0.128</v>
      </c>
      <c r="V203" s="718" cm="1">
        <f t="array" ref="V203">_xlfn.XLOOKUP($B203,$B$96:$B$176,_xlfn.XLOOKUP(V$181,$D$5:$AX$5,$D$96:$AX$176))</f>
        <v>0.128</v>
      </c>
      <c r="W203" s="718" cm="1">
        <f t="array" ref="W203">_xlfn.XLOOKUP($B203,$B$96:$B$176,_xlfn.XLOOKUP(W$181,$D$5:$AX$5,$D$96:$AX$176))</f>
        <v>0.128</v>
      </c>
      <c r="X203" s="718" cm="1">
        <f t="array" ref="X203">_xlfn.XLOOKUP($B203,$B$96:$B$176,_xlfn.XLOOKUP(X$181,$D$5:$AX$5,$D$96:$AX$176))</f>
        <v>0.128</v>
      </c>
      <c r="Y203" s="718" cm="1">
        <f t="array" ref="Y203">_xlfn.XLOOKUP($B203,$B$96:$B$176,_xlfn.XLOOKUP(Y$181,$D$5:$AX$5,$D$96:$AX$176))</f>
        <v>0.128</v>
      </c>
      <c r="Z203" s="718" cm="1">
        <f t="array" ref="Z203">_xlfn.XLOOKUP($B203,$B$96:$B$176,_xlfn.XLOOKUP(Z$181,$D$5:$AX$5,$D$96:$AX$176))</f>
        <v>0.128</v>
      </c>
      <c r="AA203" s="718" cm="1">
        <f t="array" ref="AA203">_xlfn.XLOOKUP($B203,$B$96:$B$176,_xlfn.XLOOKUP(AA$181,$D$5:$AX$5,$D$96:$AX$176))</f>
        <v>0.128</v>
      </c>
      <c r="AB203" s="718" cm="1">
        <f t="array" ref="AB203">_xlfn.XLOOKUP($B203,$B$96:$B$176,_xlfn.XLOOKUP(AB$181,$D$5:$AX$5,$D$96:$AX$176))</f>
        <v>0.128</v>
      </c>
      <c r="AC203" s="718" cm="1">
        <f t="array" ref="AC203">_xlfn.XLOOKUP($B203,$B$96:$B$176,_xlfn.XLOOKUP(AC$181,$D$5:$AX$5,$D$96:$AX$176))</f>
        <v>0.128</v>
      </c>
      <c r="AD203" s="718" cm="1">
        <f t="array" ref="AD203">_xlfn.XLOOKUP($B203,$B$96:$B$176,_xlfn.XLOOKUP(AD$181,$D$5:$AX$5,$D$96:$AX$176))</f>
        <v>0.128</v>
      </c>
      <c r="AE203" s="718" cm="1">
        <f t="array" ref="AE203">_xlfn.XLOOKUP($B203,$B$96:$B$176,_xlfn.XLOOKUP(AE$181,$D$5:$AX$5,$D$96:$AX$176))</f>
        <v>0.128</v>
      </c>
      <c r="AF203" s="718" cm="1">
        <f t="array" ref="AF203">_xlfn.XLOOKUP($B203,$B$96:$B$176,_xlfn.XLOOKUP(AF$181,$D$5:$AX$5,$D$96:$AX$176))</f>
        <v>0.128</v>
      </c>
      <c r="AG203" s="309"/>
      <c r="AH203" s="306" t="str">
        <f t="shared" si="24"/>
        <v>Digital Net Yield - old</v>
      </c>
      <c r="AI203" s="707" t="str" cm="1">
        <f t="array" ref="AI203">_xlfn.XLOOKUP($B203,$B$96:$B$176,_xlfn.XLOOKUP(AI$181,$D$5:$AX$5,$D$96:$AX$176))</f>
        <v>%</v>
      </c>
      <c r="AJ203" s="307"/>
      <c r="AK203" s="307"/>
      <c r="AL203" s="718" cm="1">
        <f t="array" ref="AL203">_xlfn.XLOOKUP($B203,$B$96:$B$176,_xlfn.XLOOKUP(AL$181,$D$5:$AX$5,$D$96:$AX$176))</f>
        <v>0.13457548445245604</v>
      </c>
      <c r="AM203" s="718" cm="1">
        <f t="array" ref="AM203">_xlfn.XLOOKUP($B203,$B$96:$B$176,_xlfn.XLOOKUP(AM$181,$D$5:$AX$5,$D$96:$AX$176))</f>
        <v>0.123</v>
      </c>
      <c r="AN203" s="718" cm="1">
        <f t="array" ref="AN203">_xlfn.XLOOKUP($B203,$B$96:$B$176,_xlfn.XLOOKUP(AN$181,$D$5:$AX$5,$D$96:$AX$176))</f>
        <v>0.127</v>
      </c>
      <c r="AO203" s="718" cm="1">
        <f t="array" ref="AO203">_xlfn.XLOOKUP($B203,$B$96:$B$176,_xlfn.XLOOKUP(AO$181,$D$5:$AX$5,$D$96:$AX$176))</f>
        <v>0.129</v>
      </c>
      <c r="AP203" s="718" cm="1">
        <f t="array" ref="AP203">_xlfn.XLOOKUP($B203,$B$96:$B$176,_xlfn.XLOOKUP(AP$181,$D$5:$AX$5,$D$96:$AX$176))</f>
        <v>0.1255</v>
      </c>
      <c r="AQ203" s="718" cm="1">
        <f t="array" ref="AQ203">_xlfn.XLOOKUP($B203,$B$96:$B$176,_xlfn.XLOOKUP(AQ$181,$D$5:$AX$5,$D$96:$AX$176))</f>
        <v>0.128</v>
      </c>
      <c r="AR203" s="718" cm="1">
        <f t="array" ref="AR203">_xlfn.XLOOKUP($B203,$B$96:$B$176,_xlfn.XLOOKUP(AR$181,$D$5:$AX$5,$D$96:$AX$176))</f>
        <v>0.128</v>
      </c>
      <c r="AS203" s="718" cm="1">
        <f t="array" ref="AS203">_xlfn.XLOOKUP($B203,$B$96:$B$176,_xlfn.XLOOKUP(AS$181,$D$5:$AX$5,$D$96:$AX$176))</f>
        <v>0.128</v>
      </c>
      <c r="AT203" s="718" cm="1">
        <f t="array" ref="AT203">_xlfn.XLOOKUP($B203,$B$96:$B$176,_xlfn.XLOOKUP(AT$181,$D$5:$AX$5,$D$96:$AX$176))</f>
        <v>0.128</v>
      </c>
      <c r="AU203" s="718" cm="1">
        <f t="array" ref="AU203">_xlfn.XLOOKUP($B203,$B$96:$B$176,_xlfn.XLOOKUP(AU$181,$D$5:$AX$5,$D$96:$AX$176))</f>
        <v>0.128</v>
      </c>
      <c r="AV203" s="718" cm="1">
        <f t="array" ref="AV203">_xlfn.XLOOKUP($B203,$B$96:$B$176,_xlfn.XLOOKUP(AV$181,$D$5:$AX$5,$D$96:$AX$176))</f>
        <v>0.128</v>
      </c>
      <c r="AW203" s="718" cm="1">
        <f t="array" ref="AW203">_xlfn.XLOOKUP($B203,$B$96:$B$176,_xlfn.XLOOKUP(AW$181,$D$5:$AX$5,$D$96:$AX$176))</f>
        <v>0.128</v>
      </c>
      <c r="AX203" s="718" cm="1">
        <f t="array" ref="AX203">_xlfn.XLOOKUP($B203,$B$96:$B$176,_xlfn.XLOOKUP(AX$181,$D$5:$AX$5,$D$96:$AX$176))</f>
        <v>0.128</v>
      </c>
    </row>
    <row r="204" spans="2:50">
      <c r="B204" s="305" t="s">
        <v>1426</v>
      </c>
      <c r="C204" s="318" t="str">
        <f>_xlfn.TEXTAFTER($B204,$C$180)&amp;" - New"</f>
        <v>Digital Net Yield - New</v>
      </c>
      <c r="D204" s="311" t="str" cm="1">
        <f t="array" ref="D204">_xlfn.XLOOKUP($B204,$B$11:$B$91,_xlfn.XLOOKUP(D$181,$D$5:$AX$5,$D$11:$AX$91))</f>
        <v>%</v>
      </c>
      <c r="E204" s="311"/>
      <c r="F204" s="311"/>
      <c r="G204" s="719" cm="1">
        <f t="array" ref="G204">_xlfn.XLOOKUP($B204,$B$11:$B$91,_xlfn.XLOOKUP(G$181,$D$5:$AX$5,$D$11:$AX$91))</f>
        <v>0.13400000000000001</v>
      </c>
      <c r="H204" s="719" cm="1">
        <f t="array" ref="H204">_xlfn.XLOOKUP($B204,$B$11:$B$91,_xlfn.XLOOKUP(H$181,$D$5:$AX$5,$D$11:$AX$91))</f>
        <v>0.1351509689049121</v>
      </c>
      <c r="I204" s="719" cm="1">
        <f t="array" ref="I204">_xlfn.XLOOKUP($B204,$B$11:$B$91,_xlfn.XLOOKUP(I$181,$D$5:$AX$5,$D$11:$AX$91))</f>
        <v>0.122</v>
      </c>
      <c r="J204" s="719" cm="1">
        <f t="array" ref="J204">_xlfn.XLOOKUP($B204,$B$11:$B$91,_xlfn.XLOOKUP(J$181,$D$5:$AX$5,$D$11:$AX$91))</f>
        <v>0.124</v>
      </c>
      <c r="K204" s="719" cm="1">
        <f t="array" ref="K204">_xlfn.XLOOKUP($B204,$B$11:$B$91,_xlfn.XLOOKUP(K$181,$D$5:$AX$5,$D$11:$AX$91))</f>
        <v>0.121</v>
      </c>
      <c r="L204" s="719" cm="1">
        <f t="array" ref="L204">_xlfn.XLOOKUP($B204,$B$11:$B$91,_xlfn.XLOOKUP(L$181,$D$5:$AX$5,$D$11:$AX$91))</f>
        <v>0.13300000000000001</v>
      </c>
      <c r="M204" s="719" cm="1">
        <f t="array" ref="M204">_xlfn.XLOOKUP($B204,$B$11:$B$91,_xlfn.XLOOKUP(M$181,$D$5:$AX$5,$D$11:$AX$91))</f>
        <v>0.128</v>
      </c>
      <c r="N204" s="719" cm="1">
        <f t="array" ref="N204">_xlfn.XLOOKUP($B204,$B$11:$B$91,_xlfn.XLOOKUP(N$181,$D$5:$AX$5,$D$11:$AX$91))</f>
        <v>0.13</v>
      </c>
      <c r="O204" s="719" cm="1">
        <f t="array" ref="O204">_xlfn.XLOOKUP($B204,$B$11:$B$91,_xlfn.XLOOKUP(O$181,$D$5:$AX$5,$D$11:$AX$91))</f>
        <v>0.123</v>
      </c>
      <c r="P204" s="719" cm="1">
        <f t="array" ref="P204">_xlfn.XLOOKUP($B204,$B$11:$B$91,_xlfn.XLOOKUP(P$181,$D$5:$AX$5,$D$11:$AX$91))</f>
        <v>0.129</v>
      </c>
      <c r="Q204" s="719" cm="1">
        <f t="array" ref="Q204">_xlfn.XLOOKUP($B204,$B$11:$B$91,_xlfn.XLOOKUP(Q$181,$D$5:$AX$5,$D$11:$AX$91))</f>
        <v>0.128</v>
      </c>
      <c r="R204" s="719" cm="1">
        <f t="array" ref="R204">_xlfn.XLOOKUP($B204,$B$11:$B$91,_xlfn.XLOOKUP(R$181,$D$5:$AX$5,$D$11:$AX$91))</f>
        <v>0.1285</v>
      </c>
      <c r="S204" s="719" cm="1">
        <f t="array" ref="S204">_xlfn.XLOOKUP($B204,$B$11:$B$91,_xlfn.XLOOKUP(S$181,$D$5:$AX$5,$D$11:$AX$91))</f>
        <v>0.128</v>
      </c>
      <c r="T204" s="719" cm="1">
        <f t="array" ref="T204">_xlfn.XLOOKUP($B204,$B$11:$B$91,_xlfn.XLOOKUP(T$181,$D$5:$AX$5,$D$11:$AX$91))</f>
        <v>0.128</v>
      </c>
      <c r="U204" s="719" cm="1">
        <f t="array" ref="U204">_xlfn.XLOOKUP($B204,$B$11:$B$91,_xlfn.XLOOKUP(U$181,$D$5:$AX$5,$D$11:$AX$91))</f>
        <v>0.128</v>
      </c>
      <c r="V204" s="719" cm="1">
        <f t="array" ref="V204">_xlfn.XLOOKUP($B204,$B$11:$B$91,_xlfn.XLOOKUP(V$181,$D$5:$AX$5,$D$11:$AX$91))</f>
        <v>0.128</v>
      </c>
      <c r="W204" s="719" cm="1">
        <f t="array" ref="W204">_xlfn.XLOOKUP($B204,$B$11:$B$91,_xlfn.XLOOKUP(W$181,$D$5:$AX$5,$D$11:$AX$91))</f>
        <v>0.128</v>
      </c>
      <c r="X204" s="719" cm="1">
        <f t="array" ref="X204">_xlfn.XLOOKUP($B204,$B$11:$B$91,_xlfn.XLOOKUP(X$181,$D$5:$AX$5,$D$11:$AX$91))</f>
        <v>0.128</v>
      </c>
      <c r="Y204" s="719" cm="1">
        <f t="array" ref="Y204">_xlfn.XLOOKUP($B204,$B$11:$B$91,_xlfn.XLOOKUP(Y$181,$D$5:$AX$5,$D$11:$AX$91))</f>
        <v>0.128</v>
      </c>
      <c r="Z204" s="719" cm="1">
        <f t="array" ref="Z204">_xlfn.XLOOKUP($B204,$B$11:$B$91,_xlfn.XLOOKUP(Z$181,$D$5:$AX$5,$D$11:$AX$91))</f>
        <v>0.128</v>
      </c>
      <c r="AA204" s="719" cm="1">
        <f t="array" ref="AA204">_xlfn.XLOOKUP($B204,$B$11:$B$91,_xlfn.XLOOKUP(AA$181,$D$5:$AX$5,$D$11:$AX$91))</f>
        <v>0.128</v>
      </c>
      <c r="AB204" s="719" cm="1">
        <f t="array" ref="AB204">_xlfn.XLOOKUP($B204,$B$11:$B$91,_xlfn.XLOOKUP(AB$181,$D$5:$AX$5,$D$11:$AX$91))</f>
        <v>0.128</v>
      </c>
      <c r="AC204" s="719" cm="1">
        <f t="array" ref="AC204">_xlfn.XLOOKUP($B204,$B$11:$B$91,_xlfn.XLOOKUP(AC$181,$D$5:$AX$5,$D$11:$AX$91))</f>
        <v>0.128</v>
      </c>
      <c r="AD204" s="719" cm="1">
        <f t="array" ref="AD204">_xlfn.XLOOKUP($B204,$B$11:$B$91,_xlfn.XLOOKUP(AD$181,$D$5:$AX$5,$D$11:$AX$91))</f>
        <v>0.128</v>
      </c>
      <c r="AE204" s="719" cm="1">
        <f t="array" ref="AE204">_xlfn.XLOOKUP($B204,$B$11:$B$91,_xlfn.XLOOKUP(AE$181,$D$5:$AX$5,$D$11:$AX$91))</f>
        <v>0.128</v>
      </c>
      <c r="AF204" s="719" cm="1">
        <f t="array" ref="AF204">_xlfn.XLOOKUP($B204,$B$11:$B$91,_xlfn.XLOOKUP(AF$181,$D$5:$AX$5,$D$11:$AX$91))</f>
        <v>0.128</v>
      </c>
      <c r="AG204" s="312"/>
      <c r="AH204" s="310" t="str">
        <f t="shared" si="24"/>
        <v>Digital Net Yield - New</v>
      </c>
      <c r="AI204" s="311" t="str" cm="1">
        <f t="array" ref="AI204">_xlfn.XLOOKUP($B204,$B$11:$B$91,_xlfn.XLOOKUP(AI$181,$D$5:$AX$5,$D$11:$AX$91))</f>
        <v>%</v>
      </c>
      <c r="AJ204" s="311"/>
      <c r="AK204" s="311"/>
      <c r="AL204" s="719" cm="1">
        <f t="array" ref="AL204">_xlfn.XLOOKUP($B204,$B$11:$B$91,_xlfn.XLOOKUP(AL$181,$D$5:$AX$5,$D$11:$AX$91))</f>
        <v>0.13457548445245604</v>
      </c>
      <c r="AM204" s="719" cm="1">
        <f t="array" ref="AM204">_xlfn.XLOOKUP($B204,$B$11:$B$91,_xlfn.XLOOKUP(AM$181,$D$5:$AX$5,$D$11:$AX$91))</f>
        <v>0.123</v>
      </c>
      <c r="AN204" s="719" cm="1">
        <f t="array" ref="AN204">_xlfn.XLOOKUP($B204,$B$11:$B$91,_xlfn.XLOOKUP(AN$181,$D$5:$AX$5,$D$11:$AX$91))</f>
        <v>0.127</v>
      </c>
      <c r="AO204" s="719" cm="1">
        <f t="array" ref="AO204">_xlfn.XLOOKUP($B204,$B$11:$B$91,_xlfn.XLOOKUP(AO$181,$D$5:$AX$5,$D$11:$AX$91))</f>
        <v>0.129</v>
      </c>
      <c r="AP204" s="719" cm="1">
        <f t="array" ref="AP204">_xlfn.XLOOKUP($B204,$B$11:$B$91,_xlfn.XLOOKUP(AP$181,$D$5:$AX$5,$D$11:$AX$91))</f>
        <v>0.126</v>
      </c>
      <c r="AQ204" s="719" cm="1">
        <f t="array" ref="AQ204">_xlfn.XLOOKUP($B204,$B$11:$B$91,_xlfn.XLOOKUP(AQ$181,$D$5:$AX$5,$D$11:$AX$91))</f>
        <v>0.12825</v>
      </c>
      <c r="AR204" s="719" cm="1">
        <f t="array" ref="AR204">_xlfn.XLOOKUP($B204,$B$11:$B$91,_xlfn.XLOOKUP(AR$181,$D$5:$AX$5,$D$11:$AX$91))</f>
        <v>0.128</v>
      </c>
      <c r="AS204" s="719" cm="1">
        <f t="array" ref="AS204">_xlfn.XLOOKUP($B204,$B$11:$B$91,_xlfn.XLOOKUP(AS$181,$D$5:$AX$5,$D$11:$AX$91))</f>
        <v>0.128</v>
      </c>
      <c r="AT204" s="719" cm="1">
        <f t="array" ref="AT204">_xlfn.XLOOKUP($B204,$B$11:$B$91,_xlfn.XLOOKUP(AT$181,$D$5:$AX$5,$D$11:$AX$91))</f>
        <v>0.128</v>
      </c>
      <c r="AU204" s="719" cm="1">
        <f t="array" ref="AU204">_xlfn.XLOOKUP($B204,$B$11:$B$91,_xlfn.XLOOKUP(AU$181,$D$5:$AX$5,$D$11:$AX$91))</f>
        <v>0.128</v>
      </c>
      <c r="AV204" s="719" cm="1">
        <f t="array" ref="AV204">_xlfn.XLOOKUP($B204,$B$11:$B$91,_xlfn.XLOOKUP(AV$181,$D$5:$AX$5,$D$11:$AX$91))</f>
        <v>0.128</v>
      </c>
      <c r="AW204" s="719" cm="1">
        <f t="array" ref="AW204">_xlfn.XLOOKUP($B204,$B$11:$B$91,_xlfn.XLOOKUP(AW$181,$D$5:$AX$5,$D$11:$AX$91))</f>
        <v>0.128</v>
      </c>
      <c r="AX204" s="719" cm="1">
        <f t="array" ref="AX204">_xlfn.XLOOKUP($B204,$B$11:$B$91,_xlfn.XLOOKUP(AX$181,$D$5:$AX$5,$D$11:$AX$91))</f>
        <v>0.128</v>
      </c>
    </row>
    <row r="205" spans="2:50" hidden="1" outlineLevel="1">
      <c r="C205" s="313" t="s">
        <v>1121</v>
      </c>
      <c r="D205" s="307" t="s">
        <v>842</v>
      </c>
      <c r="E205" s="307"/>
      <c r="F205" s="307"/>
      <c r="G205" s="314" t="s">
        <v>967</v>
      </c>
      <c r="H205" s="314" t="s">
        <v>967</v>
      </c>
      <c r="I205" s="314">
        <f t="shared" ref="I205:AF205" si="46">I204/G204-1</f>
        <v>-8.9552238805970186E-2</v>
      </c>
      <c r="J205" s="314">
        <f t="shared" si="46"/>
        <v>-8.2507502500833496E-2</v>
      </c>
      <c r="K205" s="314">
        <f t="shared" si="46"/>
        <v>-8.1967213114754189E-3</v>
      </c>
      <c r="L205" s="314">
        <f t="shared" si="46"/>
        <v>7.258064516129048E-2</v>
      </c>
      <c r="M205" s="314">
        <f t="shared" si="46"/>
        <v>5.7851239669421517E-2</v>
      </c>
      <c r="N205" s="314">
        <f t="shared" si="46"/>
        <v>-2.2556390977443663E-2</v>
      </c>
      <c r="O205" s="314">
        <f t="shared" si="46"/>
        <v>-3.90625E-2</v>
      </c>
      <c r="P205" s="314">
        <f t="shared" si="46"/>
        <v>-7.692307692307665E-3</v>
      </c>
      <c r="Q205" s="314">
        <f t="shared" si="46"/>
        <v>4.0650406504065151E-2</v>
      </c>
      <c r="R205" s="314">
        <f t="shared" si="46"/>
        <v>-3.8759689922480689E-3</v>
      </c>
      <c r="S205" s="314">
        <f t="shared" si="46"/>
        <v>0</v>
      </c>
      <c r="T205" s="314">
        <f t="shared" si="46"/>
        <v>-3.8910505836575737E-3</v>
      </c>
      <c r="U205" s="314">
        <f t="shared" si="46"/>
        <v>0</v>
      </c>
      <c r="V205" s="314">
        <f t="shared" si="46"/>
        <v>0</v>
      </c>
      <c r="W205" s="314">
        <f t="shared" si="46"/>
        <v>0</v>
      </c>
      <c r="X205" s="314">
        <f t="shared" si="46"/>
        <v>0</v>
      </c>
      <c r="Y205" s="314">
        <f t="shared" si="46"/>
        <v>0</v>
      </c>
      <c r="Z205" s="314">
        <f t="shared" si="46"/>
        <v>0</v>
      </c>
      <c r="AA205" s="314">
        <f t="shared" si="46"/>
        <v>0</v>
      </c>
      <c r="AB205" s="314">
        <f t="shared" si="46"/>
        <v>0</v>
      </c>
      <c r="AC205" s="314">
        <f t="shared" si="46"/>
        <v>0</v>
      </c>
      <c r="AD205" s="314">
        <f t="shared" si="46"/>
        <v>0</v>
      </c>
      <c r="AE205" s="314">
        <f t="shared" si="46"/>
        <v>0</v>
      </c>
      <c r="AF205" s="314">
        <f t="shared" si="46"/>
        <v>0</v>
      </c>
      <c r="AG205" s="315"/>
      <c r="AH205" s="313" t="str">
        <f t="shared" si="24"/>
        <v>- Growth</v>
      </c>
      <c r="AI205" s="307" t="str">
        <f>D205</f>
        <v>%</v>
      </c>
      <c r="AJ205" s="307"/>
      <c r="AK205" s="307"/>
      <c r="AL205" s="314" t="s">
        <v>967</v>
      </c>
      <c r="AM205" s="314">
        <f t="shared" ref="AM205:AX205" si="47">AM204/AL204-1</f>
        <v>-8.6014807968575635E-2</v>
      </c>
      <c r="AN205" s="314">
        <f t="shared" si="47"/>
        <v>3.2520325203251987E-2</v>
      </c>
      <c r="AO205" s="314">
        <f t="shared" si="47"/>
        <v>1.5748031496062964E-2</v>
      </c>
      <c r="AP205" s="314">
        <f t="shared" si="47"/>
        <v>-2.3255813953488413E-2</v>
      </c>
      <c r="AQ205" s="314">
        <f t="shared" si="47"/>
        <v>1.7857142857142794E-2</v>
      </c>
      <c r="AR205" s="314">
        <f t="shared" si="47"/>
        <v>-1.9493177387914784E-3</v>
      </c>
      <c r="AS205" s="314">
        <f t="shared" si="47"/>
        <v>0</v>
      </c>
      <c r="AT205" s="314">
        <f t="shared" si="47"/>
        <v>0</v>
      </c>
      <c r="AU205" s="314">
        <f t="shared" si="47"/>
        <v>0</v>
      </c>
      <c r="AV205" s="314">
        <f t="shared" si="47"/>
        <v>0</v>
      </c>
      <c r="AW205" s="314">
        <f t="shared" si="47"/>
        <v>0</v>
      </c>
      <c r="AX205" s="314">
        <f t="shared" si="47"/>
        <v>0</v>
      </c>
    </row>
    <row r="206" spans="2:50" collapsed="1">
      <c r="C206" s="313" t="s">
        <v>1122</v>
      </c>
      <c r="D206" s="307" t="s">
        <v>842</v>
      </c>
      <c r="E206" s="307"/>
      <c r="F206" s="307"/>
      <c r="G206" s="314">
        <f xml:space="preserve"> IFERROR(ROUND( G204 / G203,3) - 1, 0)</f>
        <v>0</v>
      </c>
      <c r="H206" s="314">
        <f t="shared" ref="H206:AF206" si="48" xml:space="preserve"> IFERROR(ROUND( H204 / H203,3) - 1, 0)</f>
        <v>0</v>
      </c>
      <c r="I206" s="314">
        <f t="shared" si="48"/>
        <v>0</v>
      </c>
      <c r="J206" s="314">
        <f t="shared" si="48"/>
        <v>0</v>
      </c>
      <c r="K206" s="314">
        <f t="shared" si="48"/>
        <v>0</v>
      </c>
      <c r="L206" s="314">
        <f t="shared" si="48"/>
        <v>0</v>
      </c>
      <c r="M206" s="314">
        <f t="shared" si="48"/>
        <v>0</v>
      </c>
      <c r="N206" s="314">
        <f t="shared" si="48"/>
        <v>0</v>
      </c>
      <c r="O206" s="314">
        <f t="shared" si="48"/>
        <v>0</v>
      </c>
      <c r="P206" s="314">
        <f t="shared" si="48"/>
        <v>8.0000000000000071E-3</v>
      </c>
      <c r="Q206" s="314">
        <f t="shared" si="48"/>
        <v>0</v>
      </c>
      <c r="R206" s="314">
        <f t="shared" si="48"/>
        <v>4.0000000000000036E-3</v>
      </c>
      <c r="S206" s="314">
        <f t="shared" si="48"/>
        <v>0</v>
      </c>
      <c r="T206" s="314">
        <f t="shared" si="48"/>
        <v>0</v>
      </c>
      <c r="U206" s="314">
        <f t="shared" si="48"/>
        <v>0</v>
      </c>
      <c r="V206" s="314">
        <f t="shared" si="48"/>
        <v>0</v>
      </c>
      <c r="W206" s="314">
        <f t="shared" si="48"/>
        <v>0</v>
      </c>
      <c r="X206" s="314">
        <f t="shared" si="48"/>
        <v>0</v>
      </c>
      <c r="Y206" s="314">
        <f t="shared" si="48"/>
        <v>0</v>
      </c>
      <c r="Z206" s="314">
        <f t="shared" si="48"/>
        <v>0</v>
      </c>
      <c r="AA206" s="314">
        <f t="shared" si="48"/>
        <v>0</v>
      </c>
      <c r="AB206" s="314">
        <f t="shared" si="48"/>
        <v>0</v>
      </c>
      <c r="AC206" s="314">
        <f t="shared" si="48"/>
        <v>0</v>
      </c>
      <c r="AD206" s="314">
        <f t="shared" si="48"/>
        <v>0</v>
      </c>
      <c r="AE206" s="314">
        <f t="shared" si="48"/>
        <v>0</v>
      </c>
      <c r="AF206" s="314">
        <f t="shared" si="48"/>
        <v>0</v>
      </c>
      <c r="AG206" s="314"/>
      <c r="AH206" s="313" t="str">
        <f t="shared" si="24"/>
        <v>- Revision</v>
      </c>
      <c r="AI206" s="307" t="str">
        <f>D206</f>
        <v>%</v>
      </c>
      <c r="AJ206" s="307"/>
      <c r="AK206" s="307"/>
      <c r="AL206" s="314">
        <f xml:space="preserve"> IFERROR(ROUND( AL204 / AL203,3) - 1, 0)</f>
        <v>0</v>
      </c>
      <c r="AM206" s="314">
        <f xml:space="preserve"> IFERROR(ROUND( AM204 / AM203,3) - 1, 0)</f>
        <v>0</v>
      </c>
      <c r="AN206" s="314">
        <f t="shared" ref="AN206:AX206" si="49" xml:space="preserve"> IFERROR(ROUND( AN204 / AN203,3) - 1, 0)</f>
        <v>0</v>
      </c>
      <c r="AO206" s="314">
        <f t="shared" si="49"/>
        <v>0</v>
      </c>
      <c r="AP206" s="314">
        <f t="shared" si="49"/>
        <v>4.0000000000000036E-3</v>
      </c>
      <c r="AQ206" s="314">
        <f t="shared" si="49"/>
        <v>2.0000000000000018E-3</v>
      </c>
      <c r="AR206" s="314">
        <f t="shared" si="49"/>
        <v>0</v>
      </c>
      <c r="AS206" s="314">
        <f t="shared" si="49"/>
        <v>0</v>
      </c>
      <c r="AT206" s="314">
        <f t="shared" si="49"/>
        <v>0</v>
      </c>
      <c r="AU206" s="314">
        <f t="shared" si="49"/>
        <v>0</v>
      </c>
      <c r="AV206" s="314">
        <f t="shared" si="49"/>
        <v>0</v>
      </c>
      <c r="AW206" s="314">
        <f t="shared" si="49"/>
        <v>0</v>
      </c>
      <c r="AX206" s="314">
        <f t="shared" si="49"/>
        <v>0</v>
      </c>
    </row>
    <row r="207" spans="2:50">
      <c r="B207" s="305" t="s">
        <v>1427</v>
      </c>
      <c r="C207" s="706" t="str">
        <f>_xlfn.TEXTAFTER($B207,$C$180)&amp;" - old"</f>
        <v>Retail Gross/Net Yield - old</v>
      </c>
      <c r="D207" s="707" t="str" cm="1">
        <f t="array" ref="D207">_xlfn.XLOOKUP($B207,$B$96:$B$176,_xlfn.XLOOKUP(D$181,$D$5:$AX$5,$D$96:$AX$176))</f>
        <v>%</v>
      </c>
      <c r="E207" s="307"/>
      <c r="F207" s="307"/>
      <c r="G207" s="718" cm="1">
        <f t="array" ref="G207">_xlfn.XLOOKUP($B207,$B$96:$B$176,_xlfn.XLOOKUP(G$181,$D$5:$AX$5,$D$96:$AX$176))</f>
        <v>0.16700000000000001</v>
      </c>
      <c r="H207" s="718" cm="1">
        <f t="array" ref="H207">_xlfn.XLOOKUP($B207,$B$96:$B$176,_xlfn.XLOOKUP(H$181,$D$5:$AX$5,$D$96:$AX$176))</f>
        <v>0.16585897746547126</v>
      </c>
      <c r="I207" s="718" cm="1">
        <f t="array" ref="I207">_xlfn.XLOOKUP($B207,$B$96:$B$176,_xlfn.XLOOKUP(I$181,$D$5:$AX$5,$D$96:$AX$176))</f>
        <v>0.16600000000000001</v>
      </c>
      <c r="J207" s="718" cm="1">
        <f t="array" ref="J207">_xlfn.XLOOKUP($B207,$B$96:$B$176,_xlfn.XLOOKUP(J$181,$D$5:$AX$5,$D$96:$AX$176))</f>
        <v>0.16772320150505091</v>
      </c>
      <c r="K207" s="718" cm="1">
        <f t="array" ref="K207">_xlfn.XLOOKUP($B207,$B$96:$B$176,_xlfn.XLOOKUP(K$181,$D$5:$AX$5,$D$96:$AX$176))</f>
        <v>0.16800000000000001</v>
      </c>
      <c r="L207" s="718" cm="1">
        <f t="array" ref="L207">_xlfn.XLOOKUP($B207,$B$96:$B$176,_xlfn.XLOOKUP(L$181,$D$5:$AX$5,$D$96:$AX$176))</f>
        <v>0.17395278594706298</v>
      </c>
      <c r="M207" s="718" cm="1">
        <f t="array" ref="M207">_xlfn.XLOOKUP($B207,$B$96:$B$176,_xlfn.XLOOKUP(M$181,$D$5:$AX$5,$D$96:$AX$176))</f>
        <v>0.17199999999999999</v>
      </c>
      <c r="N207" s="718" cm="1">
        <f t="array" ref="N207">_xlfn.XLOOKUP($B207,$B$96:$B$176,_xlfn.XLOOKUP(N$181,$D$5:$AX$5,$D$96:$AX$176))</f>
        <v>0.16981939903471896</v>
      </c>
      <c r="O207" s="718" cm="1">
        <f t="array" ref="O207">_xlfn.XLOOKUP($B207,$B$96:$B$176,_xlfn.XLOOKUP(O$181,$D$5:$AX$5,$D$96:$AX$176))</f>
        <v>0.17</v>
      </c>
      <c r="P207" s="718" cm="1">
        <f t="array" ref="P207">_xlfn.XLOOKUP($B207,$B$96:$B$176,_xlfn.XLOOKUP(P$181,$D$5:$AX$5,$D$96:$AX$176))</f>
        <v>0.17100000000000001</v>
      </c>
      <c r="Q207" s="718" cm="1">
        <f t="array" ref="Q207">_xlfn.XLOOKUP($B207,$B$96:$B$176,_xlfn.XLOOKUP(Q$181,$D$5:$AX$5,$D$96:$AX$176))</f>
        <v>0.17100000000000001</v>
      </c>
      <c r="R207" s="718" cm="1">
        <f t="array" ref="R207">_xlfn.XLOOKUP($B207,$B$96:$B$176,_xlfn.XLOOKUP(R$181,$D$5:$AX$5,$D$96:$AX$176))</f>
        <v>0.17100000000000001</v>
      </c>
      <c r="S207" s="718" cm="1">
        <f t="array" ref="S207">_xlfn.XLOOKUP($B207,$B$96:$B$176,_xlfn.XLOOKUP(S$181,$D$5:$AX$5,$D$96:$AX$176))</f>
        <v>0.17100000000000001</v>
      </c>
      <c r="T207" s="718" cm="1">
        <f t="array" ref="T207">_xlfn.XLOOKUP($B207,$B$96:$B$176,_xlfn.XLOOKUP(T$181,$D$5:$AX$5,$D$96:$AX$176))</f>
        <v>0.17100000000000001</v>
      </c>
      <c r="U207" s="718" cm="1">
        <f t="array" ref="U207">_xlfn.XLOOKUP($B207,$B$96:$B$176,_xlfn.XLOOKUP(U$181,$D$5:$AX$5,$D$96:$AX$176))</f>
        <v>0.17100000000000001</v>
      </c>
      <c r="V207" s="718" cm="1">
        <f t="array" ref="V207">_xlfn.XLOOKUP($B207,$B$96:$B$176,_xlfn.XLOOKUP(V$181,$D$5:$AX$5,$D$96:$AX$176))</f>
        <v>0.17100000000000001</v>
      </c>
      <c r="W207" s="718" cm="1">
        <f t="array" ref="W207">_xlfn.XLOOKUP($B207,$B$96:$B$176,_xlfn.XLOOKUP(W$181,$D$5:$AX$5,$D$96:$AX$176))</f>
        <v>0.17100000000000001</v>
      </c>
      <c r="X207" s="718" cm="1">
        <f t="array" ref="X207">_xlfn.XLOOKUP($B207,$B$96:$B$176,_xlfn.XLOOKUP(X$181,$D$5:$AX$5,$D$96:$AX$176))</f>
        <v>0.17100000000000001</v>
      </c>
      <c r="Y207" s="718" cm="1">
        <f t="array" ref="Y207">_xlfn.XLOOKUP($B207,$B$96:$B$176,_xlfn.XLOOKUP(Y$181,$D$5:$AX$5,$D$96:$AX$176))</f>
        <v>0.17100000000000001</v>
      </c>
      <c r="Z207" s="718" cm="1">
        <f t="array" ref="Z207">_xlfn.XLOOKUP($B207,$B$96:$B$176,_xlfn.XLOOKUP(Z$181,$D$5:$AX$5,$D$96:$AX$176))</f>
        <v>0.17100000000000001</v>
      </c>
      <c r="AA207" s="718" cm="1">
        <f t="array" ref="AA207">_xlfn.XLOOKUP($B207,$B$96:$B$176,_xlfn.XLOOKUP(AA$181,$D$5:$AX$5,$D$96:$AX$176))</f>
        <v>0.17100000000000001</v>
      </c>
      <c r="AB207" s="718" cm="1">
        <f t="array" ref="AB207">_xlfn.XLOOKUP($B207,$B$96:$B$176,_xlfn.XLOOKUP(AB$181,$D$5:$AX$5,$D$96:$AX$176))</f>
        <v>0.17100000000000001</v>
      </c>
      <c r="AC207" s="718" cm="1">
        <f t="array" ref="AC207">_xlfn.XLOOKUP($B207,$B$96:$B$176,_xlfn.XLOOKUP(AC$181,$D$5:$AX$5,$D$96:$AX$176))</f>
        <v>0.17100000000000001</v>
      </c>
      <c r="AD207" s="718" cm="1">
        <f t="array" ref="AD207">_xlfn.XLOOKUP($B207,$B$96:$B$176,_xlfn.XLOOKUP(AD$181,$D$5:$AX$5,$D$96:$AX$176))</f>
        <v>0.17100000000000001</v>
      </c>
      <c r="AE207" s="718" cm="1">
        <f t="array" ref="AE207">_xlfn.XLOOKUP($B207,$B$96:$B$176,_xlfn.XLOOKUP(AE$181,$D$5:$AX$5,$D$96:$AX$176))</f>
        <v>0.17100000000000001</v>
      </c>
      <c r="AF207" s="718" cm="1">
        <f t="array" ref="AF207">_xlfn.XLOOKUP($B207,$B$96:$B$176,_xlfn.XLOOKUP(AF$181,$D$5:$AX$5,$D$96:$AX$176))</f>
        <v>0.17100000000000001</v>
      </c>
      <c r="AG207" s="309"/>
      <c r="AH207" s="306" t="str">
        <f t="shared" si="24"/>
        <v>Retail Gross/Net Yield - old</v>
      </c>
      <c r="AI207" s="707" t="str" cm="1">
        <f t="array" ref="AI207">_xlfn.XLOOKUP($B207,$B$96:$B$176,_xlfn.XLOOKUP(AI$181,$D$5:$AX$5,$D$96:$AX$176))</f>
        <v>%</v>
      </c>
      <c r="AJ207" s="307"/>
      <c r="AK207" s="307"/>
      <c r="AL207" s="718" cm="1">
        <f t="array" ref="AL207">_xlfn.XLOOKUP($B207,$B$96:$B$176,_xlfn.XLOOKUP(AL$181,$D$5:$AX$5,$D$96:$AX$176))</f>
        <v>0.16642948873273564</v>
      </c>
      <c r="AM207" s="718" cm="1">
        <f t="array" ref="AM207">_xlfn.XLOOKUP($B207,$B$96:$B$176,_xlfn.XLOOKUP(AM$181,$D$5:$AX$5,$D$96:$AX$176))</f>
        <v>0.16686160075252546</v>
      </c>
      <c r="AN207" s="718" cm="1">
        <f t="array" ref="AN207">_xlfn.XLOOKUP($B207,$B$96:$B$176,_xlfn.XLOOKUP(AN$181,$D$5:$AX$5,$D$96:$AX$176))</f>
        <v>0.17097639297353151</v>
      </c>
      <c r="AO207" s="718" cm="1">
        <f t="array" ref="AO207">_xlfn.XLOOKUP($B207,$B$96:$B$176,_xlfn.XLOOKUP(AO$181,$D$5:$AX$5,$D$96:$AX$176))</f>
        <v>0.17090969951735946</v>
      </c>
      <c r="AP207" s="718" cm="1">
        <f t="array" ref="AP207">_xlfn.XLOOKUP($B207,$B$96:$B$176,_xlfn.XLOOKUP(AP$181,$D$5:$AX$5,$D$96:$AX$176))</f>
        <v>0.17050000000000001</v>
      </c>
      <c r="AQ207" s="718" cm="1">
        <f t="array" ref="AQ207">_xlfn.XLOOKUP($B207,$B$96:$B$176,_xlfn.XLOOKUP(AQ$181,$D$5:$AX$5,$D$96:$AX$176))</f>
        <v>0.17100000000000001</v>
      </c>
      <c r="AR207" s="718" cm="1">
        <f t="array" ref="AR207">_xlfn.XLOOKUP($B207,$B$96:$B$176,_xlfn.XLOOKUP(AR$181,$D$5:$AX$5,$D$96:$AX$176))</f>
        <v>0.17100000000000001</v>
      </c>
      <c r="AS207" s="718" cm="1">
        <f t="array" ref="AS207">_xlfn.XLOOKUP($B207,$B$96:$B$176,_xlfn.XLOOKUP(AS$181,$D$5:$AX$5,$D$96:$AX$176))</f>
        <v>0.17100000000000001</v>
      </c>
      <c r="AT207" s="718" cm="1">
        <f t="array" ref="AT207">_xlfn.XLOOKUP($B207,$B$96:$B$176,_xlfn.XLOOKUP(AT$181,$D$5:$AX$5,$D$96:$AX$176))</f>
        <v>0.17100000000000001</v>
      </c>
      <c r="AU207" s="718" cm="1">
        <f t="array" ref="AU207">_xlfn.XLOOKUP($B207,$B$96:$B$176,_xlfn.XLOOKUP(AU$181,$D$5:$AX$5,$D$96:$AX$176))</f>
        <v>0.17100000000000001</v>
      </c>
      <c r="AV207" s="718" cm="1">
        <f t="array" ref="AV207">_xlfn.XLOOKUP($B207,$B$96:$B$176,_xlfn.XLOOKUP(AV$181,$D$5:$AX$5,$D$96:$AX$176))</f>
        <v>0.17100000000000001</v>
      </c>
      <c r="AW207" s="718" cm="1">
        <f t="array" ref="AW207">_xlfn.XLOOKUP($B207,$B$96:$B$176,_xlfn.XLOOKUP(AW$181,$D$5:$AX$5,$D$96:$AX$176))</f>
        <v>0.17100000000000001</v>
      </c>
      <c r="AX207" s="718" cm="1">
        <f t="array" ref="AX207">_xlfn.XLOOKUP($B207,$B$96:$B$176,_xlfn.XLOOKUP(AX$181,$D$5:$AX$5,$D$96:$AX$176))</f>
        <v>0.17100000000000001</v>
      </c>
    </row>
    <row r="208" spans="2:50">
      <c r="B208" s="305" t="s">
        <v>1427</v>
      </c>
      <c r="C208" s="318" t="str">
        <f>_xlfn.TEXTAFTER($B208,$C$180)&amp;" - New"</f>
        <v>Retail Gross/Net Yield - New</v>
      </c>
      <c r="D208" s="311" t="str" cm="1">
        <f t="array" ref="D208">_xlfn.XLOOKUP($B208,$B$11:$B$91,_xlfn.XLOOKUP(D$181,$D$5:$AX$5,$D$11:$AX$91))</f>
        <v>%</v>
      </c>
      <c r="E208" s="311"/>
      <c r="F208" s="311"/>
      <c r="G208" s="719" cm="1">
        <f t="array" ref="G208">_xlfn.XLOOKUP($B208,$B$11:$B$91,_xlfn.XLOOKUP(G$181,$D$5:$AX$5,$D$11:$AX$91))</f>
        <v>0.16700000000000001</v>
      </c>
      <c r="H208" s="719" cm="1">
        <f t="array" ref="H208">_xlfn.XLOOKUP($B208,$B$11:$B$91,_xlfn.XLOOKUP(H$181,$D$5:$AX$5,$D$11:$AX$91))</f>
        <v>0.16585897746547126</v>
      </c>
      <c r="I208" s="719" cm="1">
        <f t="array" ref="I208">_xlfn.XLOOKUP($B208,$B$11:$B$91,_xlfn.XLOOKUP(I$181,$D$5:$AX$5,$D$11:$AX$91))</f>
        <v>0.16600000000000001</v>
      </c>
      <c r="J208" s="719" cm="1">
        <f t="array" ref="J208">_xlfn.XLOOKUP($B208,$B$11:$B$91,_xlfn.XLOOKUP(J$181,$D$5:$AX$5,$D$11:$AX$91))</f>
        <v>0.16772320150505091</v>
      </c>
      <c r="K208" s="719" cm="1">
        <f t="array" ref="K208">_xlfn.XLOOKUP($B208,$B$11:$B$91,_xlfn.XLOOKUP(K$181,$D$5:$AX$5,$D$11:$AX$91))</f>
        <v>0.16800000000000001</v>
      </c>
      <c r="L208" s="719" cm="1">
        <f t="array" ref="L208">_xlfn.XLOOKUP($B208,$B$11:$B$91,_xlfn.XLOOKUP(L$181,$D$5:$AX$5,$D$11:$AX$91))</f>
        <v>0.17395278594706298</v>
      </c>
      <c r="M208" s="719" cm="1">
        <f t="array" ref="M208">_xlfn.XLOOKUP($B208,$B$11:$B$91,_xlfn.XLOOKUP(M$181,$D$5:$AX$5,$D$11:$AX$91))</f>
        <v>0.17199999999999999</v>
      </c>
      <c r="N208" s="719" cm="1">
        <f t="array" ref="N208">_xlfn.XLOOKUP($B208,$B$11:$B$91,_xlfn.XLOOKUP(N$181,$D$5:$AX$5,$D$11:$AX$91))</f>
        <v>0.16981939903471896</v>
      </c>
      <c r="O208" s="719" cm="1">
        <f t="array" ref="O208">_xlfn.XLOOKUP($B208,$B$11:$B$91,_xlfn.XLOOKUP(O$181,$D$5:$AX$5,$D$11:$AX$91))</f>
        <v>0.17</v>
      </c>
      <c r="P208" s="719" cm="1">
        <f t="array" ref="P208">_xlfn.XLOOKUP($B208,$B$11:$B$91,_xlfn.XLOOKUP(P$181,$D$5:$AX$5,$D$11:$AX$91))</f>
        <v>0.17030888030888028</v>
      </c>
      <c r="Q208" s="719" cm="1">
        <f t="array" ref="Q208">_xlfn.XLOOKUP($B208,$B$11:$B$91,_xlfn.XLOOKUP(Q$181,$D$5:$AX$5,$D$11:$AX$91))</f>
        <v>0.17</v>
      </c>
      <c r="R208" s="719" cm="1">
        <f t="array" ref="R208">_xlfn.XLOOKUP($B208,$B$11:$B$91,_xlfn.XLOOKUP(R$181,$D$5:$AX$5,$D$11:$AX$91))</f>
        <v>0.17</v>
      </c>
      <c r="S208" s="719" cm="1">
        <f t="array" ref="S208">_xlfn.XLOOKUP($B208,$B$11:$B$91,_xlfn.XLOOKUP(S$181,$D$5:$AX$5,$D$11:$AX$91))</f>
        <v>0.17</v>
      </c>
      <c r="T208" s="719" cm="1">
        <f t="array" ref="T208">_xlfn.XLOOKUP($B208,$B$11:$B$91,_xlfn.XLOOKUP(T$181,$D$5:$AX$5,$D$11:$AX$91))</f>
        <v>0.17</v>
      </c>
      <c r="U208" s="719" cm="1">
        <f t="array" ref="U208">_xlfn.XLOOKUP($B208,$B$11:$B$91,_xlfn.XLOOKUP(U$181,$D$5:$AX$5,$D$11:$AX$91))</f>
        <v>0.17</v>
      </c>
      <c r="V208" s="719" cm="1">
        <f t="array" ref="V208">_xlfn.XLOOKUP($B208,$B$11:$B$91,_xlfn.XLOOKUP(V$181,$D$5:$AX$5,$D$11:$AX$91))</f>
        <v>0.17</v>
      </c>
      <c r="W208" s="719" cm="1">
        <f t="array" ref="W208">_xlfn.XLOOKUP($B208,$B$11:$B$91,_xlfn.XLOOKUP(W$181,$D$5:$AX$5,$D$11:$AX$91))</f>
        <v>0.17</v>
      </c>
      <c r="X208" s="719" cm="1">
        <f t="array" ref="X208">_xlfn.XLOOKUP($B208,$B$11:$B$91,_xlfn.XLOOKUP(X$181,$D$5:$AX$5,$D$11:$AX$91))</f>
        <v>0.17</v>
      </c>
      <c r="Y208" s="719" cm="1">
        <f t="array" ref="Y208">_xlfn.XLOOKUP($B208,$B$11:$B$91,_xlfn.XLOOKUP(Y$181,$D$5:$AX$5,$D$11:$AX$91))</f>
        <v>0.17</v>
      </c>
      <c r="Z208" s="719" cm="1">
        <f t="array" ref="Z208">_xlfn.XLOOKUP($B208,$B$11:$B$91,_xlfn.XLOOKUP(Z$181,$D$5:$AX$5,$D$11:$AX$91))</f>
        <v>0.17</v>
      </c>
      <c r="AA208" s="719" cm="1">
        <f t="array" ref="AA208">_xlfn.XLOOKUP($B208,$B$11:$B$91,_xlfn.XLOOKUP(AA$181,$D$5:$AX$5,$D$11:$AX$91))</f>
        <v>0.17</v>
      </c>
      <c r="AB208" s="719" cm="1">
        <f t="array" ref="AB208">_xlfn.XLOOKUP($B208,$B$11:$B$91,_xlfn.XLOOKUP(AB$181,$D$5:$AX$5,$D$11:$AX$91))</f>
        <v>0.17</v>
      </c>
      <c r="AC208" s="719" cm="1">
        <f t="array" ref="AC208">_xlfn.XLOOKUP($B208,$B$11:$B$91,_xlfn.XLOOKUP(AC$181,$D$5:$AX$5,$D$11:$AX$91))</f>
        <v>0.17</v>
      </c>
      <c r="AD208" s="719" cm="1">
        <f t="array" ref="AD208">_xlfn.XLOOKUP($B208,$B$11:$B$91,_xlfn.XLOOKUP(AD$181,$D$5:$AX$5,$D$11:$AX$91))</f>
        <v>0.17</v>
      </c>
      <c r="AE208" s="719" cm="1">
        <f t="array" ref="AE208">_xlfn.XLOOKUP($B208,$B$11:$B$91,_xlfn.XLOOKUP(AE$181,$D$5:$AX$5,$D$11:$AX$91))</f>
        <v>0.17</v>
      </c>
      <c r="AF208" s="719" cm="1">
        <f t="array" ref="AF208">_xlfn.XLOOKUP($B208,$B$11:$B$91,_xlfn.XLOOKUP(AF$181,$D$5:$AX$5,$D$11:$AX$91))</f>
        <v>0.17</v>
      </c>
      <c r="AG208" s="312"/>
      <c r="AH208" s="310" t="str">
        <f t="shared" si="24"/>
        <v>Retail Gross/Net Yield - New</v>
      </c>
      <c r="AI208" s="311" t="str" cm="1">
        <f t="array" ref="AI208">_xlfn.XLOOKUP($B208,$B$11:$B$91,_xlfn.XLOOKUP(AI$181,$D$5:$AX$5,$D$11:$AX$91))</f>
        <v>%</v>
      </c>
      <c r="AJ208" s="311"/>
      <c r="AK208" s="311"/>
      <c r="AL208" s="719" cm="1">
        <f t="array" ref="AL208">_xlfn.XLOOKUP($B208,$B$11:$B$91,_xlfn.XLOOKUP(AL$181,$D$5:$AX$5,$D$11:$AX$91))</f>
        <v>0.16642948873273564</v>
      </c>
      <c r="AM208" s="719" cm="1">
        <f t="array" ref="AM208">_xlfn.XLOOKUP($B208,$B$11:$B$91,_xlfn.XLOOKUP(AM$181,$D$5:$AX$5,$D$11:$AX$91))</f>
        <v>0.16686160075252546</v>
      </c>
      <c r="AN208" s="719" cm="1">
        <f t="array" ref="AN208">_xlfn.XLOOKUP($B208,$B$11:$B$91,_xlfn.XLOOKUP(AN$181,$D$5:$AX$5,$D$11:$AX$91))</f>
        <v>0.17097639297353151</v>
      </c>
      <c r="AO208" s="719" cm="1">
        <f t="array" ref="AO208">_xlfn.XLOOKUP($B208,$B$11:$B$91,_xlfn.XLOOKUP(AO$181,$D$5:$AX$5,$D$11:$AX$91))</f>
        <v>0.17090969951735946</v>
      </c>
      <c r="AP208" s="719" cm="1">
        <f t="array" ref="AP208">_xlfn.XLOOKUP($B208,$B$11:$B$91,_xlfn.XLOOKUP(AP$181,$D$5:$AX$5,$D$11:$AX$91))</f>
        <v>0.17015444015444015</v>
      </c>
      <c r="AQ208" s="719" cm="1">
        <f t="array" ref="AQ208">_xlfn.XLOOKUP($B208,$B$11:$B$91,_xlfn.XLOOKUP(AQ$181,$D$5:$AX$5,$D$11:$AX$91))</f>
        <v>0.17</v>
      </c>
      <c r="AR208" s="719" cm="1">
        <f t="array" ref="AR208">_xlfn.XLOOKUP($B208,$B$11:$B$91,_xlfn.XLOOKUP(AR$181,$D$5:$AX$5,$D$11:$AX$91))</f>
        <v>0.17</v>
      </c>
      <c r="AS208" s="719" cm="1">
        <f t="array" ref="AS208">_xlfn.XLOOKUP($B208,$B$11:$B$91,_xlfn.XLOOKUP(AS$181,$D$5:$AX$5,$D$11:$AX$91))</f>
        <v>0.17</v>
      </c>
      <c r="AT208" s="719" cm="1">
        <f t="array" ref="AT208">_xlfn.XLOOKUP($B208,$B$11:$B$91,_xlfn.XLOOKUP(AT$181,$D$5:$AX$5,$D$11:$AX$91))</f>
        <v>0.17</v>
      </c>
      <c r="AU208" s="719" cm="1">
        <f t="array" ref="AU208">_xlfn.XLOOKUP($B208,$B$11:$B$91,_xlfn.XLOOKUP(AU$181,$D$5:$AX$5,$D$11:$AX$91))</f>
        <v>0.17</v>
      </c>
      <c r="AV208" s="719" cm="1">
        <f t="array" ref="AV208">_xlfn.XLOOKUP($B208,$B$11:$B$91,_xlfn.XLOOKUP(AV$181,$D$5:$AX$5,$D$11:$AX$91))</f>
        <v>0.17</v>
      </c>
      <c r="AW208" s="719" cm="1">
        <f t="array" ref="AW208">_xlfn.XLOOKUP($B208,$B$11:$B$91,_xlfn.XLOOKUP(AW$181,$D$5:$AX$5,$D$11:$AX$91))</f>
        <v>0.17</v>
      </c>
      <c r="AX208" s="719" cm="1">
        <f t="array" ref="AX208">_xlfn.XLOOKUP($B208,$B$11:$B$91,_xlfn.XLOOKUP(AX$181,$D$5:$AX$5,$D$11:$AX$91))</f>
        <v>0.17</v>
      </c>
    </row>
    <row r="209" spans="1:50" hidden="1" outlineLevel="1">
      <c r="C209" s="313" t="s">
        <v>1121</v>
      </c>
      <c r="D209" s="307" t="s">
        <v>842</v>
      </c>
      <c r="E209" s="307"/>
      <c r="F209" s="307"/>
      <c r="G209" s="314" t="s">
        <v>967</v>
      </c>
      <c r="H209" s="314" t="s">
        <v>967</v>
      </c>
      <c r="I209" s="314">
        <f t="shared" ref="I209:AF209" si="50">I208/G208-1</f>
        <v>-5.9880239520958556E-3</v>
      </c>
      <c r="J209" s="314">
        <f t="shared" si="50"/>
        <v>1.1239813895318029E-2</v>
      </c>
      <c r="K209" s="314">
        <f t="shared" si="50"/>
        <v>1.2048192771084265E-2</v>
      </c>
      <c r="L209" s="314">
        <f t="shared" si="50"/>
        <v>3.7142055399082441E-2</v>
      </c>
      <c r="M209" s="314">
        <f t="shared" si="50"/>
        <v>2.3809523809523725E-2</v>
      </c>
      <c r="N209" s="314">
        <f t="shared" si="50"/>
        <v>-2.3761544776879195E-2</v>
      </c>
      <c r="O209" s="314">
        <f t="shared" si="50"/>
        <v>-1.1627906976743985E-2</v>
      </c>
      <c r="P209" s="314">
        <f t="shared" si="50"/>
        <v>2.8823637166519589E-3</v>
      </c>
      <c r="Q209" s="314">
        <f t="shared" si="50"/>
        <v>0</v>
      </c>
      <c r="R209" s="314">
        <f t="shared" si="50"/>
        <v>-1.8136476989342176E-3</v>
      </c>
      <c r="S209" s="314">
        <f t="shared" si="50"/>
        <v>0</v>
      </c>
      <c r="T209" s="314">
        <f t="shared" si="50"/>
        <v>0</v>
      </c>
      <c r="U209" s="314">
        <f t="shared" si="50"/>
        <v>0</v>
      </c>
      <c r="V209" s="314">
        <f t="shared" si="50"/>
        <v>0</v>
      </c>
      <c r="W209" s="314">
        <f t="shared" si="50"/>
        <v>0</v>
      </c>
      <c r="X209" s="314">
        <f t="shared" si="50"/>
        <v>0</v>
      </c>
      <c r="Y209" s="314">
        <f t="shared" si="50"/>
        <v>0</v>
      </c>
      <c r="Z209" s="314">
        <f t="shared" si="50"/>
        <v>0</v>
      </c>
      <c r="AA209" s="314">
        <f t="shared" si="50"/>
        <v>0</v>
      </c>
      <c r="AB209" s="314">
        <f t="shared" si="50"/>
        <v>0</v>
      </c>
      <c r="AC209" s="314">
        <f t="shared" si="50"/>
        <v>0</v>
      </c>
      <c r="AD209" s="314">
        <f t="shared" si="50"/>
        <v>0</v>
      </c>
      <c r="AE209" s="314">
        <f t="shared" si="50"/>
        <v>0</v>
      </c>
      <c r="AF209" s="314">
        <f t="shared" si="50"/>
        <v>0</v>
      </c>
      <c r="AG209" s="315"/>
      <c r="AH209" s="313" t="str">
        <f t="shared" si="24"/>
        <v>- Growth</v>
      </c>
      <c r="AI209" s="307" t="str">
        <f>D209</f>
        <v>%</v>
      </c>
      <c r="AJ209" s="307"/>
      <c r="AK209" s="307"/>
      <c r="AL209" s="314" t="s">
        <v>967</v>
      </c>
      <c r="AM209" s="314">
        <f t="shared" ref="AM209:AX209" si="51">AM208/AL208-1</f>
        <v>2.5963669243960208E-3</v>
      </c>
      <c r="AN209" s="314">
        <f t="shared" si="51"/>
        <v>2.465991098280762E-2</v>
      </c>
      <c r="AO209" s="314">
        <f t="shared" si="51"/>
        <v>-3.9007406234370379E-4</v>
      </c>
      <c r="AP209" s="314">
        <f t="shared" si="51"/>
        <v>-4.4190550042046972E-3</v>
      </c>
      <c r="AQ209" s="314">
        <f t="shared" si="51"/>
        <v>-9.0764692534595071E-4</v>
      </c>
      <c r="AR209" s="314">
        <f t="shared" si="51"/>
        <v>0</v>
      </c>
      <c r="AS209" s="314">
        <f t="shared" si="51"/>
        <v>0</v>
      </c>
      <c r="AT209" s="314">
        <f t="shared" si="51"/>
        <v>0</v>
      </c>
      <c r="AU209" s="314">
        <f t="shared" si="51"/>
        <v>0</v>
      </c>
      <c r="AV209" s="314">
        <f t="shared" si="51"/>
        <v>0</v>
      </c>
      <c r="AW209" s="314">
        <f t="shared" si="51"/>
        <v>0</v>
      </c>
      <c r="AX209" s="314">
        <f t="shared" si="51"/>
        <v>0</v>
      </c>
    </row>
    <row r="210" spans="1:50" collapsed="1">
      <c r="C210" s="313" t="s">
        <v>1122</v>
      </c>
      <c r="D210" s="307" t="s">
        <v>842</v>
      </c>
      <c r="E210" s="307"/>
      <c r="F210" s="307"/>
      <c r="G210" s="314">
        <f xml:space="preserve"> IFERROR(ROUND( G208 / G207,3) - 1, 0)</f>
        <v>0</v>
      </c>
      <c r="H210" s="314">
        <f t="shared" ref="H210:AF210" si="52" xml:space="preserve"> IFERROR(ROUND( H208 / H207,3) - 1, 0)</f>
        <v>0</v>
      </c>
      <c r="I210" s="314">
        <f t="shared" si="52"/>
        <v>0</v>
      </c>
      <c r="J210" s="314">
        <f t="shared" si="52"/>
        <v>0</v>
      </c>
      <c r="K210" s="314">
        <f t="shared" si="52"/>
        <v>0</v>
      </c>
      <c r="L210" s="314">
        <f t="shared" si="52"/>
        <v>0</v>
      </c>
      <c r="M210" s="314">
        <f t="shared" si="52"/>
        <v>0</v>
      </c>
      <c r="N210" s="314">
        <f t="shared" si="52"/>
        <v>0</v>
      </c>
      <c r="O210" s="314">
        <f t="shared" si="52"/>
        <v>0</v>
      </c>
      <c r="P210" s="314">
        <f t="shared" si="52"/>
        <v>-4.0000000000000036E-3</v>
      </c>
      <c r="Q210" s="314">
        <f t="shared" si="52"/>
        <v>-6.0000000000000053E-3</v>
      </c>
      <c r="R210" s="314">
        <f t="shared" si="52"/>
        <v>-6.0000000000000053E-3</v>
      </c>
      <c r="S210" s="314">
        <f t="shared" si="52"/>
        <v>-6.0000000000000053E-3</v>
      </c>
      <c r="T210" s="314">
        <f t="shared" si="52"/>
        <v>-6.0000000000000053E-3</v>
      </c>
      <c r="U210" s="314">
        <f t="shared" si="52"/>
        <v>-6.0000000000000053E-3</v>
      </c>
      <c r="V210" s="314">
        <f t="shared" si="52"/>
        <v>-6.0000000000000053E-3</v>
      </c>
      <c r="W210" s="314">
        <f t="shared" si="52"/>
        <v>-6.0000000000000053E-3</v>
      </c>
      <c r="X210" s="314">
        <f t="shared" si="52"/>
        <v>-6.0000000000000053E-3</v>
      </c>
      <c r="Y210" s="314">
        <f t="shared" si="52"/>
        <v>-6.0000000000000053E-3</v>
      </c>
      <c r="Z210" s="314">
        <f t="shared" si="52"/>
        <v>-6.0000000000000053E-3</v>
      </c>
      <c r="AA210" s="314">
        <f t="shared" si="52"/>
        <v>-6.0000000000000053E-3</v>
      </c>
      <c r="AB210" s="314">
        <f t="shared" si="52"/>
        <v>-6.0000000000000053E-3</v>
      </c>
      <c r="AC210" s="314">
        <f t="shared" si="52"/>
        <v>-6.0000000000000053E-3</v>
      </c>
      <c r="AD210" s="314">
        <f t="shared" si="52"/>
        <v>-6.0000000000000053E-3</v>
      </c>
      <c r="AE210" s="314">
        <f t="shared" si="52"/>
        <v>-6.0000000000000053E-3</v>
      </c>
      <c r="AF210" s="314">
        <f t="shared" si="52"/>
        <v>-6.0000000000000053E-3</v>
      </c>
      <c r="AG210" s="314"/>
      <c r="AH210" s="313" t="str">
        <f t="shared" si="24"/>
        <v>- Revision</v>
      </c>
      <c r="AI210" s="307" t="str">
        <f>D210</f>
        <v>%</v>
      </c>
      <c r="AJ210" s="307"/>
      <c r="AK210" s="307"/>
      <c r="AL210" s="314">
        <f t="shared" ref="AL210:AX210" si="53" xml:space="preserve"> IFERROR(ROUND( AL208 / AL207,3) - 1, 0)</f>
        <v>0</v>
      </c>
      <c r="AM210" s="314">
        <f t="shared" si="53"/>
        <v>0</v>
      </c>
      <c r="AN210" s="314">
        <f t="shared" si="53"/>
        <v>0</v>
      </c>
      <c r="AO210" s="314">
        <f t="shared" si="53"/>
        <v>0</v>
      </c>
      <c r="AP210" s="314">
        <f t="shared" si="53"/>
        <v>-2.0000000000000018E-3</v>
      </c>
      <c r="AQ210" s="314">
        <f t="shared" si="53"/>
        <v>-6.0000000000000053E-3</v>
      </c>
      <c r="AR210" s="314">
        <f t="shared" si="53"/>
        <v>-6.0000000000000053E-3</v>
      </c>
      <c r="AS210" s="314">
        <f t="shared" si="53"/>
        <v>-6.0000000000000053E-3</v>
      </c>
      <c r="AT210" s="314">
        <f t="shared" si="53"/>
        <v>-6.0000000000000053E-3</v>
      </c>
      <c r="AU210" s="314">
        <f t="shared" si="53"/>
        <v>-6.0000000000000053E-3</v>
      </c>
      <c r="AV210" s="314">
        <f t="shared" si="53"/>
        <v>-6.0000000000000053E-3</v>
      </c>
      <c r="AW210" s="314">
        <f t="shared" si="53"/>
        <v>-6.0000000000000053E-3</v>
      </c>
      <c r="AX210" s="314">
        <f t="shared" si="53"/>
        <v>-6.0000000000000053E-3</v>
      </c>
    </row>
    <row r="211" spans="1:50">
      <c r="C211" s="313"/>
      <c r="D211" s="307"/>
      <c r="E211" s="307"/>
      <c r="F211" s="307"/>
      <c r="G211" s="314"/>
      <c r="H211" s="314"/>
      <c r="I211" s="314"/>
      <c r="J211" s="314"/>
      <c r="K211" s="314"/>
      <c r="L211" s="314"/>
      <c r="M211" s="314"/>
      <c r="N211" s="314"/>
      <c r="O211" s="314"/>
      <c r="P211" s="314"/>
      <c r="Q211" s="314"/>
      <c r="R211" s="314"/>
      <c r="S211" s="314"/>
      <c r="T211" s="314"/>
      <c r="U211" s="314"/>
      <c r="V211" s="314"/>
      <c r="W211" s="314"/>
      <c r="X211" s="314"/>
      <c r="Y211" s="314"/>
      <c r="Z211" s="314"/>
      <c r="AA211" s="314"/>
      <c r="AB211" s="314"/>
      <c r="AC211" s="314"/>
      <c r="AD211" s="314"/>
      <c r="AE211" s="314"/>
      <c r="AF211" s="314"/>
      <c r="AG211" s="314"/>
      <c r="AH211" s="313"/>
      <c r="AI211" s="307"/>
      <c r="AJ211" s="307"/>
      <c r="AK211" s="307"/>
      <c r="AL211" s="314"/>
      <c r="AM211" s="314"/>
      <c r="AN211" s="314"/>
      <c r="AO211" s="314"/>
      <c r="AP211" s="314"/>
      <c r="AQ211" s="314"/>
      <c r="AR211" s="314"/>
      <c r="AS211" s="314"/>
      <c r="AT211" s="314"/>
      <c r="AU211" s="314"/>
      <c r="AV211" s="314"/>
      <c r="AW211" s="314"/>
      <c r="AX211" s="314"/>
    </row>
    <row r="212" spans="1:50">
      <c r="A212" t="s">
        <v>971</v>
      </c>
      <c r="C212" s="810" t="s">
        <v>1219</v>
      </c>
      <c r="D212" s="292"/>
      <c r="E212" s="292"/>
      <c r="F212" s="292"/>
      <c r="G212" s="292"/>
      <c r="H212" s="292"/>
      <c r="I212" s="292"/>
      <c r="J212" s="292"/>
      <c r="K212" s="292"/>
      <c r="L212" s="292"/>
      <c r="M212" s="292"/>
      <c r="N212" s="292"/>
      <c r="O212" s="292"/>
      <c r="P212" s="293"/>
      <c r="Q212" s="293"/>
      <c r="R212" s="293"/>
      <c r="S212" s="293"/>
      <c r="T212" s="293"/>
      <c r="U212" s="293"/>
      <c r="V212" s="293"/>
      <c r="W212" s="293"/>
      <c r="X212" s="293"/>
      <c r="Y212" s="293"/>
      <c r="Z212" s="293"/>
      <c r="AA212" s="293"/>
      <c r="AB212" s="293"/>
      <c r="AC212" s="293"/>
      <c r="AD212" s="293"/>
      <c r="AE212" s="293"/>
      <c r="AF212" s="293"/>
      <c r="AG212" s="293"/>
      <c r="AH212" s="293"/>
      <c r="AI212" s="293"/>
      <c r="AJ212" s="292"/>
      <c r="AK212" s="292"/>
      <c r="AL212" s="292"/>
      <c r="AM212" s="292"/>
      <c r="AN212" s="292"/>
      <c r="AO212" s="292"/>
      <c r="AP212" s="292"/>
      <c r="AQ212" s="292"/>
      <c r="AR212" s="292"/>
      <c r="AS212" s="292"/>
      <c r="AT212" s="292"/>
      <c r="AU212" s="292"/>
      <c r="AV212" s="292"/>
      <c r="AW212" s="292"/>
      <c r="AX212" s="292"/>
    </row>
    <row r="213" spans="1:50">
      <c r="C213" s="296"/>
      <c r="D213" s="296" t="s">
        <v>960</v>
      </c>
      <c r="E213" s="296"/>
      <c r="F213" s="296" t="str">
        <f>F$5</f>
        <v>VAL</v>
      </c>
      <c r="G213" s="297" t="str">
        <f t="shared" ref="G213:AF213" si="54">G$5</f>
        <v>1H22A</v>
      </c>
      <c r="H213" s="298" t="str">
        <f t="shared" si="54"/>
        <v>2H22A</v>
      </c>
      <c r="I213" s="297" t="str">
        <f t="shared" si="54"/>
        <v>1H23A</v>
      </c>
      <c r="J213" s="298" t="str">
        <f t="shared" si="54"/>
        <v>2H23A</v>
      </c>
      <c r="K213" s="297" t="str">
        <f t="shared" si="54"/>
        <v>1H24E</v>
      </c>
      <c r="L213" s="298" t="str">
        <f t="shared" si="54"/>
        <v>2H24E</v>
      </c>
      <c r="M213" s="297" t="str">
        <f t="shared" si="54"/>
        <v>1H25E</v>
      </c>
      <c r="N213" s="298" t="str">
        <f t="shared" si="54"/>
        <v>2H25E</v>
      </c>
      <c r="O213" s="297" t="str">
        <f t="shared" si="54"/>
        <v>1H26E</v>
      </c>
      <c r="P213" s="298" t="str">
        <f t="shared" si="54"/>
        <v>2H26E</v>
      </c>
      <c r="Q213" s="297" t="str">
        <f t="shared" si="54"/>
        <v>1H27E</v>
      </c>
      <c r="R213" s="298" t="str">
        <f t="shared" si="54"/>
        <v>2H27E</v>
      </c>
      <c r="S213" s="297" t="str">
        <f t="shared" si="54"/>
        <v>1H28E</v>
      </c>
      <c r="T213" s="298" t="str">
        <f t="shared" si="54"/>
        <v>2H28E</v>
      </c>
      <c r="U213" s="297" t="str">
        <f t="shared" si="54"/>
        <v>1H29E</v>
      </c>
      <c r="V213" s="298" t="str">
        <f t="shared" si="54"/>
        <v>2H29E</v>
      </c>
      <c r="W213" s="297" t="str">
        <f t="shared" si="54"/>
        <v>1H30E</v>
      </c>
      <c r="X213" s="298" t="str">
        <f t="shared" si="54"/>
        <v>2H30E</v>
      </c>
      <c r="Y213" s="298" t="str">
        <f t="shared" si="54"/>
        <v>1H31E</v>
      </c>
      <c r="Z213" s="298" t="str">
        <f t="shared" si="54"/>
        <v>2H31E</v>
      </c>
      <c r="AA213" s="298" t="str">
        <f t="shared" si="54"/>
        <v>1H32E</v>
      </c>
      <c r="AB213" s="298" t="str">
        <f t="shared" si="54"/>
        <v>2H32E</v>
      </c>
      <c r="AC213" s="298" t="str">
        <f t="shared" si="54"/>
        <v>1H33E</v>
      </c>
      <c r="AD213" s="298" t="str">
        <f t="shared" si="54"/>
        <v>2H33E</v>
      </c>
      <c r="AE213" s="298" t="str">
        <f t="shared" si="54"/>
        <v>1H34E</v>
      </c>
      <c r="AF213" s="298" t="str">
        <f t="shared" si="54"/>
        <v>2H34E</v>
      </c>
      <c r="AG213" s="299"/>
      <c r="AH213" s="723"/>
      <c r="AI213" s="723" t="s">
        <v>960</v>
      </c>
      <c r="AJ213" s="723"/>
      <c r="AK213" s="723" t="str">
        <f>AK$5</f>
        <v>VAL</v>
      </c>
      <c r="AL213" s="723" t="str">
        <f t="shared" ref="AL213:AX213" si="55">AL$5</f>
        <v>FY22A</v>
      </c>
      <c r="AM213" s="723" t="str">
        <f t="shared" si="55"/>
        <v>FY23A</v>
      </c>
      <c r="AN213" s="723" t="str">
        <f t="shared" si="55"/>
        <v>FY24A</v>
      </c>
      <c r="AO213" s="723" t="str">
        <f t="shared" si="55"/>
        <v>FY25A</v>
      </c>
      <c r="AP213" s="723" t="str">
        <f t="shared" si="55"/>
        <v>FY26A</v>
      </c>
      <c r="AQ213" s="723" t="str">
        <f t="shared" si="55"/>
        <v>FY27A</v>
      </c>
      <c r="AR213" s="723" t="str">
        <f t="shared" si="55"/>
        <v>FY28A</v>
      </c>
      <c r="AS213" s="723" t="str">
        <f t="shared" si="55"/>
        <v>FY29A</v>
      </c>
      <c r="AT213" s="723" t="str">
        <f t="shared" si="55"/>
        <v>FY30A</v>
      </c>
      <c r="AU213" s="723" t="str">
        <f t="shared" si="55"/>
        <v>FY31A</v>
      </c>
      <c r="AV213" s="723" t="str">
        <f t="shared" si="55"/>
        <v>FY32A</v>
      </c>
      <c r="AW213" s="723" t="str">
        <f t="shared" si="55"/>
        <v>FY33A</v>
      </c>
      <c r="AX213" s="723" t="str">
        <f t="shared" si="55"/>
        <v>FY34A</v>
      </c>
    </row>
    <row r="214" spans="1:50">
      <c r="C214" s="300"/>
      <c r="D214" s="300"/>
      <c r="E214" s="300"/>
      <c r="F214" s="300"/>
      <c r="G214" s="301">
        <f t="shared" ref="G214:AF214" si="56">G$6</f>
        <v>44561</v>
      </c>
      <c r="H214" s="302">
        <f t="shared" si="56"/>
        <v>44742</v>
      </c>
      <c r="I214" s="301">
        <f t="shared" si="56"/>
        <v>44926</v>
      </c>
      <c r="J214" s="302">
        <f t="shared" si="56"/>
        <v>45107</v>
      </c>
      <c r="K214" s="301">
        <f t="shared" si="56"/>
        <v>45291</v>
      </c>
      <c r="L214" s="302">
        <f t="shared" si="56"/>
        <v>45473</v>
      </c>
      <c r="M214" s="301">
        <f t="shared" si="56"/>
        <v>45657</v>
      </c>
      <c r="N214" s="302">
        <f t="shared" si="56"/>
        <v>45838</v>
      </c>
      <c r="O214" s="301">
        <f t="shared" si="56"/>
        <v>46022</v>
      </c>
      <c r="P214" s="302">
        <f t="shared" si="56"/>
        <v>46203</v>
      </c>
      <c r="Q214" s="301">
        <f t="shared" si="56"/>
        <v>46387</v>
      </c>
      <c r="R214" s="302">
        <f t="shared" si="56"/>
        <v>46568</v>
      </c>
      <c r="S214" s="301">
        <f t="shared" si="56"/>
        <v>46752</v>
      </c>
      <c r="T214" s="302">
        <f t="shared" si="56"/>
        <v>46934</v>
      </c>
      <c r="U214" s="301">
        <f t="shared" si="56"/>
        <v>47118</v>
      </c>
      <c r="V214" s="302">
        <f t="shared" si="56"/>
        <v>47299</v>
      </c>
      <c r="W214" s="301">
        <f t="shared" si="56"/>
        <v>47483</v>
      </c>
      <c r="X214" s="300">
        <f t="shared" si="56"/>
        <v>47664</v>
      </c>
      <c r="Y214" s="300">
        <f t="shared" si="56"/>
        <v>47848</v>
      </c>
      <c r="Z214" s="300">
        <f t="shared" si="56"/>
        <v>48029</v>
      </c>
      <c r="AA214" s="300">
        <f t="shared" si="56"/>
        <v>48213</v>
      </c>
      <c r="AB214" s="300">
        <f t="shared" si="56"/>
        <v>48395</v>
      </c>
      <c r="AC214" s="300">
        <f t="shared" si="56"/>
        <v>48579</v>
      </c>
      <c r="AD214" s="300">
        <f t="shared" si="56"/>
        <v>48760</v>
      </c>
      <c r="AE214" s="300">
        <f t="shared" si="56"/>
        <v>48944</v>
      </c>
      <c r="AF214" s="300">
        <f t="shared" si="56"/>
        <v>49125</v>
      </c>
      <c r="AG214" s="303"/>
      <c r="AH214" s="724"/>
      <c r="AI214" s="724"/>
      <c r="AJ214" s="724"/>
      <c r="AK214" s="724"/>
      <c r="AL214" s="724">
        <f t="shared" ref="AL214:AX214" si="57">AL$6</f>
        <v>44742</v>
      </c>
      <c r="AM214" s="724">
        <f t="shared" si="57"/>
        <v>45107</v>
      </c>
      <c r="AN214" s="724">
        <f t="shared" si="57"/>
        <v>45473</v>
      </c>
      <c r="AO214" s="724">
        <f t="shared" si="57"/>
        <v>45838</v>
      </c>
      <c r="AP214" s="724">
        <f t="shared" si="57"/>
        <v>46203</v>
      </c>
      <c r="AQ214" s="724">
        <f t="shared" si="57"/>
        <v>46568</v>
      </c>
      <c r="AR214" s="724">
        <f t="shared" si="57"/>
        <v>46934</v>
      </c>
      <c r="AS214" s="724">
        <f t="shared" si="57"/>
        <v>47299</v>
      </c>
      <c r="AT214" s="724">
        <f t="shared" si="57"/>
        <v>47664</v>
      </c>
      <c r="AU214" s="724">
        <f t="shared" si="57"/>
        <v>48029</v>
      </c>
      <c r="AV214" s="724">
        <f t="shared" si="57"/>
        <v>48395</v>
      </c>
      <c r="AW214" s="724">
        <f t="shared" si="57"/>
        <v>48760</v>
      </c>
      <c r="AX214" s="724">
        <f t="shared" si="57"/>
        <v>49125</v>
      </c>
    </row>
    <row r="215" spans="1:50" s="704" customFormat="1">
      <c r="B215" s="705" t="s">
        <v>1428</v>
      </c>
      <c r="C215" s="706" t="str">
        <f>_xlfn.TEXTAFTER($B215,$C$212)&amp;" - old"</f>
        <v xml:space="preserve"> KPI'sRevenue - old</v>
      </c>
      <c r="D215" s="707" t="str" cm="1">
        <f t="array" ref="D215">_xlfn.XLOOKUP($B215,$B$96:$B$176,_xlfn.XLOOKUP(D$181,$D$5:$AX$5,$D$96:$AX$176))</f>
        <v>A$m</v>
      </c>
      <c r="E215" s="707"/>
      <c r="F215" s="707"/>
      <c r="G215" s="708" t="e" cm="1">
        <f t="array" ref="G215">_xlfn.XLOOKUP($B215,$B$96:$B$176,_xlfn.XLOOKUP(G$181,$D$5:$AX$5,$D$96:$AX$176))</f>
        <v>#REF!</v>
      </c>
      <c r="H215" s="708" t="e" cm="1">
        <f t="array" ref="H215">_xlfn.XLOOKUP($B215,$B$96:$B$176,_xlfn.XLOOKUP(H$181,$D$5:$AX$5,$D$96:$AX$176))</f>
        <v>#REF!</v>
      </c>
      <c r="I215" s="708" t="e" cm="1">
        <f t="array" ref="I215">_xlfn.XLOOKUP($B215,$B$96:$B$176,_xlfn.XLOOKUP(I$181,$D$5:$AX$5,$D$96:$AX$176))</f>
        <v>#REF!</v>
      </c>
      <c r="J215" s="708" t="e" cm="1">
        <f t="array" ref="J215">_xlfn.XLOOKUP($B215,$B$96:$B$176,_xlfn.XLOOKUP(J$181,$D$5:$AX$5,$D$96:$AX$176))</f>
        <v>#REF!</v>
      </c>
      <c r="K215" s="708" t="e" cm="1">
        <f t="array" ref="K215">_xlfn.XLOOKUP($B215,$B$96:$B$176,_xlfn.XLOOKUP(K$181,$D$5:$AX$5,$D$96:$AX$176))</f>
        <v>#REF!</v>
      </c>
      <c r="L215" s="708" t="e" cm="1">
        <f t="array" ref="L215">_xlfn.XLOOKUP($B215,$B$96:$B$176,_xlfn.XLOOKUP(L$181,$D$5:$AX$5,$D$96:$AX$176))</f>
        <v>#REF!</v>
      </c>
      <c r="M215" s="708" t="e" cm="1">
        <f t="array" ref="M215">_xlfn.XLOOKUP($B215,$B$96:$B$176,_xlfn.XLOOKUP(M$181,$D$5:$AX$5,$D$96:$AX$176))</f>
        <v>#REF!</v>
      </c>
      <c r="N215" s="708" t="e" cm="1">
        <f t="array" ref="N215">_xlfn.XLOOKUP($B215,$B$96:$B$176,_xlfn.XLOOKUP(N$181,$D$5:$AX$5,$D$96:$AX$176))</f>
        <v>#REF!</v>
      </c>
      <c r="O215" s="708" t="e" cm="1">
        <f t="array" ref="O215">_xlfn.XLOOKUP($B215,$B$96:$B$176,_xlfn.XLOOKUP(O$181,$D$5:$AX$5,$D$96:$AX$176))</f>
        <v>#REF!</v>
      </c>
      <c r="P215" s="708" t="e" cm="1">
        <f t="array" ref="P215">_xlfn.XLOOKUP($B215,$B$96:$B$176,_xlfn.XLOOKUP(P$181,$D$5:$AX$5,$D$96:$AX$176))</f>
        <v>#REF!</v>
      </c>
      <c r="Q215" s="708" t="e" cm="1">
        <f t="array" ref="Q215">_xlfn.XLOOKUP($B215,$B$96:$B$176,_xlfn.XLOOKUP(Q$181,$D$5:$AX$5,$D$96:$AX$176))</f>
        <v>#REF!</v>
      </c>
      <c r="R215" s="708" t="e" cm="1">
        <f t="array" ref="R215">_xlfn.XLOOKUP($B215,$B$96:$B$176,_xlfn.XLOOKUP(R$181,$D$5:$AX$5,$D$96:$AX$176))</f>
        <v>#REF!</v>
      </c>
      <c r="S215" s="708" t="e" cm="1">
        <f t="array" ref="S215">_xlfn.XLOOKUP($B215,$B$96:$B$176,_xlfn.XLOOKUP(S$181,$D$5:$AX$5,$D$96:$AX$176))</f>
        <v>#REF!</v>
      </c>
      <c r="T215" s="708" t="e" cm="1">
        <f t="array" ref="T215">_xlfn.XLOOKUP($B215,$B$96:$B$176,_xlfn.XLOOKUP(T$181,$D$5:$AX$5,$D$96:$AX$176))</f>
        <v>#REF!</v>
      </c>
      <c r="U215" s="708" t="e" cm="1">
        <f t="array" ref="U215">_xlfn.XLOOKUP($B215,$B$96:$B$176,_xlfn.XLOOKUP(U$181,$D$5:$AX$5,$D$96:$AX$176))</f>
        <v>#REF!</v>
      </c>
      <c r="V215" s="708" t="e" cm="1">
        <f t="array" ref="V215">_xlfn.XLOOKUP($B215,$B$96:$B$176,_xlfn.XLOOKUP(V$181,$D$5:$AX$5,$D$96:$AX$176))</f>
        <v>#REF!</v>
      </c>
      <c r="W215" s="708" t="e" cm="1">
        <f t="array" ref="W215">_xlfn.XLOOKUP($B215,$B$96:$B$176,_xlfn.XLOOKUP(W$181,$D$5:$AX$5,$D$96:$AX$176))</f>
        <v>#REF!</v>
      </c>
      <c r="X215" s="708" t="e" cm="1">
        <f t="array" ref="X215">_xlfn.XLOOKUP($B215,$B$96:$B$176,_xlfn.XLOOKUP(X$181,$D$5:$AX$5,$D$96:$AX$176))</f>
        <v>#REF!</v>
      </c>
      <c r="Y215" s="708" t="e" cm="1">
        <f t="array" ref="Y215">_xlfn.XLOOKUP($B215,$B$96:$B$176,_xlfn.XLOOKUP(Y$181,$D$5:$AX$5,$D$96:$AX$176))</f>
        <v>#REF!</v>
      </c>
      <c r="Z215" s="708" t="e" cm="1">
        <f t="array" ref="Z215">_xlfn.XLOOKUP($B215,$B$96:$B$176,_xlfn.XLOOKUP(Z$181,$D$5:$AX$5,$D$96:$AX$176))</f>
        <v>#REF!</v>
      </c>
      <c r="AA215" s="708" t="e" cm="1">
        <f t="array" ref="AA215">_xlfn.XLOOKUP($B215,$B$96:$B$176,_xlfn.XLOOKUP(AA$181,$D$5:$AX$5,$D$96:$AX$176))</f>
        <v>#REF!</v>
      </c>
      <c r="AB215" s="708" t="e" cm="1">
        <f t="array" ref="AB215">_xlfn.XLOOKUP($B215,$B$96:$B$176,_xlfn.XLOOKUP(AB$181,$D$5:$AX$5,$D$96:$AX$176))</f>
        <v>#REF!</v>
      </c>
      <c r="AC215" s="708" t="e" cm="1">
        <f t="array" ref="AC215">_xlfn.XLOOKUP($B215,$B$96:$B$176,_xlfn.XLOOKUP(AC$181,$D$5:$AX$5,$D$96:$AX$176))</f>
        <v>#REF!</v>
      </c>
      <c r="AD215" s="708" t="e" cm="1">
        <f t="array" ref="AD215">_xlfn.XLOOKUP($B215,$B$96:$B$176,_xlfn.XLOOKUP(AD$181,$D$5:$AX$5,$D$96:$AX$176))</f>
        <v>#REF!</v>
      </c>
      <c r="AE215" s="708" t="e" cm="1">
        <f t="array" ref="AE215">_xlfn.XLOOKUP($B215,$B$96:$B$176,_xlfn.XLOOKUP(AE$181,$D$5:$AX$5,$D$96:$AX$176))</f>
        <v>#REF!</v>
      </c>
      <c r="AF215" s="708" t="e" cm="1">
        <f t="array" ref="AF215">_xlfn.XLOOKUP($B215,$B$96:$B$176,_xlfn.XLOOKUP(AF$181,$D$5:$AX$5,$D$96:$AX$176))</f>
        <v>#REF!</v>
      </c>
      <c r="AG215" s="709"/>
      <c r="AH215" s="706" t="str">
        <f>C215</f>
        <v xml:space="preserve"> KPI'sRevenue - old</v>
      </c>
      <c r="AI215" s="707" t="str" cm="1">
        <f t="array" ref="AI215">_xlfn.XLOOKUP($B215,$B$96:$B$176,_xlfn.XLOOKUP(AI$181,$D$5:$AX$5,$D$96:$AX$176))</f>
        <v>A$m</v>
      </c>
      <c r="AJ215" s="707"/>
      <c r="AK215" s="707"/>
      <c r="AL215" s="708" t="e" cm="1">
        <f t="array" ref="AL215">_xlfn.XLOOKUP($B215,$B$96:$B$176,_xlfn.XLOOKUP(AL$181,$D$5:$AX$5,$D$96:$AX$176))</f>
        <v>#REF!</v>
      </c>
      <c r="AM215" s="708" t="e" cm="1">
        <f t="array" ref="AM215">_xlfn.XLOOKUP($B215,$B$96:$B$176,_xlfn.XLOOKUP(AM$181,$D$5:$AX$5,$D$96:$AX$176))</f>
        <v>#REF!</v>
      </c>
      <c r="AN215" s="708" t="e" cm="1">
        <f t="array" ref="AN215">_xlfn.XLOOKUP($B215,$B$96:$B$176,_xlfn.XLOOKUP(AN$181,$D$5:$AX$5,$D$96:$AX$176))</f>
        <v>#REF!</v>
      </c>
      <c r="AO215" s="708" t="e" cm="1">
        <f t="array" ref="AO215">_xlfn.XLOOKUP($B215,$B$96:$B$176,_xlfn.XLOOKUP(AO$181,$D$5:$AX$5,$D$96:$AX$176))</f>
        <v>#REF!</v>
      </c>
      <c r="AP215" s="708" t="e" cm="1">
        <f t="array" ref="AP215">_xlfn.XLOOKUP($B215,$B$96:$B$176,_xlfn.XLOOKUP(AP$181,$D$5:$AX$5,$D$96:$AX$176))</f>
        <v>#REF!</v>
      </c>
      <c r="AQ215" s="708" t="e" cm="1">
        <f t="array" ref="AQ215">_xlfn.XLOOKUP($B215,$B$96:$B$176,_xlfn.XLOOKUP(AQ$181,$D$5:$AX$5,$D$96:$AX$176))</f>
        <v>#REF!</v>
      </c>
      <c r="AR215" s="708" t="e" cm="1">
        <f t="array" ref="AR215">_xlfn.XLOOKUP($B215,$B$96:$B$176,_xlfn.XLOOKUP(AR$181,$D$5:$AX$5,$D$96:$AX$176))</f>
        <v>#REF!</v>
      </c>
      <c r="AS215" s="708" t="e" cm="1">
        <f t="array" ref="AS215">_xlfn.XLOOKUP($B215,$B$96:$B$176,_xlfn.XLOOKUP(AS$181,$D$5:$AX$5,$D$96:$AX$176))</f>
        <v>#REF!</v>
      </c>
      <c r="AT215" s="708" t="e" cm="1">
        <f t="array" ref="AT215">_xlfn.XLOOKUP($B215,$B$96:$B$176,_xlfn.XLOOKUP(AT$181,$D$5:$AX$5,$D$96:$AX$176))</f>
        <v>#REF!</v>
      </c>
      <c r="AU215" s="708" t="e" cm="1">
        <f t="array" ref="AU215">_xlfn.XLOOKUP($B215,$B$96:$B$176,_xlfn.XLOOKUP(AU$181,$D$5:$AX$5,$D$96:$AX$176))</f>
        <v>#REF!</v>
      </c>
      <c r="AV215" s="708" t="e" cm="1">
        <f t="array" ref="AV215">_xlfn.XLOOKUP($B215,$B$96:$B$176,_xlfn.XLOOKUP(AV$181,$D$5:$AX$5,$D$96:$AX$176))</f>
        <v>#REF!</v>
      </c>
      <c r="AW215" s="708" t="e" cm="1">
        <f t="array" ref="AW215">_xlfn.XLOOKUP($B215,$B$96:$B$176,_xlfn.XLOOKUP(AW$181,$D$5:$AX$5,$D$96:$AX$176))</f>
        <v>#REF!</v>
      </c>
      <c r="AX215" s="708" t="e" cm="1">
        <f t="array" ref="AX215">_xlfn.XLOOKUP($B215,$B$96:$B$176,_xlfn.XLOOKUP(AX$181,$D$5:$AX$5,$D$96:$AX$176))</f>
        <v>#REF!</v>
      </c>
    </row>
    <row r="216" spans="1:50">
      <c r="B216" s="305" t="s">
        <v>1428</v>
      </c>
      <c r="C216" s="318" t="str">
        <f>_xlfn.TEXTAFTER($B216,$C$212)&amp;" - New"</f>
        <v xml:space="preserve"> KPI'sRevenue - New</v>
      </c>
      <c r="D216" s="311" t="str" cm="1">
        <f t="array" ref="D216">_xlfn.XLOOKUP($B216,$B$11:$B$91,_xlfn.XLOOKUP(D$181,$D$5:$AX$5,$D$11:$AX$91))</f>
        <v>A$m</v>
      </c>
      <c r="E216" s="311"/>
      <c r="F216" s="311"/>
      <c r="G216" s="312" t="e" cm="1">
        <f t="array" ref="G216">_xlfn.XLOOKUP($B216,$B$11:$B$91,_xlfn.XLOOKUP(G$181,$D$5:$AX$5,$D$11:$AX$91))</f>
        <v>#REF!</v>
      </c>
      <c r="H216" s="312" t="e" cm="1">
        <f t="array" ref="H216">_xlfn.XLOOKUP($B216,$B$11:$B$91,_xlfn.XLOOKUP(H$181,$D$5:$AX$5,$D$11:$AX$91))</f>
        <v>#REF!</v>
      </c>
      <c r="I216" s="312" t="e" cm="1">
        <f t="array" ref="I216">_xlfn.XLOOKUP($B216,$B$11:$B$91,_xlfn.XLOOKUP(I$181,$D$5:$AX$5,$D$11:$AX$91))</f>
        <v>#REF!</v>
      </c>
      <c r="J216" s="312" t="e" cm="1">
        <f t="array" ref="J216">_xlfn.XLOOKUP($B216,$B$11:$B$91,_xlfn.XLOOKUP(J$181,$D$5:$AX$5,$D$11:$AX$91))</f>
        <v>#REF!</v>
      </c>
      <c r="K216" s="312" t="e" cm="1">
        <f t="array" ref="K216">_xlfn.XLOOKUP($B216,$B$11:$B$91,_xlfn.XLOOKUP(K$181,$D$5:$AX$5,$D$11:$AX$91))</f>
        <v>#REF!</v>
      </c>
      <c r="L216" s="312" t="e" cm="1">
        <f t="array" ref="L216">_xlfn.XLOOKUP($B216,$B$11:$B$91,_xlfn.XLOOKUP(L$181,$D$5:$AX$5,$D$11:$AX$91))</f>
        <v>#REF!</v>
      </c>
      <c r="M216" s="312" t="e" cm="1">
        <f t="array" ref="M216">_xlfn.XLOOKUP($B216,$B$11:$B$91,_xlfn.XLOOKUP(M$181,$D$5:$AX$5,$D$11:$AX$91))</f>
        <v>#REF!</v>
      </c>
      <c r="N216" s="312" t="e" cm="1">
        <f t="array" ref="N216">_xlfn.XLOOKUP($B216,$B$11:$B$91,_xlfn.XLOOKUP(N$181,$D$5:$AX$5,$D$11:$AX$91))</f>
        <v>#REF!</v>
      </c>
      <c r="O216" s="312" t="e" cm="1">
        <f t="array" ref="O216">_xlfn.XLOOKUP($B216,$B$11:$B$91,_xlfn.XLOOKUP(O$181,$D$5:$AX$5,$D$11:$AX$91))</f>
        <v>#REF!</v>
      </c>
      <c r="P216" s="312" t="e" cm="1">
        <f t="array" ref="P216">_xlfn.XLOOKUP($B216,$B$11:$B$91,_xlfn.XLOOKUP(P$181,$D$5:$AX$5,$D$11:$AX$91))</f>
        <v>#REF!</v>
      </c>
      <c r="Q216" s="312" t="e" cm="1">
        <f t="array" ref="Q216">_xlfn.XLOOKUP($B216,$B$11:$B$91,_xlfn.XLOOKUP(Q$181,$D$5:$AX$5,$D$11:$AX$91))</f>
        <v>#REF!</v>
      </c>
      <c r="R216" s="312" t="e" cm="1">
        <f t="array" ref="R216">_xlfn.XLOOKUP($B216,$B$11:$B$91,_xlfn.XLOOKUP(R$181,$D$5:$AX$5,$D$11:$AX$91))</f>
        <v>#REF!</v>
      </c>
      <c r="S216" s="312" t="e" cm="1">
        <f t="array" ref="S216">_xlfn.XLOOKUP($B216,$B$11:$B$91,_xlfn.XLOOKUP(S$181,$D$5:$AX$5,$D$11:$AX$91))</f>
        <v>#REF!</v>
      </c>
      <c r="T216" s="312" t="e" cm="1">
        <f t="array" ref="T216">_xlfn.XLOOKUP($B216,$B$11:$B$91,_xlfn.XLOOKUP(T$181,$D$5:$AX$5,$D$11:$AX$91))</f>
        <v>#REF!</v>
      </c>
      <c r="U216" s="312" t="e" cm="1">
        <f t="array" ref="U216">_xlfn.XLOOKUP($B216,$B$11:$B$91,_xlfn.XLOOKUP(U$181,$D$5:$AX$5,$D$11:$AX$91))</f>
        <v>#REF!</v>
      </c>
      <c r="V216" s="312" t="e" cm="1">
        <f t="array" ref="V216">_xlfn.XLOOKUP($B216,$B$11:$B$91,_xlfn.XLOOKUP(V$181,$D$5:$AX$5,$D$11:$AX$91))</f>
        <v>#REF!</v>
      </c>
      <c r="W216" s="312" t="e" cm="1">
        <f t="array" ref="W216">_xlfn.XLOOKUP($B216,$B$11:$B$91,_xlfn.XLOOKUP(W$181,$D$5:$AX$5,$D$11:$AX$91))</f>
        <v>#REF!</v>
      </c>
      <c r="X216" s="312" t="e" cm="1">
        <f t="array" ref="X216">_xlfn.XLOOKUP($B216,$B$11:$B$91,_xlfn.XLOOKUP(X$181,$D$5:$AX$5,$D$11:$AX$91))</f>
        <v>#REF!</v>
      </c>
      <c r="Y216" s="312" t="e" cm="1">
        <f t="array" ref="Y216">_xlfn.XLOOKUP($B216,$B$11:$B$91,_xlfn.XLOOKUP(Y$181,$D$5:$AX$5,$D$11:$AX$91))</f>
        <v>#REF!</v>
      </c>
      <c r="Z216" s="312" t="e" cm="1">
        <f t="array" ref="Z216">_xlfn.XLOOKUP($B216,$B$11:$B$91,_xlfn.XLOOKUP(Z$181,$D$5:$AX$5,$D$11:$AX$91))</f>
        <v>#REF!</v>
      </c>
      <c r="AA216" s="312" t="e" cm="1">
        <f t="array" ref="AA216">_xlfn.XLOOKUP($B216,$B$11:$B$91,_xlfn.XLOOKUP(AA$181,$D$5:$AX$5,$D$11:$AX$91))</f>
        <v>#REF!</v>
      </c>
      <c r="AB216" s="312" t="e" cm="1">
        <f t="array" ref="AB216">_xlfn.XLOOKUP($B216,$B$11:$B$91,_xlfn.XLOOKUP(AB$181,$D$5:$AX$5,$D$11:$AX$91))</f>
        <v>#REF!</v>
      </c>
      <c r="AC216" s="312" t="e" cm="1">
        <f t="array" ref="AC216">_xlfn.XLOOKUP($B216,$B$11:$B$91,_xlfn.XLOOKUP(AC$181,$D$5:$AX$5,$D$11:$AX$91))</f>
        <v>#REF!</v>
      </c>
      <c r="AD216" s="312" t="e" cm="1">
        <f t="array" ref="AD216">_xlfn.XLOOKUP($B216,$B$11:$B$91,_xlfn.XLOOKUP(AD$181,$D$5:$AX$5,$D$11:$AX$91))</f>
        <v>#REF!</v>
      </c>
      <c r="AE216" s="312" t="e" cm="1">
        <f t="array" ref="AE216">_xlfn.XLOOKUP($B216,$B$11:$B$91,_xlfn.XLOOKUP(AE$181,$D$5:$AX$5,$D$11:$AX$91))</f>
        <v>#REF!</v>
      </c>
      <c r="AF216" s="312" t="e" cm="1">
        <f t="array" ref="AF216">_xlfn.XLOOKUP($B216,$B$11:$B$91,_xlfn.XLOOKUP(AF$181,$D$5:$AX$5,$D$11:$AX$91))</f>
        <v>#REF!</v>
      </c>
      <c r="AG216" s="312"/>
      <c r="AH216" s="310" t="str">
        <f>C216</f>
        <v xml:space="preserve"> KPI'sRevenue - New</v>
      </c>
      <c r="AI216" s="311" t="str" cm="1">
        <f t="array" ref="AI216">_xlfn.XLOOKUP($B216,$B$11:$B$91,_xlfn.XLOOKUP(AI$181,$D$5:$AX$5,$D$11:$AX$91))</f>
        <v>A$m</v>
      </c>
      <c r="AJ216" s="311"/>
      <c r="AK216" s="311"/>
      <c r="AL216" s="312" t="e" cm="1">
        <f t="array" ref="AL216">_xlfn.XLOOKUP($B216,$B$11:$B$91,_xlfn.XLOOKUP(AL$181,$D$5:$AX$5,$D$11:$AX$91))</f>
        <v>#REF!</v>
      </c>
      <c r="AM216" s="312" t="e" cm="1">
        <f t="array" ref="AM216">_xlfn.XLOOKUP($B216,$B$11:$B$91,_xlfn.XLOOKUP(AM$181,$D$5:$AX$5,$D$11:$AX$91))</f>
        <v>#REF!</v>
      </c>
      <c r="AN216" s="312" t="e" cm="1">
        <f t="array" ref="AN216">_xlfn.XLOOKUP($B216,$B$11:$B$91,_xlfn.XLOOKUP(AN$181,$D$5:$AX$5,$D$11:$AX$91))</f>
        <v>#REF!</v>
      </c>
      <c r="AO216" s="312" t="e" cm="1">
        <f t="array" ref="AO216">_xlfn.XLOOKUP($B216,$B$11:$B$91,_xlfn.XLOOKUP(AO$181,$D$5:$AX$5,$D$11:$AX$91))</f>
        <v>#REF!</v>
      </c>
      <c r="AP216" s="312" t="e" cm="1">
        <f t="array" ref="AP216">_xlfn.XLOOKUP($B216,$B$11:$B$91,_xlfn.XLOOKUP(AP$181,$D$5:$AX$5,$D$11:$AX$91))</f>
        <v>#REF!</v>
      </c>
      <c r="AQ216" s="312" t="e" cm="1">
        <f t="array" ref="AQ216">_xlfn.XLOOKUP($B216,$B$11:$B$91,_xlfn.XLOOKUP(AQ$181,$D$5:$AX$5,$D$11:$AX$91))</f>
        <v>#REF!</v>
      </c>
      <c r="AR216" s="312" t="e" cm="1">
        <f t="array" ref="AR216">_xlfn.XLOOKUP($B216,$B$11:$B$91,_xlfn.XLOOKUP(AR$181,$D$5:$AX$5,$D$11:$AX$91))</f>
        <v>#REF!</v>
      </c>
      <c r="AS216" s="312" t="e" cm="1">
        <f t="array" ref="AS216">_xlfn.XLOOKUP($B216,$B$11:$B$91,_xlfn.XLOOKUP(AS$181,$D$5:$AX$5,$D$11:$AX$91))</f>
        <v>#REF!</v>
      </c>
      <c r="AT216" s="312" t="e" cm="1">
        <f t="array" ref="AT216">_xlfn.XLOOKUP($B216,$B$11:$B$91,_xlfn.XLOOKUP(AT$181,$D$5:$AX$5,$D$11:$AX$91))</f>
        <v>#REF!</v>
      </c>
      <c r="AU216" s="312" t="e" cm="1">
        <f t="array" ref="AU216">_xlfn.XLOOKUP($B216,$B$11:$B$91,_xlfn.XLOOKUP(AU$181,$D$5:$AX$5,$D$11:$AX$91))</f>
        <v>#REF!</v>
      </c>
      <c r="AV216" s="312" t="e" cm="1">
        <f t="array" ref="AV216">_xlfn.XLOOKUP($B216,$B$11:$B$91,_xlfn.XLOOKUP(AV$181,$D$5:$AX$5,$D$11:$AX$91))</f>
        <v>#REF!</v>
      </c>
      <c r="AW216" s="312" t="e" cm="1">
        <f t="array" ref="AW216">_xlfn.XLOOKUP($B216,$B$11:$B$91,_xlfn.XLOOKUP(AW$181,$D$5:$AX$5,$D$11:$AX$91))</f>
        <v>#REF!</v>
      </c>
      <c r="AX216" s="312" t="e" cm="1">
        <f t="array" ref="AX216">_xlfn.XLOOKUP($B216,$B$11:$B$91,_xlfn.XLOOKUP(AX$181,$D$5:$AX$5,$D$11:$AX$91))</f>
        <v>#REF!</v>
      </c>
    </row>
    <row r="217" spans="1:50" hidden="1" outlineLevel="1">
      <c r="C217" s="313" t="s">
        <v>1121</v>
      </c>
      <c r="D217" s="307" t="s">
        <v>842</v>
      </c>
      <c r="E217" s="307"/>
      <c r="F217" s="307"/>
      <c r="G217" s="314" t="s">
        <v>967</v>
      </c>
      <c r="H217" s="314" t="s">
        <v>967</v>
      </c>
      <c r="I217" s="314" t="e">
        <f t="shared" ref="I217:AF217" si="58">I216/G216-1</f>
        <v>#REF!</v>
      </c>
      <c r="J217" s="314" t="e">
        <f t="shared" si="58"/>
        <v>#REF!</v>
      </c>
      <c r="K217" s="314" t="e">
        <f t="shared" si="58"/>
        <v>#REF!</v>
      </c>
      <c r="L217" s="314" t="e">
        <f t="shared" si="58"/>
        <v>#REF!</v>
      </c>
      <c r="M217" s="314" t="e">
        <f t="shared" si="58"/>
        <v>#REF!</v>
      </c>
      <c r="N217" s="314" t="e">
        <f t="shared" si="58"/>
        <v>#REF!</v>
      </c>
      <c r="O217" s="314" t="e">
        <f t="shared" si="58"/>
        <v>#REF!</v>
      </c>
      <c r="P217" s="314" t="e">
        <f t="shared" si="58"/>
        <v>#REF!</v>
      </c>
      <c r="Q217" s="314" t="e">
        <f t="shared" si="58"/>
        <v>#REF!</v>
      </c>
      <c r="R217" s="314" t="e">
        <f t="shared" si="58"/>
        <v>#REF!</v>
      </c>
      <c r="S217" s="314" t="e">
        <f t="shared" si="58"/>
        <v>#REF!</v>
      </c>
      <c r="T217" s="314" t="e">
        <f t="shared" si="58"/>
        <v>#REF!</v>
      </c>
      <c r="U217" s="314" t="e">
        <f t="shared" si="58"/>
        <v>#REF!</v>
      </c>
      <c r="V217" s="314" t="e">
        <f t="shared" si="58"/>
        <v>#REF!</v>
      </c>
      <c r="W217" s="314" t="e">
        <f t="shared" si="58"/>
        <v>#REF!</v>
      </c>
      <c r="X217" s="314" t="e">
        <f t="shared" si="58"/>
        <v>#REF!</v>
      </c>
      <c r="Y217" s="314" t="e">
        <f t="shared" si="58"/>
        <v>#REF!</v>
      </c>
      <c r="Z217" s="314" t="e">
        <f t="shared" si="58"/>
        <v>#REF!</v>
      </c>
      <c r="AA217" s="314" t="e">
        <f t="shared" si="58"/>
        <v>#REF!</v>
      </c>
      <c r="AB217" s="314" t="e">
        <f t="shared" si="58"/>
        <v>#REF!</v>
      </c>
      <c r="AC217" s="314" t="e">
        <f t="shared" si="58"/>
        <v>#REF!</v>
      </c>
      <c r="AD217" s="314" t="e">
        <f t="shared" si="58"/>
        <v>#REF!</v>
      </c>
      <c r="AE217" s="314" t="e">
        <f t="shared" si="58"/>
        <v>#REF!</v>
      </c>
      <c r="AF217" s="314" t="e">
        <f t="shared" si="58"/>
        <v>#REF!</v>
      </c>
      <c r="AG217" s="315"/>
      <c r="AH217" s="313" t="str">
        <f>C217</f>
        <v>- Growth</v>
      </c>
      <c r="AI217" s="307" t="str">
        <f>D217</f>
        <v>%</v>
      </c>
      <c r="AJ217" s="307"/>
      <c r="AK217" s="307"/>
      <c r="AL217" s="314" t="s">
        <v>967</v>
      </c>
      <c r="AM217" s="314" t="e">
        <f t="shared" ref="AM217:AX217" si="59">AM216/AL216-1</f>
        <v>#REF!</v>
      </c>
      <c r="AN217" s="314" t="e">
        <f t="shared" si="59"/>
        <v>#REF!</v>
      </c>
      <c r="AO217" s="314" t="e">
        <f t="shared" si="59"/>
        <v>#REF!</v>
      </c>
      <c r="AP217" s="314" t="e">
        <f t="shared" si="59"/>
        <v>#REF!</v>
      </c>
      <c r="AQ217" s="314" t="e">
        <f t="shared" si="59"/>
        <v>#REF!</v>
      </c>
      <c r="AR217" s="314" t="e">
        <f t="shared" si="59"/>
        <v>#REF!</v>
      </c>
      <c r="AS217" s="314" t="e">
        <f t="shared" si="59"/>
        <v>#REF!</v>
      </c>
      <c r="AT217" s="314" t="e">
        <f t="shared" si="59"/>
        <v>#REF!</v>
      </c>
      <c r="AU217" s="314" t="e">
        <f t="shared" si="59"/>
        <v>#REF!</v>
      </c>
      <c r="AV217" s="314" t="e">
        <f t="shared" si="59"/>
        <v>#REF!</v>
      </c>
      <c r="AW217" s="314" t="e">
        <f t="shared" si="59"/>
        <v>#REF!</v>
      </c>
      <c r="AX217" s="314" t="e">
        <f t="shared" si="59"/>
        <v>#REF!</v>
      </c>
    </row>
    <row r="218" spans="1:50" collapsed="1">
      <c r="C218" s="313" t="s">
        <v>1122</v>
      </c>
      <c r="D218" s="307" t="s">
        <v>842</v>
      </c>
      <c r="E218" s="307"/>
      <c r="F218" s="307"/>
      <c r="G218" s="314">
        <f xml:space="preserve"> IFERROR(ROUND( G216 / G215,3) - 1, 0)</f>
        <v>0</v>
      </c>
      <c r="H218" s="314">
        <f t="shared" ref="H218:AF218" si="60" xml:space="preserve"> IFERROR(ROUND( H216 / H215,3) - 1, 0)</f>
        <v>0</v>
      </c>
      <c r="I218" s="314">
        <f t="shared" si="60"/>
        <v>0</v>
      </c>
      <c r="J218" s="314">
        <f t="shared" si="60"/>
        <v>0</v>
      </c>
      <c r="K218" s="314">
        <f t="shared" si="60"/>
        <v>0</v>
      </c>
      <c r="L218" s="314">
        <f t="shared" si="60"/>
        <v>0</v>
      </c>
      <c r="M218" s="314">
        <f t="shared" si="60"/>
        <v>0</v>
      </c>
      <c r="N218" s="314">
        <f t="shared" si="60"/>
        <v>0</v>
      </c>
      <c r="O218" s="314">
        <f t="shared" si="60"/>
        <v>0</v>
      </c>
      <c r="P218" s="314">
        <f t="shared" si="60"/>
        <v>0</v>
      </c>
      <c r="Q218" s="314">
        <f t="shared" si="60"/>
        <v>0</v>
      </c>
      <c r="R218" s="314">
        <f t="shared" si="60"/>
        <v>0</v>
      </c>
      <c r="S218" s="314">
        <f t="shared" si="60"/>
        <v>0</v>
      </c>
      <c r="T218" s="314">
        <f t="shared" si="60"/>
        <v>0</v>
      </c>
      <c r="U218" s="314">
        <f t="shared" si="60"/>
        <v>0</v>
      </c>
      <c r="V218" s="314">
        <f t="shared" si="60"/>
        <v>0</v>
      </c>
      <c r="W218" s="314">
        <f t="shared" si="60"/>
        <v>0</v>
      </c>
      <c r="X218" s="314">
        <f t="shared" si="60"/>
        <v>0</v>
      </c>
      <c r="Y218" s="314">
        <f t="shared" si="60"/>
        <v>0</v>
      </c>
      <c r="Z218" s="314">
        <f t="shared" si="60"/>
        <v>0</v>
      </c>
      <c r="AA218" s="314">
        <f t="shared" si="60"/>
        <v>0</v>
      </c>
      <c r="AB218" s="314">
        <f t="shared" si="60"/>
        <v>0</v>
      </c>
      <c r="AC218" s="314">
        <f t="shared" si="60"/>
        <v>0</v>
      </c>
      <c r="AD218" s="314">
        <f t="shared" si="60"/>
        <v>0</v>
      </c>
      <c r="AE218" s="314">
        <f t="shared" si="60"/>
        <v>0</v>
      </c>
      <c r="AF218" s="314">
        <f t="shared" si="60"/>
        <v>0</v>
      </c>
      <c r="AG218" s="314"/>
      <c r="AH218" s="313" t="str">
        <f>C218</f>
        <v>- Revision</v>
      </c>
      <c r="AI218" s="307" t="str">
        <f>D218</f>
        <v>%</v>
      </c>
      <c r="AJ218" s="307"/>
      <c r="AK218" s="307"/>
      <c r="AL218" s="314">
        <f t="shared" ref="AL218:AX218" si="61" xml:space="preserve"> IFERROR(ROUND( AL216 / AL215,3) - 1, 0)</f>
        <v>0</v>
      </c>
      <c r="AM218" s="314">
        <f t="shared" si="61"/>
        <v>0</v>
      </c>
      <c r="AN218" s="314">
        <f t="shared" si="61"/>
        <v>0</v>
      </c>
      <c r="AO218" s="314">
        <f t="shared" si="61"/>
        <v>0</v>
      </c>
      <c r="AP218" s="314">
        <f t="shared" si="61"/>
        <v>0</v>
      </c>
      <c r="AQ218" s="314">
        <f t="shared" si="61"/>
        <v>0</v>
      </c>
      <c r="AR218" s="314">
        <f t="shared" si="61"/>
        <v>0</v>
      </c>
      <c r="AS218" s="314">
        <f t="shared" si="61"/>
        <v>0</v>
      </c>
      <c r="AT218" s="314">
        <f t="shared" si="61"/>
        <v>0</v>
      </c>
      <c r="AU218" s="314">
        <f t="shared" si="61"/>
        <v>0</v>
      </c>
      <c r="AV218" s="314">
        <f t="shared" si="61"/>
        <v>0</v>
      </c>
      <c r="AW218" s="314">
        <f t="shared" si="61"/>
        <v>0</v>
      </c>
      <c r="AX218" s="314">
        <f t="shared" si="61"/>
        <v>0</v>
      </c>
    </row>
    <row r="219" spans="1:50">
      <c r="B219" s="305"/>
      <c r="C219" s="313"/>
      <c r="D219" s="307"/>
      <c r="E219" s="307"/>
      <c r="F219" s="307"/>
      <c r="G219" s="314"/>
      <c r="H219" s="314"/>
      <c r="I219" s="314"/>
      <c r="J219" s="314"/>
      <c r="K219" s="314"/>
      <c r="L219" s="314"/>
      <c r="M219" s="314"/>
      <c r="N219" s="314"/>
      <c r="O219" s="314"/>
      <c r="P219" s="314"/>
      <c r="Q219" s="314"/>
      <c r="R219" s="314"/>
      <c r="S219" s="314"/>
      <c r="T219" s="314"/>
      <c r="U219" s="314"/>
      <c r="V219" s="314"/>
      <c r="W219" s="314"/>
      <c r="X219" s="314"/>
      <c r="Y219" s="314"/>
      <c r="Z219" s="314"/>
      <c r="AA219" s="314"/>
      <c r="AB219" s="314"/>
      <c r="AC219" s="314"/>
      <c r="AD219" s="314"/>
      <c r="AE219" s="314"/>
      <c r="AF219" s="314"/>
      <c r="AG219" s="314"/>
      <c r="AH219" s="313"/>
      <c r="AI219" s="307"/>
      <c r="AJ219" s="307"/>
      <c r="AK219" s="307"/>
      <c r="AL219" s="314"/>
      <c r="AM219" s="314"/>
      <c r="AN219" s="314"/>
      <c r="AO219" s="314"/>
      <c r="AP219" s="314"/>
      <c r="AQ219" s="314"/>
      <c r="AR219" s="314"/>
      <c r="AS219" s="314"/>
      <c r="AT219" s="314"/>
      <c r="AU219" s="314"/>
      <c r="AV219" s="314"/>
      <c r="AW219" s="314"/>
      <c r="AX219" s="314"/>
    </row>
    <row r="220" spans="1:50">
      <c r="A220" t="s">
        <v>971</v>
      </c>
      <c r="C220" s="291" t="s">
        <v>1182</v>
      </c>
      <c r="D220" s="292"/>
      <c r="E220" s="292"/>
      <c r="F220" s="292"/>
      <c r="G220" s="292"/>
      <c r="H220" s="292"/>
      <c r="I220" s="292"/>
      <c r="J220" s="292"/>
      <c r="K220" s="292"/>
      <c r="L220" s="292"/>
      <c r="M220" s="292"/>
      <c r="N220" s="292"/>
      <c r="O220" s="292"/>
      <c r="P220" s="293"/>
      <c r="Q220" s="293"/>
      <c r="R220" s="293"/>
      <c r="S220" s="293"/>
      <c r="T220" s="293"/>
      <c r="U220" s="293"/>
      <c r="V220" s="293"/>
      <c r="W220" s="293"/>
      <c r="X220" s="293"/>
      <c r="Y220" s="293"/>
      <c r="Z220" s="293"/>
      <c r="AA220" s="293"/>
      <c r="AB220" s="293"/>
      <c r="AC220" s="293"/>
      <c r="AD220" s="293"/>
      <c r="AE220" s="293"/>
      <c r="AF220" s="293"/>
      <c r="AG220" s="293"/>
      <c r="AH220" s="293"/>
      <c r="AI220" s="293"/>
      <c r="AJ220" s="292"/>
      <c r="AK220" s="292"/>
      <c r="AL220" s="292"/>
      <c r="AM220" s="292"/>
      <c r="AN220" s="292"/>
      <c r="AO220" s="292"/>
      <c r="AP220" s="292"/>
      <c r="AQ220" s="292"/>
      <c r="AR220" s="292"/>
      <c r="AS220" s="292"/>
      <c r="AT220" s="292"/>
      <c r="AU220" s="292"/>
      <c r="AV220" s="292"/>
      <c r="AW220" s="292"/>
      <c r="AX220" s="292"/>
    </row>
    <row r="221" spans="1:50">
      <c r="C221" s="296"/>
      <c r="D221" s="296" t="s">
        <v>960</v>
      </c>
      <c r="E221" s="296"/>
      <c r="F221" s="296" t="str">
        <f>F$5</f>
        <v>VAL</v>
      </c>
      <c r="G221" s="297" t="str">
        <f t="shared" ref="G221:AF221" si="62">G$5</f>
        <v>1H22A</v>
      </c>
      <c r="H221" s="298" t="str">
        <f t="shared" si="62"/>
        <v>2H22A</v>
      </c>
      <c r="I221" s="297" t="str">
        <f t="shared" si="62"/>
        <v>1H23A</v>
      </c>
      <c r="J221" s="298" t="str">
        <f t="shared" si="62"/>
        <v>2H23A</v>
      </c>
      <c r="K221" s="297" t="str">
        <f t="shared" si="62"/>
        <v>1H24E</v>
      </c>
      <c r="L221" s="298" t="str">
        <f t="shared" si="62"/>
        <v>2H24E</v>
      </c>
      <c r="M221" s="297" t="str">
        <f t="shared" si="62"/>
        <v>1H25E</v>
      </c>
      <c r="N221" s="298" t="str">
        <f t="shared" si="62"/>
        <v>2H25E</v>
      </c>
      <c r="O221" s="297" t="str">
        <f t="shared" si="62"/>
        <v>1H26E</v>
      </c>
      <c r="P221" s="298" t="str">
        <f t="shared" si="62"/>
        <v>2H26E</v>
      </c>
      <c r="Q221" s="297" t="str">
        <f t="shared" si="62"/>
        <v>1H27E</v>
      </c>
      <c r="R221" s="298" t="str">
        <f t="shared" si="62"/>
        <v>2H27E</v>
      </c>
      <c r="S221" s="297" t="str">
        <f t="shared" si="62"/>
        <v>1H28E</v>
      </c>
      <c r="T221" s="298" t="str">
        <f t="shared" si="62"/>
        <v>2H28E</v>
      </c>
      <c r="U221" s="297" t="str">
        <f t="shared" si="62"/>
        <v>1H29E</v>
      </c>
      <c r="V221" s="298" t="str">
        <f t="shared" si="62"/>
        <v>2H29E</v>
      </c>
      <c r="W221" s="297" t="str">
        <f t="shared" si="62"/>
        <v>1H30E</v>
      </c>
      <c r="X221" s="298" t="str">
        <f t="shared" si="62"/>
        <v>2H30E</v>
      </c>
      <c r="Y221" s="298" t="str">
        <f t="shared" si="62"/>
        <v>1H31E</v>
      </c>
      <c r="Z221" s="298" t="str">
        <f t="shared" si="62"/>
        <v>2H31E</v>
      </c>
      <c r="AA221" s="298" t="str">
        <f t="shared" si="62"/>
        <v>1H32E</v>
      </c>
      <c r="AB221" s="298" t="str">
        <f t="shared" si="62"/>
        <v>2H32E</v>
      </c>
      <c r="AC221" s="298" t="str">
        <f t="shared" si="62"/>
        <v>1H33E</v>
      </c>
      <c r="AD221" s="298" t="str">
        <f t="shared" si="62"/>
        <v>2H33E</v>
      </c>
      <c r="AE221" s="298" t="str">
        <f t="shared" si="62"/>
        <v>1H34E</v>
      </c>
      <c r="AF221" s="298" t="str">
        <f t="shared" si="62"/>
        <v>2H34E</v>
      </c>
      <c r="AG221" s="299"/>
      <c r="AH221" s="723"/>
      <c r="AI221" s="723" t="s">
        <v>960</v>
      </c>
      <c r="AJ221" s="723"/>
      <c r="AK221" s="723" t="str">
        <f>AK$5</f>
        <v>VAL</v>
      </c>
      <c r="AL221" s="723" t="str">
        <f t="shared" ref="AL221:AX221" si="63">AL$5</f>
        <v>FY22A</v>
      </c>
      <c r="AM221" s="723" t="str">
        <f t="shared" si="63"/>
        <v>FY23A</v>
      </c>
      <c r="AN221" s="723" t="str">
        <f t="shared" si="63"/>
        <v>FY24A</v>
      </c>
      <c r="AO221" s="723" t="str">
        <f t="shared" si="63"/>
        <v>FY25A</v>
      </c>
      <c r="AP221" s="723" t="str">
        <f t="shared" si="63"/>
        <v>FY26A</v>
      </c>
      <c r="AQ221" s="723" t="str">
        <f t="shared" si="63"/>
        <v>FY27A</v>
      </c>
      <c r="AR221" s="723" t="str">
        <f t="shared" si="63"/>
        <v>FY28A</v>
      </c>
      <c r="AS221" s="723" t="str">
        <f t="shared" si="63"/>
        <v>FY29A</v>
      </c>
      <c r="AT221" s="723" t="str">
        <f t="shared" si="63"/>
        <v>FY30A</v>
      </c>
      <c r="AU221" s="723" t="str">
        <f t="shared" si="63"/>
        <v>FY31A</v>
      </c>
      <c r="AV221" s="723" t="str">
        <f t="shared" si="63"/>
        <v>FY32A</v>
      </c>
      <c r="AW221" s="723" t="str">
        <f t="shared" si="63"/>
        <v>FY33A</v>
      </c>
      <c r="AX221" s="723" t="str">
        <f t="shared" si="63"/>
        <v>FY34A</v>
      </c>
    </row>
    <row r="222" spans="1:50">
      <c r="C222" s="300"/>
      <c r="D222" s="300"/>
      <c r="E222" s="300"/>
      <c r="F222" s="300"/>
      <c r="G222" s="301">
        <f t="shared" ref="G222:AF222" si="64">G$6</f>
        <v>44561</v>
      </c>
      <c r="H222" s="302">
        <f t="shared" si="64"/>
        <v>44742</v>
      </c>
      <c r="I222" s="301">
        <f t="shared" si="64"/>
        <v>44926</v>
      </c>
      <c r="J222" s="302">
        <f t="shared" si="64"/>
        <v>45107</v>
      </c>
      <c r="K222" s="301">
        <f t="shared" si="64"/>
        <v>45291</v>
      </c>
      <c r="L222" s="302">
        <f t="shared" si="64"/>
        <v>45473</v>
      </c>
      <c r="M222" s="301">
        <f t="shared" si="64"/>
        <v>45657</v>
      </c>
      <c r="N222" s="302">
        <f t="shared" si="64"/>
        <v>45838</v>
      </c>
      <c r="O222" s="301">
        <f t="shared" si="64"/>
        <v>46022</v>
      </c>
      <c r="P222" s="302">
        <f t="shared" si="64"/>
        <v>46203</v>
      </c>
      <c r="Q222" s="301">
        <f t="shared" si="64"/>
        <v>46387</v>
      </c>
      <c r="R222" s="302">
        <f t="shared" si="64"/>
        <v>46568</v>
      </c>
      <c r="S222" s="301">
        <f t="shared" si="64"/>
        <v>46752</v>
      </c>
      <c r="T222" s="302">
        <f t="shared" si="64"/>
        <v>46934</v>
      </c>
      <c r="U222" s="301">
        <f t="shared" si="64"/>
        <v>47118</v>
      </c>
      <c r="V222" s="302">
        <f t="shared" si="64"/>
        <v>47299</v>
      </c>
      <c r="W222" s="301">
        <f t="shared" si="64"/>
        <v>47483</v>
      </c>
      <c r="X222" s="300">
        <f t="shared" si="64"/>
        <v>47664</v>
      </c>
      <c r="Y222" s="300">
        <f t="shared" si="64"/>
        <v>47848</v>
      </c>
      <c r="Z222" s="300">
        <f t="shared" si="64"/>
        <v>48029</v>
      </c>
      <c r="AA222" s="300">
        <f t="shared" si="64"/>
        <v>48213</v>
      </c>
      <c r="AB222" s="300">
        <f t="shared" si="64"/>
        <v>48395</v>
      </c>
      <c r="AC222" s="300">
        <f t="shared" si="64"/>
        <v>48579</v>
      </c>
      <c r="AD222" s="300">
        <f t="shared" si="64"/>
        <v>48760</v>
      </c>
      <c r="AE222" s="300">
        <f t="shared" si="64"/>
        <v>48944</v>
      </c>
      <c r="AF222" s="300">
        <f t="shared" si="64"/>
        <v>49125</v>
      </c>
      <c r="AG222" s="303"/>
      <c r="AH222" s="724"/>
      <c r="AI222" s="724"/>
      <c r="AJ222" s="724"/>
      <c r="AK222" s="724"/>
      <c r="AL222" s="724">
        <f t="shared" ref="AL222:AX222" si="65">AL$6</f>
        <v>44742</v>
      </c>
      <c r="AM222" s="724">
        <f t="shared" si="65"/>
        <v>45107</v>
      </c>
      <c r="AN222" s="724">
        <f t="shared" si="65"/>
        <v>45473</v>
      </c>
      <c r="AO222" s="724">
        <f t="shared" si="65"/>
        <v>45838</v>
      </c>
      <c r="AP222" s="724">
        <f t="shared" si="65"/>
        <v>46203</v>
      </c>
      <c r="AQ222" s="724">
        <f t="shared" si="65"/>
        <v>46568</v>
      </c>
      <c r="AR222" s="724">
        <f t="shared" si="65"/>
        <v>46934</v>
      </c>
      <c r="AS222" s="724">
        <f t="shared" si="65"/>
        <v>47299</v>
      </c>
      <c r="AT222" s="724">
        <f t="shared" si="65"/>
        <v>47664</v>
      </c>
      <c r="AU222" s="724">
        <f t="shared" si="65"/>
        <v>48029</v>
      </c>
      <c r="AV222" s="724">
        <f t="shared" si="65"/>
        <v>48395</v>
      </c>
      <c r="AW222" s="724">
        <f t="shared" si="65"/>
        <v>48760</v>
      </c>
      <c r="AX222" s="724">
        <f t="shared" si="65"/>
        <v>49125</v>
      </c>
    </row>
    <row r="223" spans="1:50" s="704" customFormat="1">
      <c r="B223" s="705" t="s">
        <v>1429</v>
      </c>
      <c r="C223" s="706" t="str">
        <f>_xlfn.TEXTAFTER($B223,$C$220)&amp;" - old"</f>
        <v>Revenue - old</v>
      </c>
      <c r="D223" s="707" t="str" cm="1">
        <f t="array" ref="D223">_xlfn.XLOOKUP($B223,$B$96:$B$176,_xlfn.XLOOKUP(D$181,$D$5:$AX$5,$D$96:$AX$176))</f>
        <v>A$m</v>
      </c>
      <c r="E223" s="707"/>
      <c r="F223" s="707"/>
      <c r="G223" s="708" cm="1">
        <f t="array" ref="G223">_xlfn.XLOOKUP($B223,$B$96:$B$176,_xlfn.XLOOKUP(G$181,$D$5:$AX$5,$D$96:$AX$176))</f>
        <v>1073.4000000000001</v>
      </c>
      <c r="H223" s="708" cm="1">
        <f t="array" ref="H223">_xlfn.XLOOKUP($B223,$B$96:$B$176,_xlfn.XLOOKUP(H$181,$D$5:$AX$5,$D$96:$AX$176))</f>
        <v>1108.5</v>
      </c>
      <c r="I223" s="708" cm="1">
        <f t="array" ref="I223">_xlfn.XLOOKUP($B223,$B$96:$B$176,_xlfn.XLOOKUP(I$181,$D$5:$AX$5,$D$96:$AX$176))</f>
        <v>1165.7</v>
      </c>
      <c r="J223" s="708" cm="1">
        <f t="array" ref="J223">_xlfn.XLOOKUP($B223,$B$96:$B$176,_xlfn.XLOOKUP(J$181,$D$5:$AX$5,$D$96:$AX$176))</f>
        <v>1065.1000000000001</v>
      </c>
      <c r="K223" s="708" cm="1">
        <f t="array" ref="K223">_xlfn.XLOOKUP($B223,$B$96:$B$176,_xlfn.XLOOKUP(K$181,$D$5:$AX$5,$D$96:$AX$176))</f>
        <v>1116.5999999999999</v>
      </c>
      <c r="L223" s="708" cm="1">
        <f t="array" ref="L223">_xlfn.XLOOKUP($B223,$B$96:$B$176,_xlfn.XLOOKUP(L$181,$D$5:$AX$5,$D$96:$AX$176))</f>
        <v>1046.2000000000003</v>
      </c>
      <c r="M223" s="708" cm="1">
        <f t="array" ref="M223">_xlfn.XLOOKUP($B223,$B$96:$B$176,_xlfn.XLOOKUP(M$181,$D$5:$AX$5,$D$96:$AX$176))</f>
        <v>1243.2</v>
      </c>
      <c r="N223" s="708" cm="1">
        <f t="array" ref="N223">_xlfn.XLOOKUP($B223,$B$96:$B$176,_xlfn.XLOOKUP(N$181,$D$5:$AX$5,$D$96:$AX$176))</f>
        <v>1195.6000000000001</v>
      </c>
      <c r="O223" s="708" cm="1">
        <f t="array" ref="O223">_xlfn.XLOOKUP($B223,$B$96:$B$176,_xlfn.XLOOKUP(O$181,$D$5:$AX$5,$D$96:$AX$176))</f>
        <v>1253.2</v>
      </c>
      <c r="P223" s="708" cm="1">
        <f t="array" ref="P223">_xlfn.XLOOKUP($B223,$B$96:$B$176,_xlfn.XLOOKUP(P$181,$D$5:$AX$5,$D$96:$AX$176))</f>
        <v>1216.792535348</v>
      </c>
      <c r="Q223" s="708" cm="1">
        <f t="array" ref="Q223">_xlfn.XLOOKUP($B223,$B$96:$B$176,_xlfn.XLOOKUP(Q$181,$D$5:$AX$5,$D$96:$AX$176))</f>
        <v>1313.650334465</v>
      </c>
      <c r="R223" s="708" cm="1">
        <f t="array" ref="R223">_xlfn.XLOOKUP($B223,$B$96:$B$176,_xlfn.XLOOKUP(R$181,$D$5:$AX$5,$D$96:$AX$176))</f>
        <v>1242.0994496340002</v>
      </c>
      <c r="S223" s="708" cm="1">
        <f t="array" ref="S223">_xlfn.XLOOKUP($B223,$B$96:$B$176,_xlfn.XLOOKUP(S$181,$D$5:$AX$5,$D$96:$AX$176))</f>
        <v>1340.1458403315003</v>
      </c>
      <c r="T223" s="708" cm="1">
        <f t="array" ref="T223">_xlfn.XLOOKUP($B223,$B$96:$B$176,_xlfn.XLOOKUP(T$181,$D$5:$AX$5,$D$96:$AX$176))</f>
        <v>1269.6815726935401</v>
      </c>
      <c r="U223" s="708" cm="1">
        <f t="array" ref="U223">_xlfn.XLOOKUP($B223,$B$96:$B$176,_xlfn.XLOOKUP(U$181,$D$5:$AX$5,$D$96:$AX$176))</f>
        <v>1369.922578197215</v>
      </c>
      <c r="V223" s="708" cm="1">
        <f t="array" ref="V223">_xlfn.XLOOKUP($B223,$B$96:$B$176,_xlfn.XLOOKUP(V$181,$D$5:$AX$5,$D$96:$AX$176))</f>
        <v>1298.0217408405715</v>
      </c>
      <c r="W223" s="708" cm="1">
        <f t="array" ref="W223">_xlfn.XLOOKUP($B223,$B$96:$B$176,_xlfn.XLOOKUP(W$181,$D$5:$AX$5,$D$96:$AX$176))</f>
        <v>1400.5169016334594</v>
      </c>
      <c r="X223" s="708" cm="1">
        <f t="array" ref="X223">_xlfn.XLOOKUP($B223,$B$96:$B$176,_xlfn.XLOOKUP(X$181,$D$5:$AX$5,$D$96:$AX$176))</f>
        <v>1327.1432426416761</v>
      </c>
      <c r="Y223" s="708" cm="1">
        <f t="array" ref="Y223">_xlfn.XLOOKUP($B223,$B$96:$B$176,_xlfn.XLOOKUP(Y$181,$D$5:$AX$5,$D$96:$AX$176))</f>
        <v>1431.9538751908142</v>
      </c>
      <c r="Z223" s="708" cm="1">
        <f t="array" ref="Z223">_xlfn.XLOOKUP($B223,$B$96:$B$176,_xlfn.XLOOKUP(Z$181,$D$5:$AX$5,$D$96:$AX$176))</f>
        <v>1357.070124324573</v>
      </c>
      <c r="AA223" s="708" cm="1">
        <f t="array" ref="AA223">_xlfn.XLOOKUP($B223,$B$96:$B$176,_xlfn.XLOOKUP(AA$181,$D$5:$AX$5,$D$96:$AX$176))</f>
        <v>1464.2593764873138</v>
      </c>
      <c r="AB223" s="708" cm="1">
        <f t="array" ref="AB223">_xlfn.XLOOKUP($B223,$B$96:$B$176,_xlfn.XLOOKUP(AB$181,$D$5:$AX$5,$D$96:$AX$176))</f>
        <v>1387.8272153167927</v>
      </c>
      <c r="AC223" s="708" cm="1">
        <f t="array" ref="AC223">_xlfn.XLOOKUP($B223,$B$96:$B$176,_xlfn.XLOOKUP(AC$181,$D$5:$AX$5,$D$96:$AX$176))</f>
        <v>1486.4778229945218</v>
      </c>
      <c r="AD223" s="708" cm="1">
        <f t="array" ref="AD223">_xlfn.XLOOKUP($B223,$B$96:$B$176,_xlfn.XLOOKUP(AD$181,$D$5:$AX$5,$D$96:$AX$176))</f>
        <v>1409.1530149885473</v>
      </c>
      <c r="AE223" s="708" cm="1">
        <f t="array" ref="AE223">_xlfn.XLOOKUP($B223,$B$96:$B$176,_xlfn.XLOOKUP(AE$181,$D$5:$AX$5,$D$96:$AX$176))</f>
        <v>1509.6191018766604</v>
      </c>
      <c r="AF223" s="708" cm="1">
        <f t="array" ref="AF223">_xlfn.XLOOKUP($B223,$B$96:$B$176,_xlfn.XLOOKUP(AF$181,$D$5:$AX$5,$D$96:$AX$176))</f>
        <v>1431.3611390329459</v>
      </c>
      <c r="AG223" s="709"/>
      <c r="AH223" s="706" t="str">
        <f t="shared" ref="AH223:AH250" si="66">C223</f>
        <v>Revenue - old</v>
      </c>
      <c r="AI223" s="707" t="str" cm="1">
        <f t="array" ref="AI223">_xlfn.XLOOKUP($B223,$B$96:$B$176,_xlfn.XLOOKUP(AI$181,$D$5:$AX$5,$D$96:$AX$176))</f>
        <v>A$m</v>
      </c>
      <c r="AJ223" s="707"/>
      <c r="AK223" s="707"/>
      <c r="AL223" s="708" cm="1">
        <f t="array" ref="AL223">_xlfn.XLOOKUP($B223,$B$96:$B$176,_xlfn.XLOOKUP(AL$181,$D$5:$AX$5,$D$96:$AX$176))</f>
        <v>2181.9</v>
      </c>
      <c r="AM223" s="708" cm="1">
        <f t="array" ref="AM223">_xlfn.XLOOKUP($B223,$B$96:$B$176,_xlfn.XLOOKUP(AM$181,$D$5:$AX$5,$D$96:$AX$176))</f>
        <v>2230.8000000000002</v>
      </c>
      <c r="AN223" s="708" cm="1">
        <f t="array" ref="AN223">_xlfn.XLOOKUP($B223,$B$96:$B$176,_xlfn.XLOOKUP(AN$181,$D$5:$AX$5,$D$96:$AX$176))</f>
        <v>2162.8000000000002</v>
      </c>
      <c r="AO223" s="708" cm="1">
        <f t="array" ref="AO223">_xlfn.XLOOKUP($B223,$B$96:$B$176,_xlfn.XLOOKUP(AO$181,$D$5:$AX$5,$D$96:$AX$176))</f>
        <v>2438.8000000000002</v>
      </c>
      <c r="AP223" s="708" cm="1">
        <f t="array" ref="AP223">_xlfn.XLOOKUP($B223,$B$96:$B$176,_xlfn.XLOOKUP(AP$181,$D$5:$AX$5,$D$96:$AX$176))</f>
        <v>2469.9925353480003</v>
      </c>
      <c r="AQ223" s="708" cm="1">
        <f t="array" ref="AQ223">_xlfn.XLOOKUP($B223,$B$96:$B$176,_xlfn.XLOOKUP(AQ$181,$D$5:$AX$5,$D$96:$AX$176))</f>
        <v>2555.749784099</v>
      </c>
      <c r="AR223" s="708" cm="1">
        <f t="array" ref="AR223">_xlfn.XLOOKUP($B223,$B$96:$B$176,_xlfn.XLOOKUP(AR$181,$D$5:$AX$5,$D$96:$AX$176))</f>
        <v>2609.8274130250402</v>
      </c>
      <c r="AS223" s="708" cm="1">
        <f t="array" ref="AS223">_xlfn.XLOOKUP($B223,$B$96:$B$176,_xlfn.XLOOKUP(AS$181,$D$5:$AX$5,$D$96:$AX$176))</f>
        <v>2667.9443190377865</v>
      </c>
      <c r="AT223" s="708" cm="1">
        <f t="array" ref="AT223">_xlfn.XLOOKUP($B223,$B$96:$B$176,_xlfn.XLOOKUP(AT$181,$D$5:$AX$5,$D$96:$AX$176))</f>
        <v>2727.6601442751353</v>
      </c>
      <c r="AU223" s="708" cm="1">
        <f t="array" ref="AU223">_xlfn.XLOOKUP($B223,$B$96:$B$176,_xlfn.XLOOKUP(AU$181,$D$5:$AX$5,$D$96:$AX$176))</f>
        <v>2789.023999515387</v>
      </c>
      <c r="AV223" s="708" cm="1">
        <f t="array" ref="AV223">_xlfn.XLOOKUP($B223,$B$96:$B$176,_xlfn.XLOOKUP(AV$181,$D$5:$AX$5,$D$96:$AX$176))</f>
        <v>2852.0865918041063</v>
      </c>
      <c r="AW223" s="708" cm="1">
        <f t="array" ref="AW223">_xlfn.XLOOKUP($B223,$B$96:$B$176,_xlfn.XLOOKUP(AW$181,$D$5:$AX$5,$D$96:$AX$176))</f>
        <v>2895.6308379830689</v>
      </c>
      <c r="AX223" s="708" cm="1">
        <f t="array" ref="AX223">_xlfn.XLOOKUP($B223,$B$96:$B$176,_xlfn.XLOOKUP(AX$181,$D$5:$AX$5,$D$96:$AX$176))</f>
        <v>2940.9802409096064</v>
      </c>
    </row>
    <row r="224" spans="1:50">
      <c r="B224" s="305" t="s">
        <v>1429</v>
      </c>
      <c r="C224" s="318" t="str">
        <f>_xlfn.TEXTAFTER($B224,$C$220)&amp;" - New"</f>
        <v>Revenue - New</v>
      </c>
      <c r="D224" s="311" t="str" cm="1">
        <f t="array" ref="D224">_xlfn.XLOOKUP($B224,$B$11:$B$91,_xlfn.XLOOKUP(D$181,$D$5:$AX$5,$D$11:$AX$91))</f>
        <v>A$m</v>
      </c>
      <c r="E224" s="311"/>
      <c r="F224" s="311"/>
      <c r="G224" s="312" cm="1">
        <f t="array" ref="G224">_xlfn.XLOOKUP($B224,$B$11:$B$91,_xlfn.XLOOKUP(G$181,$D$5:$AX$5,$D$11:$AX$91))</f>
        <v>1073.4000000000001</v>
      </c>
      <c r="H224" s="312" cm="1">
        <f t="array" ref="H224">_xlfn.XLOOKUP($B224,$B$11:$B$91,_xlfn.XLOOKUP(H$181,$D$5:$AX$5,$D$11:$AX$91))</f>
        <v>1108.5</v>
      </c>
      <c r="I224" s="312" cm="1">
        <f t="array" ref="I224">_xlfn.XLOOKUP($B224,$B$11:$B$91,_xlfn.XLOOKUP(I$181,$D$5:$AX$5,$D$11:$AX$91))</f>
        <v>1165.7</v>
      </c>
      <c r="J224" s="312" cm="1">
        <f t="array" ref="J224">_xlfn.XLOOKUP($B224,$B$11:$B$91,_xlfn.XLOOKUP(J$181,$D$5:$AX$5,$D$11:$AX$91))</f>
        <v>1065.1000000000001</v>
      </c>
      <c r="K224" s="312" cm="1">
        <f t="array" ref="K224">_xlfn.XLOOKUP($B224,$B$11:$B$91,_xlfn.XLOOKUP(K$181,$D$5:$AX$5,$D$11:$AX$91))</f>
        <v>1116.5999999999999</v>
      </c>
      <c r="L224" s="312" cm="1">
        <f t="array" ref="L224">_xlfn.XLOOKUP($B224,$B$11:$B$91,_xlfn.XLOOKUP(L$181,$D$5:$AX$5,$D$11:$AX$91))</f>
        <v>1046.2000000000003</v>
      </c>
      <c r="M224" s="312" cm="1">
        <f t="array" ref="M224">_xlfn.XLOOKUP($B224,$B$11:$B$91,_xlfn.XLOOKUP(M$181,$D$5:$AX$5,$D$11:$AX$91))</f>
        <v>1243.2</v>
      </c>
      <c r="N224" s="312" cm="1">
        <f t="array" ref="N224">_xlfn.XLOOKUP($B224,$B$11:$B$91,_xlfn.XLOOKUP(N$181,$D$5:$AX$5,$D$11:$AX$91))</f>
        <v>1195.6000000000001</v>
      </c>
      <c r="O224" s="312" cm="1">
        <f t="array" ref="O224">_xlfn.XLOOKUP($B224,$B$11:$B$91,_xlfn.XLOOKUP(O$181,$D$5:$AX$5,$D$11:$AX$91))</f>
        <v>1253.2</v>
      </c>
      <c r="P224" s="312" cm="1">
        <f t="array" ref="P224">_xlfn.XLOOKUP($B224,$B$11:$B$91,_xlfn.XLOOKUP(P$181,$D$5:$AX$5,$D$11:$AX$91))</f>
        <v>1201.4999999999998</v>
      </c>
      <c r="Q224" s="312" cm="1">
        <f t="array" ref="Q224">_xlfn.XLOOKUP($B224,$B$11:$B$91,_xlfn.XLOOKUP(Q$181,$D$5:$AX$5,$D$11:$AX$91))</f>
        <v>1306.9912626</v>
      </c>
      <c r="R224" s="312" cm="1">
        <f t="array" ref="R224">_xlfn.XLOOKUP($B224,$B$11:$B$91,_xlfn.XLOOKUP(R$181,$D$5:$AX$5,$D$11:$AX$91))</f>
        <v>1228.5870538500001</v>
      </c>
      <c r="S224" s="312" cm="1">
        <f t="array" ref="S224">_xlfn.XLOOKUP($B224,$B$11:$B$91,_xlfn.XLOOKUP(S$181,$D$5:$AX$5,$D$11:$AX$91))</f>
        <v>1311.5464535010001</v>
      </c>
      <c r="T224" s="312" cm="1">
        <f t="array" ref="T224">_xlfn.XLOOKUP($B224,$B$11:$B$91,_xlfn.XLOOKUP(T$181,$D$5:$AX$5,$D$11:$AX$91))</f>
        <v>1242.032782024</v>
      </c>
      <c r="U224" s="312" cm="1">
        <f t="array" ref="U224">_xlfn.XLOOKUP($B224,$B$11:$B$91,_xlfn.XLOOKUP(U$181,$D$5:$AX$5,$D$11:$AX$91))</f>
        <v>1323.7522634282996</v>
      </c>
      <c r="V224" s="312" cm="1">
        <f t="array" ref="V224">_xlfn.XLOOKUP($B224,$B$11:$B$91,_xlfn.XLOOKUP(V$181,$D$5:$AX$5,$D$11:$AX$91))</f>
        <v>1252.1775538494801</v>
      </c>
      <c r="W224" s="312" cm="1">
        <f t="array" ref="W224">_xlfn.XLOOKUP($B224,$B$11:$B$91,_xlfn.XLOOKUP(W$181,$D$5:$AX$5,$D$11:$AX$91))</f>
        <v>1352.9485652203171</v>
      </c>
      <c r="X224" s="312" cm="1">
        <f t="array" ref="X224">_xlfn.XLOOKUP($B224,$B$11:$B$91,_xlfn.XLOOKUP(X$181,$D$5:$AX$5,$D$11:$AX$91))</f>
        <v>1280.1736667176647</v>
      </c>
      <c r="Y224" s="312" cm="1">
        <f t="array" ref="Y224">_xlfn.XLOOKUP($B224,$B$11:$B$91,_xlfn.XLOOKUP(Y$181,$D$5:$AX$5,$D$11:$AX$91))</f>
        <v>1372.4532846330467</v>
      </c>
      <c r="Z224" s="312" cm="1">
        <f t="array" ref="Z224">_xlfn.XLOOKUP($B224,$B$11:$B$91,_xlfn.XLOOKUP(Z$181,$D$5:$AX$5,$D$11:$AX$91))</f>
        <v>1299.4081849496483</v>
      </c>
      <c r="AA224" s="312" cm="1">
        <f t="array" ref="AA224">_xlfn.XLOOKUP($B224,$B$11:$B$91,_xlfn.XLOOKUP(AA$181,$D$5:$AX$5,$D$11:$AX$91))</f>
        <v>1392.752423003597</v>
      </c>
      <c r="AB224" s="312" cm="1">
        <f t="array" ref="AB224">_xlfn.XLOOKUP($B224,$B$11:$B$91,_xlfn.XLOOKUP(AB$181,$D$5:$AX$5,$D$11:$AX$91))</f>
        <v>1319.4098856462872</v>
      </c>
      <c r="AC224" s="312" cm="1">
        <f t="array" ref="AC224">_xlfn.XLOOKUP($B224,$B$11:$B$91,_xlfn.XLOOKUP(AC$181,$D$5:$AX$5,$D$11:$AX$91))</f>
        <v>1413.8677201269479</v>
      </c>
      <c r="AD224" s="312" cm="1">
        <f t="array" ref="AD224">_xlfn.XLOOKUP($B224,$B$11:$B$91,_xlfn.XLOOKUP(AD$181,$D$5:$AX$5,$D$11:$AX$91))</f>
        <v>1340.1998828123442</v>
      </c>
      <c r="AE224" s="312" cm="1">
        <f t="array" ref="AE224">_xlfn.XLOOKUP($B224,$B$11:$B$91,_xlfn.XLOOKUP(AE$181,$D$5:$AX$5,$D$11:$AX$91))</f>
        <v>1435.8215889196676</v>
      </c>
      <c r="AF224" s="312" cm="1">
        <f t="array" ref="AF224">_xlfn.XLOOKUP($B224,$B$11:$B$91,_xlfn.XLOOKUP(AF$181,$D$5:$AX$5,$D$11:$AX$91))</f>
        <v>1361.7999428874157</v>
      </c>
      <c r="AG224" s="312"/>
      <c r="AH224" s="310" t="str">
        <f t="shared" si="66"/>
        <v>Revenue - New</v>
      </c>
      <c r="AI224" s="311" t="str" cm="1">
        <f t="array" ref="AI224">_xlfn.XLOOKUP($B224,$B$11:$B$91,_xlfn.XLOOKUP(AI$181,$D$5:$AX$5,$D$11:$AX$91))</f>
        <v>A$m</v>
      </c>
      <c r="AJ224" s="311"/>
      <c r="AK224" s="311"/>
      <c r="AL224" s="312" cm="1">
        <f t="array" ref="AL224">_xlfn.XLOOKUP($B224,$B$11:$B$91,_xlfn.XLOOKUP(AL$181,$D$5:$AX$5,$D$11:$AX$91))</f>
        <v>2181.9</v>
      </c>
      <c r="AM224" s="312" cm="1">
        <f t="array" ref="AM224">_xlfn.XLOOKUP($B224,$B$11:$B$91,_xlfn.XLOOKUP(AM$181,$D$5:$AX$5,$D$11:$AX$91))</f>
        <v>2230.8000000000002</v>
      </c>
      <c r="AN224" s="312" cm="1">
        <f t="array" ref="AN224">_xlfn.XLOOKUP($B224,$B$11:$B$91,_xlfn.XLOOKUP(AN$181,$D$5:$AX$5,$D$11:$AX$91))</f>
        <v>2162.8000000000002</v>
      </c>
      <c r="AO224" s="312" cm="1">
        <f t="array" ref="AO224">_xlfn.XLOOKUP($B224,$B$11:$B$91,_xlfn.XLOOKUP(AO$181,$D$5:$AX$5,$D$11:$AX$91))</f>
        <v>2438.8000000000002</v>
      </c>
      <c r="AP224" s="312" cm="1">
        <f t="array" ref="AP224">_xlfn.XLOOKUP($B224,$B$11:$B$91,_xlfn.XLOOKUP(AP$181,$D$5:$AX$5,$D$11:$AX$91))</f>
        <v>2454.6999999999998</v>
      </c>
      <c r="AQ224" s="312" cm="1">
        <f t="array" ref="AQ224">_xlfn.XLOOKUP($B224,$B$11:$B$91,_xlfn.XLOOKUP(AQ$181,$D$5:$AX$5,$D$11:$AX$91))</f>
        <v>2535.5783164499999</v>
      </c>
      <c r="AR224" s="312" cm="1">
        <f t="array" ref="AR224">_xlfn.XLOOKUP($B224,$B$11:$B$91,_xlfn.XLOOKUP(AR$181,$D$5:$AX$5,$D$11:$AX$91))</f>
        <v>2553.5792355250001</v>
      </c>
      <c r="AS224" s="312" cm="1">
        <f t="array" ref="AS224">_xlfn.XLOOKUP($B224,$B$11:$B$91,_xlfn.XLOOKUP(AS$181,$D$5:$AX$5,$D$11:$AX$91))</f>
        <v>2575.9298172777799</v>
      </c>
      <c r="AT224" s="312" cm="1">
        <f t="array" ref="AT224">_xlfn.XLOOKUP($B224,$B$11:$B$91,_xlfn.XLOOKUP(AT$181,$D$5:$AX$5,$D$11:$AX$91))</f>
        <v>2633.1222319379817</v>
      </c>
      <c r="AU224" s="312" cm="1">
        <f t="array" ref="AU224">_xlfn.XLOOKUP($B224,$B$11:$B$91,_xlfn.XLOOKUP(AU$181,$D$5:$AX$5,$D$11:$AX$91))</f>
        <v>2671.861469582695</v>
      </c>
      <c r="AV224" s="312" cm="1">
        <f t="array" ref="AV224">_xlfn.XLOOKUP($B224,$B$11:$B$91,_xlfn.XLOOKUP(AV$181,$D$5:$AX$5,$D$11:$AX$91))</f>
        <v>2712.1623086498839</v>
      </c>
      <c r="AW224" s="312" cm="1">
        <f t="array" ref="AW224">_xlfn.XLOOKUP($B224,$B$11:$B$91,_xlfn.XLOOKUP(AW$181,$D$5:$AX$5,$D$11:$AX$91))</f>
        <v>2754.0676029392921</v>
      </c>
      <c r="AX224" s="312" cm="1">
        <f t="array" ref="AX224">_xlfn.XLOOKUP($B224,$B$11:$B$91,_xlfn.XLOOKUP(AX$181,$D$5:$AX$5,$D$11:$AX$91))</f>
        <v>2797.6215318070836</v>
      </c>
    </row>
    <row r="225" spans="2:50" hidden="1" outlineLevel="1">
      <c r="C225" s="313" t="s">
        <v>1121</v>
      </c>
      <c r="D225" s="307" t="s">
        <v>842</v>
      </c>
      <c r="E225" s="307"/>
      <c r="F225" s="307"/>
      <c r="G225" s="314" t="s">
        <v>967</v>
      </c>
      <c r="H225" s="314" t="s">
        <v>967</v>
      </c>
      <c r="I225" s="314">
        <f t="shared" ref="I225:AF225" si="67">I224/G224-1</f>
        <v>8.5988447922489275E-2</v>
      </c>
      <c r="J225" s="314">
        <f t="shared" si="67"/>
        <v>-3.9152007216959772E-2</v>
      </c>
      <c r="K225" s="314">
        <f t="shared" si="67"/>
        <v>-4.212061422321367E-2</v>
      </c>
      <c r="L225" s="314">
        <f t="shared" si="67"/>
        <v>-1.7744812693643697E-2</v>
      </c>
      <c r="M225" s="314">
        <f t="shared" si="67"/>
        <v>0.11337990327780778</v>
      </c>
      <c r="N225" s="314">
        <f t="shared" si="67"/>
        <v>0.1428025234180843</v>
      </c>
      <c r="O225" s="314">
        <f t="shared" si="67"/>
        <v>8.0437580437580092E-3</v>
      </c>
      <c r="P225" s="314">
        <f t="shared" si="67"/>
        <v>4.9347607895613432E-3</v>
      </c>
      <c r="Q225" s="314">
        <f t="shared" si="67"/>
        <v>4.2923126875199502E-2</v>
      </c>
      <c r="R225" s="314">
        <f t="shared" si="67"/>
        <v>2.2544364419475826E-2</v>
      </c>
      <c r="S225" s="314">
        <f t="shared" si="67"/>
        <v>3.4852496962667345E-3</v>
      </c>
      <c r="T225" s="314">
        <f t="shared" si="67"/>
        <v>1.094405816166244E-2</v>
      </c>
      <c r="U225" s="314">
        <f t="shared" si="67"/>
        <v>9.3064259330790655E-3</v>
      </c>
      <c r="V225" s="314">
        <f t="shared" si="67"/>
        <v>8.1678776698215216E-3</v>
      </c>
      <c r="W225" s="314">
        <f t="shared" si="67"/>
        <v>2.205571434975595E-2</v>
      </c>
      <c r="X225" s="314">
        <f t="shared" si="67"/>
        <v>2.2357941796766756E-2</v>
      </c>
      <c r="Y225" s="314">
        <f t="shared" si="67"/>
        <v>1.4416453007992436E-2</v>
      </c>
      <c r="Z225" s="314">
        <f t="shared" si="67"/>
        <v>1.5024928829617812E-2</v>
      </c>
      <c r="AA225" s="314">
        <f t="shared" si="67"/>
        <v>1.4790403868629731E-2</v>
      </c>
      <c r="AB225" s="314">
        <f t="shared" si="67"/>
        <v>1.5392931126883669E-2</v>
      </c>
      <c r="AC225" s="314">
        <f t="shared" si="67"/>
        <v>1.5160840343622528E-2</v>
      </c>
      <c r="AD225" s="314">
        <f t="shared" si="67"/>
        <v>1.5757042138480948E-2</v>
      </c>
      <c r="AE225" s="314">
        <f t="shared" si="67"/>
        <v>1.552752671285873E-2</v>
      </c>
      <c r="AF225" s="314">
        <f t="shared" si="67"/>
        <v>1.6117043697798872E-2</v>
      </c>
      <c r="AG225" s="315"/>
      <c r="AH225" s="313" t="str">
        <f t="shared" si="66"/>
        <v>- Growth</v>
      </c>
      <c r="AI225" s="307" t="str">
        <f>D225</f>
        <v>%</v>
      </c>
      <c r="AJ225" s="307"/>
      <c r="AK225" s="307"/>
      <c r="AL225" s="314" t="s">
        <v>967</v>
      </c>
      <c r="AM225" s="314">
        <f t="shared" ref="AM225:AX225" si="68">AM224/AL224-1</f>
        <v>2.2411659562766362E-2</v>
      </c>
      <c r="AN225" s="314">
        <f t="shared" si="68"/>
        <v>-3.0482338174645851E-2</v>
      </c>
      <c r="AO225" s="314">
        <f t="shared" si="68"/>
        <v>0.12761235435546503</v>
      </c>
      <c r="AP225" s="314">
        <f t="shared" si="68"/>
        <v>6.5195998031817304E-3</v>
      </c>
      <c r="AQ225" s="314">
        <f t="shared" si="68"/>
        <v>3.2948350694586015E-2</v>
      </c>
      <c r="AR225" s="314">
        <f t="shared" si="68"/>
        <v>7.0993346796728307E-3</v>
      </c>
      <c r="AS225" s="314">
        <f t="shared" si="68"/>
        <v>8.7526486125208969E-3</v>
      </c>
      <c r="AT225" s="314">
        <f t="shared" si="68"/>
        <v>2.2202629231817372E-2</v>
      </c>
      <c r="AU225" s="314">
        <f t="shared" si="68"/>
        <v>1.4712282314444991E-2</v>
      </c>
      <c r="AV225" s="314">
        <f t="shared" si="68"/>
        <v>1.5083431355250365E-2</v>
      </c>
      <c r="AW225" s="314">
        <f t="shared" si="68"/>
        <v>1.5450879969742148E-2</v>
      </c>
      <c r="AX225" s="314">
        <f t="shared" si="68"/>
        <v>1.5814400787151461E-2</v>
      </c>
    </row>
    <row r="226" spans="2:50" collapsed="1">
      <c r="C226" s="313" t="s">
        <v>1122</v>
      </c>
      <c r="D226" s="307" t="s">
        <v>842</v>
      </c>
      <c r="E226" s="307"/>
      <c r="F226" s="307"/>
      <c r="G226" s="314">
        <f xml:space="preserve"> IFERROR(ROUND( G224 / G223,3) - 1, 0)</f>
        <v>0</v>
      </c>
      <c r="H226" s="314">
        <f t="shared" ref="H226:AF226" si="69" xml:space="preserve"> IFERROR(ROUND( H224 / H223,3) - 1, 0)</f>
        <v>0</v>
      </c>
      <c r="I226" s="314">
        <f t="shared" si="69"/>
        <v>0</v>
      </c>
      <c r="J226" s="314">
        <f t="shared" si="69"/>
        <v>0</v>
      </c>
      <c r="K226" s="314">
        <f t="shared" si="69"/>
        <v>0</v>
      </c>
      <c r="L226" s="314">
        <f t="shared" si="69"/>
        <v>0</v>
      </c>
      <c r="M226" s="314">
        <f t="shared" si="69"/>
        <v>0</v>
      </c>
      <c r="N226" s="314">
        <f t="shared" si="69"/>
        <v>0</v>
      </c>
      <c r="O226" s="314">
        <f t="shared" si="69"/>
        <v>0</v>
      </c>
      <c r="P226" s="314">
        <f t="shared" si="69"/>
        <v>-1.3000000000000012E-2</v>
      </c>
      <c r="Q226" s="314">
        <f t="shared" si="69"/>
        <v>-5.0000000000000044E-3</v>
      </c>
      <c r="R226" s="314">
        <f t="shared" si="69"/>
        <v>-1.100000000000001E-2</v>
      </c>
      <c r="S226" s="314">
        <f t="shared" si="69"/>
        <v>-2.1000000000000019E-2</v>
      </c>
      <c r="T226" s="314">
        <f t="shared" si="69"/>
        <v>-2.200000000000002E-2</v>
      </c>
      <c r="U226" s="314">
        <f t="shared" si="69"/>
        <v>-3.400000000000003E-2</v>
      </c>
      <c r="V226" s="314">
        <f t="shared" si="69"/>
        <v>-3.5000000000000031E-2</v>
      </c>
      <c r="W226" s="314">
        <f t="shared" si="69"/>
        <v>-3.400000000000003E-2</v>
      </c>
      <c r="X226" s="314">
        <f t="shared" si="69"/>
        <v>-3.5000000000000031E-2</v>
      </c>
      <c r="Y226" s="314">
        <f t="shared" si="69"/>
        <v>-4.2000000000000037E-2</v>
      </c>
      <c r="Z226" s="314">
        <f t="shared" si="69"/>
        <v>-4.2000000000000037E-2</v>
      </c>
      <c r="AA226" s="314">
        <f t="shared" si="69"/>
        <v>-4.9000000000000044E-2</v>
      </c>
      <c r="AB226" s="314">
        <f t="shared" si="69"/>
        <v>-4.9000000000000044E-2</v>
      </c>
      <c r="AC226" s="314">
        <f t="shared" si="69"/>
        <v>-4.9000000000000044E-2</v>
      </c>
      <c r="AD226" s="314">
        <f t="shared" si="69"/>
        <v>-4.9000000000000044E-2</v>
      </c>
      <c r="AE226" s="314">
        <f t="shared" si="69"/>
        <v>-4.9000000000000044E-2</v>
      </c>
      <c r="AF226" s="314">
        <f t="shared" si="69"/>
        <v>-4.9000000000000044E-2</v>
      </c>
      <c r="AG226" s="314"/>
      <c r="AH226" s="313" t="str">
        <f t="shared" si="66"/>
        <v>- Revision</v>
      </c>
      <c r="AI226" s="307" t="str">
        <f>D226</f>
        <v>%</v>
      </c>
      <c r="AJ226" s="307"/>
      <c r="AK226" s="307"/>
      <c r="AL226" s="314">
        <f t="shared" ref="AL226:AX226" si="70" xml:space="preserve"> IFERROR(ROUND( AL224 / AL223,3) - 1, 0)</f>
        <v>0</v>
      </c>
      <c r="AM226" s="314">
        <f t="shared" si="70"/>
        <v>0</v>
      </c>
      <c r="AN226" s="314">
        <f t="shared" si="70"/>
        <v>0</v>
      </c>
      <c r="AO226" s="314">
        <f t="shared" si="70"/>
        <v>0</v>
      </c>
      <c r="AP226" s="314">
        <f t="shared" si="70"/>
        <v>-6.0000000000000053E-3</v>
      </c>
      <c r="AQ226" s="314">
        <f t="shared" si="70"/>
        <v>-8.0000000000000071E-3</v>
      </c>
      <c r="AR226" s="314">
        <f t="shared" si="70"/>
        <v>-2.200000000000002E-2</v>
      </c>
      <c r="AS226" s="314">
        <f t="shared" si="70"/>
        <v>-3.400000000000003E-2</v>
      </c>
      <c r="AT226" s="314">
        <f t="shared" si="70"/>
        <v>-3.5000000000000031E-2</v>
      </c>
      <c r="AU226" s="314">
        <f t="shared" si="70"/>
        <v>-4.2000000000000037E-2</v>
      </c>
      <c r="AV226" s="314">
        <f t="shared" si="70"/>
        <v>-4.9000000000000044E-2</v>
      </c>
      <c r="AW226" s="314">
        <f t="shared" si="70"/>
        <v>-4.9000000000000044E-2</v>
      </c>
      <c r="AX226" s="314">
        <f t="shared" si="70"/>
        <v>-4.9000000000000044E-2</v>
      </c>
    </row>
    <row r="227" spans="2:50">
      <c r="B227" s="305" t="s">
        <v>1430</v>
      </c>
      <c r="C227" s="706" t="str">
        <f>_xlfn.TEXTAFTER($B227,$C$220)&amp;" - old"</f>
        <v>Taxes &amp; Commissions - old</v>
      </c>
      <c r="D227" s="707" t="str" cm="1">
        <f t="array" ref="D227">_xlfn.XLOOKUP($B227,$B$96:$B$176,_xlfn.XLOOKUP(D$181,$D$5:$AX$5,$D$96:$AX$176))</f>
        <v>A$m</v>
      </c>
      <c r="E227" s="307"/>
      <c r="F227" s="307"/>
      <c r="G227" s="708" cm="1">
        <f t="array" ref="G227">_xlfn.XLOOKUP($B227,$B$96:$B$176,_xlfn.XLOOKUP(G$181,$D$5:$AX$5,$D$96:$AX$176))</f>
        <v>-678.50000000000011</v>
      </c>
      <c r="H227" s="708" cm="1">
        <f t="array" ref="H227">_xlfn.XLOOKUP($B227,$B$96:$B$176,_xlfn.XLOOKUP(H$181,$D$5:$AX$5,$D$96:$AX$176))</f>
        <v>-702.1</v>
      </c>
      <c r="I227" s="708" cm="1">
        <f t="array" ref="I227">_xlfn.XLOOKUP($B227,$B$96:$B$176,_xlfn.XLOOKUP(I$181,$D$5:$AX$5,$D$96:$AX$176))</f>
        <v>-767.40000000000009</v>
      </c>
      <c r="J227" s="708" cm="1">
        <f t="array" ref="J227">_xlfn.XLOOKUP($B227,$B$96:$B$176,_xlfn.XLOOKUP(J$181,$D$5:$AX$5,$D$96:$AX$176))</f>
        <v>-688.40000000000009</v>
      </c>
      <c r="K227" s="708" cm="1">
        <f t="array" ref="K227">_xlfn.XLOOKUP($B227,$B$96:$B$176,_xlfn.XLOOKUP(K$181,$D$5:$AX$5,$D$96:$AX$176))</f>
        <v>-722.69999999999993</v>
      </c>
      <c r="L227" s="708" cm="1">
        <f t="array" ref="L227">_xlfn.XLOOKUP($B227,$B$96:$B$176,_xlfn.XLOOKUP(L$181,$D$5:$AX$5,$D$96:$AX$176))</f>
        <v>-681.9000000000002</v>
      </c>
      <c r="M227" s="708" cm="1">
        <f t="array" ref="M227">_xlfn.XLOOKUP($B227,$B$96:$B$176,_xlfn.XLOOKUP(M$181,$D$5:$AX$5,$D$96:$AX$176))</f>
        <v>-785.1</v>
      </c>
      <c r="N227" s="708" cm="1">
        <f t="array" ref="N227">_xlfn.XLOOKUP($B227,$B$96:$B$176,_xlfn.XLOOKUP(N$181,$D$5:$AX$5,$D$96:$AX$176))</f>
        <v>-737.80000000000018</v>
      </c>
      <c r="O227" s="708" cm="1">
        <f t="array" ref="O227">_xlfn.XLOOKUP($B227,$B$96:$B$176,_xlfn.XLOOKUP(O$181,$D$5:$AX$5,$D$96:$AX$176))</f>
        <v>-775.80000000000007</v>
      </c>
      <c r="P227" s="708" cm="1">
        <f t="array" ref="P227">_xlfn.XLOOKUP($B227,$B$96:$B$176,_xlfn.XLOOKUP(P$181,$D$5:$AX$5,$D$96:$AX$176))</f>
        <v>-748.32740923901997</v>
      </c>
      <c r="Q227" s="708" cm="1">
        <f t="array" ref="Q227">_xlfn.XLOOKUP($B227,$B$96:$B$176,_xlfn.XLOOKUP(Q$181,$D$5:$AX$5,$D$96:$AX$176))</f>
        <v>-801.32670402365</v>
      </c>
      <c r="R227" s="708" cm="1">
        <f t="array" ref="R227">_xlfn.XLOOKUP($B227,$B$96:$B$176,_xlfn.XLOOKUP(R$181,$D$5:$AX$5,$D$96:$AX$176))</f>
        <v>-755.19646537747212</v>
      </c>
      <c r="S227" s="708" cm="1">
        <f t="array" ref="S227">_xlfn.XLOOKUP($B227,$B$96:$B$176,_xlfn.XLOOKUP(S$181,$D$5:$AX$5,$D$96:$AX$176))</f>
        <v>-814.80867092155211</v>
      </c>
      <c r="T227" s="708" cm="1">
        <f t="array" ref="T227">_xlfn.XLOOKUP($B227,$B$96:$B$176,_xlfn.XLOOKUP(T$181,$D$5:$AX$5,$D$96:$AX$176))</f>
        <v>-771.96639619767234</v>
      </c>
      <c r="U227" s="708" cm="1">
        <f t="array" ref="U227">_xlfn.XLOOKUP($B227,$B$96:$B$176,_xlfn.XLOOKUP(U$181,$D$5:$AX$5,$D$96:$AX$176))</f>
        <v>-832.91292754390668</v>
      </c>
      <c r="V227" s="708" cm="1">
        <f t="array" ref="V227">_xlfn.XLOOKUP($B227,$B$96:$B$176,_xlfn.XLOOKUP(V$181,$D$5:$AX$5,$D$96:$AX$176))</f>
        <v>-789.19721843106754</v>
      </c>
      <c r="W227" s="708" cm="1">
        <f t="array" ref="W227">_xlfn.XLOOKUP($B227,$B$96:$B$176,_xlfn.XLOOKUP(W$181,$D$5:$AX$5,$D$96:$AX$176))</f>
        <v>-851.51427619314325</v>
      </c>
      <c r="X227" s="708" cm="1">
        <f t="array" ref="X227">_xlfn.XLOOKUP($B227,$B$96:$B$176,_xlfn.XLOOKUP(X$181,$D$5:$AX$5,$D$96:$AX$176))</f>
        <v>-806.90309152613906</v>
      </c>
      <c r="Y227" s="708" cm="1">
        <f t="array" ref="Y227">_xlfn.XLOOKUP($B227,$B$96:$B$176,_xlfn.XLOOKUP(Y$181,$D$5:$AX$5,$D$96:$AX$176))</f>
        <v>-870.62795611601496</v>
      </c>
      <c r="Z227" s="708" cm="1">
        <f t="array" ref="Z227">_xlfn.XLOOKUP($B227,$B$96:$B$176,_xlfn.XLOOKUP(Z$181,$D$5:$AX$5,$D$96:$AX$176))</f>
        <v>-825.09863558934035</v>
      </c>
      <c r="AA227" s="708" cm="1">
        <f t="array" ref="AA227">_xlfn.XLOOKUP($B227,$B$96:$B$176,_xlfn.XLOOKUP(AA$181,$D$5:$AX$5,$D$96:$AX$176))</f>
        <v>-890.26970090428676</v>
      </c>
      <c r="AB227" s="708" cm="1">
        <f t="array" ref="AB227">_xlfn.XLOOKUP($B227,$B$96:$B$176,_xlfn.XLOOKUP(AB$181,$D$5:$AX$5,$D$96:$AX$176))</f>
        <v>-843.79894691260995</v>
      </c>
      <c r="AC227" s="708" cm="1">
        <f t="array" ref="AC227">_xlfn.XLOOKUP($B227,$B$96:$B$176,_xlfn.XLOOKUP(AC$181,$D$5:$AX$5,$D$96:$AX$176))</f>
        <v>-903.7785163806692</v>
      </c>
      <c r="AD227" s="708" cm="1">
        <f t="array" ref="AD227">_xlfn.XLOOKUP($B227,$B$96:$B$176,_xlfn.XLOOKUP(AD$181,$D$5:$AX$5,$D$96:$AX$176))</f>
        <v>-856.76503311303668</v>
      </c>
      <c r="AE227" s="708" cm="1">
        <f t="array" ref="AE227">_xlfn.XLOOKUP($B227,$B$96:$B$176,_xlfn.XLOOKUP(AE$181,$D$5:$AX$5,$D$96:$AX$176))</f>
        <v>-917.84841394100943</v>
      </c>
      <c r="AF227" s="708" cm="1">
        <f t="array" ref="AF227">_xlfn.XLOOKUP($B227,$B$96:$B$176,_xlfn.XLOOKUP(AF$181,$D$5:$AX$5,$D$96:$AX$176))</f>
        <v>-870.26757253203107</v>
      </c>
      <c r="AG227" s="309"/>
      <c r="AH227" s="306" t="str">
        <f t="shared" si="66"/>
        <v>Taxes &amp; Commissions - old</v>
      </c>
      <c r="AI227" s="707" t="str" cm="1">
        <f t="array" ref="AI227">_xlfn.XLOOKUP($B227,$B$96:$B$176,_xlfn.XLOOKUP(AI$181,$D$5:$AX$5,$D$96:$AX$176))</f>
        <v>A$m</v>
      </c>
      <c r="AJ227" s="307"/>
      <c r="AK227" s="307"/>
      <c r="AL227" s="708" cm="1">
        <f t="array" ref="AL227">_xlfn.XLOOKUP($B227,$B$96:$B$176,_xlfn.XLOOKUP(AL$181,$D$5:$AX$5,$D$96:$AX$176))</f>
        <v>-1380.6000000000001</v>
      </c>
      <c r="AM227" s="708" cm="1">
        <f t="array" ref="AM227">_xlfn.XLOOKUP($B227,$B$96:$B$176,_xlfn.XLOOKUP(AM$181,$D$5:$AX$5,$D$96:$AX$176))</f>
        <v>-1455.8000000000002</v>
      </c>
      <c r="AN227" s="708" cm="1">
        <f t="array" ref="AN227">_xlfn.XLOOKUP($B227,$B$96:$B$176,_xlfn.XLOOKUP(AN$181,$D$5:$AX$5,$D$96:$AX$176))</f>
        <v>-1404.6000000000001</v>
      </c>
      <c r="AO227" s="708" cm="1">
        <f t="array" ref="AO227">_xlfn.XLOOKUP($B227,$B$96:$B$176,_xlfn.XLOOKUP(AO$181,$D$5:$AX$5,$D$96:$AX$176))</f>
        <v>-1522.9</v>
      </c>
      <c r="AP227" s="708" cm="1">
        <f t="array" ref="AP227">_xlfn.XLOOKUP($B227,$B$96:$B$176,_xlfn.XLOOKUP(AP$181,$D$5:$AX$5,$D$96:$AX$176))</f>
        <v>-1524.1274092390199</v>
      </c>
      <c r="AQ227" s="708" cm="1">
        <f t="array" ref="AQ227">_xlfn.XLOOKUP($B227,$B$96:$B$176,_xlfn.XLOOKUP(AQ$181,$D$5:$AX$5,$D$96:$AX$176))</f>
        <v>-1556.5231694011222</v>
      </c>
      <c r="AR227" s="708" cm="1">
        <f t="array" ref="AR227">_xlfn.XLOOKUP($B227,$B$96:$B$176,_xlfn.XLOOKUP(AR$181,$D$5:$AX$5,$D$96:$AX$176))</f>
        <v>-1586.7750671192243</v>
      </c>
      <c r="AS227" s="708" cm="1">
        <f t="array" ref="AS227">_xlfn.XLOOKUP($B227,$B$96:$B$176,_xlfn.XLOOKUP(AS$181,$D$5:$AX$5,$D$96:$AX$176))</f>
        <v>-1622.1101459749743</v>
      </c>
      <c r="AT227" s="708" cm="1">
        <f t="array" ref="AT227">_xlfn.XLOOKUP($B227,$B$96:$B$176,_xlfn.XLOOKUP(AT$181,$D$5:$AX$5,$D$96:$AX$176))</f>
        <v>-1658.4173677192823</v>
      </c>
      <c r="AU227" s="708" cm="1">
        <f t="array" ref="AU227">_xlfn.XLOOKUP($B227,$B$96:$B$176,_xlfn.XLOOKUP(AU$181,$D$5:$AX$5,$D$96:$AX$176))</f>
        <v>-1695.7265917053553</v>
      </c>
      <c r="AV227" s="708" cm="1">
        <f t="array" ref="AV227">_xlfn.XLOOKUP($B227,$B$96:$B$176,_xlfn.XLOOKUP(AV$181,$D$5:$AX$5,$D$96:$AX$176))</f>
        <v>-1734.0686478168968</v>
      </c>
      <c r="AW227" s="708" cm="1">
        <f t="array" ref="AW227">_xlfn.XLOOKUP($B227,$B$96:$B$176,_xlfn.XLOOKUP(AW$181,$D$5:$AX$5,$D$96:$AX$176))</f>
        <v>-1760.543549493706</v>
      </c>
      <c r="AX227" s="708" cm="1">
        <f t="array" ref="AX227">_xlfn.XLOOKUP($B227,$B$96:$B$176,_xlfn.XLOOKUP(AX$181,$D$5:$AX$5,$D$96:$AX$176))</f>
        <v>-1788.1159864730405</v>
      </c>
    </row>
    <row r="228" spans="2:50">
      <c r="B228" s="305" t="s">
        <v>1430</v>
      </c>
      <c r="C228" s="318" t="str">
        <f>_xlfn.TEXTAFTER($B228,$C$220)&amp;" - New"</f>
        <v>Taxes &amp; Commissions - New</v>
      </c>
      <c r="D228" s="311" t="str" cm="1">
        <f t="array" ref="D228">_xlfn.XLOOKUP($B228,$B$11:$B$91,_xlfn.XLOOKUP(D$181,$D$5:$AX$5,$D$11:$AX$91))</f>
        <v>A$m</v>
      </c>
      <c r="E228" s="311"/>
      <c r="F228" s="311"/>
      <c r="G228" s="312" cm="1">
        <f t="array" ref="G228">_xlfn.XLOOKUP($B228,$B$11:$B$91,_xlfn.XLOOKUP(G$181,$D$5:$AX$5,$D$11:$AX$91))</f>
        <v>-678.50000000000011</v>
      </c>
      <c r="H228" s="312" cm="1">
        <f t="array" ref="H228">_xlfn.XLOOKUP($B228,$B$11:$B$91,_xlfn.XLOOKUP(H$181,$D$5:$AX$5,$D$11:$AX$91))</f>
        <v>-702.1</v>
      </c>
      <c r="I228" s="312" cm="1">
        <f t="array" ref="I228">_xlfn.XLOOKUP($B228,$B$11:$B$91,_xlfn.XLOOKUP(I$181,$D$5:$AX$5,$D$11:$AX$91))</f>
        <v>-767.40000000000009</v>
      </c>
      <c r="J228" s="312" cm="1">
        <f t="array" ref="J228">_xlfn.XLOOKUP($B228,$B$11:$B$91,_xlfn.XLOOKUP(J$181,$D$5:$AX$5,$D$11:$AX$91))</f>
        <v>-688.40000000000009</v>
      </c>
      <c r="K228" s="312" cm="1">
        <f t="array" ref="K228">_xlfn.XLOOKUP($B228,$B$11:$B$91,_xlfn.XLOOKUP(K$181,$D$5:$AX$5,$D$11:$AX$91))</f>
        <v>-722.69999999999993</v>
      </c>
      <c r="L228" s="312" cm="1">
        <f t="array" ref="L228">_xlfn.XLOOKUP($B228,$B$11:$B$91,_xlfn.XLOOKUP(L$181,$D$5:$AX$5,$D$11:$AX$91))</f>
        <v>-681.9000000000002</v>
      </c>
      <c r="M228" s="312" cm="1">
        <f t="array" ref="M228">_xlfn.XLOOKUP($B228,$B$11:$B$91,_xlfn.XLOOKUP(M$181,$D$5:$AX$5,$D$11:$AX$91))</f>
        <v>-785.1</v>
      </c>
      <c r="N228" s="312" cm="1">
        <f t="array" ref="N228">_xlfn.XLOOKUP($B228,$B$11:$B$91,_xlfn.XLOOKUP(N$181,$D$5:$AX$5,$D$11:$AX$91))</f>
        <v>-737.80000000000018</v>
      </c>
      <c r="O228" s="312" cm="1">
        <f t="array" ref="O228">_xlfn.XLOOKUP($B228,$B$11:$B$91,_xlfn.XLOOKUP(O$181,$D$5:$AX$5,$D$11:$AX$91))</f>
        <v>-775.80000000000007</v>
      </c>
      <c r="P228" s="312" cm="1">
        <f t="array" ref="P228">_xlfn.XLOOKUP($B228,$B$11:$B$91,_xlfn.XLOOKUP(P$181,$D$5:$AX$5,$D$11:$AX$91))</f>
        <v>-725.6999999999997</v>
      </c>
      <c r="Q228" s="312" cm="1">
        <f t="array" ref="Q228">_xlfn.XLOOKUP($B228,$B$11:$B$91,_xlfn.XLOOKUP(Q$181,$D$5:$AX$5,$D$11:$AX$91))</f>
        <v>-790.72971387300004</v>
      </c>
      <c r="R228" s="312" cm="1">
        <f t="array" ref="R228">_xlfn.XLOOKUP($B228,$B$11:$B$91,_xlfn.XLOOKUP(R$181,$D$5:$AX$5,$D$11:$AX$91))</f>
        <v>-743.29516757925001</v>
      </c>
      <c r="S228" s="312" cm="1">
        <f t="array" ref="S228">_xlfn.XLOOKUP($B228,$B$11:$B$91,_xlfn.XLOOKUP(S$181,$D$5:$AX$5,$D$11:$AX$91))</f>
        <v>-793.48560436810499</v>
      </c>
      <c r="T228" s="312" cm="1">
        <f t="array" ref="T228">_xlfn.XLOOKUP($B228,$B$11:$B$91,_xlfn.XLOOKUP(T$181,$D$5:$AX$5,$D$11:$AX$91))</f>
        <v>-751.42983312451997</v>
      </c>
      <c r="U228" s="312" cm="1">
        <f t="array" ref="U228">_xlfn.XLOOKUP($B228,$B$11:$B$91,_xlfn.XLOOKUP(U$181,$D$5:$AX$5,$D$11:$AX$91))</f>
        <v>-800.87011937412126</v>
      </c>
      <c r="V228" s="312" cm="1">
        <f t="array" ref="V228">_xlfn.XLOOKUP($B228,$B$11:$B$91,_xlfn.XLOOKUP(V$181,$D$5:$AX$5,$D$11:$AX$91))</f>
        <v>-757.56742007893536</v>
      </c>
      <c r="W228" s="312" cm="1">
        <f t="array" ref="W228">_xlfn.XLOOKUP($B228,$B$11:$B$91,_xlfn.XLOOKUP(W$181,$D$5:$AX$5,$D$11:$AX$91))</f>
        <v>-818.53388195829177</v>
      </c>
      <c r="X228" s="312" cm="1">
        <f t="array" ref="X228">_xlfn.XLOOKUP($B228,$B$11:$B$91,_xlfn.XLOOKUP(X$181,$D$5:$AX$5,$D$11:$AX$91))</f>
        <v>-774.50506836418708</v>
      </c>
      <c r="Y228" s="312" cm="1">
        <f t="array" ref="Y228">_xlfn.XLOOKUP($B228,$B$11:$B$91,_xlfn.XLOOKUP(Y$181,$D$5:$AX$5,$D$11:$AX$91))</f>
        <v>-830.33423720299322</v>
      </c>
      <c r="Z228" s="312" cm="1">
        <f t="array" ref="Z228">_xlfn.XLOOKUP($B228,$B$11:$B$91,_xlfn.XLOOKUP(Z$181,$D$5:$AX$5,$D$11:$AX$91))</f>
        <v>-786.14195189453721</v>
      </c>
      <c r="AA228" s="312" cm="1">
        <f t="array" ref="AA228">_xlfn.XLOOKUP($B228,$B$11:$B$91,_xlfn.XLOOKUP(AA$181,$D$5:$AX$5,$D$11:$AX$91))</f>
        <v>-842.6152159171761</v>
      </c>
      <c r="AB228" s="312" cm="1">
        <f t="array" ref="AB228">_xlfn.XLOOKUP($B228,$B$11:$B$91,_xlfn.XLOOKUP(AB$181,$D$5:$AX$5,$D$11:$AX$91))</f>
        <v>-798.24298081600375</v>
      </c>
      <c r="AC228" s="312" cm="1">
        <f t="array" ref="AC228">_xlfn.XLOOKUP($B228,$B$11:$B$91,_xlfn.XLOOKUP(AC$181,$D$5:$AX$5,$D$11:$AX$91))</f>
        <v>-855.3899706768035</v>
      </c>
      <c r="AD228" s="312" cm="1">
        <f t="array" ref="AD228">_xlfn.XLOOKUP($B228,$B$11:$B$91,_xlfn.XLOOKUP(AD$181,$D$5:$AX$5,$D$11:$AX$91))</f>
        <v>-810.82092910146821</v>
      </c>
      <c r="AE228" s="312" cm="1">
        <f t="array" ref="AE228">_xlfn.XLOOKUP($B228,$B$11:$B$91,_xlfn.XLOOKUP(AE$181,$D$5:$AX$5,$D$11:$AX$91))</f>
        <v>-868.67206129639885</v>
      </c>
      <c r="AF228" s="312" cm="1">
        <f t="array" ref="AF228">_xlfn.XLOOKUP($B228,$B$11:$B$91,_xlfn.XLOOKUP(AF$181,$D$5:$AX$5,$D$11:$AX$91))</f>
        <v>-823.88896544688646</v>
      </c>
      <c r="AG228" s="312"/>
      <c r="AH228" s="310" t="str">
        <f t="shared" si="66"/>
        <v>Taxes &amp; Commissions - New</v>
      </c>
      <c r="AI228" s="311" t="str" cm="1">
        <f t="array" ref="AI228">_xlfn.XLOOKUP($B228,$B$11:$B$91,_xlfn.XLOOKUP(AI$181,$D$5:$AX$5,$D$11:$AX$91))</f>
        <v>A$m</v>
      </c>
      <c r="AJ228" s="311"/>
      <c r="AK228" s="311"/>
      <c r="AL228" s="312" cm="1">
        <f t="array" ref="AL228">_xlfn.XLOOKUP($B228,$B$11:$B$91,_xlfn.XLOOKUP(AL$181,$D$5:$AX$5,$D$11:$AX$91))</f>
        <v>-1380.6000000000001</v>
      </c>
      <c r="AM228" s="312" cm="1">
        <f t="array" ref="AM228">_xlfn.XLOOKUP($B228,$B$11:$B$91,_xlfn.XLOOKUP(AM$181,$D$5:$AX$5,$D$11:$AX$91))</f>
        <v>-1455.8000000000002</v>
      </c>
      <c r="AN228" s="312" cm="1">
        <f t="array" ref="AN228">_xlfn.XLOOKUP($B228,$B$11:$B$91,_xlfn.XLOOKUP(AN$181,$D$5:$AX$5,$D$11:$AX$91))</f>
        <v>-1404.6000000000001</v>
      </c>
      <c r="AO228" s="312" cm="1">
        <f t="array" ref="AO228">_xlfn.XLOOKUP($B228,$B$11:$B$91,_xlfn.XLOOKUP(AO$181,$D$5:$AX$5,$D$11:$AX$91))</f>
        <v>-1522.9</v>
      </c>
      <c r="AP228" s="312" cm="1">
        <f t="array" ref="AP228">_xlfn.XLOOKUP($B228,$B$11:$B$91,_xlfn.XLOOKUP(AP$181,$D$5:$AX$5,$D$11:$AX$91))</f>
        <v>-1501.4999999999998</v>
      </c>
      <c r="AQ228" s="312" cm="1">
        <f t="array" ref="AQ228">_xlfn.XLOOKUP($B228,$B$11:$B$91,_xlfn.XLOOKUP(AQ$181,$D$5:$AX$5,$D$11:$AX$91))</f>
        <v>-1534.0248814522502</v>
      </c>
      <c r="AR228" s="312" cm="1">
        <f t="array" ref="AR228">_xlfn.XLOOKUP($B228,$B$11:$B$91,_xlfn.XLOOKUP(AR$181,$D$5:$AX$5,$D$11:$AX$91))</f>
        <v>-1544.915437492625</v>
      </c>
      <c r="AS228" s="312" cm="1">
        <f t="array" ref="AS228">_xlfn.XLOOKUP($B228,$B$11:$B$91,_xlfn.XLOOKUP(AS$181,$D$5:$AX$5,$D$11:$AX$91))</f>
        <v>-1558.4375394530566</v>
      </c>
      <c r="AT228" s="312" cm="1">
        <f t="array" ref="AT228">_xlfn.XLOOKUP($B228,$B$11:$B$91,_xlfn.XLOOKUP(AT$181,$D$5:$AX$5,$D$11:$AX$91))</f>
        <v>-1593.0389503224787</v>
      </c>
      <c r="AU228" s="312" cm="1">
        <f t="array" ref="AU228">_xlfn.XLOOKUP($B228,$B$11:$B$91,_xlfn.XLOOKUP(AU$181,$D$5:$AX$5,$D$11:$AX$91))</f>
        <v>-1616.4761890975306</v>
      </c>
      <c r="AV228" s="312" cm="1">
        <f t="array" ref="AV228">_xlfn.XLOOKUP($B228,$B$11:$B$91,_xlfn.XLOOKUP(AV$181,$D$5:$AX$5,$D$11:$AX$91))</f>
        <v>-1640.8581967331797</v>
      </c>
      <c r="AW228" s="312" cm="1">
        <f t="array" ref="AW228">_xlfn.XLOOKUP($B228,$B$11:$B$91,_xlfn.XLOOKUP(AW$181,$D$5:$AX$5,$D$11:$AX$91))</f>
        <v>-1666.2108997782716</v>
      </c>
      <c r="AX228" s="312" cm="1">
        <f t="array" ref="AX228">_xlfn.XLOOKUP($B228,$B$11:$B$91,_xlfn.XLOOKUP(AX$181,$D$5:$AX$5,$D$11:$AX$91))</f>
        <v>-1692.5610267432853</v>
      </c>
    </row>
    <row r="229" spans="2:50" hidden="1" outlineLevel="1">
      <c r="C229" s="313" t="s">
        <v>1121</v>
      </c>
      <c r="D229" s="307" t="s">
        <v>842</v>
      </c>
      <c r="E229" s="307"/>
      <c r="F229" s="307"/>
      <c r="G229" s="314" t="s">
        <v>967</v>
      </c>
      <c r="H229" s="314" t="s">
        <v>967</v>
      </c>
      <c r="I229" s="314">
        <f t="shared" ref="I229:AF229" si="71">I228/G228-1</f>
        <v>0.13102431834929984</v>
      </c>
      <c r="J229" s="314">
        <f t="shared" si="71"/>
        <v>-1.9512889901723285E-2</v>
      </c>
      <c r="K229" s="314">
        <f t="shared" si="71"/>
        <v>-5.8248631743549883E-2</v>
      </c>
      <c r="L229" s="314">
        <f t="shared" si="71"/>
        <v>-9.4421847762926614E-3</v>
      </c>
      <c r="M229" s="314">
        <f t="shared" si="71"/>
        <v>8.6342880863429006E-2</v>
      </c>
      <c r="N229" s="314">
        <f t="shared" si="71"/>
        <v>8.1976829447133026E-2</v>
      </c>
      <c r="O229" s="314">
        <f t="shared" si="71"/>
        <v>-1.1845624761176898E-2</v>
      </c>
      <c r="P229" s="314">
        <f t="shared" si="71"/>
        <v>-1.6400108430469573E-2</v>
      </c>
      <c r="Q229" s="314">
        <f t="shared" si="71"/>
        <v>1.9244281867749402E-2</v>
      </c>
      <c r="R229" s="314">
        <f t="shared" si="71"/>
        <v>2.4245786935717772E-2</v>
      </c>
      <c r="S229" s="314">
        <f t="shared" si="71"/>
        <v>3.4852496962667345E-3</v>
      </c>
      <c r="T229" s="314">
        <f t="shared" si="71"/>
        <v>1.094405816166244E-2</v>
      </c>
      <c r="U229" s="314">
        <f t="shared" si="71"/>
        <v>9.3064259330790655E-3</v>
      </c>
      <c r="V229" s="314">
        <f t="shared" si="71"/>
        <v>8.1678776698212996E-3</v>
      </c>
      <c r="W229" s="314">
        <f t="shared" si="71"/>
        <v>2.205571434975595E-2</v>
      </c>
      <c r="X229" s="314">
        <f t="shared" si="71"/>
        <v>2.2357941796766978E-2</v>
      </c>
      <c r="Y229" s="314">
        <f t="shared" si="71"/>
        <v>1.4416453007992658E-2</v>
      </c>
      <c r="Z229" s="314">
        <f t="shared" si="71"/>
        <v>1.5024928829617812E-2</v>
      </c>
      <c r="AA229" s="314">
        <f t="shared" si="71"/>
        <v>1.4790403868629731E-2</v>
      </c>
      <c r="AB229" s="314">
        <f t="shared" si="71"/>
        <v>1.5392931126883669E-2</v>
      </c>
      <c r="AC229" s="314">
        <f t="shared" si="71"/>
        <v>1.5160840343622528E-2</v>
      </c>
      <c r="AD229" s="314">
        <f t="shared" si="71"/>
        <v>1.5757042138480948E-2</v>
      </c>
      <c r="AE229" s="314">
        <f t="shared" si="71"/>
        <v>1.5527526712858508E-2</v>
      </c>
      <c r="AF229" s="314">
        <f t="shared" si="71"/>
        <v>1.6117043697798872E-2</v>
      </c>
      <c r="AG229" s="315"/>
      <c r="AH229" s="313" t="str">
        <f t="shared" si="66"/>
        <v>- Growth</v>
      </c>
      <c r="AI229" s="307" t="str">
        <f>D229</f>
        <v>%</v>
      </c>
      <c r="AJ229" s="307"/>
      <c r="AK229" s="307"/>
      <c r="AL229" s="314" t="s">
        <v>967</v>
      </c>
      <c r="AM229" s="314">
        <f t="shared" ref="AM229:AX229" si="72">AM228/AL228-1</f>
        <v>5.446907141822388E-2</v>
      </c>
      <c r="AN229" s="314">
        <f t="shared" si="72"/>
        <v>-3.5169666162934488E-2</v>
      </c>
      <c r="AO229" s="314">
        <f t="shared" si="72"/>
        <v>8.4223266410365927E-2</v>
      </c>
      <c r="AP229" s="314">
        <f t="shared" si="72"/>
        <v>-1.4052137369492623E-2</v>
      </c>
      <c r="AQ229" s="314">
        <f t="shared" si="72"/>
        <v>2.1661592708791533E-2</v>
      </c>
      <c r="AR229" s="314">
        <f t="shared" si="72"/>
        <v>7.0993346796728307E-3</v>
      </c>
      <c r="AS229" s="314">
        <f t="shared" si="72"/>
        <v>8.7526486125206748E-3</v>
      </c>
      <c r="AT229" s="314">
        <f t="shared" si="72"/>
        <v>2.2202629231817372E-2</v>
      </c>
      <c r="AU229" s="314">
        <f t="shared" si="72"/>
        <v>1.4712282314445213E-2</v>
      </c>
      <c r="AV229" s="314">
        <f t="shared" si="72"/>
        <v>1.5083431355250365E-2</v>
      </c>
      <c r="AW229" s="314">
        <f t="shared" si="72"/>
        <v>1.5450879969742148E-2</v>
      </c>
      <c r="AX229" s="314">
        <f t="shared" si="72"/>
        <v>1.5814400787151461E-2</v>
      </c>
    </row>
    <row r="230" spans="2:50" collapsed="1">
      <c r="C230" s="313" t="s">
        <v>1122</v>
      </c>
      <c r="D230" s="307" t="s">
        <v>842</v>
      </c>
      <c r="E230" s="307"/>
      <c r="F230" s="307"/>
      <c r="G230" s="314">
        <f xml:space="preserve"> IFERROR(ROUND( G228 / G227,3) - 1, 0)</f>
        <v>0</v>
      </c>
      <c r="H230" s="314">
        <f t="shared" ref="H230:AF230" si="73" xml:space="preserve"> IFERROR(ROUND( H228 / H227,3) - 1, 0)</f>
        <v>0</v>
      </c>
      <c r="I230" s="314">
        <f t="shared" si="73"/>
        <v>0</v>
      </c>
      <c r="J230" s="314">
        <f t="shared" si="73"/>
        <v>0</v>
      </c>
      <c r="K230" s="314">
        <f t="shared" si="73"/>
        <v>0</v>
      </c>
      <c r="L230" s="314">
        <f t="shared" si="73"/>
        <v>0</v>
      </c>
      <c r="M230" s="314">
        <f t="shared" si="73"/>
        <v>0</v>
      </c>
      <c r="N230" s="314">
        <f t="shared" si="73"/>
        <v>0</v>
      </c>
      <c r="O230" s="314">
        <f t="shared" si="73"/>
        <v>0</v>
      </c>
      <c r="P230" s="314">
        <f t="shared" si="73"/>
        <v>-3.0000000000000027E-2</v>
      </c>
      <c r="Q230" s="314">
        <f t="shared" si="73"/>
        <v>-1.3000000000000012E-2</v>
      </c>
      <c r="R230" s="314">
        <f t="shared" si="73"/>
        <v>-1.6000000000000014E-2</v>
      </c>
      <c r="S230" s="314">
        <f t="shared" si="73"/>
        <v>-2.6000000000000023E-2</v>
      </c>
      <c r="T230" s="314">
        <f t="shared" si="73"/>
        <v>-2.7000000000000024E-2</v>
      </c>
      <c r="U230" s="314">
        <f t="shared" si="73"/>
        <v>-3.8000000000000034E-2</v>
      </c>
      <c r="V230" s="314">
        <f t="shared" si="73"/>
        <v>-4.0000000000000036E-2</v>
      </c>
      <c r="W230" s="314">
        <f t="shared" si="73"/>
        <v>-3.9000000000000035E-2</v>
      </c>
      <c r="X230" s="314">
        <f t="shared" si="73"/>
        <v>-4.0000000000000036E-2</v>
      </c>
      <c r="Y230" s="314">
        <f t="shared" si="73"/>
        <v>-4.6000000000000041E-2</v>
      </c>
      <c r="Z230" s="314">
        <f t="shared" si="73"/>
        <v>-4.7000000000000042E-2</v>
      </c>
      <c r="AA230" s="314">
        <f t="shared" si="73"/>
        <v>-5.4000000000000048E-2</v>
      </c>
      <c r="AB230" s="314">
        <f t="shared" si="73"/>
        <v>-5.4000000000000048E-2</v>
      </c>
      <c r="AC230" s="314">
        <f t="shared" si="73"/>
        <v>-5.4000000000000048E-2</v>
      </c>
      <c r="AD230" s="314">
        <f t="shared" si="73"/>
        <v>-5.4000000000000048E-2</v>
      </c>
      <c r="AE230" s="314">
        <f t="shared" si="73"/>
        <v>-5.4000000000000048E-2</v>
      </c>
      <c r="AF230" s="314">
        <f t="shared" si="73"/>
        <v>-5.3000000000000047E-2</v>
      </c>
      <c r="AG230" s="314"/>
      <c r="AH230" s="313" t="str">
        <f t="shared" si="66"/>
        <v>- Revision</v>
      </c>
      <c r="AI230" s="307" t="str">
        <f>D230</f>
        <v>%</v>
      </c>
      <c r="AJ230" s="307"/>
      <c r="AK230" s="307"/>
      <c r="AL230" s="314">
        <f t="shared" ref="AL230:AX230" si="74" xml:space="preserve"> IFERROR(ROUND( AL228 / AL227,3) - 1, 0)</f>
        <v>0</v>
      </c>
      <c r="AM230" s="314">
        <f t="shared" si="74"/>
        <v>0</v>
      </c>
      <c r="AN230" s="314">
        <f t="shared" si="74"/>
        <v>0</v>
      </c>
      <c r="AO230" s="314">
        <f t="shared" si="74"/>
        <v>0</v>
      </c>
      <c r="AP230" s="314">
        <f t="shared" si="74"/>
        <v>-1.5000000000000013E-2</v>
      </c>
      <c r="AQ230" s="314">
        <f t="shared" si="74"/>
        <v>-1.4000000000000012E-2</v>
      </c>
      <c r="AR230" s="314">
        <f t="shared" si="74"/>
        <v>-2.6000000000000023E-2</v>
      </c>
      <c r="AS230" s="314">
        <f t="shared" si="74"/>
        <v>-3.9000000000000035E-2</v>
      </c>
      <c r="AT230" s="314">
        <f t="shared" si="74"/>
        <v>-3.9000000000000035E-2</v>
      </c>
      <c r="AU230" s="314">
        <f t="shared" si="74"/>
        <v>-4.7000000000000042E-2</v>
      </c>
      <c r="AV230" s="314">
        <f t="shared" si="74"/>
        <v>-5.4000000000000048E-2</v>
      </c>
      <c r="AW230" s="314">
        <f t="shared" si="74"/>
        <v>-5.4000000000000048E-2</v>
      </c>
      <c r="AX230" s="314">
        <f t="shared" si="74"/>
        <v>-5.3000000000000047E-2</v>
      </c>
    </row>
    <row r="231" spans="2:50">
      <c r="B231" s="305" t="s">
        <v>1431</v>
      </c>
      <c r="C231" s="706" t="str">
        <f>_xlfn.TEXTAFTER($B231,$C$220)&amp;" - old"</f>
        <v>Variable Contribution - old</v>
      </c>
      <c r="D231" s="707" t="str" cm="1">
        <f t="array" ref="D231">_xlfn.XLOOKUP($B231,$B$96:$B$176,_xlfn.XLOOKUP(D$181,$D$5:$AX$5,$D$96:$AX$176))</f>
        <v>A$m</v>
      </c>
      <c r="E231" s="307"/>
      <c r="F231" s="307"/>
      <c r="G231" s="708" cm="1">
        <f t="array" ref="G231">_xlfn.XLOOKUP($B231,$B$96:$B$176,_xlfn.XLOOKUP(G$181,$D$5:$AX$5,$D$96:$AX$176))</f>
        <v>394.9</v>
      </c>
      <c r="H231" s="708" cm="1">
        <f t="array" ref="H231">_xlfn.XLOOKUP($B231,$B$96:$B$176,_xlfn.XLOOKUP(H$181,$D$5:$AX$5,$D$96:$AX$176))</f>
        <v>406.4</v>
      </c>
      <c r="I231" s="708" cm="1">
        <f t="array" ref="I231">_xlfn.XLOOKUP($B231,$B$96:$B$176,_xlfn.XLOOKUP(I$181,$D$5:$AX$5,$D$96:$AX$176))</f>
        <v>398.3</v>
      </c>
      <c r="J231" s="708" cm="1">
        <f t="array" ref="J231">_xlfn.XLOOKUP($B231,$B$96:$B$176,_xlfn.XLOOKUP(J$181,$D$5:$AX$5,$D$96:$AX$176))</f>
        <v>376.7</v>
      </c>
      <c r="K231" s="708" cm="1">
        <f t="array" ref="K231">_xlfn.XLOOKUP($B231,$B$96:$B$176,_xlfn.XLOOKUP(K$181,$D$5:$AX$5,$D$96:$AX$176))</f>
        <v>393.9</v>
      </c>
      <c r="L231" s="708" cm="1">
        <f t="array" ref="L231">_xlfn.XLOOKUP($B231,$B$96:$B$176,_xlfn.XLOOKUP(L$181,$D$5:$AX$5,$D$96:$AX$176))</f>
        <v>364.30000000000007</v>
      </c>
      <c r="M231" s="708" cm="1">
        <f t="array" ref="M231">_xlfn.XLOOKUP($B231,$B$96:$B$176,_xlfn.XLOOKUP(M$181,$D$5:$AX$5,$D$96:$AX$176))</f>
        <v>458.1</v>
      </c>
      <c r="N231" s="708" cm="1">
        <f t="array" ref="N231">_xlfn.XLOOKUP($B231,$B$96:$B$176,_xlfn.XLOOKUP(N$181,$D$5:$AX$5,$D$96:$AX$176))</f>
        <v>457.79999999999995</v>
      </c>
      <c r="O231" s="708" cm="1">
        <f t="array" ref="O231">_xlfn.XLOOKUP($B231,$B$96:$B$176,_xlfn.XLOOKUP(O$181,$D$5:$AX$5,$D$96:$AX$176))</f>
        <v>477.4</v>
      </c>
      <c r="P231" s="708" cm="1">
        <f t="array" ref="P231">_xlfn.XLOOKUP($B231,$B$96:$B$176,_xlfn.XLOOKUP(P$181,$D$5:$AX$5,$D$96:$AX$176))</f>
        <v>468.46512610898003</v>
      </c>
      <c r="Q231" s="708" cm="1">
        <f t="array" ref="Q231">_xlfn.XLOOKUP($B231,$B$96:$B$176,_xlfn.XLOOKUP(Q$181,$D$5:$AX$5,$D$96:$AX$176))</f>
        <v>512.32363044135002</v>
      </c>
      <c r="R231" s="708" cm="1">
        <f t="array" ref="R231">_xlfn.XLOOKUP($B231,$B$96:$B$176,_xlfn.XLOOKUP(R$181,$D$5:$AX$5,$D$96:$AX$176))</f>
        <v>486.9029842565281</v>
      </c>
      <c r="S231" s="708" cm="1">
        <f t="array" ref="S231">_xlfn.XLOOKUP($B231,$B$96:$B$176,_xlfn.XLOOKUP(S$181,$D$5:$AX$5,$D$96:$AX$176))</f>
        <v>525.33716940994816</v>
      </c>
      <c r="T231" s="708" cm="1">
        <f t="array" ref="T231">_xlfn.XLOOKUP($B231,$B$96:$B$176,_xlfn.XLOOKUP(T$181,$D$5:$AX$5,$D$96:$AX$176))</f>
        <v>497.71517649586775</v>
      </c>
      <c r="U231" s="708" cm="1">
        <f t="array" ref="U231">_xlfn.XLOOKUP($B231,$B$96:$B$176,_xlfn.XLOOKUP(U$181,$D$5:$AX$5,$D$96:$AX$176))</f>
        <v>537.00965065330831</v>
      </c>
      <c r="V231" s="708" cm="1">
        <f t="array" ref="V231">_xlfn.XLOOKUP($B231,$B$96:$B$176,_xlfn.XLOOKUP(V$181,$D$5:$AX$5,$D$96:$AX$176))</f>
        <v>508.82452240950403</v>
      </c>
      <c r="W231" s="708" cm="1">
        <f t="array" ref="W231">_xlfn.XLOOKUP($B231,$B$96:$B$176,_xlfn.XLOOKUP(W$181,$D$5:$AX$5,$D$96:$AX$176))</f>
        <v>549.00262544031614</v>
      </c>
      <c r="X231" s="708" cm="1">
        <f t="array" ref="X231">_xlfn.XLOOKUP($B231,$B$96:$B$176,_xlfn.XLOOKUP(X$181,$D$5:$AX$5,$D$96:$AX$176))</f>
        <v>520.24015111553706</v>
      </c>
      <c r="Y231" s="708" cm="1">
        <f t="array" ref="Y231">_xlfn.XLOOKUP($B231,$B$96:$B$176,_xlfn.XLOOKUP(Y$181,$D$5:$AX$5,$D$96:$AX$176))</f>
        <v>561.32591907479923</v>
      </c>
      <c r="Z231" s="708" cm="1">
        <f t="array" ref="Z231">_xlfn.XLOOKUP($B231,$B$96:$B$176,_xlfn.XLOOKUP(Z$181,$D$5:$AX$5,$D$96:$AX$176))</f>
        <v>531.9714887352327</v>
      </c>
      <c r="AA231" s="708" cm="1">
        <f t="array" ref="AA231">_xlfn.XLOOKUP($B231,$B$96:$B$176,_xlfn.XLOOKUP(AA$181,$D$5:$AX$5,$D$96:$AX$176))</f>
        <v>573.98967558302706</v>
      </c>
      <c r="AB231" s="708" cm="1">
        <f t="array" ref="AB231">_xlfn.XLOOKUP($B231,$B$96:$B$176,_xlfn.XLOOKUP(AB$181,$D$5:$AX$5,$D$96:$AX$176))</f>
        <v>544.02826840418277</v>
      </c>
      <c r="AC231" s="708" cm="1">
        <f t="array" ref="AC231">_xlfn.XLOOKUP($B231,$B$96:$B$176,_xlfn.XLOOKUP(AC$181,$D$5:$AX$5,$D$96:$AX$176))</f>
        <v>582.69930661385263</v>
      </c>
      <c r="AD231" s="708" cm="1">
        <f t="array" ref="AD231">_xlfn.XLOOKUP($B231,$B$96:$B$176,_xlfn.XLOOKUP(AD$181,$D$5:$AX$5,$D$96:$AX$176))</f>
        <v>552.3879818755106</v>
      </c>
      <c r="AE231" s="708" cm="1">
        <f t="array" ref="AE231">_xlfn.XLOOKUP($B231,$B$96:$B$176,_xlfn.XLOOKUP(AE$181,$D$5:$AX$5,$D$96:$AX$176))</f>
        <v>591.77068793565093</v>
      </c>
      <c r="AF231" s="708" cm="1">
        <f t="array" ref="AF231">_xlfn.XLOOKUP($B231,$B$96:$B$176,_xlfn.XLOOKUP(AF$181,$D$5:$AX$5,$D$96:$AX$176))</f>
        <v>561.09356650091479</v>
      </c>
      <c r="AG231" s="309"/>
      <c r="AH231" s="306" t="str">
        <f t="shared" si="66"/>
        <v>Variable Contribution - old</v>
      </c>
      <c r="AI231" s="707" t="str" cm="1">
        <f t="array" ref="AI231">_xlfn.XLOOKUP($B231,$B$96:$B$176,_xlfn.XLOOKUP(AI$181,$D$5:$AX$5,$D$96:$AX$176))</f>
        <v>A$m</v>
      </c>
      <c r="AJ231" s="307"/>
      <c r="AK231" s="307"/>
      <c r="AL231" s="708" cm="1">
        <f t="array" ref="AL231">_xlfn.XLOOKUP($B231,$B$96:$B$176,_xlfn.XLOOKUP(AL$181,$D$5:$AX$5,$D$96:$AX$176))</f>
        <v>801.3</v>
      </c>
      <c r="AM231" s="708" cm="1">
        <f t="array" ref="AM231">_xlfn.XLOOKUP($B231,$B$96:$B$176,_xlfn.XLOOKUP(AM$181,$D$5:$AX$5,$D$96:$AX$176))</f>
        <v>775</v>
      </c>
      <c r="AN231" s="708" cm="1">
        <f t="array" ref="AN231">_xlfn.XLOOKUP($B231,$B$96:$B$176,_xlfn.XLOOKUP(AN$181,$D$5:$AX$5,$D$96:$AX$176))</f>
        <v>758.2</v>
      </c>
      <c r="AO231" s="708" cm="1">
        <f t="array" ref="AO231">_xlfn.XLOOKUP($B231,$B$96:$B$176,_xlfn.XLOOKUP(AO$181,$D$5:$AX$5,$D$96:$AX$176))</f>
        <v>915.9</v>
      </c>
      <c r="AP231" s="708" cm="1">
        <f t="array" ref="AP231">_xlfn.XLOOKUP($B231,$B$96:$B$176,_xlfn.XLOOKUP(AP$181,$D$5:$AX$5,$D$96:$AX$176))</f>
        <v>945.86512610898001</v>
      </c>
      <c r="AQ231" s="708" cm="1">
        <f t="array" ref="AQ231">_xlfn.XLOOKUP($B231,$B$96:$B$176,_xlfn.XLOOKUP(AQ$181,$D$5:$AX$5,$D$96:$AX$176))</f>
        <v>999.22661469787818</v>
      </c>
      <c r="AR231" s="708" cm="1">
        <f t="array" ref="AR231">_xlfn.XLOOKUP($B231,$B$96:$B$176,_xlfn.XLOOKUP(AR$181,$D$5:$AX$5,$D$96:$AX$176))</f>
        <v>1023.0523459058159</v>
      </c>
      <c r="AS231" s="708" cm="1">
        <f t="array" ref="AS231">_xlfn.XLOOKUP($B231,$B$96:$B$176,_xlfn.XLOOKUP(AS$181,$D$5:$AX$5,$D$96:$AX$176))</f>
        <v>1045.8341730628124</v>
      </c>
      <c r="AT231" s="708" cm="1">
        <f t="array" ref="AT231">_xlfn.XLOOKUP($B231,$B$96:$B$176,_xlfn.XLOOKUP(AT$181,$D$5:$AX$5,$D$96:$AX$176))</f>
        <v>1069.2427765558532</v>
      </c>
      <c r="AU231" s="708" cm="1">
        <f t="array" ref="AU231">_xlfn.XLOOKUP($B231,$B$96:$B$176,_xlfn.XLOOKUP(AU$181,$D$5:$AX$5,$D$96:$AX$176))</f>
        <v>1093.2974078100319</v>
      </c>
      <c r="AV231" s="708" cm="1">
        <f t="array" ref="AV231">_xlfn.XLOOKUP($B231,$B$96:$B$176,_xlfn.XLOOKUP(AV$181,$D$5:$AX$5,$D$96:$AX$176))</f>
        <v>1118.0179439872099</v>
      </c>
      <c r="AW231" s="708" cm="1">
        <f t="array" ref="AW231">_xlfn.XLOOKUP($B231,$B$96:$B$176,_xlfn.XLOOKUP(AW$181,$D$5:$AX$5,$D$96:$AX$176))</f>
        <v>1135.0872884893633</v>
      </c>
      <c r="AX231" s="708" cm="1">
        <f t="array" ref="AX231">_xlfn.XLOOKUP($B231,$B$96:$B$176,_xlfn.XLOOKUP(AX$181,$D$5:$AX$5,$D$96:$AX$176))</f>
        <v>1152.8642544365657</v>
      </c>
    </row>
    <row r="232" spans="2:50">
      <c r="B232" s="305" t="s">
        <v>1431</v>
      </c>
      <c r="C232" s="318" t="str">
        <f>_xlfn.TEXTAFTER($B232,$C$220)&amp;" - New"</f>
        <v>Variable Contribution - New</v>
      </c>
      <c r="D232" s="311" t="str" cm="1">
        <f t="array" ref="D232">_xlfn.XLOOKUP($B232,$B$11:$B$91,_xlfn.XLOOKUP(D$181,$D$5:$AX$5,$D$11:$AX$91))</f>
        <v>A$m</v>
      </c>
      <c r="E232" s="311"/>
      <c r="F232" s="311"/>
      <c r="G232" s="312" cm="1">
        <f t="array" ref="G232">_xlfn.XLOOKUP($B232,$B$11:$B$91,_xlfn.XLOOKUP(G$181,$D$5:$AX$5,$D$11:$AX$91))</f>
        <v>394.9</v>
      </c>
      <c r="H232" s="312" cm="1">
        <f t="array" ref="H232">_xlfn.XLOOKUP($B232,$B$11:$B$91,_xlfn.XLOOKUP(H$181,$D$5:$AX$5,$D$11:$AX$91))</f>
        <v>406.4</v>
      </c>
      <c r="I232" s="312" cm="1">
        <f t="array" ref="I232">_xlfn.XLOOKUP($B232,$B$11:$B$91,_xlfn.XLOOKUP(I$181,$D$5:$AX$5,$D$11:$AX$91))</f>
        <v>398.3</v>
      </c>
      <c r="J232" s="312" cm="1">
        <f t="array" ref="J232">_xlfn.XLOOKUP($B232,$B$11:$B$91,_xlfn.XLOOKUP(J$181,$D$5:$AX$5,$D$11:$AX$91))</f>
        <v>376.7</v>
      </c>
      <c r="K232" s="312" cm="1">
        <f t="array" ref="K232">_xlfn.XLOOKUP($B232,$B$11:$B$91,_xlfn.XLOOKUP(K$181,$D$5:$AX$5,$D$11:$AX$91))</f>
        <v>393.9</v>
      </c>
      <c r="L232" s="312" cm="1">
        <f t="array" ref="L232">_xlfn.XLOOKUP($B232,$B$11:$B$91,_xlfn.XLOOKUP(L$181,$D$5:$AX$5,$D$11:$AX$91))</f>
        <v>364.30000000000007</v>
      </c>
      <c r="M232" s="312" cm="1">
        <f t="array" ref="M232">_xlfn.XLOOKUP($B232,$B$11:$B$91,_xlfn.XLOOKUP(M$181,$D$5:$AX$5,$D$11:$AX$91))</f>
        <v>458.1</v>
      </c>
      <c r="N232" s="312" cm="1">
        <f t="array" ref="N232">_xlfn.XLOOKUP($B232,$B$11:$B$91,_xlfn.XLOOKUP(N$181,$D$5:$AX$5,$D$11:$AX$91))</f>
        <v>457.79999999999995</v>
      </c>
      <c r="O232" s="312" cm="1">
        <f t="array" ref="O232">_xlfn.XLOOKUP($B232,$B$11:$B$91,_xlfn.XLOOKUP(O$181,$D$5:$AX$5,$D$11:$AX$91))</f>
        <v>477.4</v>
      </c>
      <c r="P232" s="312" cm="1">
        <f t="array" ref="P232">_xlfn.XLOOKUP($B232,$B$11:$B$91,_xlfn.XLOOKUP(P$181,$D$5:$AX$5,$D$11:$AX$91))</f>
        <v>475.80000000000007</v>
      </c>
      <c r="Q232" s="312" cm="1">
        <f t="array" ref="Q232">_xlfn.XLOOKUP($B232,$B$11:$B$91,_xlfn.XLOOKUP(Q$181,$D$5:$AX$5,$D$11:$AX$91))</f>
        <v>516.26154872699999</v>
      </c>
      <c r="R232" s="312" cm="1">
        <f t="array" ref="R232">_xlfn.XLOOKUP($B232,$B$11:$B$91,_xlfn.XLOOKUP(R$181,$D$5:$AX$5,$D$11:$AX$91))</f>
        <v>485.29188627075007</v>
      </c>
      <c r="S232" s="312" cm="1">
        <f t="array" ref="S232">_xlfn.XLOOKUP($B232,$B$11:$B$91,_xlfn.XLOOKUP(S$181,$D$5:$AX$5,$D$11:$AX$91))</f>
        <v>518.0608491328951</v>
      </c>
      <c r="T232" s="312" cm="1">
        <f t="array" ref="T232">_xlfn.XLOOKUP($B232,$B$11:$B$91,_xlfn.XLOOKUP(T$181,$D$5:$AX$5,$D$11:$AX$91))</f>
        <v>490.60294889948</v>
      </c>
      <c r="U232" s="312" cm="1">
        <f t="array" ref="U232">_xlfn.XLOOKUP($B232,$B$11:$B$91,_xlfn.XLOOKUP(U$181,$D$5:$AX$5,$D$11:$AX$91))</f>
        <v>522.8821440541783</v>
      </c>
      <c r="V232" s="312" cm="1">
        <f t="array" ref="V232">_xlfn.XLOOKUP($B232,$B$11:$B$91,_xlfn.XLOOKUP(V$181,$D$5:$AX$5,$D$11:$AX$91))</f>
        <v>494.61013377054468</v>
      </c>
      <c r="W232" s="312" cm="1">
        <f t="array" ref="W232">_xlfn.XLOOKUP($B232,$B$11:$B$91,_xlfn.XLOOKUP(W$181,$D$5:$AX$5,$D$11:$AX$91))</f>
        <v>534.41468326202528</v>
      </c>
      <c r="X232" s="312" cm="1">
        <f t="array" ref="X232">_xlfn.XLOOKUP($B232,$B$11:$B$91,_xlfn.XLOOKUP(X$181,$D$5:$AX$5,$D$11:$AX$91))</f>
        <v>505.66859835347759</v>
      </c>
      <c r="Y232" s="312" cm="1">
        <f t="array" ref="Y232">_xlfn.XLOOKUP($B232,$B$11:$B$91,_xlfn.XLOOKUP(Y$181,$D$5:$AX$5,$D$11:$AX$91))</f>
        <v>542.11904743005346</v>
      </c>
      <c r="Z232" s="312" cm="1">
        <f t="array" ref="Z232">_xlfn.XLOOKUP($B232,$B$11:$B$91,_xlfn.XLOOKUP(Z$181,$D$5:$AX$5,$D$11:$AX$91))</f>
        <v>513.26623305511112</v>
      </c>
      <c r="AA232" s="312" cm="1">
        <f t="array" ref="AA232">_xlfn.XLOOKUP($B232,$B$11:$B$91,_xlfn.XLOOKUP(AA$181,$D$5:$AX$5,$D$11:$AX$91))</f>
        <v>550.13720708642086</v>
      </c>
      <c r="AB232" s="312" cm="1">
        <f t="array" ref="AB232">_xlfn.XLOOKUP($B232,$B$11:$B$91,_xlfn.XLOOKUP(AB$181,$D$5:$AX$5,$D$11:$AX$91))</f>
        <v>521.16690483028344</v>
      </c>
      <c r="AC232" s="312" cm="1">
        <f t="array" ref="AC232">_xlfn.XLOOKUP($B232,$B$11:$B$91,_xlfn.XLOOKUP(AC$181,$D$5:$AX$5,$D$11:$AX$91))</f>
        <v>558.47774945014442</v>
      </c>
      <c r="AD232" s="312" cm="1">
        <f t="array" ref="AD232">_xlfn.XLOOKUP($B232,$B$11:$B$91,_xlfn.XLOOKUP(AD$181,$D$5:$AX$5,$D$11:$AX$91))</f>
        <v>529.37895371087598</v>
      </c>
      <c r="AE232" s="312" cm="1">
        <f t="array" ref="AE232">_xlfn.XLOOKUP($B232,$B$11:$B$91,_xlfn.XLOOKUP(AE$181,$D$5:$AX$5,$D$11:$AX$91))</f>
        <v>567.1495276232688</v>
      </c>
      <c r="AF232" s="312" cm="1">
        <f t="array" ref="AF232">_xlfn.XLOOKUP($B232,$B$11:$B$91,_xlfn.XLOOKUP(AF$181,$D$5:$AX$5,$D$11:$AX$91))</f>
        <v>537.91097744052922</v>
      </c>
      <c r="AG232" s="312"/>
      <c r="AH232" s="310" t="str">
        <f t="shared" si="66"/>
        <v>Variable Contribution - New</v>
      </c>
      <c r="AI232" s="311" t="str" cm="1">
        <f t="array" ref="AI232">_xlfn.XLOOKUP($B232,$B$11:$B$91,_xlfn.XLOOKUP(AI$181,$D$5:$AX$5,$D$11:$AX$91))</f>
        <v>A$m</v>
      </c>
      <c r="AJ232" s="311"/>
      <c r="AK232" s="311"/>
      <c r="AL232" s="312" cm="1">
        <f t="array" ref="AL232">_xlfn.XLOOKUP($B232,$B$11:$B$91,_xlfn.XLOOKUP(AL$181,$D$5:$AX$5,$D$11:$AX$91))</f>
        <v>801.3</v>
      </c>
      <c r="AM232" s="312" cm="1">
        <f t="array" ref="AM232">_xlfn.XLOOKUP($B232,$B$11:$B$91,_xlfn.XLOOKUP(AM$181,$D$5:$AX$5,$D$11:$AX$91))</f>
        <v>775</v>
      </c>
      <c r="AN232" s="312" cm="1">
        <f t="array" ref="AN232">_xlfn.XLOOKUP($B232,$B$11:$B$91,_xlfn.XLOOKUP(AN$181,$D$5:$AX$5,$D$11:$AX$91))</f>
        <v>758.2</v>
      </c>
      <c r="AO232" s="312" cm="1">
        <f t="array" ref="AO232">_xlfn.XLOOKUP($B232,$B$11:$B$91,_xlfn.XLOOKUP(AO$181,$D$5:$AX$5,$D$11:$AX$91))</f>
        <v>915.9</v>
      </c>
      <c r="AP232" s="312" cm="1">
        <f t="array" ref="AP232">_xlfn.XLOOKUP($B232,$B$11:$B$91,_xlfn.XLOOKUP(AP$181,$D$5:$AX$5,$D$11:$AX$91))</f>
        <v>953.2</v>
      </c>
      <c r="AQ232" s="312" cm="1">
        <f t="array" ref="AQ232">_xlfn.XLOOKUP($B232,$B$11:$B$91,_xlfn.XLOOKUP(AQ$181,$D$5:$AX$5,$D$11:$AX$91))</f>
        <v>1001.5534349977501</v>
      </c>
      <c r="AR232" s="312" cm="1">
        <f t="array" ref="AR232">_xlfn.XLOOKUP($B232,$B$11:$B$91,_xlfn.XLOOKUP(AR$181,$D$5:$AX$5,$D$11:$AX$91))</f>
        <v>1008.6637980323751</v>
      </c>
      <c r="AS232" s="312" cm="1">
        <f t="array" ref="AS232">_xlfn.XLOOKUP($B232,$B$11:$B$91,_xlfn.XLOOKUP(AS$181,$D$5:$AX$5,$D$11:$AX$91))</f>
        <v>1017.492277824723</v>
      </c>
      <c r="AT232" s="312" cm="1">
        <f t="array" ref="AT232">_xlfn.XLOOKUP($B232,$B$11:$B$91,_xlfn.XLOOKUP(AT$181,$D$5:$AX$5,$D$11:$AX$91))</f>
        <v>1040.083281615503</v>
      </c>
      <c r="AU232" s="312" cm="1">
        <f t="array" ref="AU232">_xlfn.XLOOKUP($B232,$B$11:$B$91,_xlfn.XLOOKUP(AU$181,$D$5:$AX$5,$D$11:$AX$91))</f>
        <v>1055.3852804851645</v>
      </c>
      <c r="AV232" s="312" cm="1">
        <f t="array" ref="AV232">_xlfn.XLOOKUP($B232,$B$11:$B$91,_xlfn.XLOOKUP(AV$181,$D$5:$AX$5,$D$11:$AX$91))</f>
        <v>1071.3041119167042</v>
      </c>
      <c r="AW232" s="312" cm="1">
        <f t="array" ref="AW232">_xlfn.XLOOKUP($B232,$B$11:$B$91,_xlfn.XLOOKUP(AW$181,$D$5:$AX$5,$D$11:$AX$91))</f>
        <v>1087.8567031610205</v>
      </c>
      <c r="AX232" s="312" cm="1">
        <f t="array" ref="AX232">_xlfn.XLOOKUP($B232,$B$11:$B$91,_xlfn.XLOOKUP(AX$181,$D$5:$AX$5,$D$11:$AX$91))</f>
        <v>1105.060505063798</v>
      </c>
    </row>
    <row r="233" spans="2:50" hidden="1" outlineLevel="1">
      <c r="B233" s="305"/>
      <c r="C233" s="313" t="s">
        <v>1121</v>
      </c>
      <c r="D233" s="307" t="s">
        <v>842</v>
      </c>
      <c r="E233" s="307"/>
      <c r="F233" s="307"/>
      <c r="G233" s="314" t="s">
        <v>967</v>
      </c>
      <c r="H233" s="314" t="s">
        <v>967</v>
      </c>
      <c r="I233" s="314">
        <f t="shared" ref="I233:AF233" si="75">I232/G232-1</f>
        <v>8.6097746264877095E-3</v>
      </c>
      <c r="J233" s="314">
        <f t="shared" si="75"/>
        <v>-7.3080708661417249E-2</v>
      </c>
      <c r="K233" s="314">
        <f t="shared" si="75"/>
        <v>-1.1046949535526096E-2</v>
      </c>
      <c r="L233" s="314">
        <f t="shared" si="75"/>
        <v>-3.2917440934430386E-2</v>
      </c>
      <c r="M233" s="314">
        <f t="shared" si="75"/>
        <v>0.16298552932216315</v>
      </c>
      <c r="N233" s="314">
        <f t="shared" si="75"/>
        <v>0.25665660170189364</v>
      </c>
      <c r="O233" s="314">
        <f t="shared" si="75"/>
        <v>4.2130539183584226E-2</v>
      </c>
      <c r="P233" s="314">
        <f t="shared" si="75"/>
        <v>3.9318479685452434E-2</v>
      </c>
      <c r="Q233" s="314">
        <f t="shared" si="75"/>
        <v>8.1402490002094652E-2</v>
      </c>
      <c r="R233" s="314">
        <f t="shared" si="75"/>
        <v>1.9949319610655714E-2</v>
      </c>
      <c r="S233" s="314">
        <f t="shared" si="75"/>
        <v>3.4852496962669566E-3</v>
      </c>
      <c r="T233" s="314">
        <f t="shared" si="75"/>
        <v>1.094405816166244E-2</v>
      </c>
      <c r="U233" s="314">
        <f t="shared" si="75"/>
        <v>9.3064259330788435E-3</v>
      </c>
      <c r="V233" s="314">
        <f t="shared" si="75"/>
        <v>8.1678776698215216E-3</v>
      </c>
      <c r="W233" s="314">
        <f t="shared" si="75"/>
        <v>2.2055714349756173E-2</v>
      </c>
      <c r="X233" s="314">
        <f t="shared" si="75"/>
        <v>2.2357941796766978E-2</v>
      </c>
      <c r="Y233" s="314">
        <f t="shared" si="75"/>
        <v>1.4416453007992436E-2</v>
      </c>
      <c r="Z233" s="314">
        <f t="shared" si="75"/>
        <v>1.502492882961759E-2</v>
      </c>
      <c r="AA233" s="314">
        <f t="shared" si="75"/>
        <v>1.4790403868629953E-2</v>
      </c>
      <c r="AB233" s="314">
        <f t="shared" si="75"/>
        <v>1.5392931126883669E-2</v>
      </c>
      <c r="AC233" s="314">
        <f t="shared" si="75"/>
        <v>1.5160840343622306E-2</v>
      </c>
      <c r="AD233" s="314">
        <f t="shared" si="75"/>
        <v>1.575704213848117E-2</v>
      </c>
      <c r="AE233" s="314">
        <f t="shared" si="75"/>
        <v>1.552752671285873E-2</v>
      </c>
      <c r="AF233" s="314">
        <f t="shared" si="75"/>
        <v>1.6117043697798872E-2</v>
      </c>
      <c r="AG233" s="315"/>
      <c r="AH233" s="313" t="str">
        <f t="shared" si="66"/>
        <v>- Growth</v>
      </c>
      <c r="AI233" s="307" t="str">
        <f>D233</f>
        <v>%</v>
      </c>
      <c r="AJ233" s="307"/>
      <c r="AK233" s="307"/>
      <c r="AL233" s="314" t="s">
        <v>967</v>
      </c>
      <c r="AM233" s="314">
        <f t="shared" ref="AM233:AX233" si="76">AM232/AL232-1</f>
        <v>-3.2821664794708494E-2</v>
      </c>
      <c r="AN233" s="314">
        <f t="shared" si="76"/>
        <v>-2.167741935483869E-2</v>
      </c>
      <c r="AO233" s="314">
        <f t="shared" si="76"/>
        <v>0.20799261408599312</v>
      </c>
      <c r="AP233" s="314">
        <f t="shared" si="76"/>
        <v>4.072496997488817E-2</v>
      </c>
      <c r="AQ233" s="314">
        <f t="shared" si="76"/>
        <v>5.0727481113879591E-2</v>
      </c>
      <c r="AR233" s="314">
        <f t="shared" si="76"/>
        <v>7.0993346796728307E-3</v>
      </c>
      <c r="AS233" s="314">
        <f t="shared" si="76"/>
        <v>8.7526486125206748E-3</v>
      </c>
      <c r="AT233" s="314">
        <f t="shared" si="76"/>
        <v>2.2202629231817594E-2</v>
      </c>
      <c r="AU233" s="314">
        <f t="shared" si="76"/>
        <v>1.4712282314444769E-2</v>
      </c>
      <c r="AV233" s="314">
        <f t="shared" si="76"/>
        <v>1.5083431355250365E-2</v>
      </c>
      <c r="AW233" s="314">
        <f t="shared" si="76"/>
        <v>1.5450879969742148E-2</v>
      </c>
      <c r="AX233" s="314">
        <f t="shared" si="76"/>
        <v>1.5814400787151239E-2</v>
      </c>
    </row>
    <row r="234" spans="2:50" collapsed="1">
      <c r="B234" s="305"/>
      <c r="C234" s="313" t="s">
        <v>1122</v>
      </c>
      <c r="D234" s="307" t="s">
        <v>842</v>
      </c>
      <c r="E234" s="307"/>
      <c r="F234" s="307"/>
      <c r="G234" s="314">
        <f xml:space="preserve"> IFERROR(ROUND( G232 / G231,3) - 1, 0)</f>
        <v>0</v>
      </c>
      <c r="H234" s="314">
        <f t="shared" ref="H234:AF234" si="77" xml:space="preserve"> IFERROR(ROUND( H232 / H231,3) - 1, 0)</f>
        <v>0</v>
      </c>
      <c r="I234" s="314">
        <f t="shared" si="77"/>
        <v>0</v>
      </c>
      <c r="J234" s="314">
        <f t="shared" si="77"/>
        <v>0</v>
      </c>
      <c r="K234" s="314">
        <f t="shared" si="77"/>
        <v>0</v>
      </c>
      <c r="L234" s="314">
        <f t="shared" si="77"/>
        <v>0</v>
      </c>
      <c r="M234" s="314">
        <f t="shared" si="77"/>
        <v>0</v>
      </c>
      <c r="N234" s="314">
        <f t="shared" si="77"/>
        <v>0</v>
      </c>
      <c r="O234" s="314">
        <f t="shared" si="77"/>
        <v>0</v>
      </c>
      <c r="P234" s="314">
        <f t="shared" si="77"/>
        <v>1.6000000000000014E-2</v>
      </c>
      <c r="Q234" s="314">
        <f t="shared" si="77"/>
        <v>8.0000000000000071E-3</v>
      </c>
      <c r="R234" s="314">
        <f t="shared" si="77"/>
        <v>-3.0000000000000027E-3</v>
      </c>
      <c r="S234" s="314">
        <f t="shared" si="77"/>
        <v>-1.4000000000000012E-2</v>
      </c>
      <c r="T234" s="314">
        <f t="shared" si="77"/>
        <v>-1.4000000000000012E-2</v>
      </c>
      <c r="U234" s="314">
        <f t="shared" si="77"/>
        <v>-2.6000000000000023E-2</v>
      </c>
      <c r="V234" s="314">
        <f t="shared" si="77"/>
        <v>-2.8000000000000025E-2</v>
      </c>
      <c r="W234" s="314">
        <f t="shared" si="77"/>
        <v>-2.7000000000000024E-2</v>
      </c>
      <c r="X234" s="314">
        <f t="shared" si="77"/>
        <v>-2.8000000000000025E-2</v>
      </c>
      <c r="Y234" s="314">
        <f t="shared" si="77"/>
        <v>-3.400000000000003E-2</v>
      </c>
      <c r="Z234" s="314">
        <f t="shared" si="77"/>
        <v>-3.5000000000000031E-2</v>
      </c>
      <c r="AA234" s="314">
        <f t="shared" si="77"/>
        <v>-4.2000000000000037E-2</v>
      </c>
      <c r="AB234" s="314">
        <f t="shared" si="77"/>
        <v>-4.2000000000000037E-2</v>
      </c>
      <c r="AC234" s="314">
        <f t="shared" si="77"/>
        <v>-4.2000000000000037E-2</v>
      </c>
      <c r="AD234" s="314">
        <f t="shared" si="77"/>
        <v>-4.2000000000000037E-2</v>
      </c>
      <c r="AE234" s="314">
        <f t="shared" si="77"/>
        <v>-4.2000000000000037E-2</v>
      </c>
      <c r="AF234" s="314">
        <f t="shared" si="77"/>
        <v>-4.1000000000000036E-2</v>
      </c>
      <c r="AG234" s="314"/>
      <c r="AH234" s="313" t="str">
        <f t="shared" si="66"/>
        <v>- Revision</v>
      </c>
      <c r="AI234" s="307" t="str">
        <f>D234</f>
        <v>%</v>
      </c>
      <c r="AJ234" s="307"/>
      <c r="AK234" s="307"/>
      <c r="AL234" s="314">
        <f t="shared" ref="AL234:AX234" si="78" xml:space="preserve"> IFERROR(ROUND( AL232 / AL231,3) - 1, 0)</f>
        <v>0</v>
      </c>
      <c r="AM234" s="314">
        <f t="shared" si="78"/>
        <v>0</v>
      </c>
      <c r="AN234" s="314">
        <f t="shared" si="78"/>
        <v>0</v>
      </c>
      <c r="AO234" s="314">
        <f t="shared" si="78"/>
        <v>0</v>
      </c>
      <c r="AP234" s="314">
        <f t="shared" si="78"/>
        <v>8.0000000000000071E-3</v>
      </c>
      <c r="AQ234" s="314">
        <f t="shared" si="78"/>
        <v>2.0000000000000018E-3</v>
      </c>
      <c r="AR234" s="314">
        <f t="shared" si="78"/>
        <v>-1.4000000000000012E-2</v>
      </c>
      <c r="AS234" s="314">
        <f t="shared" si="78"/>
        <v>-2.7000000000000024E-2</v>
      </c>
      <c r="AT234" s="314">
        <f t="shared" si="78"/>
        <v>-2.7000000000000024E-2</v>
      </c>
      <c r="AU234" s="314">
        <f t="shared" si="78"/>
        <v>-3.5000000000000031E-2</v>
      </c>
      <c r="AV234" s="314">
        <f t="shared" si="78"/>
        <v>-4.2000000000000037E-2</v>
      </c>
      <c r="AW234" s="314">
        <f t="shared" si="78"/>
        <v>-4.2000000000000037E-2</v>
      </c>
      <c r="AX234" s="314">
        <f t="shared" si="78"/>
        <v>-4.1000000000000036E-2</v>
      </c>
    </row>
    <row r="235" spans="2:50">
      <c r="B235" s="305" t="s">
        <v>1432</v>
      </c>
      <c r="C235" s="706" t="str">
        <f>_xlfn.TEXTAFTER($B235,$C$220)&amp;" - old"</f>
        <v>Opex - old</v>
      </c>
      <c r="D235" s="707" t="str" cm="1">
        <f t="array" ref="D235">_xlfn.XLOOKUP($B235,$B$96:$B$176,_xlfn.XLOOKUP(D$181,$D$5:$AX$5,$D$96:$AX$176))</f>
        <v>A$m</v>
      </c>
      <c r="E235" s="307"/>
      <c r="F235" s="307"/>
      <c r="G235" s="708" cm="1">
        <f t="array" ref="G235">_xlfn.XLOOKUP($B235,$B$96:$B$176,_xlfn.XLOOKUP(G$181,$D$5:$AX$5,$D$96:$AX$176))</f>
        <v>-257</v>
      </c>
      <c r="H235" s="708" cm="1">
        <f t="array" ref="H235">_xlfn.XLOOKUP($B235,$B$96:$B$176,_xlfn.XLOOKUP(H$181,$D$5:$AX$5,$D$96:$AX$176))</f>
        <v>-257.29999999999995</v>
      </c>
      <c r="I235" s="708" cm="1">
        <f t="array" ref="I235">_xlfn.XLOOKUP($B235,$B$96:$B$176,_xlfn.XLOOKUP(I$181,$D$5:$AX$5,$D$96:$AX$176))</f>
        <v>-243.9</v>
      </c>
      <c r="J235" s="708" cm="1">
        <f t="array" ref="J235">_xlfn.XLOOKUP($B235,$B$96:$B$176,_xlfn.XLOOKUP(J$181,$D$5:$AX$5,$D$96:$AX$176))</f>
        <v>-223.1</v>
      </c>
      <c r="K235" s="708" cm="1">
        <f t="array" ref="K235">_xlfn.XLOOKUP($B235,$B$96:$B$176,_xlfn.XLOOKUP(K$181,$D$5:$AX$5,$D$96:$AX$176))</f>
        <v>-259.89999999999998</v>
      </c>
      <c r="L235" s="708" cm="1">
        <f t="array" ref="L235">_xlfn.XLOOKUP($B235,$B$96:$B$176,_xlfn.XLOOKUP(L$181,$D$5:$AX$5,$D$96:$AX$176))</f>
        <v>-247.10000000000002</v>
      </c>
      <c r="M235" s="708" cm="1">
        <f t="array" ref="M235">_xlfn.XLOOKUP($B235,$B$96:$B$176,_xlfn.XLOOKUP(M$181,$D$5:$AX$5,$D$96:$AX$176))</f>
        <v>-301.39999999999998</v>
      </c>
      <c r="N235" s="708" cm="1">
        <f t="array" ref="N235">_xlfn.XLOOKUP($B235,$B$96:$B$176,_xlfn.XLOOKUP(N$181,$D$5:$AX$5,$D$96:$AX$176))</f>
        <v>-285.39999999999998</v>
      </c>
      <c r="O235" s="708" cm="1">
        <f t="array" ref="O235">_xlfn.XLOOKUP($B235,$B$96:$B$176,_xlfn.XLOOKUP(O$181,$D$5:$AX$5,$D$96:$AX$176))</f>
        <v>-296</v>
      </c>
      <c r="P235" s="708" cm="1">
        <f t="array" ref="P235">_xlfn.XLOOKUP($B235,$B$96:$B$176,_xlfn.XLOOKUP(P$181,$D$5:$AX$5,$D$96:$AX$176))</f>
        <v>-290.53719999999998</v>
      </c>
      <c r="Q235" s="708" cm="1">
        <f t="array" ref="Q235">_xlfn.XLOOKUP($B235,$B$96:$B$176,_xlfn.XLOOKUP(Q$181,$D$5:$AX$5,$D$96:$AX$176))</f>
        <v>-302.512</v>
      </c>
      <c r="R235" s="708" cm="1">
        <f t="array" ref="R235">_xlfn.XLOOKUP($B235,$B$96:$B$176,_xlfn.XLOOKUP(R$181,$D$5:$AX$5,$D$96:$AX$176))</f>
        <v>-297.80062999999996</v>
      </c>
      <c r="S235" s="708" cm="1">
        <f t="array" ref="S235">_xlfn.XLOOKUP($B235,$B$96:$B$176,_xlfn.XLOOKUP(S$181,$D$5:$AX$5,$D$96:$AX$176))</f>
        <v>-310.07479999999998</v>
      </c>
      <c r="T235" s="708" cm="1">
        <f t="array" ref="T235">_xlfn.XLOOKUP($B235,$B$96:$B$176,_xlfn.XLOOKUP(T$181,$D$5:$AX$5,$D$96:$AX$176))</f>
        <v>-305.24564574999994</v>
      </c>
      <c r="U235" s="708" cm="1">
        <f t="array" ref="U235">_xlfn.XLOOKUP($B235,$B$96:$B$176,_xlfn.XLOOKUP(U$181,$D$5:$AX$5,$D$96:$AX$176))</f>
        <v>-317.82666999999998</v>
      </c>
      <c r="V235" s="708" cm="1">
        <f t="array" ref="V235">_xlfn.XLOOKUP($B235,$B$96:$B$176,_xlfn.XLOOKUP(V$181,$D$5:$AX$5,$D$96:$AX$176))</f>
        <v>-312.87678689374991</v>
      </c>
      <c r="W235" s="708" cm="1">
        <f t="array" ref="W235">_xlfn.XLOOKUP($B235,$B$96:$B$176,_xlfn.XLOOKUP(W$181,$D$5:$AX$5,$D$96:$AX$176))</f>
        <v>-325.77233674999997</v>
      </c>
      <c r="X235" s="708" cm="1">
        <f t="array" ref="X235">_xlfn.XLOOKUP($B235,$B$96:$B$176,_xlfn.XLOOKUP(X$181,$D$5:$AX$5,$D$96:$AX$176))</f>
        <v>-320.69870656609362</v>
      </c>
      <c r="Y235" s="708" cm="1">
        <f t="array" ref="Y235">_xlfn.XLOOKUP($B235,$B$96:$B$176,_xlfn.XLOOKUP(Y$181,$D$5:$AX$5,$D$96:$AX$176))</f>
        <v>-333.91664516874994</v>
      </c>
      <c r="Z235" s="708" cm="1">
        <f t="array" ref="Z235">_xlfn.XLOOKUP($B235,$B$96:$B$176,_xlfn.XLOOKUP(Z$181,$D$5:$AX$5,$D$96:$AX$176))</f>
        <v>-328.71617423024594</v>
      </c>
      <c r="AA235" s="708" cm="1">
        <f t="array" ref="AA235">_xlfn.XLOOKUP($B235,$B$96:$B$176,_xlfn.XLOOKUP(AA$181,$D$5:$AX$5,$D$96:$AX$176))</f>
        <v>-342.26456129796867</v>
      </c>
      <c r="AB235" s="708" cm="1">
        <f t="array" ref="AB235">_xlfn.XLOOKUP($B235,$B$96:$B$176,_xlfn.XLOOKUP(AB$181,$D$5:$AX$5,$D$96:$AX$176))</f>
        <v>-336.93407858600204</v>
      </c>
      <c r="AC235" s="708" cm="1">
        <f t="array" ref="AC235">_xlfn.XLOOKUP($B235,$B$96:$B$176,_xlfn.XLOOKUP(AC$181,$D$5:$AX$5,$D$96:$AX$176))</f>
        <v>-350.82117533041787</v>
      </c>
      <c r="AD235" s="708" cm="1">
        <f t="array" ref="AD235">_xlfn.XLOOKUP($B235,$B$96:$B$176,_xlfn.XLOOKUP(AD$181,$D$5:$AX$5,$D$96:$AX$176))</f>
        <v>-345.35743055065205</v>
      </c>
      <c r="AE235" s="708" cm="1">
        <f t="array" ref="AE235">_xlfn.XLOOKUP($B235,$B$96:$B$176,_xlfn.XLOOKUP(AE$181,$D$5:$AX$5,$D$96:$AX$176))</f>
        <v>-359.59170471367827</v>
      </c>
      <c r="AF235" s="708" cm="1">
        <f t="array" ref="AF235">_xlfn.XLOOKUP($B235,$B$96:$B$176,_xlfn.XLOOKUP(AF$181,$D$5:$AX$5,$D$96:$AX$176))</f>
        <v>-353.99136631441831</v>
      </c>
      <c r="AG235" s="309"/>
      <c r="AH235" s="306" t="str">
        <f t="shared" si="66"/>
        <v>Opex - old</v>
      </c>
      <c r="AI235" s="707" t="str" cm="1">
        <f t="array" ref="AI235">_xlfn.XLOOKUP($B235,$B$96:$B$176,_xlfn.XLOOKUP(AI$181,$D$5:$AX$5,$D$96:$AX$176))</f>
        <v>A$m</v>
      </c>
      <c r="AJ235" s="307"/>
      <c r="AK235" s="307"/>
      <c r="AL235" s="708" cm="1">
        <f t="array" ref="AL235">_xlfn.XLOOKUP($B235,$B$96:$B$176,_xlfn.XLOOKUP(AL$181,$D$5:$AX$5,$D$96:$AX$176))</f>
        <v>-514.29999999999995</v>
      </c>
      <c r="AM235" s="708" cm="1">
        <f t="array" ref="AM235">_xlfn.XLOOKUP($B235,$B$96:$B$176,_xlfn.XLOOKUP(AM$181,$D$5:$AX$5,$D$96:$AX$176))</f>
        <v>-467</v>
      </c>
      <c r="AN235" s="708" cm="1">
        <f t="array" ref="AN235">_xlfn.XLOOKUP($B235,$B$96:$B$176,_xlfn.XLOOKUP(AN$181,$D$5:$AX$5,$D$96:$AX$176))</f>
        <v>-507</v>
      </c>
      <c r="AO235" s="708" cm="1">
        <f t="array" ref="AO235">_xlfn.XLOOKUP($B235,$B$96:$B$176,_xlfn.XLOOKUP(AO$181,$D$5:$AX$5,$D$96:$AX$176))</f>
        <v>-586.79999999999995</v>
      </c>
      <c r="AP235" s="708" cm="1">
        <f t="array" ref="AP235">_xlfn.XLOOKUP($B235,$B$96:$B$176,_xlfn.XLOOKUP(AP$181,$D$5:$AX$5,$D$96:$AX$176))</f>
        <v>-586.53719999999998</v>
      </c>
      <c r="AQ235" s="708" cm="1">
        <f t="array" ref="AQ235">_xlfn.XLOOKUP($B235,$B$96:$B$176,_xlfn.XLOOKUP(AQ$181,$D$5:$AX$5,$D$96:$AX$176))</f>
        <v>-600.3126299999999</v>
      </c>
      <c r="AR235" s="708" cm="1">
        <f t="array" ref="AR235">_xlfn.XLOOKUP($B235,$B$96:$B$176,_xlfn.XLOOKUP(AR$181,$D$5:$AX$5,$D$96:$AX$176))</f>
        <v>-615.32044574999986</v>
      </c>
      <c r="AS235" s="708" cm="1">
        <f t="array" ref="AS235">_xlfn.XLOOKUP($B235,$B$96:$B$176,_xlfn.XLOOKUP(AS$181,$D$5:$AX$5,$D$96:$AX$176))</f>
        <v>-630.70345689374994</v>
      </c>
      <c r="AT235" s="708" cm="1">
        <f t="array" ref="AT235">_xlfn.XLOOKUP($B235,$B$96:$B$176,_xlfn.XLOOKUP(AT$181,$D$5:$AX$5,$D$96:$AX$176))</f>
        <v>-646.47104331609353</v>
      </c>
      <c r="AU235" s="708" cm="1">
        <f t="array" ref="AU235">_xlfn.XLOOKUP($B235,$B$96:$B$176,_xlfn.XLOOKUP(AU$181,$D$5:$AX$5,$D$96:$AX$176))</f>
        <v>-662.63281939899593</v>
      </c>
      <c r="AV235" s="708" cm="1">
        <f t="array" ref="AV235">_xlfn.XLOOKUP($B235,$B$96:$B$176,_xlfn.XLOOKUP(AV$181,$D$5:$AX$5,$D$96:$AX$176))</f>
        <v>-679.19863988397071</v>
      </c>
      <c r="AW235" s="708" cm="1">
        <f t="array" ref="AW235">_xlfn.XLOOKUP($B235,$B$96:$B$176,_xlfn.XLOOKUP(AW$181,$D$5:$AX$5,$D$96:$AX$176))</f>
        <v>-696.17860588106987</v>
      </c>
      <c r="AX235" s="708" cm="1">
        <f t="array" ref="AX235">_xlfn.XLOOKUP($B235,$B$96:$B$176,_xlfn.XLOOKUP(AX$181,$D$5:$AX$5,$D$96:$AX$176))</f>
        <v>-713.58307102809658</v>
      </c>
    </row>
    <row r="236" spans="2:50">
      <c r="B236" s="305" t="s">
        <v>1432</v>
      </c>
      <c r="C236" s="318" t="str">
        <f>_xlfn.TEXTAFTER($B236,$C$220)&amp;" - New"</f>
        <v>Opex - New</v>
      </c>
      <c r="D236" s="311" t="str" cm="1">
        <f t="array" ref="D236">_xlfn.XLOOKUP($B236,$B$11:$B$91,_xlfn.XLOOKUP(D$181,$D$5:$AX$5,$D$11:$AX$91))</f>
        <v>A$m</v>
      </c>
      <c r="E236" s="311"/>
      <c r="F236" s="311"/>
      <c r="G236" s="312" cm="1">
        <f t="array" ref="G236">_xlfn.XLOOKUP($B236,$B$11:$B$91,_xlfn.XLOOKUP(G$181,$D$5:$AX$5,$D$11:$AX$91))</f>
        <v>-257</v>
      </c>
      <c r="H236" s="312" cm="1">
        <f t="array" ref="H236">_xlfn.XLOOKUP($B236,$B$11:$B$91,_xlfn.XLOOKUP(H$181,$D$5:$AX$5,$D$11:$AX$91))</f>
        <v>-257.29999999999995</v>
      </c>
      <c r="I236" s="312" cm="1">
        <f t="array" ref="I236">_xlfn.XLOOKUP($B236,$B$11:$B$91,_xlfn.XLOOKUP(I$181,$D$5:$AX$5,$D$11:$AX$91))</f>
        <v>-243.9</v>
      </c>
      <c r="J236" s="312" cm="1">
        <f t="array" ref="J236">_xlfn.XLOOKUP($B236,$B$11:$B$91,_xlfn.XLOOKUP(J$181,$D$5:$AX$5,$D$11:$AX$91))</f>
        <v>-223.1</v>
      </c>
      <c r="K236" s="312" cm="1">
        <f t="array" ref="K236">_xlfn.XLOOKUP($B236,$B$11:$B$91,_xlfn.XLOOKUP(K$181,$D$5:$AX$5,$D$11:$AX$91))</f>
        <v>-259.89999999999998</v>
      </c>
      <c r="L236" s="312" cm="1">
        <f t="array" ref="L236">_xlfn.XLOOKUP($B236,$B$11:$B$91,_xlfn.XLOOKUP(L$181,$D$5:$AX$5,$D$11:$AX$91))</f>
        <v>-247.10000000000002</v>
      </c>
      <c r="M236" s="312" cm="1">
        <f t="array" ref="M236">_xlfn.XLOOKUP($B236,$B$11:$B$91,_xlfn.XLOOKUP(M$181,$D$5:$AX$5,$D$11:$AX$91))</f>
        <v>-301.39999999999998</v>
      </c>
      <c r="N236" s="312" cm="1">
        <f t="array" ref="N236">_xlfn.XLOOKUP($B236,$B$11:$B$91,_xlfn.XLOOKUP(N$181,$D$5:$AX$5,$D$11:$AX$91))</f>
        <v>-285.39999999999998</v>
      </c>
      <c r="O236" s="312" cm="1">
        <f t="array" ref="O236">_xlfn.XLOOKUP($B236,$B$11:$B$91,_xlfn.XLOOKUP(O$181,$D$5:$AX$5,$D$11:$AX$91))</f>
        <v>-296</v>
      </c>
      <c r="P236" s="312" cm="1">
        <f t="array" ref="P236">_xlfn.XLOOKUP($B236,$B$11:$B$91,_xlfn.XLOOKUP(P$181,$D$5:$AX$5,$D$11:$AX$91))</f>
        <v>-295.39999999999998</v>
      </c>
      <c r="Q236" s="312" cm="1">
        <f t="array" ref="Q236">_xlfn.XLOOKUP($B236,$B$11:$B$91,_xlfn.XLOOKUP(Q$181,$D$5:$AX$5,$D$11:$AX$91))</f>
        <v>-306.06400000000002</v>
      </c>
      <c r="R236" s="312" cm="1">
        <f t="array" ref="R236">_xlfn.XLOOKUP($B236,$B$11:$B$91,_xlfn.XLOOKUP(R$181,$D$5:$AX$5,$D$11:$AX$91))</f>
        <v>-305.00049999999999</v>
      </c>
      <c r="S236" s="312" cm="1">
        <f t="array" ref="S236">_xlfn.XLOOKUP($B236,$B$11:$B$91,_xlfn.XLOOKUP(S$181,$D$5:$AX$5,$D$11:$AX$91))</f>
        <v>-315.24592000000001</v>
      </c>
      <c r="T236" s="312" cm="1">
        <f t="array" ref="T236">_xlfn.XLOOKUP($B236,$B$11:$B$91,_xlfn.XLOOKUP(T$181,$D$5:$AX$5,$D$11:$AX$91))</f>
        <v>-314.15051499999998</v>
      </c>
      <c r="U236" s="312" cm="1">
        <f t="array" ref="U236">_xlfn.XLOOKUP($B236,$B$11:$B$91,_xlfn.XLOOKUP(U$181,$D$5:$AX$5,$D$11:$AX$91))</f>
        <v>-324.70329760000004</v>
      </c>
      <c r="V236" s="312" cm="1">
        <f t="array" ref="V236">_xlfn.XLOOKUP($B236,$B$11:$B$91,_xlfn.XLOOKUP(V$181,$D$5:$AX$5,$D$11:$AX$91))</f>
        <v>-323.57503044999999</v>
      </c>
      <c r="W236" s="312" cm="1">
        <f t="array" ref="W236">_xlfn.XLOOKUP($B236,$B$11:$B$91,_xlfn.XLOOKUP(W$181,$D$5:$AX$5,$D$11:$AX$91))</f>
        <v>-334.44439652800003</v>
      </c>
      <c r="X236" s="312" cm="1">
        <f t="array" ref="X236">_xlfn.XLOOKUP($B236,$B$11:$B$91,_xlfn.XLOOKUP(X$181,$D$5:$AX$5,$D$11:$AX$91))</f>
        <v>-333.28228136349998</v>
      </c>
      <c r="Y236" s="312" cm="1">
        <f t="array" ref="Y236">_xlfn.XLOOKUP($B236,$B$11:$B$91,_xlfn.XLOOKUP(Y$181,$D$5:$AX$5,$D$11:$AX$91))</f>
        <v>-341.13328445856001</v>
      </c>
      <c r="Z236" s="312" cm="1">
        <f t="array" ref="Z236">_xlfn.XLOOKUP($B236,$B$11:$B$91,_xlfn.XLOOKUP(Z$181,$D$5:$AX$5,$D$11:$AX$91))</f>
        <v>-339.94792699076999</v>
      </c>
      <c r="AA236" s="312" cm="1">
        <f t="array" ref="AA236">_xlfn.XLOOKUP($B236,$B$11:$B$91,_xlfn.XLOOKUP(AA$181,$D$5:$AX$5,$D$11:$AX$91))</f>
        <v>-347.95595014773124</v>
      </c>
      <c r="AB236" s="312" cm="1">
        <f t="array" ref="AB236">_xlfn.XLOOKUP($B236,$B$11:$B$91,_xlfn.XLOOKUP(AB$181,$D$5:$AX$5,$D$11:$AX$91))</f>
        <v>-346.74688553058542</v>
      </c>
      <c r="AC236" s="312" cm="1">
        <f t="array" ref="AC236">_xlfn.XLOOKUP($B236,$B$11:$B$91,_xlfn.XLOOKUP(AC$181,$D$5:$AX$5,$D$11:$AX$91))</f>
        <v>-354.91506915068589</v>
      </c>
      <c r="AD236" s="312" cm="1">
        <f t="array" ref="AD236">_xlfn.XLOOKUP($B236,$B$11:$B$91,_xlfn.XLOOKUP(AD$181,$D$5:$AX$5,$D$11:$AX$91))</f>
        <v>-353.68182324119715</v>
      </c>
      <c r="AE236" s="312" cm="1">
        <f t="array" ref="AE236">_xlfn.XLOOKUP($B236,$B$11:$B$91,_xlfn.XLOOKUP(AE$181,$D$5:$AX$5,$D$11:$AX$91))</f>
        <v>-362.01337053369963</v>
      </c>
      <c r="AF236" s="312" cm="1">
        <f t="array" ref="AF236">_xlfn.XLOOKUP($B236,$B$11:$B$91,_xlfn.XLOOKUP(AF$181,$D$5:$AX$5,$D$11:$AX$91))</f>
        <v>-360.7554597060211</v>
      </c>
      <c r="AG236" s="312"/>
      <c r="AH236" s="310" t="str">
        <f t="shared" si="66"/>
        <v>Opex - New</v>
      </c>
      <c r="AI236" s="311" t="str" cm="1">
        <f t="array" ref="AI236">_xlfn.XLOOKUP($B236,$B$11:$B$91,_xlfn.XLOOKUP(AI$181,$D$5:$AX$5,$D$11:$AX$91))</f>
        <v>A$m</v>
      </c>
      <c r="AJ236" s="311"/>
      <c r="AK236" s="311"/>
      <c r="AL236" s="312" cm="1">
        <f t="array" ref="AL236">_xlfn.XLOOKUP($B236,$B$11:$B$91,_xlfn.XLOOKUP(AL$181,$D$5:$AX$5,$D$11:$AX$91))</f>
        <v>-514.29999999999995</v>
      </c>
      <c r="AM236" s="312" cm="1">
        <f t="array" ref="AM236">_xlfn.XLOOKUP($B236,$B$11:$B$91,_xlfn.XLOOKUP(AM$181,$D$5:$AX$5,$D$11:$AX$91))</f>
        <v>-467</v>
      </c>
      <c r="AN236" s="312" cm="1">
        <f t="array" ref="AN236">_xlfn.XLOOKUP($B236,$B$11:$B$91,_xlfn.XLOOKUP(AN$181,$D$5:$AX$5,$D$11:$AX$91))</f>
        <v>-507</v>
      </c>
      <c r="AO236" s="312" cm="1">
        <f t="array" ref="AO236">_xlfn.XLOOKUP($B236,$B$11:$B$91,_xlfn.XLOOKUP(AO$181,$D$5:$AX$5,$D$11:$AX$91))</f>
        <v>-586.79999999999995</v>
      </c>
      <c r="AP236" s="312" cm="1">
        <f t="array" ref="AP236">_xlfn.XLOOKUP($B236,$B$11:$B$91,_xlfn.XLOOKUP(AP$181,$D$5:$AX$5,$D$11:$AX$91))</f>
        <v>-591.4</v>
      </c>
      <c r="AQ236" s="312" cm="1">
        <f t="array" ref="AQ236">_xlfn.XLOOKUP($B236,$B$11:$B$91,_xlfn.XLOOKUP(AQ$181,$D$5:$AX$5,$D$11:$AX$91))</f>
        <v>-611.06449999999995</v>
      </c>
      <c r="AR236" s="312" cm="1">
        <f t="array" ref="AR236">_xlfn.XLOOKUP($B236,$B$11:$B$91,_xlfn.XLOOKUP(AR$181,$D$5:$AX$5,$D$11:$AX$91))</f>
        <v>-629.396435</v>
      </c>
      <c r="AS236" s="312" cm="1">
        <f t="array" ref="AS236">_xlfn.XLOOKUP($B236,$B$11:$B$91,_xlfn.XLOOKUP(AS$181,$D$5:$AX$5,$D$11:$AX$91))</f>
        <v>-648.27832805000003</v>
      </c>
      <c r="AT236" s="312" cm="1">
        <f t="array" ref="AT236">_xlfn.XLOOKUP($B236,$B$11:$B$91,_xlfn.XLOOKUP(AT$181,$D$5:$AX$5,$D$11:$AX$91))</f>
        <v>-667.7266778915</v>
      </c>
      <c r="AU236" s="312" cm="1">
        <f t="array" ref="AU236">_xlfn.XLOOKUP($B236,$B$11:$B$91,_xlfn.XLOOKUP(AU$181,$D$5:$AX$5,$D$11:$AX$91))</f>
        <v>-681.08121144933</v>
      </c>
      <c r="AV236" s="312" cm="1">
        <f t="array" ref="AV236">_xlfn.XLOOKUP($B236,$B$11:$B$91,_xlfn.XLOOKUP(AV$181,$D$5:$AX$5,$D$11:$AX$91))</f>
        <v>-694.70283567831666</v>
      </c>
      <c r="AW236" s="312" cm="1">
        <f t="array" ref="AW236">_xlfn.XLOOKUP($B236,$B$11:$B$91,_xlfn.XLOOKUP(AW$181,$D$5:$AX$5,$D$11:$AX$91))</f>
        <v>-708.5968923918831</v>
      </c>
      <c r="AX236" s="312" cm="1">
        <f t="array" ref="AX236">_xlfn.XLOOKUP($B236,$B$11:$B$91,_xlfn.XLOOKUP(AX$181,$D$5:$AX$5,$D$11:$AX$91))</f>
        <v>-722.76883023972073</v>
      </c>
    </row>
    <row r="237" spans="2:50" hidden="1" outlineLevel="1">
      <c r="B237" s="305"/>
      <c r="C237" s="313" t="s">
        <v>1121</v>
      </c>
      <c r="D237" s="307" t="s">
        <v>842</v>
      </c>
      <c r="E237" s="307"/>
      <c r="F237" s="307"/>
      <c r="G237" s="314" t="s">
        <v>967</v>
      </c>
      <c r="H237" s="314" t="s">
        <v>967</v>
      </c>
      <c r="I237" s="314">
        <f t="shared" ref="I237:AF237" si="79">I236/G236-1</f>
        <v>-5.0972762645914327E-2</v>
      </c>
      <c r="J237" s="314">
        <f t="shared" si="79"/>
        <v>-0.13291877186164003</v>
      </c>
      <c r="K237" s="314">
        <f t="shared" si="79"/>
        <v>6.5600656006559843E-2</v>
      </c>
      <c r="L237" s="314">
        <f t="shared" si="79"/>
        <v>0.10757507844016145</v>
      </c>
      <c r="M237" s="314">
        <f t="shared" si="79"/>
        <v>0.15967679876875729</v>
      </c>
      <c r="N237" s="314">
        <f t="shared" si="79"/>
        <v>0.1549979765277214</v>
      </c>
      <c r="O237" s="314">
        <f t="shared" si="79"/>
        <v>-1.7916390179163799E-2</v>
      </c>
      <c r="P237" s="314">
        <f t="shared" si="79"/>
        <v>3.5038542396636396E-2</v>
      </c>
      <c r="Q237" s="314">
        <f t="shared" si="79"/>
        <v>3.400000000000003E-2</v>
      </c>
      <c r="R237" s="314">
        <f t="shared" si="79"/>
        <v>3.2499999999999973E-2</v>
      </c>
      <c r="S237" s="314">
        <f t="shared" si="79"/>
        <v>3.0000000000000027E-2</v>
      </c>
      <c r="T237" s="314">
        <f t="shared" si="79"/>
        <v>3.0000000000000027E-2</v>
      </c>
      <c r="U237" s="314">
        <f t="shared" si="79"/>
        <v>3.0000000000000027E-2</v>
      </c>
      <c r="V237" s="314">
        <f t="shared" si="79"/>
        <v>3.0000000000000027E-2</v>
      </c>
      <c r="W237" s="314">
        <f t="shared" si="79"/>
        <v>3.0000000000000027E-2</v>
      </c>
      <c r="X237" s="314">
        <f t="shared" si="79"/>
        <v>3.0000000000000027E-2</v>
      </c>
      <c r="Y237" s="314">
        <f t="shared" si="79"/>
        <v>2.0000000000000018E-2</v>
      </c>
      <c r="Z237" s="314">
        <f t="shared" si="79"/>
        <v>2.0000000000000018E-2</v>
      </c>
      <c r="AA237" s="314">
        <f t="shared" si="79"/>
        <v>2.0000000000000018E-2</v>
      </c>
      <c r="AB237" s="314">
        <f t="shared" si="79"/>
        <v>2.0000000000000018E-2</v>
      </c>
      <c r="AC237" s="314">
        <f t="shared" si="79"/>
        <v>2.0000000000000018E-2</v>
      </c>
      <c r="AD237" s="314">
        <f t="shared" si="79"/>
        <v>2.0000000000000018E-2</v>
      </c>
      <c r="AE237" s="314">
        <f t="shared" si="79"/>
        <v>2.0000000000000018E-2</v>
      </c>
      <c r="AF237" s="314">
        <f t="shared" si="79"/>
        <v>2.0000000000000018E-2</v>
      </c>
      <c r="AG237" s="315"/>
      <c r="AH237" s="313" t="str">
        <f t="shared" si="66"/>
        <v>- Growth</v>
      </c>
      <c r="AI237" s="307" t="str">
        <f>D237</f>
        <v>%</v>
      </c>
      <c r="AJ237" s="307"/>
      <c r="AK237" s="307"/>
      <c r="AL237" s="314" t="s">
        <v>967</v>
      </c>
      <c r="AM237" s="314">
        <f t="shared" ref="AM237:AX237" si="80">AM236/AL236-1</f>
        <v>-9.1969667509235742E-2</v>
      </c>
      <c r="AN237" s="314">
        <f t="shared" si="80"/>
        <v>8.5653104925053514E-2</v>
      </c>
      <c r="AO237" s="314">
        <f t="shared" si="80"/>
        <v>0.15739644970414202</v>
      </c>
      <c r="AP237" s="314">
        <f t="shared" si="80"/>
        <v>7.839127471029439E-3</v>
      </c>
      <c r="AQ237" s="314">
        <f t="shared" si="80"/>
        <v>3.3250760906323951E-2</v>
      </c>
      <c r="AR237" s="314">
        <f t="shared" si="80"/>
        <v>3.0000000000000027E-2</v>
      </c>
      <c r="AS237" s="314">
        <f t="shared" si="80"/>
        <v>3.0000000000000027E-2</v>
      </c>
      <c r="AT237" s="314">
        <f t="shared" si="80"/>
        <v>3.0000000000000027E-2</v>
      </c>
      <c r="AU237" s="314">
        <f t="shared" si="80"/>
        <v>2.0000000000000018E-2</v>
      </c>
      <c r="AV237" s="314">
        <f t="shared" si="80"/>
        <v>2.0000000000000018E-2</v>
      </c>
      <c r="AW237" s="314">
        <f t="shared" si="80"/>
        <v>2.000000000000024E-2</v>
      </c>
      <c r="AX237" s="314">
        <f t="shared" si="80"/>
        <v>2.0000000000000018E-2</v>
      </c>
    </row>
    <row r="238" spans="2:50" collapsed="1">
      <c r="B238" s="305"/>
      <c r="C238" s="313" t="s">
        <v>1122</v>
      </c>
      <c r="D238" s="307" t="s">
        <v>842</v>
      </c>
      <c r="E238" s="307"/>
      <c r="F238" s="307"/>
      <c r="G238" s="314">
        <f xml:space="preserve"> IFERROR(ROUND( G236 / G235,3) - 1, 0)</f>
        <v>0</v>
      </c>
      <c r="H238" s="314">
        <f t="shared" ref="H238:AF238" si="81" xml:space="preserve"> IFERROR(ROUND( H236 / H235,3) - 1, 0)</f>
        <v>0</v>
      </c>
      <c r="I238" s="314">
        <f t="shared" si="81"/>
        <v>0</v>
      </c>
      <c r="J238" s="314">
        <f t="shared" si="81"/>
        <v>0</v>
      </c>
      <c r="K238" s="314">
        <f t="shared" si="81"/>
        <v>0</v>
      </c>
      <c r="L238" s="314">
        <f t="shared" si="81"/>
        <v>0</v>
      </c>
      <c r="M238" s="314">
        <f t="shared" si="81"/>
        <v>0</v>
      </c>
      <c r="N238" s="314">
        <f t="shared" si="81"/>
        <v>0</v>
      </c>
      <c r="O238" s="314">
        <f t="shared" si="81"/>
        <v>0</v>
      </c>
      <c r="P238" s="314">
        <f t="shared" si="81"/>
        <v>1.6999999999999904E-2</v>
      </c>
      <c r="Q238" s="314">
        <f t="shared" si="81"/>
        <v>1.2000000000000011E-2</v>
      </c>
      <c r="R238" s="314">
        <f t="shared" si="81"/>
        <v>2.4000000000000021E-2</v>
      </c>
      <c r="S238" s="314">
        <f t="shared" si="81"/>
        <v>1.6999999999999904E-2</v>
      </c>
      <c r="T238" s="314">
        <f t="shared" si="81"/>
        <v>2.8999999999999915E-2</v>
      </c>
      <c r="U238" s="314">
        <f t="shared" si="81"/>
        <v>2.200000000000002E-2</v>
      </c>
      <c r="V238" s="314">
        <f t="shared" si="81"/>
        <v>3.400000000000003E-2</v>
      </c>
      <c r="W238" s="314">
        <f t="shared" si="81"/>
        <v>2.6999999999999913E-2</v>
      </c>
      <c r="X238" s="314">
        <f t="shared" si="81"/>
        <v>3.8999999999999924E-2</v>
      </c>
      <c r="Y238" s="314">
        <f t="shared" si="81"/>
        <v>2.200000000000002E-2</v>
      </c>
      <c r="Z238" s="314">
        <f t="shared" si="81"/>
        <v>3.400000000000003E-2</v>
      </c>
      <c r="AA238" s="314">
        <f t="shared" si="81"/>
        <v>1.6999999999999904E-2</v>
      </c>
      <c r="AB238" s="314">
        <f t="shared" si="81"/>
        <v>2.8999999999999915E-2</v>
      </c>
      <c r="AC238" s="314">
        <f t="shared" si="81"/>
        <v>1.2000000000000011E-2</v>
      </c>
      <c r="AD238" s="314">
        <f t="shared" si="81"/>
        <v>2.4000000000000021E-2</v>
      </c>
      <c r="AE238" s="314">
        <f t="shared" si="81"/>
        <v>6.9999999999998952E-3</v>
      </c>
      <c r="AF238" s="314">
        <f t="shared" si="81"/>
        <v>1.8999999999999906E-2</v>
      </c>
      <c r="AG238" s="314"/>
      <c r="AH238" s="313" t="str">
        <f t="shared" si="66"/>
        <v>- Revision</v>
      </c>
      <c r="AI238" s="307" t="str">
        <f>D238</f>
        <v>%</v>
      </c>
      <c r="AJ238" s="307"/>
      <c r="AK238" s="307"/>
      <c r="AL238" s="314">
        <f t="shared" ref="AL238:AX238" si="82" xml:space="preserve"> IFERROR(ROUND( AL236 / AL235,3) - 1, 0)</f>
        <v>0</v>
      </c>
      <c r="AM238" s="314">
        <f t="shared" si="82"/>
        <v>0</v>
      </c>
      <c r="AN238" s="314">
        <f t="shared" si="82"/>
        <v>0</v>
      </c>
      <c r="AO238" s="314">
        <f t="shared" si="82"/>
        <v>0</v>
      </c>
      <c r="AP238" s="314">
        <f t="shared" si="82"/>
        <v>8.0000000000000071E-3</v>
      </c>
      <c r="AQ238" s="314">
        <f t="shared" si="82"/>
        <v>1.8000000000000016E-2</v>
      </c>
      <c r="AR238" s="314">
        <f t="shared" si="82"/>
        <v>2.2999999999999909E-2</v>
      </c>
      <c r="AS238" s="314">
        <f t="shared" si="82"/>
        <v>2.8000000000000025E-2</v>
      </c>
      <c r="AT238" s="314">
        <f t="shared" si="82"/>
        <v>3.2999999999999918E-2</v>
      </c>
      <c r="AU238" s="314">
        <f t="shared" si="82"/>
        <v>2.8000000000000025E-2</v>
      </c>
      <c r="AV238" s="314">
        <f t="shared" si="82"/>
        <v>2.2999999999999909E-2</v>
      </c>
      <c r="AW238" s="314">
        <f t="shared" si="82"/>
        <v>1.8000000000000016E-2</v>
      </c>
      <c r="AX238" s="314">
        <f t="shared" si="82"/>
        <v>1.2999999999999901E-2</v>
      </c>
    </row>
    <row r="239" spans="2:50">
      <c r="B239" s="305" t="s">
        <v>1433</v>
      </c>
      <c r="C239" s="706" t="str">
        <f>_xlfn.TEXTAFTER($B239,$C$220)&amp;" - old"</f>
        <v>EBITDA - old</v>
      </c>
      <c r="D239" s="707" t="str" cm="1">
        <f t="array" ref="D239">_xlfn.XLOOKUP($B239,$B$96:$B$176,_xlfn.XLOOKUP(D$181,$D$5:$AX$5,$D$96:$AX$176))</f>
        <v>A$m</v>
      </c>
      <c r="E239" s="307"/>
      <c r="F239" s="307"/>
      <c r="G239" s="708" cm="1">
        <f t="array" ref="G239">_xlfn.XLOOKUP($B239,$B$96:$B$176,_xlfn.XLOOKUP(G$181,$D$5:$AX$5,$D$96:$AX$176))</f>
        <v>137.9</v>
      </c>
      <c r="H239" s="708" cm="1">
        <f t="array" ref="H239">_xlfn.XLOOKUP($B239,$B$96:$B$176,_xlfn.XLOOKUP(H$181,$D$5:$AX$5,$D$96:$AX$176))</f>
        <v>149.1</v>
      </c>
      <c r="I239" s="708" cm="1">
        <f t="array" ref="I239">_xlfn.XLOOKUP($B239,$B$96:$B$176,_xlfn.XLOOKUP(I$181,$D$5:$AX$5,$D$96:$AX$176))</f>
        <v>154.4</v>
      </c>
      <c r="J239" s="708" cm="1">
        <f t="array" ref="J239">_xlfn.XLOOKUP($B239,$B$96:$B$176,_xlfn.XLOOKUP(J$181,$D$5:$AX$5,$D$96:$AX$176))</f>
        <v>153.6</v>
      </c>
      <c r="K239" s="708" cm="1">
        <f t="array" ref="K239">_xlfn.XLOOKUP($B239,$B$96:$B$176,_xlfn.XLOOKUP(K$181,$D$5:$AX$5,$D$96:$AX$176))</f>
        <v>134</v>
      </c>
      <c r="L239" s="708" cm="1">
        <f t="array" ref="L239">_xlfn.XLOOKUP($B239,$B$96:$B$176,_xlfn.XLOOKUP(L$181,$D$5:$AX$5,$D$96:$AX$176))</f>
        <v>117.19999999999999</v>
      </c>
      <c r="M239" s="708" cm="1">
        <f t="array" ref="M239">_xlfn.XLOOKUP($B239,$B$96:$B$176,_xlfn.XLOOKUP(M$181,$D$5:$AX$5,$D$96:$AX$176))</f>
        <v>156.69999999999999</v>
      </c>
      <c r="N239" s="708" cm="1">
        <f t="array" ref="N239">_xlfn.XLOOKUP($B239,$B$96:$B$176,_xlfn.XLOOKUP(N$181,$D$5:$AX$5,$D$96:$AX$176))</f>
        <v>172.40000000000003</v>
      </c>
      <c r="O239" s="708" cm="1">
        <f t="array" ref="O239">_xlfn.XLOOKUP($B239,$B$96:$B$176,_xlfn.XLOOKUP(O$181,$D$5:$AX$5,$D$96:$AX$176))</f>
        <v>181.4</v>
      </c>
      <c r="P239" s="708" cm="1">
        <f t="array" ref="P239">_xlfn.XLOOKUP($B239,$B$96:$B$176,_xlfn.XLOOKUP(P$181,$D$5:$AX$5,$D$96:$AX$176))</f>
        <v>177.92792610898005</v>
      </c>
      <c r="Q239" s="708" cm="1">
        <f t="array" ref="Q239">_xlfn.XLOOKUP($B239,$B$96:$B$176,_xlfn.XLOOKUP(Q$181,$D$5:$AX$5,$D$96:$AX$176))</f>
        <v>209.81163044135002</v>
      </c>
      <c r="R239" s="708" cm="1">
        <f t="array" ref="R239">_xlfn.XLOOKUP($B239,$B$96:$B$176,_xlfn.XLOOKUP(R$181,$D$5:$AX$5,$D$96:$AX$176))</f>
        <v>189.10235425652814</v>
      </c>
      <c r="S239" s="708" cm="1">
        <f t="array" ref="S239">_xlfn.XLOOKUP($B239,$B$96:$B$176,_xlfn.XLOOKUP(S$181,$D$5:$AX$5,$D$96:$AX$176))</f>
        <v>215.26236940994818</v>
      </c>
      <c r="T239" s="708" cm="1">
        <f t="array" ref="T239">_xlfn.XLOOKUP($B239,$B$96:$B$176,_xlfn.XLOOKUP(T$181,$D$5:$AX$5,$D$96:$AX$176))</f>
        <v>192.46953074586781</v>
      </c>
      <c r="U239" s="708" cm="1">
        <f t="array" ref="U239">_xlfn.XLOOKUP($B239,$B$96:$B$176,_xlfn.XLOOKUP(U$181,$D$5:$AX$5,$D$96:$AX$176))</f>
        <v>219.18298065330833</v>
      </c>
      <c r="V239" s="708" cm="1">
        <f t="array" ref="V239">_xlfn.XLOOKUP($B239,$B$96:$B$176,_xlfn.XLOOKUP(V$181,$D$5:$AX$5,$D$96:$AX$176))</f>
        <v>195.94773551575412</v>
      </c>
      <c r="W239" s="708" cm="1">
        <f t="array" ref="W239">_xlfn.XLOOKUP($B239,$B$96:$B$176,_xlfn.XLOOKUP(W$181,$D$5:$AX$5,$D$96:$AX$176))</f>
        <v>223.23028869031617</v>
      </c>
      <c r="X239" s="708" cm="1">
        <f t="array" ref="X239">_xlfn.XLOOKUP($B239,$B$96:$B$176,_xlfn.XLOOKUP(X$181,$D$5:$AX$5,$D$96:$AX$176))</f>
        <v>199.54144454944344</v>
      </c>
      <c r="Y239" s="708" cm="1">
        <f t="array" ref="Y239">_xlfn.XLOOKUP($B239,$B$96:$B$176,_xlfn.XLOOKUP(Y$181,$D$5:$AX$5,$D$96:$AX$176))</f>
        <v>227.40927390604929</v>
      </c>
      <c r="Z239" s="708" cm="1">
        <f t="array" ref="Z239">_xlfn.XLOOKUP($B239,$B$96:$B$176,_xlfn.XLOOKUP(Z$181,$D$5:$AX$5,$D$96:$AX$176))</f>
        <v>203.25531450498676</v>
      </c>
      <c r="AA239" s="708" cm="1">
        <f t="array" ref="AA239">_xlfn.XLOOKUP($B239,$B$96:$B$176,_xlfn.XLOOKUP(AA$181,$D$5:$AX$5,$D$96:$AX$176))</f>
        <v>231.7251142850584</v>
      </c>
      <c r="AB239" s="708" cm="1">
        <f t="array" ref="AB239">_xlfn.XLOOKUP($B239,$B$96:$B$176,_xlfn.XLOOKUP(AB$181,$D$5:$AX$5,$D$96:$AX$176))</f>
        <v>207.09418981818072</v>
      </c>
      <c r="AC239" s="708" cm="1">
        <f t="array" ref="AC239">_xlfn.XLOOKUP($B239,$B$96:$B$176,_xlfn.XLOOKUP(AC$181,$D$5:$AX$5,$D$96:$AX$176))</f>
        <v>231.87813128343475</v>
      </c>
      <c r="AD239" s="708" cm="1">
        <f t="array" ref="AD239">_xlfn.XLOOKUP($B239,$B$96:$B$176,_xlfn.XLOOKUP(AD$181,$D$5:$AX$5,$D$96:$AX$176))</f>
        <v>207.03055132485855</v>
      </c>
      <c r="AE239" s="708" cm="1">
        <f t="array" ref="AE239">_xlfn.XLOOKUP($B239,$B$96:$B$176,_xlfn.XLOOKUP(AE$181,$D$5:$AX$5,$D$96:$AX$176))</f>
        <v>232.17898322197266</v>
      </c>
      <c r="AF239" s="708" cm="1">
        <f t="array" ref="AF239">_xlfn.XLOOKUP($B239,$B$96:$B$176,_xlfn.XLOOKUP(AF$181,$D$5:$AX$5,$D$96:$AX$176))</f>
        <v>207.10220018649647</v>
      </c>
      <c r="AG239" s="309"/>
      <c r="AH239" s="306" t="str">
        <f t="shared" si="66"/>
        <v>EBITDA - old</v>
      </c>
      <c r="AI239" s="707" t="str" cm="1">
        <f t="array" ref="AI239">_xlfn.XLOOKUP($B239,$B$96:$B$176,_xlfn.XLOOKUP(AI$181,$D$5:$AX$5,$D$96:$AX$176))</f>
        <v>A$m</v>
      </c>
      <c r="AJ239" s="307"/>
      <c r="AK239" s="307"/>
      <c r="AL239" s="708" cm="1">
        <f t="array" ref="AL239">_xlfn.XLOOKUP($B239,$B$96:$B$176,_xlfn.XLOOKUP(AL$181,$D$5:$AX$5,$D$96:$AX$176))</f>
        <v>287</v>
      </c>
      <c r="AM239" s="708" cm="1">
        <f t="array" ref="AM239">_xlfn.XLOOKUP($B239,$B$96:$B$176,_xlfn.XLOOKUP(AM$181,$D$5:$AX$5,$D$96:$AX$176))</f>
        <v>308</v>
      </c>
      <c r="AN239" s="708" cm="1">
        <f t="array" ref="AN239">_xlfn.XLOOKUP($B239,$B$96:$B$176,_xlfn.XLOOKUP(AN$181,$D$5:$AX$5,$D$96:$AX$176))</f>
        <v>251.2</v>
      </c>
      <c r="AO239" s="708" cm="1">
        <f t="array" ref="AO239">_xlfn.XLOOKUP($B239,$B$96:$B$176,_xlfn.XLOOKUP(AO$181,$D$5:$AX$5,$D$96:$AX$176))</f>
        <v>329.1</v>
      </c>
      <c r="AP239" s="708" cm="1">
        <f t="array" ref="AP239">_xlfn.XLOOKUP($B239,$B$96:$B$176,_xlfn.XLOOKUP(AP$181,$D$5:$AX$5,$D$96:$AX$176))</f>
        <v>359.32792610898002</v>
      </c>
      <c r="AQ239" s="708" cm="1">
        <f t="array" ref="AQ239">_xlfn.XLOOKUP($B239,$B$96:$B$176,_xlfn.XLOOKUP(AQ$181,$D$5:$AX$5,$D$96:$AX$176))</f>
        <v>398.91398469787816</v>
      </c>
      <c r="AR239" s="708" cm="1">
        <f t="array" ref="AR239">_xlfn.XLOOKUP($B239,$B$96:$B$176,_xlfn.XLOOKUP(AR$181,$D$5:$AX$5,$D$96:$AX$176))</f>
        <v>407.73190015581599</v>
      </c>
      <c r="AS239" s="708" cm="1">
        <f t="array" ref="AS239">_xlfn.XLOOKUP($B239,$B$96:$B$176,_xlfn.XLOOKUP(AS$181,$D$5:$AX$5,$D$96:$AX$176))</f>
        <v>415.13071616906245</v>
      </c>
      <c r="AT239" s="708" cm="1">
        <f t="array" ref="AT239">_xlfn.XLOOKUP($B239,$B$96:$B$176,_xlfn.XLOOKUP(AT$181,$D$5:$AX$5,$D$96:$AX$176))</f>
        <v>422.77173323975961</v>
      </c>
      <c r="AU239" s="708" cm="1">
        <f t="array" ref="AU239">_xlfn.XLOOKUP($B239,$B$96:$B$176,_xlfn.XLOOKUP(AU$181,$D$5:$AX$5,$D$96:$AX$176))</f>
        <v>430.66458841103605</v>
      </c>
      <c r="AV239" s="708" cm="1">
        <f t="array" ref="AV239">_xlfn.XLOOKUP($B239,$B$96:$B$176,_xlfn.XLOOKUP(AV$181,$D$5:$AX$5,$D$96:$AX$176))</f>
        <v>438.81930410323912</v>
      </c>
      <c r="AW239" s="708" cm="1">
        <f t="array" ref="AW239">_xlfn.XLOOKUP($B239,$B$96:$B$176,_xlfn.XLOOKUP(AW$181,$D$5:$AX$5,$D$96:$AX$176))</f>
        <v>438.9086826082933</v>
      </c>
      <c r="AX239" s="708" cm="1">
        <f t="array" ref="AX239">_xlfn.XLOOKUP($B239,$B$96:$B$176,_xlfn.XLOOKUP(AX$181,$D$5:$AX$5,$D$96:$AX$176))</f>
        <v>439.28118340846913</v>
      </c>
    </row>
    <row r="240" spans="2:50">
      <c r="B240" s="305" t="s">
        <v>1433</v>
      </c>
      <c r="C240" s="318" t="str">
        <f>_xlfn.TEXTAFTER($B240,$C$220)&amp;" - New"</f>
        <v>EBITDA - New</v>
      </c>
      <c r="D240" s="311" t="str" cm="1">
        <f t="array" ref="D240">_xlfn.XLOOKUP($B240,$B$11:$B$91,_xlfn.XLOOKUP(D$181,$D$5:$AX$5,$D$11:$AX$91))</f>
        <v>A$m</v>
      </c>
      <c r="E240" s="311"/>
      <c r="F240" s="311"/>
      <c r="G240" s="312" cm="1">
        <f t="array" ref="G240">_xlfn.XLOOKUP($B240,$B$11:$B$91,_xlfn.XLOOKUP(G$181,$D$5:$AX$5,$D$11:$AX$91))</f>
        <v>137.9</v>
      </c>
      <c r="H240" s="312" cm="1">
        <f t="array" ref="H240">_xlfn.XLOOKUP($B240,$B$11:$B$91,_xlfn.XLOOKUP(H$181,$D$5:$AX$5,$D$11:$AX$91))</f>
        <v>149.1</v>
      </c>
      <c r="I240" s="312" cm="1">
        <f t="array" ref="I240">_xlfn.XLOOKUP($B240,$B$11:$B$91,_xlfn.XLOOKUP(I$181,$D$5:$AX$5,$D$11:$AX$91))</f>
        <v>154.4</v>
      </c>
      <c r="J240" s="312" cm="1">
        <f t="array" ref="J240">_xlfn.XLOOKUP($B240,$B$11:$B$91,_xlfn.XLOOKUP(J$181,$D$5:$AX$5,$D$11:$AX$91))</f>
        <v>153.6</v>
      </c>
      <c r="K240" s="312" cm="1">
        <f t="array" ref="K240">_xlfn.XLOOKUP($B240,$B$11:$B$91,_xlfn.XLOOKUP(K$181,$D$5:$AX$5,$D$11:$AX$91))</f>
        <v>134</v>
      </c>
      <c r="L240" s="312" cm="1">
        <f t="array" ref="L240">_xlfn.XLOOKUP($B240,$B$11:$B$91,_xlfn.XLOOKUP(L$181,$D$5:$AX$5,$D$11:$AX$91))</f>
        <v>117.19999999999999</v>
      </c>
      <c r="M240" s="312" cm="1">
        <f t="array" ref="M240">_xlfn.XLOOKUP($B240,$B$11:$B$91,_xlfn.XLOOKUP(M$181,$D$5:$AX$5,$D$11:$AX$91))</f>
        <v>156.69999999999999</v>
      </c>
      <c r="N240" s="312" cm="1">
        <f t="array" ref="N240">_xlfn.XLOOKUP($B240,$B$11:$B$91,_xlfn.XLOOKUP(N$181,$D$5:$AX$5,$D$11:$AX$91))</f>
        <v>172.40000000000003</v>
      </c>
      <c r="O240" s="312" cm="1">
        <f t="array" ref="O240">_xlfn.XLOOKUP($B240,$B$11:$B$91,_xlfn.XLOOKUP(O$181,$D$5:$AX$5,$D$11:$AX$91))</f>
        <v>181.4</v>
      </c>
      <c r="P240" s="312" cm="1">
        <f t="array" ref="P240">_xlfn.XLOOKUP($B240,$B$11:$B$91,_xlfn.XLOOKUP(P$181,$D$5:$AX$5,$D$11:$AX$91))</f>
        <v>180.4</v>
      </c>
      <c r="Q240" s="312" cm="1">
        <f t="array" ref="Q240">_xlfn.XLOOKUP($B240,$B$11:$B$91,_xlfn.XLOOKUP(Q$181,$D$5:$AX$5,$D$11:$AX$91))</f>
        <v>210.19754872699997</v>
      </c>
      <c r="R240" s="312" cm="1">
        <f t="array" ref="R240">_xlfn.XLOOKUP($B240,$B$11:$B$91,_xlfn.XLOOKUP(R$181,$D$5:$AX$5,$D$11:$AX$91))</f>
        <v>180.29138627075008</v>
      </c>
      <c r="S240" s="312" cm="1">
        <f t="array" ref="S240">_xlfn.XLOOKUP($B240,$B$11:$B$91,_xlfn.XLOOKUP(S$181,$D$5:$AX$5,$D$11:$AX$91))</f>
        <v>202.81492913289509</v>
      </c>
      <c r="T240" s="312" cm="1">
        <f t="array" ref="T240">_xlfn.XLOOKUP($B240,$B$11:$B$91,_xlfn.XLOOKUP(T$181,$D$5:$AX$5,$D$11:$AX$91))</f>
        <v>176.45243389948001</v>
      </c>
      <c r="U240" s="312" cm="1">
        <f t="array" ref="U240">_xlfn.XLOOKUP($B240,$B$11:$B$91,_xlfn.XLOOKUP(U$181,$D$5:$AX$5,$D$11:$AX$91))</f>
        <v>198.17884645417826</v>
      </c>
      <c r="V240" s="312" cm="1">
        <f t="array" ref="V240">_xlfn.XLOOKUP($B240,$B$11:$B$91,_xlfn.XLOOKUP(V$181,$D$5:$AX$5,$D$11:$AX$91))</f>
        <v>171.03510332054469</v>
      </c>
      <c r="W240" s="312" cm="1">
        <f t="array" ref="W240">_xlfn.XLOOKUP($B240,$B$11:$B$91,_xlfn.XLOOKUP(W$181,$D$5:$AX$5,$D$11:$AX$91))</f>
        <v>199.97028673402525</v>
      </c>
      <c r="X240" s="312" cm="1">
        <f t="array" ref="X240">_xlfn.XLOOKUP($B240,$B$11:$B$91,_xlfn.XLOOKUP(X$181,$D$5:$AX$5,$D$11:$AX$91))</f>
        <v>172.38631698997762</v>
      </c>
      <c r="Y240" s="312" cm="1">
        <f t="array" ref="Y240">_xlfn.XLOOKUP($B240,$B$11:$B$91,_xlfn.XLOOKUP(Y$181,$D$5:$AX$5,$D$11:$AX$91))</f>
        <v>200.98576297149344</v>
      </c>
      <c r="Z240" s="312" cm="1">
        <f t="array" ref="Z240">_xlfn.XLOOKUP($B240,$B$11:$B$91,_xlfn.XLOOKUP(Z$181,$D$5:$AX$5,$D$11:$AX$91))</f>
        <v>173.31830606434113</v>
      </c>
      <c r="AA240" s="312" cm="1">
        <f t="array" ref="AA240">_xlfn.XLOOKUP($B240,$B$11:$B$91,_xlfn.XLOOKUP(AA$181,$D$5:$AX$5,$D$11:$AX$91))</f>
        <v>202.18125693868961</v>
      </c>
      <c r="AB240" s="312" cm="1">
        <f t="array" ref="AB240">_xlfn.XLOOKUP($B240,$B$11:$B$91,_xlfn.XLOOKUP(AB$181,$D$5:$AX$5,$D$11:$AX$91))</f>
        <v>174.42001929969803</v>
      </c>
      <c r="AC240" s="312" cm="1">
        <f t="array" ref="AC240">_xlfn.XLOOKUP($B240,$B$11:$B$91,_xlfn.XLOOKUP(AC$181,$D$5:$AX$5,$D$11:$AX$91))</f>
        <v>203.56268029945852</v>
      </c>
      <c r="AD240" s="312" cm="1">
        <f t="array" ref="AD240">_xlfn.XLOOKUP($B240,$B$11:$B$91,_xlfn.XLOOKUP(AD$181,$D$5:$AX$5,$D$11:$AX$91))</f>
        <v>175.69713046967883</v>
      </c>
      <c r="AE240" s="312" cm="1">
        <f t="array" ref="AE240">_xlfn.XLOOKUP($B240,$B$11:$B$91,_xlfn.XLOOKUP(AE$181,$D$5:$AX$5,$D$11:$AX$91))</f>
        <v>205.13615708956917</v>
      </c>
      <c r="AF240" s="312" cm="1">
        <f t="array" ref="AF240">_xlfn.XLOOKUP($B240,$B$11:$B$91,_xlfn.XLOOKUP(AF$181,$D$5:$AX$5,$D$11:$AX$91))</f>
        <v>177.15551773450812</v>
      </c>
      <c r="AG240" s="312"/>
      <c r="AH240" s="310" t="str">
        <f t="shared" si="66"/>
        <v>EBITDA - New</v>
      </c>
      <c r="AI240" s="311" t="str" cm="1">
        <f t="array" ref="AI240">_xlfn.XLOOKUP($B240,$B$11:$B$91,_xlfn.XLOOKUP(AI$181,$D$5:$AX$5,$D$11:$AX$91))</f>
        <v>A$m</v>
      </c>
      <c r="AJ240" s="311"/>
      <c r="AK240" s="311"/>
      <c r="AL240" s="312" cm="1">
        <f t="array" ref="AL240">_xlfn.XLOOKUP($B240,$B$11:$B$91,_xlfn.XLOOKUP(AL$181,$D$5:$AX$5,$D$11:$AX$91))</f>
        <v>287</v>
      </c>
      <c r="AM240" s="312" cm="1">
        <f t="array" ref="AM240">_xlfn.XLOOKUP($B240,$B$11:$B$91,_xlfn.XLOOKUP(AM$181,$D$5:$AX$5,$D$11:$AX$91))</f>
        <v>308</v>
      </c>
      <c r="AN240" s="312" cm="1">
        <f t="array" ref="AN240">_xlfn.XLOOKUP($B240,$B$11:$B$91,_xlfn.XLOOKUP(AN$181,$D$5:$AX$5,$D$11:$AX$91))</f>
        <v>251.2</v>
      </c>
      <c r="AO240" s="312" cm="1">
        <f t="array" ref="AO240">_xlfn.XLOOKUP($B240,$B$11:$B$91,_xlfn.XLOOKUP(AO$181,$D$5:$AX$5,$D$11:$AX$91))</f>
        <v>329.1</v>
      </c>
      <c r="AP240" s="312" cm="1">
        <f t="array" ref="AP240">_xlfn.XLOOKUP($B240,$B$11:$B$91,_xlfn.XLOOKUP(AP$181,$D$5:$AX$5,$D$11:$AX$91))</f>
        <v>361.8</v>
      </c>
      <c r="AQ240" s="312" cm="1">
        <f t="array" ref="AQ240">_xlfn.XLOOKUP($B240,$B$11:$B$91,_xlfn.XLOOKUP(AQ$181,$D$5:$AX$5,$D$11:$AX$91))</f>
        <v>390.48893499775005</v>
      </c>
      <c r="AR240" s="312" cm="1">
        <f t="array" ref="AR240">_xlfn.XLOOKUP($B240,$B$11:$B$91,_xlfn.XLOOKUP(AR$181,$D$5:$AX$5,$D$11:$AX$91))</f>
        <v>379.2673630323751</v>
      </c>
      <c r="AS240" s="312" cm="1">
        <f t="array" ref="AS240">_xlfn.XLOOKUP($B240,$B$11:$B$91,_xlfn.XLOOKUP(AS$181,$D$5:$AX$5,$D$11:$AX$91))</f>
        <v>369.21394977472295</v>
      </c>
      <c r="AT240" s="312" cm="1">
        <f t="array" ref="AT240">_xlfn.XLOOKUP($B240,$B$11:$B$91,_xlfn.XLOOKUP(AT$181,$D$5:$AX$5,$D$11:$AX$91))</f>
        <v>372.35660372400287</v>
      </c>
      <c r="AU240" s="312" cm="1">
        <f t="array" ref="AU240">_xlfn.XLOOKUP($B240,$B$11:$B$91,_xlfn.XLOOKUP(AU$181,$D$5:$AX$5,$D$11:$AX$91))</f>
        <v>374.30406903583457</v>
      </c>
      <c r="AV240" s="312" cm="1">
        <f t="array" ref="AV240">_xlfn.XLOOKUP($B240,$B$11:$B$91,_xlfn.XLOOKUP(AV$181,$D$5:$AX$5,$D$11:$AX$91))</f>
        <v>376.60127623838764</v>
      </c>
      <c r="AW240" s="312" cm="1">
        <f t="array" ref="AW240">_xlfn.XLOOKUP($B240,$B$11:$B$91,_xlfn.XLOOKUP(AW$181,$D$5:$AX$5,$D$11:$AX$91))</f>
        <v>379.25981076913735</v>
      </c>
      <c r="AX240" s="312" cm="1">
        <f t="array" ref="AX240">_xlfn.XLOOKUP($B240,$B$11:$B$91,_xlfn.XLOOKUP(AX$181,$D$5:$AX$5,$D$11:$AX$91))</f>
        <v>382.29167482407729</v>
      </c>
    </row>
    <row r="241" spans="1:50" hidden="1" outlineLevel="1">
      <c r="B241" s="305"/>
      <c r="C241" s="313" t="s">
        <v>1121</v>
      </c>
      <c r="D241" s="307" t="s">
        <v>842</v>
      </c>
      <c r="E241" s="307"/>
      <c r="F241" s="307"/>
      <c r="G241" s="314" t="s">
        <v>967</v>
      </c>
      <c r="H241" s="314" t="s">
        <v>967</v>
      </c>
      <c r="I241" s="314">
        <f t="shared" ref="I241:AF241" si="83">I240/G240-1</f>
        <v>0.11965192168237859</v>
      </c>
      <c r="J241" s="314">
        <f t="shared" si="83"/>
        <v>3.0181086519114775E-2</v>
      </c>
      <c r="K241" s="314">
        <f t="shared" si="83"/>
        <v>-0.13212435233160624</v>
      </c>
      <c r="L241" s="314">
        <f t="shared" si="83"/>
        <v>-0.23697916666666674</v>
      </c>
      <c r="M241" s="314">
        <f t="shared" si="83"/>
        <v>0.16940298507462681</v>
      </c>
      <c r="N241" s="314">
        <f t="shared" si="83"/>
        <v>0.47098976109215052</v>
      </c>
      <c r="O241" s="314">
        <f t="shared" si="83"/>
        <v>0.1576260370134015</v>
      </c>
      <c r="P241" s="314">
        <f t="shared" si="83"/>
        <v>4.640371229698359E-2</v>
      </c>
      <c r="Q241" s="314">
        <f t="shared" si="83"/>
        <v>0.15875164678610787</v>
      </c>
      <c r="R241" s="314">
        <f t="shared" si="83"/>
        <v>-6.0207166989978411E-4</v>
      </c>
      <c r="S241" s="314">
        <f t="shared" si="83"/>
        <v>-3.5122291571978659E-2</v>
      </c>
      <c r="T241" s="314">
        <f t="shared" si="83"/>
        <v>-2.1293043725921446E-2</v>
      </c>
      <c r="U241" s="314">
        <f t="shared" si="83"/>
        <v>-2.2858685494887898E-2</v>
      </c>
      <c r="V241" s="314">
        <f t="shared" si="83"/>
        <v>-3.0701365003678149E-2</v>
      </c>
      <c r="W241" s="314">
        <f t="shared" si="83"/>
        <v>9.0395131059621825E-3</v>
      </c>
      <c r="X241" s="314">
        <f t="shared" si="83"/>
        <v>7.9002125481839602E-3</v>
      </c>
      <c r="Y241" s="314">
        <f t="shared" si="83"/>
        <v>5.0781356273137401E-3</v>
      </c>
      <c r="Z241" s="314">
        <f t="shared" si="83"/>
        <v>5.4063982028091928E-3</v>
      </c>
      <c r="AA241" s="314">
        <f t="shared" si="83"/>
        <v>5.9481524935960373E-3</v>
      </c>
      <c r="AB241" s="314">
        <f t="shared" si="83"/>
        <v>6.3565889857468694E-3</v>
      </c>
      <c r="AC241" s="314">
        <f t="shared" si="83"/>
        <v>6.8325985389823263E-3</v>
      </c>
      <c r="AD241" s="314">
        <f t="shared" si="83"/>
        <v>7.3220446546700124E-3</v>
      </c>
      <c r="AE241" s="314">
        <f t="shared" si="83"/>
        <v>7.7296918462457231E-3</v>
      </c>
      <c r="AF241" s="314">
        <f t="shared" si="83"/>
        <v>8.3005753191909282E-3</v>
      </c>
      <c r="AG241" s="315"/>
      <c r="AH241" s="313" t="str">
        <f t="shared" si="66"/>
        <v>- Growth</v>
      </c>
      <c r="AI241" s="307" t="str">
        <f>D241</f>
        <v>%</v>
      </c>
      <c r="AJ241" s="307"/>
      <c r="AK241" s="307"/>
      <c r="AL241" s="314" t="s">
        <v>967</v>
      </c>
      <c r="AM241" s="314">
        <f t="shared" ref="AM241:AX241" si="84">AM240/AL240-1</f>
        <v>7.3170731707317138E-2</v>
      </c>
      <c r="AN241" s="314">
        <f t="shared" si="84"/>
        <v>-0.18441558441558448</v>
      </c>
      <c r="AO241" s="314">
        <f t="shared" si="84"/>
        <v>0.31011146496815312</v>
      </c>
      <c r="AP241" s="314">
        <f t="shared" si="84"/>
        <v>9.9361896080218726E-2</v>
      </c>
      <c r="AQ241" s="314">
        <f t="shared" si="84"/>
        <v>7.9295011049613118E-2</v>
      </c>
      <c r="AR241" s="314">
        <f t="shared" si="84"/>
        <v>-2.8737234168849435E-2</v>
      </c>
      <c r="AS241" s="314">
        <f t="shared" si="84"/>
        <v>-2.6507456843298138E-2</v>
      </c>
      <c r="AT241" s="314">
        <f t="shared" si="84"/>
        <v>8.5117421787486158E-3</v>
      </c>
      <c r="AU241" s="314">
        <f t="shared" si="84"/>
        <v>5.2301081607113442E-3</v>
      </c>
      <c r="AV241" s="314">
        <f t="shared" si="84"/>
        <v>6.1372755270077128E-3</v>
      </c>
      <c r="AW241" s="314">
        <f t="shared" si="84"/>
        <v>7.0592817881660608E-3</v>
      </c>
      <c r="AX241" s="314">
        <f t="shared" si="84"/>
        <v>7.9941611761904507E-3</v>
      </c>
    </row>
    <row r="242" spans="1:50" collapsed="1">
      <c r="B242" s="305"/>
      <c r="C242" s="313" t="s">
        <v>1122</v>
      </c>
      <c r="D242" s="307" t="s">
        <v>842</v>
      </c>
      <c r="E242" s="307"/>
      <c r="F242" s="307"/>
      <c r="G242" s="314">
        <f xml:space="preserve"> IFERROR(ROUND( G240 / G239,3) - 1, 0)</f>
        <v>0</v>
      </c>
      <c r="H242" s="314">
        <f t="shared" ref="H242:AF242" si="85" xml:space="preserve"> IFERROR(ROUND( H240 / H239,3) - 1, 0)</f>
        <v>0</v>
      </c>
      <c r="I242" s="314">
        <f t="shared" si="85"/>
        <v>0</v>
      </c>
      <c r="J242" s="314">
        <f t="shared" si="85"/>
        <v>0</v>
      </c>
      <c r="K242" s="314">
        <f t="shared" si="85"/>
        <v>0</v>
      </c>
      <c r="L242" s="314">
        <f t="shared" si="85"/>
        <v>0</v>
      </c>
      <c r="M242" s="314">
        <f t="shared" si="85"/>
        <v>0</v>
      </c>
      <c r="N242" s="314">
        <f t="shared" si="85"/>
        <v>0</v>
      </c>
      <c r="O242" s="314">
        <f t="shared" si="85"/>
        <v>0</v>
      </c>
      <c r="P242" s="314">
        <f t="shared" si="85"/>
        <v>1.4000000000000012E-2</v>
      </c>
      <c r="Q242" s="314">
        <f t="shared" si="85"/>
        <v>2.0000000000000018E-3</v>
      </c>
      <c r="R242" s="314">
        <f t="shared" si="85"/>
        <v>-4.7000000000000042E-2</v>
      </c>
      <c r="S242" s="314">
        <f t="shared" si="85"/>
        <v>-5.8000000000000052E-2</v>
      </c>
      <c r="T242" s="314">
        <f t="shared" si="85"/>
        <v>-8.2999999999999963E-2</v>
      </c>
      <c r="U242" s="314">
        <f t="shared" si="85"/>
        <v>-9.5999999999999974E-2</v>
      </c>
      <c r="V242" s="314">
        <f t="shared" si="85"/>
        <v>-0.127</v>
      </c>
      <c r="W242" s="314">
        <f t="shared" si="85"/>
        <v>-0.10399999999999998</v>
      </c>
      <c r="X242" s="314">
        <f t="shared" si="85"/>
        <v>-0.13600000000000001</v>
      </c>
      <c r="Y242" s="314">
        <f t="shared" si="85"/>
        <v>-0.11599999999999999</v>
      </c>
      <c r="Z242" s="314">
        <f t="shared" si="85"/>
        <v>-0.14700000000000002</v>
      </c>
      <c r="AA242" s="314">
        <f t="shared" si="85"/>
        <v>-0.127</v>
      </c>
      <c r="AB242" s="314">
        <f t="shared" si="85"/>
        <v>-0.15800000000000003</v>
      </c>
      <c r="AC242" s="314">
        <f t="shared" si="85"/>
        <v>-0.122</v>
      </c>
      <c r="AD242" s="314">
        <f t="shared" si="85"/>
        <v>-0.15100000000000002</v>
      </c>
      <c r="AE242" s="314">
        <f t="shared" si="85"/>
        <v>-0.11599999999999999</v>
      </c>
      <c r="AF242" s="314">
        <f t="shared" si="85"/>
        <v>-0.14500000000000002</v>
      </c>
      <c r="AG242" s="314"/>
      <c r="AH242" s="313" t="str">
        <f t="shared" si="66"/>
        <v>- Revision</v>
      </c>
      <c r="AI242" s="307" t="str">
        <f>D242</f>
        <v>%</v>
      </c>
      <c r="AJ242" s="307"/>
      <c r="AK242" s="307"/>
      <c r="AL242" s="314">
        <f t="shared" ref="AL242:AX242" si="86" xml:space="preserve"> IFERROR(ROUND( AL240 / AL239,3) - 1, 0)</f>
        <v>0</v>
      </c>
      <c r="AM242" s="314">
        <f t="shared" si="86"/>
        <v>0</v>
      </c>
      <c r="AN242" s="314">
        <f t="shared" si="86"/>
        <v>0</v>
      </c>
      <c r="AO242" s="314">
        <f t="shared" si="86"/>
        <v>0</v>
      </c>
      <c r="AP242" s="314">
        <f t="shared" si="86"/>
        <v>6.9999999999998952E-3</v>
      </c>
      <c r="AQ242" s="314">
        <f t="shared" si="86"/>
        <v>-2.1000000000000019E-2</v>
      </c>
      <c r="AR242" s="314">
        <f t="shared" si="86"/>
        <v>-6.9999999999999951E-2</v>
      </c>
      <c r="AS242" s="314">
        <f t="shared" si="86"/>
        <v>-0.11099999999999999</v>
      </c>
      <c r="AT242" s="314">
        <f t="shared" si="86"/>
        <v>-0.11899999999999999</v>
      </c>
      <c r="AU242" s="314">
        <f t="shared" si="86"/>
        <v>-0.13100000000000001</v>
      </c>
      <c r="AV242" s="314">
        <f t="shared" si="86"/>
        <v>-0.14200000000000002</v>
      </c>
      <c r="AW242" s="314">
        <f t="shared" si="86"/>
        <v>-0.13600000000000001</v>
      </c>
      <c r="AX242" s="314">
        <f t="shared" si="86"/>
        <v>-0.13</v>
      </c>
    </row>
    <row r="243" spans="1:50">
      <c r="B243" s="305" t="s">
        <v>1434</v>
      </c>
      <c r="C243" s="706" t="str">
        <f>_xlfn.TEXTAFTER($B243,$C$220)&amp;" - old"</f>
        <v>D&amp;A - old</v>
      </c>
      <c r="D243" s="707" t="str" cm="1">
        <f t="array" ref="D243">_xlfn.XLOOKUP($B243,$B$96:$B$176,_xlfn.XLOOKUP(D$181,$D$5:$AX$5,$D$96:$AX$176))</f>
        <v>A$m</v>
      </c>
      <c r="E243" s="307"/>
      <c r="F243" s="307"/>
      <c r="G243" s="708" cm="1">
        <f t="array" ref="G243">_xlfn.XLOOKUP($B243,$B$96:$B$176,_xlfn.XLOOKUP(G$181,$D$5:$AX$5,$D$96:$AX$176))</f>
        <v>-105.2</v>
      </c>
      <c r="H243" s="708" cm="1">
        <f t="array" ref="H243">_xlfn.XLOOKUP($B243,$B$96:$B$176,_xlfn.XLOOKUP(H$181,$D$5:$AX$5,$D$96:$AX$176))</f>
        <v>-109.8</v>
      </c>
      <c r="I243" s="708" cm="1">
        <f t="array" ref="I243">_xlfn.XLOOKUP($B243,$B$96:$B$176,_xlfn.XLOOKUP(I$181,$D$5:$AX$5,$D$96:$AX$176))</f>
        <v>-96.5</v>
      </c>
      <c r="J243" s="708" cm="1">
        <f t="array" ref="J243">_xlfn.XLOOKUP($B243,$B$96:$B$176,_xlfn.XLOOKUP(J$181,$D$5:$AX$5,$D$96:$AX$176))</f>
        <v>-95.300000000000011</v>
      </c>
      <c r="K243" s="708" cm="1">
        <f t="array" ref="K243">_xlfn.XLOOKUP($B243,$B$96:$B$176,_xlfn.XLOOKUP(K$181,$D$5:$AX$5,$D$96:$AX$176))</f>
        <v>-100.7</v>
      </c>
      <c r="L243" s="708" cm="1">
        <f t="array" ref="L243">_xlfn.XLOOKUP($B243,$B$96:$B$176,_xlfn.XLOOKUP(L$181,$D$5:$AX$5,$D$96:$AX$176))</f>
        <v>-80.2</v>
      </c>
      <c r="M243" s="708" cm="1">
        <f t="array" ref="M243">_xlfn.XLOOKUP($B243,$B$96:$B$176,_xlfn.XLOOKUP(M$181,$D$5:$AX$5,$D$96:$AX$176))</f>
        <v>-77.3</v>
      </c>
      <c r="N243" s="708" cm="1">
        <f t="array" ref="N243">_xlfn.XLOOKUP($B243,$B$96:$B$176,_xlfn.XLOOKUP(N$181,$D$5:$AX$5,$D$96:$AX$176))</f>
        <v>-83.600000000000009</v>
      </c>
      <c r="O243" s="708" cm="1">
        <f t="array" ref="O243">_xlfn.XLOOKUP($B243,$B$96:$B$176,_xlfn.XLOOKUP(O$181,$D$5:$AX$5,$D$96:$AX$176))</f>
        <v>-86.1</v>
      </c>
      <c r="P243" s="708" cm="1">
        <f t="array" ref="P243">_xlfn.XLOOKUP($B243,$B$96:$B$176,_xlfn.XLOOKUP(P$181,$D$5:$AX$5,$D$96:$AX$176))</f>
        <v>0</v>
      </c>
      <c r="Q243" s="708" cm="1">
        <f t="array" ref="Q243">_xlfn.XLOOKUP($B243,$B$96:$B$176,_xlfn.XLOOKUP(Q$181,$D$5:$AX$5,$D$96:$AX$176))</f>
        <v>0</v>
      </c>
      <c r="R243" s="708" cm="1">
        <f t="array" ref="R243">_xlfn.XLOOKUP($B243,$B$96:$B$176,_xlfn.XLOOKUP(R$181,$D$5:$AX$5,$D$96:$AX$176))</f>
        <v>0</v>
      </c>
      <c r="S243" s="708" cm="1">
        <f t="array" ref="S243">_xlfn.XLOOKUP($B243,$B$96:$B$176,_xlfn.XLOOKUP(S$181,$D$5:$AX$5,$D$96:$AX$176))</f>
        <v>0</v>
      </c>
      <c r="T243" s="708" cm="1">
        <f t="array" ref="T243">_xlfn.XLOOKUP($B243,$B$96:$B$176,_xlfn.XLOOKUP(T$181,$D$5:$AX$5,$D$96:$AX$176))</f>
        <v>0</v>
      </c>
      <c r="U243" s="708" cm="1">
        <f t="array" ref="U243">_xlfn.XLOOKUP($B243,$B$96:$B$176,_xlfn.XLOOKUP(U$181,$D$5:$AX$5,$D$96:$AX$176))</f>
        <v>0</v>
      </c>
      <c r="V243" s="708" cm="1">
        <f t="array" ref="V243">_xlfn.XLOOKUP($B243,$B$96:$B$176,_xlfn.XLOOKUP(V$181,$D$5:$AX$5,$D$96:$AX$176))</f>
        <v>0</v>
      </c>
      <c r="W243" s="708" cm="1">
        <f t="array" ref="W243">_xlfn.XLOOKUP($B243,$B$96:$B$176,_xlfn.XLOOKUP(W$181,$D$5:$AX$5,$D$96:$AX$176))</f>
        <v>0</v>
      </c>
      <c r="X243" s="708" cm="1">
        <f t="array" ref="X243">_xlfn.XLOOKUP($B243,$B$96:$B$176,_xlfn.XLOOKUP(X$181,$D$5:$AX$5,$D$96:$AX$176))</f>
        <v>0</v>
      </c>
      <c r="Y243" s="708" cm="1">
        <f t="array" ref="Y243">_xlfn.XLOOKUP($B243,$B$96:$B$176,_xlfn.XLOOKUP(Y$181,$D$5:$AX$5,$D$96:$AX$176))</f>
        <v>0</v>
      </c>
      <c r="Z243" s="708" cm="1">
        <f t="array" ref="Z243">_xlfn.XLOOKUP($B243,$B$96:$B$176,_xlfn.XLOOKUP(Z$181,$D$5:$AX$5,$D$96:$AX$176))</f>
        <v>0</v>
      </c>
      <c r="AA243" s="708" cm="1">
        <f t="array" ref="AA243">_xlfn.XLOOKUP($B243,$B$96:$B$176,_xlfn.XLOOKUP(AA$181,$D$5:$AX$5,$D$96:$AX$176))</f>
        <v>0</v>
      </c>
      <c r="AB243" s="708" cm="1">
        <f t="array" ref="AB243">_xlfn.XLOOKUP($B243,$B$96:$B$176,_xlfn.XLOOKUP(AB$181,$D$5:$AX$5,$D$96:$AX$176))</f>
        <v>0</v>
      </c>
      <c r="AC243" s="708" cm="1">
        <f t="array" ref="AC243">_xlfn.XLOOKUP($B243,$B$96:$B$176,_xlfn.XLOOKUP(AC$181,$D$5:$AX$5,$D$96:$AX$176))</f>
        <v>0</v>
      </c>
      <c r="AD243" s="708" cm="1">
        <f t="array" ref="AD243">_xlfn.XLOOKUP($B243,$B$96:$B$176,_xlfn.XLOOKUP(AD$181,$D$5:$AX$5,$D$96:$AX$176))</f>
        <v>0</v>
      </c>
      <c r="AE243" s="708" cm="1">
        <f t="array" ref="AE243">_xlfn.XLOOKUP($B243,$B$96:$B$176,_xlfn.XLOOKUP(AE$181,$D$5:$AX$5,$D$96:$AX$176))</f>
        <v>0</v>
      </c>
      <c r="AF243" s="708" cm="1">
        <f t="array" ref="AF243">_xlfn.XLOOKUP($B243,$B$96:$B$176,_xlfn.XLOOKUP(AF$181,$D$5:$AX$5,$D$96:$AX$176))</f>
        <v>0</v>
      </c>
      <c r="AG243" s="309"/>
      <c r="AH243" s="306" t="str">
        <f t="shared" si="66"/>
        <v>D&amp;A - old</v>
      </c>
      <c r="AI243" s="707" t="str" cm="1">
        <f t="array" ref="AI243">_xlfn.XLOOKUP($B243,$B$96:$B$176,_xlfn.XLOOKUP(AI$181,$D$5:$AX$5,$D$96:$AX$176))</f>
        <v>A$m</v>
      </c>
      <c r="AJ243" s="307"/>
      <c r="AK243" s="307"/>
      <c r="AL243" s="708" cm="1">
        <f t="array" ref="AL243">_xlfn.XLOOKUP($B243,$B$96:$B$176,_xlfn.XLOOKUP(AL$181,$D$5:$AX$5,$D$96:$AX$176))</f>
        <v>-215</v>
      </c>
      <c r="AM243" s="708" cm="1">
        <f t="array" ref="AM243">_xlfn.XLOOKUP($B243,$B$96:$B$176,_xlfn.XLOOKUP(AM$181,$D$5:$AX$5,$D$96:$AX$176))</f>
        <v>-191.8</v>
      </c>
      <c r="AN243" s="708" cm="1">
        <f t="array" ref="AN243">_xlfn.XLOOKUP($B243,$B$96:$B$176,_xlfn.XLOOKUP(AN$181,$D$5:$AX$5,$D$96:$AX$176))</f>
        <v>-180.9</v>
      </c>
      <c r="AO243" s="708" cm="1">
        <f t="array" ref="AO243">_xlfn.XLOOKUP($B243,$B$96:$B$176,_xlfn.XLOOKUP(AO$181,$D$5:$AX$5,$D$96:$AX$176))</f>
        <v>-160.9</v>
      </c>
      <c r="AP243" s="708" cm="1">
        <f t="array" ref="AP243">_xlfn.XLOOKUP($B243,$B$96:$B$176,_xlfn.XLOOKUP(AP$181,$D$5:$AX$5,$D$96:$AX$176))</f>
        <v>-86.1</v>
      </c>
      <c r="AQ243" s="708" cm="1">
        <f t="array" ref="AQ243">_xlfn.XLOOKUP($B243,$B$96:$B$176,_xlfn.XLOOKUP(AQ$181,$D$5:$AX$5,$D$96:$AX$176))</f>
        <v>0</v>
      </c>
      <c r="AR243" s="708" cm="1">
        <f t="array" ref="AR243">_xlfn.XLOOKUP($B243,$B$96:$B$176,_xlfn.XLOOKUP(AR$181,$D$5:$AX$5,$D$96:$AX$176))</f>
        <v>0</v>
      </c>
      <c r="AS243" s="708" cm="1">
        <f t="array" ref="AS243">_xlfn.XLOOKUP($B243,$B$96:$B$176,_xlfn.XLOOKUP(AS$181,$D$5:$AX$5,$D$96:$AX$176))</f>
        <v>0</v>
      </c>
      <c r="AT243" s="708" cm="1">
        <f t="array" ref="AT243">_xlfn.XLOOKUP($B243,$B$96:$B$176,_xlfn.XLOOKUP(AT$181,$D$5:$AX$5,$D$96:$AX$176))</f>
        <v>0</v>
      </c>
      <c r="AU243" s="708" cm="1">
        <f t="array" ref="AU243">_xlfn.XLOOKUP($B243,$B$96:$B$176,_xlfn.XLOOKUP(AU$181,$D$5:$AX$5,$D$96:$AX$176))</f>
        <v>0</v>
      </c>
      <c r="AV243" s="708" cm="1">
        <f t="array" ref="AV243">_xlfn.XLOOKUP($B243,$B$96:$B$176,_xlfn.XLOOKUP(AV$181,$D$5:$AX$5,$D$96:$AX$176))</f>
        <v>0</v>
      </c>
      <c r="AW243" s="708" cm="1">
        <f t="array" ref="AW243">_xlfn.XLOOKUP($B243,$B$96:$B$176,_xlfn.XLOOKUP(AW$181,$D$5:$AX$5,$D$96:$AX$176))</f>
        <v>0</v>
      </c>
      <c r="AX243" s="708" cm="1">
        <f t="array" ref="AX243">_xlfn.XLOOKUP($B243,$B$96:$B$176,_xlfn.XLOOKUP(AX$181,$D$5:$AX$5,$D$96:$AX$176))</f>
        <v>0</v>
      </c>
    </row>
    <row r="244" spans="1:50">
      <c r="B244" s="305" t="s">
        <v>1434</v>
      </c>
      <c r="C244" s="318" t="str">
        <f>_xlfn.TEXTAFTER($B244,$C$220)&amp;" - New"</f>
        <v>D&amp;A - New</v>
      </c>
      <c r="D244" s="311" t="str" cm="1">
        <f t="array" ref="D244">_xlfn.XLOOKUP($B244,$B$11:$B$91,_xlfn.XLOOKUP(D$181,$D$5:$AX$5,$D$11:$AX$91))</f>
        <v>A$m</v>
      </c>
      <c r="E244" s="311"/>
      <c r="F244" s="311"/>
      <c r="G244" s="312" cm="1">
        <f t="array" ref="G244">_xlfn.XLOOKUP($B244,$B$11:$B$91,_xlfn.XLOOKUP(G$181,$D$5:$AX$5,$D$11:$AX$91))</f>
        <v>-105.2</v>
      </c>
      <c r="H244" s="312" cm="1">
        <f t="array" ref="H244">_xlfn.XLOOKUP($B244,$B$11:$B$91,_xlfn.XLOOKUP(H$181,$D$5:$AX$5,$D$11:$AX$91))</f>
        <v>-109.8</v>
      </c>
      <c r="I244" s="312" cm="1">
        <f t="array" ref="I244">_xlfn.XLOOKUP($B244,$B$11:$B$91,_xlfn.XLOOKUP(I$181,$D$5:$AX$5,$D$11:$AX$91))</f>
        <v>-96.5</v>
      </c>
      <c r="J244" s="312" cm="1">
        <f t="array" ref="J244">_xlfn.XLOOKUP($B244,$B$11:$B$91,_xlfn.XLOOKUP(J$181,$D$5:$AX$5,$D$11:$AX$91))</f>
        <v>-95.300000000000011</v>
      </c>
      <c r="K244" s="312" cm="1">
        <f t="array" ref="K244">_xlfn.XLOOKUP($B244,$B$11:$B$91,_xlfn.XLOOKUP(K$181,$D$5:$AX$5,$D$11:$AX$91))</f>
        <v>-100.7</v>
      </c>
      <c r="L244" s="312" cm="1">
        <f t="array" ref="L244">_xlfn.XLOOKUP($B244,$B$11:$B$91,_xlfn.XLOOKUP(L$181,$D$5:$AX$5,$D$11:$AX$91))</f>
        <v>-80.2</v>
      </c>
      <c r="M244" s="312" cm="1">
        <f t="array" ref="M244">_xlfn.XLOOKUP($B244,$B$11:$B$91,_xlfn.XLOOKUP(M$181,$D$5:$AX$5,$D$11:$AX$91))</f>
        <v>-77.3</v>
      </c>
      <c r="N244" s="312" cm="1">
        <f t="array" ref="N244">_xlfn.XLOOKUP($B244,$B$11:$B$91,_xlfn.XLOOKUP(N$181,$D$5:$AX$5,$D$11:$AX$91))</f>
        <v>-83.600000000000009</v>
      </c>
      <c r="O244" s="312" cm="1">
        <f t="array" ref="O244">_xlfn.XLOOKUP($B244,$B$11:$B$91,_xlfn.XLOOKUP(O$181,$D$5:$AX$5,$D$11:$AX$91))</f>
        <v>-86.1</v>
      </c>
      <c r="P244" s="312" cm="1">
        <f t="array" ref="P244">_xlfn.XLOOKUP($B244,$B$11:$B$91,_xlfn.XLOOKUP(P$181,$D$5:$AX$5,$D$11:$AX$91))</f>
        <v>-84.5</v>
      </c>
      <c r="Q244" s="312" cm="1">
        <f t="array" ref="Q244">_xlfn.XLOOKUP($B244,$B$11:$B$91,_xlfn.XLOOKUP(Q$181,$D$5:$AX$5,$D$11:$AX$91))</f>
        <v>0</v>
      </c>
      <c r="R244" s="312" cm="1">
        <f t="array" ref="R244">_xlfn.XLOOKUP($B244,$B$11:$B$91,_xlfn.XLOOKUP(R$181,$D$5:$AX$5,$D$11:$AX$91))</f>
        <v>0</v>
      </c>
      <c r="S244" s="312" cm="1">
        <f t="array" ref="S244">_xlfn.XLOOKUP($B244,$B$11:$B$91,_xlfn.XLOOKUP(S$181,$D$5:$AX$5,$D$11:$AX$91))</f>
        <v>0</v>
      </c>
      <c r="T244" s="312" cm="1">
        <f t="array" ref="T244">_xlfn.XLOOKUP($B244,$B$11:$B$91,_xlfn.XLOOKUP(T$181,$D$5:$AX$5,$D$11:$AX$91))</f>
        <v>0</v>
      </c>
      <c r="U244" s="312" cm="1">
        <f t="array" ref="U244">_xlfn.XLOOKUP($B244,$B$11:$B$91,_xlfn.XLOOKUP(U$181,$D$5:$AX$5,$D$11:$AX$91))</f>
        <v>0</v>
      </c>
      <c r="V244" s="312" cm="1">
        <f t="array" ref="V244">_xlfn.XLOOKUP($B244,$B$11:$B$91,_xlfn.XLOOKUP(V$181,$D$5:$AX$5,$D$11:$AX$91))</f>
        <v>0</v>
      </c>
      <c r="W244" s="312" cm="1">
        <f t="array" ref="W244">_xlfn.XLOOKUP($B244,$B$11:$B$91,_xlfn.XLOOKUP(W$181,$D$5:$AX$5,$D$11:$AX$91))</f>
        <v>0</v>
      </c>
      <c r="X244" s="312" cm="1">
        <f t="array" ref="X244">_xlfn.XLOOKUP($B244,$B$11:$B$91,_xlfn.XLOOKUP(X$181,$D$5:$AX$5,$D$11:$AX$91))</f>
        <v>0</v>
      </c>
      <c r="Y244" s="312" cm="1">
        <f t="array" ref="Y244">_xlfn.XLOOKUP($B244,$B$11:$B$91,_xlfn.XLOOKUP(Y$181,$D$5:$AX$5,$D$11:$AX$91))</f>
        <v>0</v>
      </c>
      <c r="Z244" s="312" cm="1">
        <f t="array" ref="Z244">_xlfn.XLOOKUP($B244,$B$11:$B$91,_xlfn.XLOOKUP(Z$181,$D$5:$AX$5,$D$11:$AX$91))</f>
        <v>0</v>
      </c>
      <c r="AA244" s="312" cm="1">
        <f t="array" ref="AA244">_xlfn.XLOOKUP($B244,$B$11:$B$91,_xlfn.XLOOKUP(AA$181,$D$5:$AX$5,$D$11:$AX$91))</f>
        <v>0</v>
      </c>
      <c r="AB244" s="312" cm="1">
        <f t="array" ref="AB244">_xlfn.XLOOKUP($B244,$B$11:$B$91,_xlfn.XLOOKUP(AB$181,$D$5:$AX$5,$D$11:$AX$91))</f>
        <v>0</v>
      </c>
      <c r="AC244" s="312" cm="1">
        <f t="array" ref="AC244">_xlfn.XLOOKUP($B244,$B$11:$B$91,_xlfn.XLOOKUP(AC$181,$D$5:$AX$5,$D$11:$AX$91))</f>
        <v>0</v>
      </c>
      <c r="AD244" s="312" cm="1">
        <f t="array" ref="AD244">_xlfn.XLOOKUP($B244,$B$11:$B$91,_xlfn.XLOOKUP(AD$181,$D$5:$AX$5,$D$11:$AX$91))</f>
        <v>0</v>
      </c>
      <c r="AE244" s="312" cm="1">
        <f t="array" ref="AE244">_xlfn.XLOOKUP($B244,$B$11:$B$91,_xlfn.XLOOKUP(AE$181,$D$5:$AX$5,$D$11:$AX$91))</f>
        <v>0</v>
      </c>
      <c r="AF244" s="312" cm="1">
        <f t="array" ref="AF244">_xlfn.XLOOKUP($B244,$B$11:$B$91,_xlfn.XLOOKUP(AF$181,$D$5:$AX$5,$D$11:$AX$91))</f>
        <v>0</v>
      </c>
      <c r="AG244" s="312"/>
      <c r="AH244" s="310" t="str">
        <f t="shared" si="66"/>
        <v>D&amp;A - New</v>
      </c>
      <c r="AI244" s="311" t="str" cm="1">
        <f t="array" ref="AI244">_xlfn.XLOOKUP($B244,$B$11:$B$91,_xlfn.XLOOKUP(AI$181,$D$5:$AX$5,$D$11:$AX$91))</f>
        <v>A$m</v>
      </c>
      <c r="AJ244" s="311"/>
      <c r="AK244" s="311"/>
      <c r="AL244" s="312" cm="1">
        <f t="array" ref="AL244">_xlfn.XLOOKUP($B244,$B$11:$B$91,_xlfn.XLOOKUP(AL$181,$D$5:$AX$5,$D$11:$AX$91))</f>
        <v>-215</v>
      </c>
      <c r="AM244" s="312" cm="1">
        <f t="array" ref="AM244">_xlfn.XLOOKUP($B244,$B$11:$B$91,_xlfn.XLOOKUP(AM$181,$D$5:$AX$5,$D$11:$AX$91))</f>
        <v>-191.8</v>
      </c>
      <c r="AN244" s="312" cm="1">
        <f t="array" ref="AN244">_xlfn.XLOOKUP($B244,$B$11:$B$91,_xlfn.XLOOKUP(AN$181,$D$5:$AX$5,$D$11:$AX$91))</f>
        <v>-180.9</v>
      </c>
      <c r="AO244" s="312" cm="1">
        <f t="array" ref="AO244">_xlfn.XLOOKUP($B244,$B$11:$B$91,_xlfn.XLOOKUP(AO$181,$D$5:$AX$5,$D$11:$AX$91))</f>
        <v>-160.9</v>
      </c>
      <c r="AP244" s="312" cm="1">
        <f t="array" ref="AP244">_xlfn.XLOOKUP($B244,$B$11:$B$91,_xlfn.XLOOKUP(AP$181,$D$5:$AX$5,$D$11:$AX$91))</f>
        <v>-170.6</v>
      </c>
      <c r="AQ244" s="312" cm="1">
        <f t="array" ref="AQ244">_xlfn.XLOOKUP($B244,$B$11:$B$91,_xlfn.XLOOKUP(AQ$181,$D$5:$AX$5,$D$11:$AX$91))</f>
        <v>0</v>
      </c>
      <c r="AR244" s="312" cm="1">
        <f t="array" ref="AR244">_xlfn.XLOOKUP($B244,$B$11:$B$91,_xlfn.XLOOKUP(AR$181,$D$5:$AX$5,$D$11:$AX$91))</f>
        <v>0</v>
      </c>
      <c r="AS244" s="312" cm="1">
        <f t="array" ref="AS244">_xlfn.XLOOKUP($B244,$B$11:$B$91,_xlfn.XLOOKUP(AS$181,$D$5:$AX$5,$D$11:$AX$91))</f>
        <v>0</v>
      </c>
      <c r="AT244" s="312" cm="1">
        <f t="array" ref="AT244">_xlfn.XLOOKUP($B244,$B$11:$B$91,_xlfn.XLOOKUP(AT$181,$D$5:$AX$5,$D$11:$AX$91))</f>
        <v>0</v>
      </c>
      <c r="AU244" s="312" cm="1">
        <f t="array" ref="AU244">_xlfn.XLOOKUP($B244,$B$11:$B$91,_xlfn.XLOOKUP(AU$181,$D$5:$AX$5,$D$11:$AX$91))</f>
        <v>0</v>
      </c>
      <c r="AV244" s="312" cm="1">
        <f t="array" ref="AV244">_xlfn.XLOOKUP($B244,$B$11:$B$91,_xlfn.XLOOKUP(AV$181,$D$5:$AX$5,$D$11:$AX$91))</f>
        <v>0</v>
      </c>
      <c r="AW244" s="312" cm="1">
        <f t="array" ref="AW244">_xlfn.XLOOKUP($B244,$B$11:$B$91,_xlfn.XLOOKUP(AW$181,$D$5:$AX$5,$D$11:$AX$91))</f>
        <v>0</v>
      </c>
      <c r="AX244" s="312" cm="1">
        <f t="array" ref="AX244">_xlfn.XLOOKUP($B244,$B$11:$B$91,_xlfn.XLOOKUP(AX$181,$D$5:$AX$5,$D$11:$AX$91))</f>
        <v>0</v>
      </c>
    </row>
    <row r="245" spans="1:50" hidden="1" outlineLevel="1">
      <c r="C245" s="313" t="s">
        <v>1121</v>
      </c>
      <c r="D245" s="307" t="s">
        <v>842</v>
      </c>
      <c r="E245" s="307"/>
      <c r="F245" s="307"/>
      <c r="G245" s="314" t="s">
        <v>967</v>
      </c>
      <c r="H245" s="314" t="s">
        <v>967</v>
      </c>
      <c r="I245" s="314">
        <f t="shared" ref="I245:AF245" si="87">I244/G244-1</f>
        <v>-8.2699619771863131E-2</v>
      </c>
      <c r="J245" s="314">
        <f t="shared" si="87"/>
        <v>-0.1320582877959926</v>
      </c>
      <c r="K245" s="314">
        <f t="shared" si="87"/>
        <v>4.3523316062176187E-2</v>
      </c>
      <c r="L245" s="314">
        <f t="shared" si="87"/>
        <v>-0.15844700944386159</v>
      </c>
      <c r="M245" s="314">
        <f t="shared" si="87"/>
        <v>-0.23237338629592852</v>
      </c>
      <c r="N245" s="314">
        <f t="shared" si="87"/>
        <v>4.2394014962593651E-2</v>
      </c>
      <c r="O245" s="314">
        <f t="shared" si="87"/>
        <v>0.11384217335058211</v>
      </c>
      <c r="P245" s="314">
        <f t="shared" si="87"/>
        <v>1.0765550239234312E-2</v>
      </c>
      <c r="Q245" s="314">
        <f t="shared" si="87"/>
        <v>-1</v>
      </c>
      <c r="R245" s="314">
        <f t="shared" si="87"/>
        <v>-1</v>
      </c>
      <c r="S245" s="314" t="e">
        <f t="shared" si="87"/>
        <v>#DIV/0!</v>
      </c>
      <c r="T245" s="314" t="e">
        <f t="shared" si="87"/>
        <v>#DIV/0!</v>
      </c>
      <c r="U245" s="314" t="e">
        <f t="shared" si="87"/>
        <v>#DIV/0!</v>
      </c>
      <c r="V245" s="314" t="e">
        <f t="shared" si="87"/>
        <v>#DIV/0!</v>
      </c>
      <c r="W245" s="314" t="e">
        <f t="shared" si="87"/>
        <v>#DIV/0!</v>
      </c>
      <c r="X245" s="314" t="e">
        <f t="shared" si="87"/>
        <v>#DIV/0!</v>
      </c>
      <c r="Y245" s="314" t="e">
        <f t="shared" si="87"/>
        <v>#DIV/0!</v>
      </c>
      <c r="Z245" s="314" t="e">
        <f t="shared" si="87"/>
        <v>#DIV/0!</v>
      </c>
      <c r="AA245" s="314" t="e">
        <f t="shared" si="87"/>
        <v>#DIV/0!</v>
      </c>
      <c r="AB245" s="314" t="e">
        <f t="shared" si="87"/>
        <v>#DIV/0!</v>
      </c>
      <c r="AC245" s="314" t="e">
        <f t="shared" si="87"/>
        <v>#DIV/0!</v>
      </c>
      <c r="AD245" s="314" t="e">
        <f t="shared" si="87"/>
        <v>#DIV/0!</v>
      </c>
      <c r="AE245" s="314" t="e">
        <f t="shared" si="87"/>
        <v>#DIV/0!</v>
      </c>
      <c r="AF245" s="314" t="e">
        <f t="shared" si="87"/>
        <v>#DIV/0!</v>
      </c>
      <c r="AG245" s="315"/>
      <c r="AH245" s="313" t="str">
        <f t="shared" si="66"/>
        <v>- Growth</v>
      </c>
      <c r="AI245" s="307" t="str">
        <f>D245</f>
        <v>%</v>
      </c>
      <c r="AJ245" s="307"/>
      <c r="AK245" s="307"/>
      <c r="AL245" s="314" t="s">
        <v>967</v>
      </c>
      <c r="AM245" s="314">
        <f t="shared" ref="AM245:AX245" si="88">AM244/AL244-1</f>
        <v>-0.10790697674418603</v>
      </c>
      <c r="AN245" s="314">
        <f t="shared" si="88"/>
        <v>-5.6830031282586013E-2</v>
      </c>
      <c r="AO245" s="314">
        <f t="shared" si="88"/>
        <v>-0.11055831951354345</v>
      </c>
      <c r="AP245" s="314">
        <f t="shared" si="88"/>
        <v>6.0285891858296914E-2</v>
      </c>
      <c r="AQ245" s="314">
        <f t="shared" si="88"/>
        <v>-1</v>
      </c>
      <c r="AR245" s="314" t="e">
        <f t="shared" si="88"/>
        <v>#DIV/0!</v>
      </c>
      <c r="AS245" s="314" t="e">
        <f t="shared" si="88"/>
        <v>#DIV/0!</v>
      </c>
      <c r="AT245" s="314" t="e">
        <f t="shared" si="88"/>
        <v>#DIV/0!</v>
      </c>
      <c r="AU245" s="314" t="e">
        <f t="shared" si="88"/>
        <v>#DIV/0!</v>
      </c>
      <c r="AV245" s="314" t="e">
        <f t="shared" si="88"/>
        <v>#DIV/0!</v>
      </c>
      <c r="AW245" s="314" t="e">
        <f t="shared" si="88"/>
        <v>#DIV/0!</v>
      </c>
      <c r="AX245" s="314" t="e">
        <f t="shared" si="88"/>
        <v>#DIV/0!</v>
      </c>
    </row>
    <row r="246" spans="1:50" collapsed="1">
      <c r="C246" s="313" t="s">
        <v>1122</v>
      </c>
      <c r="D246" s="307" t="s">
        <v>842</v>
      </c>
      <c r="E246" s="307"/>
      <c r="F246" s="307"/>
      <c r="G246" s="314">
        <f xml:space="preserve"> IFERROR(ROUND( G244 / G243,3) - 1, 0)</f>
        <v>0</v>
      </c>
      <c r="H246" s="314">
        <f t="shared" ref="H246:AF246" si="89" xml:space="preserve"> IFERROR(ROUND( H244 / H243,3) - 1, 0)</f>
        <v>0</v>
      </c>
      <c r="I246" s="314">
        <f t="shared" si="89"/>
        <v>0</v>
      </c>
      <c r="J246" s="314">
        <f t="shared" si="89"/>
        <v>0</v>
      </c>
      <c r="K246" s="314">
        <f t="shared" si="89"/>
        <v>0</v>
      </c>
      <c r="L246" s="314">
        <f t="shared" si="89"/>
        <v>0</v>
      </c>
      <c r="M246" s="314">
        <f t="shared" si="89"/>
        <v>0</v>
      </c>
      <c r="N246" s="314">
        <f t="shared" si="89"/>
        <v>0</v>
      </c>
      <c r="O246" s="314">
        <f t="shared" si="89"/>
        <v>0</v>
      </c>
      <c r="P246" s="314">
        <f t="shared" si="89"/>
        <v>0</v>
      </c>
      <c r="Q246" s="314">
        <f t="shared" si="89"/>
        <v>0</v>
      </c>
      <c r="R246" s="314">
        <f t="shared" si="89"/>
        <v>0</v>
      </c>
      <c r="S246" s="314">
        <f t="shared" si="89"/>
        <v>0</v>
      </c>
      <c r="T246" s="314">
        <f t="shared" si="89"/>
        <v>0</v>
      </c>
      <c r="U246" s="314">
        <f t="shared" si="89"/>
        <v>0</v>
      </c>
      <c r="V246" s="314">
        <f t="shared" si="89"/>
        <v>0</v>
      </c>
      <c r="W246" s="314">
        <f t="shared" si="89"/>
        <v>0</v>
      </c>
      <c r="X246" s="314">
        <f t="shared" si="89"/>
        <v>0</v>
      </c>
      <c r="Y246" s="314">
        <f t="shared" si="89"/>
        <v>0</v>
      </c>
      <c r="Z246" s="314">
        <f t="shared" si="89"/>
        <v>0</v>
      </c>
      <c r="AA246" s="314">
        <f t="shared" si="89"/>
        <v>0</v>
      </c>
      <c r="AB246" s="314">
        <f t="shared" si="89"/>
        <v>0</v>
      </c>
      <c r="AC246" s="314">
        <f t="shared" si="89"/>
        <v>0</v>
      </c>
      <c r="AD246" s="314">
        <f t="shared" si="89"/>
        <v>0</v>
      </c>
      <c r="AE246" s="314">
        <f t="shared" si="89"/>
        <v>0</v>
      </c>
      <c r="AF246" s="314">
        <f t="shared" si="89"/>
        <v>0</v>
      </c>
      <c r="AG246" s="314"/>
      <c r="AH246" s="313" t="str">
        <f t="shared" si="66"/>
        <v>- Revision</v>
      </c>
      <c r="AI246" s="307" t="str">
        <f>D246</f>
        <v>%</v>
      </c>
      <c r="AJ246" s="307"/>
      <c r="AK246" s="307"/>
      <c r="AL246" s="314">
        <f t="shared" ref="AL246:AX246" si="90" xml:space="preserve"> IFERROR(ROUND( AL244 / AL243,3) - 1, 0)</f>
        <v>0</v>
      </c>
      <c r="AM246" s="314">
        <f t="shared" si="90"/>
        <v>0</v>
      </c>
      <c r="AN246" s="314">
        <f t="shared" si="90"/>
        <v>0</v>
      </c>
      <c r="AO246" s="314">
        <f t="shared" si="90"/>
        <v>0</v>
      </c>
      <c r="AP246" s="314">
        <f t="shared" si="90"/>
        <v>0.98100000000000009</v>
      </c>
      <c r="AQ246" s="314">
        <f t="shared" si="90"/>
        <v>0</v>
      </c>
      <c r="AR246" s="314">
        <f t="shared" si="90"/>
        <v>0</v>
      </c>
      <c r="AS246" s="314">
        <f t="shared" si="90"/>
        <v>0</v>
      </c>
      <c r="AT246" s="314">
        <f t="shared" si="90"/>
        <v>0</v>
      </c>
      <c r="AU246" s="314">
        <f t="shared" si="90"/>
        <v>0</v>
      </c>
      <c r="AV246" s="314">
        <f t="shared" si="90"/>
        <v>0</v>
      </c>
      <c r="AW246" s="314">
        <f t="shared" si="90"/>
        <v>0</v>
      </c>
      <c r="AX246" s="314">
        <f t="shared" si="90"/>
        <v>0</v>
      </c>
    </row>
    <row r="247" spans="1:50">
      <c r="B247" s="305" t="s">
        <v>1435</v>
      </c>
      <c r="C247" s="706" t="str">
        <f>_xlfn.TEXTAFTER($B247,$C$220)&amp;" - old"</f>
        <v>EBIT - old</v>
      </c>
      <c r="D247" s="707" t="str" cm="1">
        <f t="array" ref="D247">_xlfn.XLOOKUP($B247,$B$96:$B$176,_xlfn.XLOOKUP(D$181,$D$5:$AX$5,$D$96:$AX$176))</f>
        <v>A$m</v>
      </c>
      <c r="E247" s="307"/>
      <c r="F247" s="307"/>
      <c r="G247" s="708" cm="1">
        <f t="array" ref="G247">_xlfn.XLOOKUP($B247,$B$96:$B$176,_xlfn.XLOOKUP(G$181,$D$5:$AX$5,$D$96:$AX$176))</f>
        <v>32.700000000000003</v>
      </c>
      <c r="H247" s="708" cm="1">
        <f t="array" ref="H247">_xlfn.XLOOKUP($B247,$B$96:$B$176,_xlfn.XLOOKUP(H$181,$D$5:$AX$5,$D$96:$AX$176))</f>
        <v>39.299999999999997</v>
      </c>
      <c r="I247" s="708" cm="1">
        <f t="array" ref="I247">_xlfn.XLOOKUP($B247,$B$96:$B$176,_xlfn.XLOOKUP(I$181,$D$5:$AX$5,$D$96:$AX$176))</f>
        <v>57.9</v>
      </c>
      <c r="J247" s="708" cm="1">
        <f t="array" ref="J247">_xlfn.XLOOKUP($B247,$B$96:$B$176,_xlfn.XLOOKUP(J$181,$D$5:$AX$5,$D$96:$AX$176))</f>
        <v>58.300000000000004</v>
      </c>
      <c r="K247" s="708" cm="1">
        <f t="array" ref="K247">_xlfn.XLOOKUP($B247,$B$96:$B$176,_xlfn.XLOOKUP(K$181,$D$5:$AX$5,$D$96:$AX$176))</f>
        <v>33.299999999999997</v>
      </c>
      <c r="L247" s="708" cm="1">
        <f t="array" ref="L247">_xlfn.XLOOKUP($B247,$B$96:$B$176,_xlfn.XLOOKUP(L$181,$D$5:$AX$5,$D$96:$AX$176))</f>
        <v>37</v>
      </c>
      <c r="M247" s="708" cm="1">
        <f t="array" ref="M247">_xlfn.XLOOKUP($B247,$B$96:$B$176,_xlfn.XLOOKUP(M$181,$D$5:$AX$5,$D$96:$AX$176))</f>
        <v>79.400000000000006</v>
      </c>
      <c r="N247" s="708" cm="1">
        <f t="array" ref="N247">_xlfn.XLOOKUP($B247,$B$96:$B$176,_xlfn.XLOOKUP(N$181,$D$5:$AX$5,$D$96:$AX$176))</f>
        <v>88.799999999999983</v>
      </c>
      <c r="O247" s="708" cm="1">
        <f t="array" ref="O247">_xlfn.XLOOKUP($B247,$B$96:$B$176,_xlfn.XLOOKUP(O$181,$D$5:$AX$5,$D$96:$AX$176))</f>
        <v>95.3</v>
      </c>
      <c r="P247" s="708" cm="1">
        <f t="array" ref="P247">_xlfn.XLOOKUP($B247,$B$96:$B$176,_xlfn.XLOOKUP(P$181,$D$5:$AX$5,$D$96:$AX$176))</f>
        <v>0</v>
      </c>
      <c r="Q247" s="708" cm="1">
        <f t="array" ref="Q247">_xlfn.XLOOKUP($B247,$B$96:$B$176,_xlfn.XLOOKUP(Q$181,$D$5:$AX$5,$D$96:$AX$176))</f>
        <v>0</v>
      </c>
      <c r="R247" s="708" cm="1">
        <f t="array" ref="R247">_xlfn.XLOOKUP($B247,$B$96:$B$176,_xlfn.XLOOKUP(R$181,$D$5:$AX$5,$D$96:$AX$176))</f>
        <v>0</v>
      </c>
      <c r="S247" s="708" cm="1">
        <f t="array" ref="S247">_xlfn.XLOOKUP($B247,$B$96:$B$176,_xlfn.XLOOKUP(S$181,$D$5:$AX$5,$D$96:$AX$176))</f>
        <v>0</v>
      </c>
      <c r="T247" s="708" cm="1">
        <f t="array" ref="T247">_xlfn.XLOOKUP($B247,$B$96:$B$176,_xlfn.XLOOKUP(T$181,$D$5:$AX$5,$D$96:$AX$176))</f>
        <v>0</v>
      </c>
      <c r="U247" s="708" cm="1">
        <f t="array" ref="U247">_xlfn.XLOOKUP($B247,$B$96:$B$176,_xlfn.XLOOKUP(U$181,$D$5:$AX$5,$D$96:$AX$176))</f>
        <v>0</v>
      </c>
      <c r="V247" s="708" cm="1">
        <f t="array" ref="V247">_xlfn.XLOOKUP($B247,$B$96:$B$176,_xlfn.XLOOKUP(V$181,$D$5:$AX$5,$D$96:$AX$176))</f>
        <v>0</v>
      </c>
      <c r="W247" s="708" cm="1">
        <f t="array" ref="W247">_xlfn.XLOOKUP($B247,$B$96:$B$176,_xlfn.XLOOKUP(W$181,$D$5:$AX$5,$D$96:$AX$176))</f>
        <v>0</v>
      </c>
      <c r="X247" s="708" cm="1">
        <f t="array" ref="X247">_xlfn.XLOOKUP($B247,$B$96:$B$176,_xlfn.XLOOKUP(X$181,$D$5:$AX$5,$D$96:$AX$176))</f>
        <v>0</v>
      </c>
      <c r="Y247" s="708" cm="1">
        <f t="array" ref="Y247">_xlfn.XLOOKUP($B247,$B$96:$B$176,_xlfn.XLOOKUP(Y$181,$D$5:$AX$5,$D$96:$AX$176))</f>
        <v>0</v>
      </c>
      <c r="Z247" s="708" cm="1">
        <f t="array" ref="Z247">_xlfn.XLOOKUP($B247,$B$96:$B$176,_xlfn.XLOOKUP(Z$181,$D$5:$AX$5,$D$96:$AX$176))</f>
        <v>0</v>
      </c>
      <c r="AA247" s="708" cm="1">
        <f t="array" ref="AA247">_xlfn.XLOOKUP($B247,$B$96:$B$176,_xlfn.XLOOKUP(AA$181,$D$5:$AX$5,$D$96:$AX$176))</f>
        <v>0</v>
      </c>
      <c r="AB247" s="708" cm="1">
        <f t="array" ref="AB247">_xlfn.XLOOKUP($B247,$B$96:$B$176,_xlfn.XLOOKUP(AB$181,$D$5:$AX$5,$D$96:$AX$176))</f>
        <v>0</v>
      </c>
      <c r="AC247" s="708" cm="1">
        <f t="array" ref="AC247">_xlfn.XLOOKUP($B247,$B$96:$B$176,_xlfn.XLOOKUP(AC$181,$D$5:$AX$5,$D$96:$AX$176))</f>
        <v>0</v>
      </c>
      <c r="AD247" s="708" cm="1">
        <f t="array" ref="AD247">_xlfn.XLOOKUP($B247,$B$96:$B$176,_xlfn.XLOOKUP(AD$181,$D$5:$AX$5,$D$96:$AX$176))</f>
        <v>0</v>
      </c>
      <c r="AE247" s="708" cm="1">
        <f t="array" ref="AE247">_xlfn.XLOOKUP($B247,$B$96:$B$176,_xlfn.XLOOKUP(AE$181,$D$5:$AX$5,$D$96:$AX$176))</f>
        <v>0</v>
      </c>
      <c r="AF247" s="708" cm="1">
        <f t="array" ref="AF247">_xlfn.XLOOKUP($B247,$B$96:$B$176,_xlfn.XLOOKUP(AF$181,$D$5:$AX$5,$D$96:$AX$176))</f>
        <v>0</v>
      </c>
      <c r="AG247" s="309"/>
      <c r="AH247" s="306" t="str">
        <f t="shared" si="66"/>
        <v>EBIT - old</v>
      </c>
      <c r="AI247" s="707" t="str" cm="1">
        <f t="array" ref="AI247">_xlfn.XLOOKUP($B247,$B$96:$B$176,_xlfn.XLOOKUP(AI$181,$D$5:$AX$5,$D$96:$AX$176))</f>
        <v>A$m</v>
      </c>
      <c r="AJ247" s="307"/>
      <c r="AK247" s="307"/>
      <c r="AL247" s="708" cm="1">
        <f t="array" ref="AL247">_xlfn.XLOOKUP($B247,$B$96:$B$176,_xlfn.XLOOKUP(AL$181,$D$5:$AX$5,$D$96:$AX$176))</f>
        <v>72</v>
      </c>
      <c r="AM247" s="708" cm="1">
        <f t="array" ref="AM247">_xlfn.XLOOKUP($B247,$B$96:$B$176,_xlfn.XLOOKUP(AM$181,$D$5:$AX$5,$D$96:$AX$176))</f>
        <v>116.2</v>
      </c>
      <c r="AN247" s="708" cm="1">
        <f t="array" ref="AN247">_xlfn.XLOOKUP($B247,$B$96:$B$176,_xlfn.XLOOKUP(AN$181,$D$5:$AX$5,$D$96:$AX$176))</f>
        <v>70.3</v>
      </c>
      <c r="AO247" s="708" cm="1">
        <f t="array" ref="AO247">_xlfn.XLOOKUP($B247,$B$96:$B$176,_xlfn.XLOOKUP(AO$181,$D$5:$AX$5,$D$96:$AX$176))</f>
        <v>168.2</v>
      </c>
      <c r="AP247" s="708" cm="1">
        <f t="array" ref="AP247">_xlfn.XLOOKUP($B247,$B$96:$B$176,_xlfn.XLOOKUP(AP$181,$D$5:$AX$5,$D$96:$AX$176))</f>
        <v>95.3</v>
      </c>
      <c r="AQ247" s="708" cm="1">
        <f t="array" ref="AQ247">_xlfn.XLOOKUP($B247,$B$96:$B$176,_xlfn.XLOOKUP(AQ$181,$D$5:$AX$5,$D$96:$AX$176))</f>
        <v>0</v>
      </c>
      <c r="AR247" s="708" cm="1">
        <f t="array" ref="AR247">_xlfn.XLOOKUP($B247,$B$96:$B$176,_xlfn.XLOOKUP(AR$181,$D$5:$AX$5,$D$96:$AX$176))</f>
        <v>0</v>
      </c>
      <c r="AS247" s="708" cm="1">
        <f t="array" ref="AS247">_xlfn.XLOOKUP($B247,$B$96:$B$176,_xlfn.XLOOKUP(AS$181,$D$5:$AX$5,$D$96:$AX$176))</f>
        <v>0</v>
      </c>
      <c r="AT247" s="708" cm="1">
        <f t="array" ref="AT247">_xlfn.XLOOKUP($B247,$B$96:$B$176,_xlfn.XLOOKUP(AT$181,$D$5:$AX$5,$D$96:$AX$176))</f>
        <v>0</v>
      </c>
      <c r="AU247" s="708" cm="1">
        <f t="array" ref="AU247">_xlfn.XLOOKUP($B247,$B$96:$B$176,_xlfn.XLOOKUP(AU$181,$D$5:$AX$5,$D$96:$AX$176))</f>
        <v>0</v>
      </c>
      <c r="AV247" s="708" cm="1">
        <f t="array" ref="AV247">_xlfn.XLOOKUP($B247,$B$96:$B$176,_xlfn.XLOOKUP(AV$181,$D$5:$AX$5,$D$96:$AX$176))</f>
        <v>0</v>
      </c>
      <c r="AW247" s="708" cm="1">
        <f t="array" ref="AW247">_xlfn.XLOOKUP($B247,$B$96:$B$176,_xlfn.XLOOKUP(AW$181,$D$5:$AX$5,$D$96:$AX$176))</f>
        <v>0</v>
      </c>
      <c r="AX247" s="708" cm="1">
        <f t="array" ref="AX247">_xlfn.XLOOKUP($B247,$B$96:$B$176,_xlfn.XLOOKUP(AX$181,$D$5:$AX$5,$D$96:$AX$176))</f>
        <v>0</v>
      </c>
    </row>
    <row r="248" spans="1:50">
      <c r="B248" s="305" t="s">
        <v>1435</v>
      </c>
      <c r="C248" s="318" t="str">
        <f>_xlfn.TEXTAFTER($B248,$C$220)&amp;" - New"</f>
        <v>EBIT - New</v>
      </c>
      <c r="D248" s="311" t="str" cm="1">
        <f t="array" ref="D248">_xlfn.XLOOKUP($B248,$B$11:$B$91,_xlfn.XLOOKUP(D$181,$D$5:$AX$5,$D$11:$AX$91))</f>
        <v>A$m</v>
      </c>
      <c r="E248" s="311"/>
      <c r="F248" s="311"/>
      <c r="G248" s="312" cm="1">
        <f t="array" ref="G248">_xlfn.XLOOKUP($B248,$B$11:$B$91,_xlfn.XLOOKUP(G$181,$D$5:$AX$5,$D$11:$AX$91))</f>
        <v>32.700000000000003</v>
      </c>
      <c r="H248" s="312" cm="1">
        <f t="array" ref="H248">_xlfn.XLOOKUP($B248,$B$11:$B$91,_xlfn.XLOOKUP(H$181,$D$5:$AX$5,$D$11:$AX$91))</f>
        <v>39.299999999999997</v>
      </c>
      <c r="I248" s="312" cm="1">
        <f t="array" ref="I248">_xlfn.XLOOKUP($B248,$B$11:$B$91,_xlfn.XLOOKUP(I$181,$D$5:$AX$5,$D$11:$AX$91))</f>
        <v>57.9</v>
      </c>
      <c r="J248" s="312" cm="1">
        <f t="array" ref="J248">_xlfn.XLOOKUP($B248,$B$11:$B$91,_xlfn.XLOOKUP(J$181,$D$5:$AX$5,$D$11:$AX$91))</f>
        <v>58.300000000000004</v>
      </c>
      <c r="K248" s="312" cm="1">
        <f t="array" ref="K248">_xlfn.XLOOKUP($B248,$B$11:$B$91,_xlfn.XLOOKUP(K$181,$D$5:$AX$5,$D$11:$AX$91))</f>
        <v>33.299999999999997</v>
      </c>
      <c r="L248" s="312" cm="1">
        <f t="array" ref="L248">_xlfn.XLOOKUP($B248,$B$11:$B$91,_xlfn.XLOOKUP(L$181,$D$5:$AX$5,$D$11:$AX$91))</f>
        <v>37</v>
      </c>
      <c r="M248" s="312" cm="1">
        <f t="array" ref="M248">_xlfn.XLOOKUP($B248,$B$11:$B$91,_xlfn.XLOOKUP(M$181,$D$5:$AX$5,$D$11:$AX$91))</f>
        <v>79.400000000000006</v>
      </c>
      <c r="N248" s="312" cm="1">
        <f t="array" ref="N248">_xlfn.XLOOKUP($B248,$B$11:$B$91,_xlfn.XLOOKUP(N$181,$D$5:$AX$5,$D$11:$AX$91))</f>
        <v>88.799999999999983</v>
      </c>
      <c r="O248" s="312" cm="1">
        <f t="array" ref="O248">_xlfn.XLOOKUP($B248,$B$11:$B$91,_xlfn.XLOOKUP(O$181,$D$5:$AX$5,$D$11:$AX$91))</f>
        <v>95.3</v>
      </c>
      <c r="P248" s="312" cm="1">
        <f t="array" ref="P248">_xlfn.XLOOKUP($B248,$B$11:$B$91,_xlfn.XLOOKUP(P$181,$D$5:$AX$5,$D$11:$AX$91))</f>
        <v>95.899999999999991</v>
      </c>
      <c r="Q248" s="312" cm="1">
        <f t="array" ref="Q248">_xlfn.XLOOKUP($B248,$B$11:$B$91,_xlfn.XLOOKUP(Q$181,$D$5:$AX$5,$D$11:$AX$91))</f>
        <v>0</v>
      </c>
      <c r="R248" s="312" cm="1">
        <f t="array" ref="R248">_xlfn.XLOOKUP($B248,$B$11:$B$91,_xlfn.XLOOKUP(R$181,$D$5:$AX$5,$D$11:$AX$91))</f>
        <v>0</v>
      </c>
      <c r="S248" s="312" cm="1">
        <f t="array" ref="S248">_xlfn.XLOOKUP($B248,$B$11:$B$91,_xlfn.XLOOKUP(S$181,$D$5:$AX$5,$D$11:$AX$91))</f>
        <v>0</v>
      </c>
      <c r="T248" s="312" cm="1">
        <f t="array" ref="T248">_xlfn.XLOOKUP($B248,$B$11:$B$91,_xlfn.XLOOKUP(T$181,$D$5:$AX$5,$D$11:$AX$91))</f>
        <v>0</v>
      </c>
      <c r="U248" s="312" cm="1">
        <f t="array" ref="U248">_xlfn.XLOOKUP($B248,$B$11:$B$91,_xlfn.XLOOKUP(U$181,$D$5:$AX$5,$D$11:$AX$91))</f>
        <v>0</v>
      </c>
      <c r="V248" s="312" cm="1">
        <f t="array" ref="V248">_xlfn.XLOOKUP($B248,$B$11:$B$91,_xlfn.XLOOKUP(V$181,$D$5:$AX$5,$D$11:$AX$91))</f>
        <v>0</v>
      </c>
      <c r="W248" s="312" cm="1">
        <f t="array" ref="W248">_xlfn.XLOOKUP($B248,$B$11:$B$91,_xlfn.XLOOKUP(W$181,$D$5:$AX$5,$D$11:$AX$91))</f>
        <v>0</v>
      </c>
      <c r="X248" s="312" cm="1">
        <f t="array" ref="X248">_xlfn.XLOOKUP($B248,$B$11:$B$91,_xlfn.XLOOKUP(X$181,$D$5:$AX$5,$D$11:$AX$91))</f>
        <v>0</v>
      </c>
      <c r="Y248" s="312" cm="1">
        <f t="array" ref="Y248">_xlfn.XLOOKUP($B248,$B$11:$B$91,_xlfn.XLOOKUP(Y$181,$D$5:$AX$5,$D$11:$AX$91))</f>
        <v>0</v>
      </c>
      <c r="Z248" s="312" cm="1">
        <f t="array" ref="Z248">_xlfn.XLOOKUP($B248,$B$11:$B$91,_xlfn.XLOOKUP(Z$181,$D$5:$AX$5,$D$11:$AX$91))</f>
        <v>0</v>
      </c>
      <c r="AA248" s="312" cm="1">
        <f t="array" ref="AA248">_xlfn.XLOOKUP($B248,$B$11:$B$91,_xlfn.XLOOKUP(AA$181,$D$5:$AX$5,$D$11:$AX$91))</f>
        <v>0</v>
      </c>
      <c r="AB248" s="312" cm="1">
        <f t="array" ref="AB248">_xlfn.XLOOKUP($B248,$B$11:$B$91,_xlfn.XLOOKUP(AB$181,$D$5:$AX$5,$D$11:$AX$91))</f>
        <v>0</v>
      </c>
      <c r="AC248" s="312" cm="1">
        <f t="array" ref="AC248">_xlfn.XLOOKUP($B248,$B$11:$B$91,_xlfn.XLOOKUP(AC$181,$D$5:$AX$5,$D$11:$AX$91))</f>
        <v>0</v>
      </c>
      <c r="AD248" s="312" cm="1">
        <f t="array" ref="AD248">_xlfn.XLOOKUP($B248,$B$11:$B$91,_xlfn.XLOOKUP(AD$181,$D$5:$AX$5,$D$11:$AX$91))</f>
        <v>0</v>
      </c>
      <c r="AE248" s="312" cm="1">
        <f t="array" ref="AE248">_xlfn.XLOOKUP($B248,$B$11:$B$91,_xlfn.XLOOKUP(AE$181,$D$5:$AX$5,$D$11:$AX$91))</f>
        <v>0</v>
      </c>
      <c r="AF248" s="312" cm="1">
        <f t="array" ref="AF248">_xlfn.XLOOKUP($B248,$B$11:$B$91,_xlfn.XLOOKUP(AF$181,$D$5:$AX$5,$D$11:$AX$91))</f>
        <v>0</v>
      </c>
      <c r="AG248" s="312"/>
      <c r="AH248" s="310" t="str">
        <f t="shared" si="66"/>
        <v>EBIT - New</v>
      </c>
      <c r="AI248" s="311" t="str" cm="1">
        <f t="array" ref="AI248">_xlfn.XLOOKUP($B248,$B$11:$B$91,_xlfn.XLOOKUP(AI$181,$D$5:$AX$5,$D$11:$AX$91))</f>
        <v>A$m</v>
      </c>
      <c r="AJ248" s="311"/>
      <c r="AK248" s="311"/>
      <c r="AL248" s="312" cm="1">
        <f t="array" ref="AL248">_xlfn.XLOOKUP($B248,$B$11:$B$91,_xlfn.XLOOKUP(AL$181,$D$5:$AX$5,$D$11:$AX$91))</f>
        <v>72</v>
      </c>
      <c r="AM248" s="312" cm="1">
        <f t="array" ref="AM248">_xlfn.XLOOKUP($B248,$B$11:$B$91,_xlfn.XLOOKUP(AM$181,$D$5:$AX$5,$D$11:$AX$91))</f>
        <v>116.2</v>
      </c>
      <c r="AN248" s="312" cm="1">
        <f t="array" ref="AN248">_xlfn.XLOOKUP($B248,$B$11:$B$91,_xlfn.XLOOKUP(AN$181,$D$5:$AX$5,$D$11:$AX$91))</f>
        <v>70.3</v>
      </c>
      <c r="AO248" s="312" cm="1">
        <f t="array" ref="AO248">_xlfn.XLOOKUP($B248,$B$11:$B$91,_xlfn.XLOOKUP(AO$181,$D$5:$AX$5,$D$11:$AX$91))</f>
        <v>168.2</v>
      </c>
      <c r="AP248" s="312" cm="1">
        <f t="array" ref="AP248">_xlfn.XLOOKUP($B248,$B$11:$B$91,_xlfn.XLOOKUP(AP$181,$D$5:$AX$5,$D$11:$AX$91))</f>
        <v>191.2</v>
      </c>
      <c r="AQ248" s="312" cm="1">
        <f t="array" ref="AQ248">_xlfn.XLOOKUP($B248,$B$11:$B$91,_xlfn.XLOOKUP(AQ$181,$D$5:$AX$5,$D$11:$AX$91))</f>
        <v>0</v>
      </c>
      <c r="AR248" s="312" cm="1">
        <f t="array" ref="AR248">_xlfn.XLOOKUP($B248,$B$11:$B$91,_xlfn.XLOOKUP(AR$181,$D$5:$AX$5,$D$11:$AX$91))</f>
        <v>0</v>
      </c>
      <c r="AS248" s="312" cm="1">
        <f t="array" ref="AS248">_xlfn.XLOOKUP($B248,$B$11:$B$91,_xlfn.XLOOKUP(AS$181,$D$5:$AX$5,$D$11:$AX$91))</f>
        <v>0</v>
      </c>
      <c r="AT248" s="312" cm="1">
        <f t="array" ref="AT248">_xlfn.XLOOKUP($B248,$B$11:$B$91,_xlfn.XLOOKUP(AT$181,$D$5:$AX$5,$D$11:$AX$91))</f>
        <v>0</v>
      </c>
      <c r="AU248" s="312" cm="1">
        <f t="array" ref="AU248">_xlfn.XLOOKUP($B248,$B$11:$B$91,_xlfn.XLOOKUP(AU$181,$D$5:$AX$5,$D$11:$AX$91))</f>
        <v>0</v>
      </c>
      <c r="AV248" s="312" cm="1">
        <f t="array" ref="AV248">_xlfn.XLOOKUP($B248,$B$11:$B$91,_xlfn.XLOOKUP(AV$181,$D$5:$AX$5,$D$11:$AX$91))</f>
        <v>0</v>
      </c>
      <c r="AW248" s="312" cm="1">
        <f t="array" ref="AW248">_xlfn.XLOOKUP($B248,$B$11:$B$91,_xlfn.XLOOKUP(AW$181,$D$5:$AX$5,$D$11:$AX$91))</f>
        <v>0</v>
      </c>
      <c r="AX248" s="312" cm="1">
        <f t="array" ref="AX248">_xlfn.XLOOKUP($B248,$B$11:$B$91,_xlfn.XLOOKUP(AX$181,$D$5:$AX$5,$D$11:$AX$91))</f>
        <v>0</v>
      </c>
    </row>
    <row r="249" spans="1:50" hidden="1" outlineLevel="1">
      <c r="C249" s="313" t="s">
        <v>1121</v>
      </c>
      <c r="D249" s="307" t="s">
        <v>842</v>
      </c>
      <c r="E249" s="307"/>
      <c r="F249" s="307"/>
      <c r="G249" s="314" t="s">
        <v>967</v>
      </c>
      <c r="H249" s="314" t="s">
        <v>967</v>
      </c>
      <c r="I249" s="314">
        <f t="shared" ref="I249:AF249" si="91">I248/G248-1</f>
        <v>0.77064220183486221</v>
      </c>
      <c r="J249" s="314">
        <f t="shared" si="91"/>
        <v>0.48346055979643787</v>
      </c>
      <c r="K249" s="314">
        <f t="shared" si="91"/>
        <v>-0.42487046632124359</v>
      </c>
      <c r="L249" s="314">
        <f t="shared" si="91"/>
        <v>-0.36535162950257294</v>
      </c>
      <c r="M249" s="314">
        <f t="shared" si="91"/>
        <v>1.3843843843843846</v>
      </c>
      <c r="N249" s="314">
        <f t="shared" si="91"/>
        <v>1.3999999999999995</v>
      </c>
      <c r="O249" s="314">
        <f t="shared" si="91"/>
        <v>0.20025188916876568</v>
      </c>
      <c r="P249" s="314">
        <f t="shared" si="91"/>
        <v>7.9954954954954971E-2</v>
      </c>
      <c r="Q249" s="314">
        <f t="shared" si="91"/>
        <v>-1</v>
      </c>
      <c r="R249" s="314">
        <f t="shared" si="91"/>
        <v>-1</v>
      </c>
      <c r="S249" s="314" t="e">
        <f t="shared" si="91"/>
        <v>#DIV/0!</v>
      </c>
      <c r="T249" s="314" t="e">
        <f t="shared" si="91"/>
        <v>#DIV/0!</v>
      </c>
      <c r="U249" s="314" t="e">
        <f t="shared" si="91"/>
        <v>#DIV/0!</v>
      </c>
      <c r="V249" s="314" t="e">
        <f t="shared" si="91"/>
        <v>#DIV/0!</v>
      </c>
      <c r="W249" s="314" t="e">
        <f t="shared" si="91"/>
        <v>#DIV/0!</v>
      </c>
      <c r="X249" s="314" t="e">
        <f t="shared" si="91"/>
        <v>#DIV/0!</v>
      </c>
      <c r="Y249" s="314" t="e">
        <f t="shared" si="91"/>
        <v>#DIV/0!</v>
      </c>
      <c r="Z249" s="314" t="e">
        <f t="shared" si="91"/>
        <v>#DIV/0!</v>
      </c>
      <c r="AA249" s="314" t="e">
        <f t="shared" si="91"/>
        <v>#DIV/0!</v>
      </c>
      <c r="AB249" s="314" t="e">
        <f t="shared" si="91"/>
        <v>#DIV/0!</v>
      </c>
      <c r="AC249" s="314" t="e">
        <f t="shared" si="91"/>
        <v>#DIV/0!</v>
      </c>
      <c r="AD249" s="314" t="e">
        <f t="shared" si="91"/>
        <v>#DIV/0!</v>
      </c>
      <c r="AE249" s="314" t="e">
        <f t="shared" si="91"/>
        <v>#DIV/0!</v>
      </c>
      <c r="AF249" s="314" t="e">
        <f t="shared" si="91"/>
        <v>#DIV/0!</v>
      </c>
      <c r="AG249" s="315"/>
      <c r="AH249" s="313" t="str">
        <f t="shared" si="66"/>
        <v>- Growth</v>
      </c>
      <c r="AI249" s="307" t="str">
        <f>D249</f>
        <v>%</v>
      </c>
      <c r="AJ249" s="307"/>
      <c r="AK249" s="307"/>
      <c r="AL249" s="314" t="s">
        <v>967</v>
      </c>
      <c r="AM249" s="314">
        <f t="shared" ref="AM249:AX249" si="92">AM248/AL248-1</f>
        <v>0.61388888888888893</v>
      </c>
      <c r="AN249" s="314">
        <f t="shared" si="92"/>
        <v>-0.39500860585197939</v>
      </c>
      <c r="AO249" s="314">
        <f t="shared" si="92"/>
        <v>1.3926031294452348</v>
      </c>
      <c r="AP249" s="314">
        <f t="shared" si="92"/>
        <v>0.13674197384066589</v>
      </c>
      <c r="AQ249" s="314">
        <f t="shared" si="92"/>
        <v>-1</v>
      </c>
      <c r="AR249" s="314" t="e">
        <f t="shared" si="92"/>
        <v>#DIV/0!</v>
      </c>
      <c r="AS249" s="314" t="e">
        <f t="shared" si="92"/>
        <v>#DIV/0!</v>
      </c>
      <c r="AT249" s="314" t="e">
        <f t="shared" si="92"/>
        <v>#DIV/0!</v>
      </c>
      <c r="AU249" s="314" t="e">
        <f t="shared" si="92"/>
        <v>#DIV/0!</v>
      </c>
      <c r="AV249" s="314" t="e">
        <f t="shared" si="92"/>
        <v>#DIV/0!</v>
      </c>
      <c r="AW249" s="314" t="e">
        <f t="shared" si="92"/>
        <v>#DIV/0!</v>
      </c>
      <c r="AX249" s="314" t="e">
        <f t="shared" si="92"/>
        <v>#DIV/0!</v>
      </c>
    </row>
    <row r="250" spans="1:50" collapsed="1">
      <c r="C250" s="313" t="s">
        <v>1122</v>
      </c>
      <c r="D250" s="307" t="s">
        <v>842</v>
      </c>
      <c r="E250" s="307"/>
      <c r="F250" s="307"/>
      <c r="G250" s="314">
        <f xml:space="preserve"> IFERROR(ROUND( G248 / G247,3) - 1, 0)</f>
        <v>0</v>
      </c>
      <c r="H250" s="314">
        <f t="shared" ref="H250:AF250" si="93" xml:space="preserve"> IFERROR(ROUND( H248 / H247,3) - 1, 0)</f>
        <v>0</v>
      </c>
      <c r="I250" s="314">
        <f t="shared" si="93"/>
        <v>0</v>
      </c>
      <c r="J250" s="314">
        <f t="shared" si="93"/>
        <v>0</v>
      </c>
      <c r="K250" s="314">
        <f t="shared" si="93"/>
        <v>0</v>
      </c>
      <c r="L250" s="314">
        <f t="shared" si="93"/>
        <v>0</v>
      </c>
      <c r="M250" s="314">
        <f t="shared" si="93"/>
        <v>0</v>
      </c>
      <c r="N250" s="314">
        <f t="shared" si="93"/>
        <v>0</v>
      </c>
      <c r="O250" s="314">
        <f t="shared" si="93"/>
        <v>0</v>
      </c>
      <c r="P250" s="314">
        <f t="shared" si="93"/>
        <v>0</v>
      </c>
      <c r="Q250" s="314">
        <f t="shared" si="93"/>
        <v>0</v>
      </c>
      <c r="R250" s="314">
        <f t="shared" si="93"/>
        <v>0</v>
      </c>
      <c r="S250" s="314">
        <f t="shared" si="93"/>
        <v>0</v>
      </c>
      <c r="T250" s="314">
        <f t="shared" si="93"/>
        <v>0</v>
      </c>
      <c r="U250" s="314">
        <f t="shared" si="93"/>
        <v>0</v>
      </c>
      <c r="V250" s="314">
        <f t="shared" si="93"/>
        <v>0</v>
      </c>
      <c r="W250" s="314">
        <f t="shared" si="93"/>
        <v>0</v>
      </c>
      <c r="X250" s="314">
        <f t="shared" si="93"/>
        <v>0</v>
      </c>
      <c r="Y250" s="314">
        <f t="shared" si="93"/>
        <v>0</v>
      </c>
      <c r="Z250" s="314">
        <f t="shared" si="93"/>
        <v>0</v>
      </c>
      <c r="AA250" s="314">
        <f t="shared" si="93"/>
        <v>0</v>
      </c>
      <c r="AB250" s="314">
        <f t="shared" si="93"/>
        <v>0</v>
      </c>
      <c r="AC250" s="314">
        <f t="shared" si="93"/>
        <v>0</v>
      </c>
      <c r="AD250" s="314">
        <f t="shared" si="93"/>
        <v>0</v>
      </c>
      <c r="AE250" s="314">
        <f t="shared" si="93"/>
        <v>0</v>
      </c>
      <c r="AF250" s="314">
        <f t="shared" si="93"/>
        <v>0</v>
      </c>
      <c r="AG250" s="314"/>
      <c r="AH250" s="313" t="str">
        <f t="shared" si="66"/>
        <v>- Revision</v>
      </c>
      <c r="AI250" s="307" t="str">
        <f>D250</f>
        <v>%</v>
      </c>
      <c r="AJ250" s="307"/>
      <c r="AK250" s="307"/>
      <c r="AL250" s="314">
        <f t="shared" ref="AL250:AX250" si="94" xml:space="preserve"> IFERROR(ROUND( AL248 / AL247,3) - 1, 0)</f>
        <v>0</v>
      </c>
      <c r="AM250" s="314">
        <f t="shared" si="94"/>
        <v>0</v>
      </c>
      <c r="AN250" s="314">
        <f t="shared" si="94"/>
        <v>0</v>
      </c>
      <c r="AO250" s="314">
        <f t="shared" si="94"/>
        <v>0</v>
      </c>
      <c r="AP250" s="314">
        <f t="shared" si="94"/>
        <v>1.0059999999999998</v>
      </c>
      <c r="AQ250" s="314">
        <f t="shared" si="94"/>
        <v>0</v>
      </c>
      <c r="AR250" s="314">
        <f t="shared" si="94"/>
        <v>0</v>
      </c>
      <c r="AS250" s="314">
        <f t="shared" si="94"/>
        <v>0</v>
      </c>
      <c r="AT250" s="314">
        <f t="shared" si="94"/>
        <v>0</v>
      </c>
      <c r="AU250" s="314">
        <f t="shared" si="94"/>
        <v>0</v>
      </c>
      <c r="AV250" s="314">
        <f t="shared" si="94"/>
        <v>0</v>
      </c>
      <c r="AW250" s="314">
        <f t="shared" si="94"/>
        <v>0</v>
      </c>
      <c r="AX250" s="314">
        <f t="shared" si="94"/>
        <v>0</v>
      </c>
    </row>
    <row r="251" spans="1:50">
      <c r="C251" s="313"/>
      <c r="D251" s="307"/>
      <c r="E251" s="307"/>
      <c r="F251" s="307"/>
      <c r="G251" s="314"/>
      <c r="H251" s="314"/>
      <c r="I251" s="314"/>
      <c r="J251" s="314"/>
      <c r="K251" s="314"/>
      <c r="L251" s="314"/>
      <c r="M251" s="314"/>
      <c r="N251" s="314"/>
      <c r="O251" s="314"/>
      <c r="P251" s="314"/>
      <c r="Q251" s="314"/>
      <c r="R251" s="314"/>
      <c r="S251" s="314"/>
      <c r="T251" s="314"/>
      <c r="U251" s="314"/>
      <c r="V251" s="314"/>
      <c r="W251" s="314"/>
      <c r="X251" s="314"/>
      <c r="Y251" s="314"/>
      <c r="Z251" s="314"/>
      <c r="AA251" s="314"/>
      <c r="AB251" s="314"/>
      <c r="AC251" s="314"/>
      <c r="AD251" s="314"/>
      <c r="AE251" s="314"/>
      <c r="AF251" s="314"/>
      <c r="AG251" s="314"/>
      <c r="AH251" s="313"/>
      <c r="AI251" s="307"/>
      <c r="AJ251" s="307"/>
      <c r="AK251" s="307"/>
      <c r="AL251" s="314"/>
      <c r="AM251" s="314"/>
      <c r="AN251" s="314"/>
      <c r="AO251" s="314"/>
      <c r="AP251" s="314"/>
      <c r="AQ251" s="314"/>
      <c r="AR251" s="314"/>
      <c r="AS251" s="314"/>
      <c r="AT251" s="314"/>
      <c r="AU251" s="314"/>
      <c r="AV251" s="314"/>
      <c r="AW251" s="314"/>
      <c r="AX251" s="314"/>
    </row>
    <row r="252" spans="1:50">
      <c r="A252" t="s">
        <v>971</v>
      </c>
      <c r="C252" s="291" t="s">
        <v>1418</v>
      </c>
      <c r="D252" s="292"/>
      <c r="E252" s="292"/>
      <c r="F252" s="292"/>
      <c r="G252" s="292"/>
      <c r="H252" s="292"/>
      <c r="I252" s="292"/>
      <c r="J252" s="292"/>
      <c r="K252" s="292"/>
      <c r="L252" s="292"/>
      <c r="M252" s="292"/>
      <c r="N252" s="292"/>
      <c r="O252" s="292"/>
      <c r="P252" s="293"/>
      <c r="Q252" s="293"/>
      <c r="R252" s="293"/>
      <c r="S252" s="293"/>
      <c r="T252" s="293"/>
      <c r="U252" s="293"/>
      <c r="V252" s="293"/>
      <c r="W252" s="293"/>
      <c r="X252" s="293"/>
      <c r="Y252" s="293"/>
      <c r="Z252" s="293"/>
      <c r="AA252" s="293"/>
      <c r="AB252" s="293"/>
      <c r="AC252" s="293"/>
      <c r="AD252" s="293"/>
      <c r="AE252" s="293"/>
      <c r="AF252" s="293"/>
      <c r="AG252" s="293"/>
      <c r="AH252" s="293"/>
      <c r="AI252" s="293"/>
      <c r="AJ252" s="292"/>
      <c r="AK252" s="292"/>
      <c r="AL252" s="292"/>
      <c r="AM252" s="292"/>
      <c r="AN252" s="292"/>
      <c r="AO252" s="292"/>
      <c r="AP252" s="292"/>
      <c r="AQ252" s="292"/>
      <c r="AR252" s="292"/>
      <c r="AS252" s="292"/>
      <c r="AT252" s="292"/>
      <c r="AU252" s="292"/>
      <c r="AV252" s="292"/>
      <c r="AW252" s="292"/>
      <c r="AX252" s="292"/>
    </row>
    <row r="253" spans="1:50">
      <c r="C253" s="296"/>
      <c r="D253" s="296" t="s">
        <v>960</v>
      </c>
      <c r="E253" s="296"/>
      <c r="F253" s="296" t="str">
        <f>F$5</f>
        <v>VAL</v>
      </c>
      <c r="G253" s="297" t="str">
        <f t="shared" ref="G253:AF253" si="95">G$5</f>
        <v>1H22A</v>
      </c>
      <c r="H253" s="298" t="str">
        <f t="shared" si="95"/>
        <v>2H22A</v>
      </c>
      <c r="I253" s="297" t="str">
        <f t="shared" si="95"/>
        <v>1H23A</v>
      </c>
      <c r="J253" s="298" t="str">
        <f t="shared" si="95"/>
        <v>2H23A</v>
      </c>
      <c r="K253" s="297" t="str">
        <f t="shared" si="95"/>
        <v>1H24E</v>
      </c>
      <c r="L253" s="298" t="str">
        <f t="shared" si="95"/>
        <v>2H24E</v>
      </c>
      <c r="M253" s="297" t="str">
        <f t="shared" si="95"/>
        <v>1H25E</v>
      </c>
      <c r="N253" s="298" t="str">
        <f t="shared" si="95"/>
        <v>2H25E</v>
      </c>
      <c r="O253" s="297" t="str">
        <f t="shared" si="95"/>
        <v>1H26E</v>
      </c>
      <c r="P253" s="298" t="str">
        <f t="shared" si="95"/>
        <v>2H26E</v>
      </c>
      <c r="Q253" s="297" t="str">
        <f t="shared" si="95"/>
        <v>1H27E</v>
      </c>
      <c r="R253" s="298" t="str">
        <f t="shared" si="95"/>
        <v>2H27E</v>
      </c>
      <c r="S253" s="297" t="str">
        <f t="shared" si="95"/>
        <v>1H28E</v>
      </c>
      <c r="T253" s="298" t="str">
        <f t="shared" si="95"/>
        <v>2H28E</v>
      </c>
      <c r="U253" s="297" t="str">
        <f t="shared" si="95"/>
        <v>1H29E</v>
      </c>
      <c r="V253" s="298" t="str">
        <f t="shared" si="95"/>
        <v>2H29E</v>
      </c>
      <c r="W253" s="297" t="str">
        <f t="shared" si="95"/>
        <v>1H30E</v>
      </c>
      <c r="X253" s="298" t="str">
        <f t="shared" si="95"/>
        <v>2H30E</v>
      </c>
      <c r="Y253" s="298" t="str">
        <f t="shared" si="95"/>
        <v>1H31E</v>
      </c>
      <c r="Z253" s="298" t="str">
        <f t="shared" si="95"/>
        <v>2H31E</v>
      </c>
      <c r="AA253" s="298" t="str">
        <f t="shared" si="95"/>
        <v>1H32E</v>
      </c>
      <c r="AB253" s="298" t="str">
        <f t="shared" si="95"/>
        <v>2H32E</v>
      </c>
      <c r="AC253" s="298" t="str">
        <f t="shared" si="95"/>
        <v>1H33E</v>
      </c>
      <c r="AD253" s="298" t="str">
        <f t="shared" si="95"/>
        <v>2H33E</v>
      </c>
      <c r="AE253" s="298" t="str">
        <f t="shared" si="95"/>
        <v>1H34E</v>
      </c>
      <c r="AF253" s="298" t="str">
        <f t="shared" si="95"/>
        <v>2H34E</v>
      </c>
      <c r="AG253" s="299"/>
      <c r="AH253" s="723"/>
      <c r="AI253" s="723" t="s">
        <v>960</v>
      </c>
      <c r="AJ253" s="723"/>
      <c r="AK253" s="723" t="str">
        <f>AK$5</f>
        <v>VAL</v>
      </c>
      <c r="AL253" s="723" t="str">
        <f t="shared" ref="AL253:AX253" si="96">AL$5</f>
        <v>FY22A</v>
      </c>
      <c r="AM253" s="723" t="str">
        <f t="shared" si="96"/>
        <v>FY23A</v>
      </c>
      <c r="AN253" s="723" t="str">
        <f t="shared" si="96"/>
        <v>FY24A</v>
      </c>
      <c r="AO253" s="723" t="str">
        <f t="shared" si="96"/>
        <v>FY25A</v>
      </c>
      <c r="AP253" s="723" t="str">
        <f t="shared" si="96"/>
        <v>FY26A</v>
      </c>
      <c r="AQ253" s="723" t="str">
        <f t="shared" si="96"/>
        <v>FY27A</v>
      </c>
      <c r="AR253" s="723" t="str">
        <f t="shared" si="96"/>
        <v>FY28A</v>
      </c>
      <c r="AS253" s="723" t="str">
        <f t="shared" si="96"/>
        <v>FY29A</v>
      </c>
      <c r="AT253" s="723" t="str">
        <f t="shared" si="96"/>
        <v>FY30A</v>
      </c>
      <c r="AU253" s="723" t="str">
        <f t="shared" si="96"/>
        <v>FY31A</v>
      </c>
      <c r="AV253" s="723" t="str">
        <f t="shared" si="96"/>
        <v>FY32A</v>
      </c>
      <c r="AW253" s="723" t="str">
        <f t="shared" si="96"/>
        <v>FY33A</v>
      </c>
      <c r="AX253" s="723" t="str">
        <f t="shared" si="96"/>
        <v>FY34A</v>
      </c>
    </row>
    <row r="254" spans="1:50">
      <c r="C254" s="300"/>
      <c r="D254" s="300"/>
      <c r="E254" s="300"/>
      <c r="F254" s="300"/>
      <c r="G254" s="301">
        <f t="shared" ref="G254:AF254" si="97">G$6</f>
        <v>44561</v>
      </c>
      <c r="H254" s="302">
        <f t="shared" si="97"/>
        <v>44742</v>
      </c>
      <c r="I254" s="301">
        <f t="shared" si="97"/>
        <v>44926</v>
      </c>
      <c r="J254" s="302">
        <f t="shared" si="97"/>
        <v>45107</v>
      </c>
      <c r="K254" s="301">
        <f t="shared" si="97"/>
        <v>45291</v>
      </c>
      <c r="L254" s="302">
        <f t="shared" si="97"/>
        <v>45473</v>
      </c>
      <c r="M254" s="301">
        <f t="shared" si="97"/>
        <v>45657</v>
      </c>
      <c r="N254" s="302">
        <f t="shared" si="97"/>
        <v>45838</v>
      </c>
      <c r="O254" s="301">
        <f t="shared" si="97"/>
        <v>46022</v>
      </c>
      <c r="P254" s="302">
        <f t="shared" si="97"/>
        <v>46203</v>
      </c>
      <c r="Q254" s="301">
        <f t="shared" si="97"/>
        <v>46387</v>
      </c>
      <c r="R254" s="302">
        <f t="shared" si="97"/>
        <v>46568</v>
      </c>
      <c r="S254" s="301">
        <f t="shared" si="97"/>
        <v>46752</v>
      </c>
      <c r="T254" s="302">
        <f t="shared" si="97"/>
        <v>46934</v>
      </c>
      <c r="U254" s="301">
        <f t="shared" si="97"/>
        <v>47118</v>
      </c>
      <c r="V254" s="302">
        <f t="shared" si="97"/>
        <v>47299</v>
      </c>
      <c r="W254" s="301">
        <f t="shared" si="97"/>
        <v>47483</v>
      </c>
      <c r="X254" s="300">
        <f t="shared" si="97"/>
        <v>47664</v>
      </c>
      <c r="Y254" s="300">
        <f t="shared" si="97"/>
        <v>47848</v>
      </c>
      <c r="Z254" s="300">
        <f t="shared" si="97"/>
        <v>48029</v>
      </c>
      <c r="AA254" s="300">
        <f t="shared" si="97"/>
        <v>48213</v>
      </c>
      <c r="AB254" s="300">
        <f t="shared" si="97"/>
        <v>48395</v>
      </c>
      <c r="AC254" s="300">
        <f t="shared" si="97"/>
        <v>48579</v>
      </c>
      <c r="AD254" s="300">
        <f t="shared" si="97"/>
        <v>48760</v>
      </c>
      <c r="AE254" s="300">
        <f t="shared" si="97"/>
        <v>48944</v>
      </c>
      <c r="AF254" s="300">
        <f t="shared" si="97"/>
        <v>49125</v>
      </c>
      <c r="AG254" s="303"/>
      <c r="AH254" s="724"/>
      <c r="AI254" s="724"/>
      <c r="AJ254" s="724"/>
      <c r="AK254" s="724"/>
      <c r="AL254" s="724">
        <f t="shared" ref="AL254:AX254" si="98">AL$6</f>
        <v>44742</v>
      </c>
      <c r="AM254" s="724">
        <f t="shared" si="98"/>
        <v>45107</v>
      </c>
      <c r="AN254" s="724">
        <f t="shared" si="98"/>
        <v>45473</v>
      </c>
      <c r="AO254" s="724">
        <f t="shared" si="98"/>
        <v>45838</v>
      </c>
      <c r="AP254" s="724">
        <f t="shared" si="98"/>
        <v>46203</v>
      </c>
      <c r="AQ254" s="724">
        <f t="shared" si="98"/>
        <v>46568</v>
      </c>
      <c r="AR254" s="724">
        <f t="shared" si="98"/>
        <v>46934</v>
      </c>
      <c r="AS254" s="724">
        <f t="shared" si="98"/>
        <v>47299</v>
      </c>
      <c r="AT254" s="724">
        <f t="shared" si="98"/>
        <v>47664</v>
      </c>
      <c r="AU254" s="724">
        <f t="shared" si="98"/>
        <v>48029</v>
      </c>
      <c r="AV254" s="724">
        <f t="shared" si="98"/>
        <v>48395</v>
      </c>
      <c r="AW254" s="724">
        <f t="shared" si="98"/>
        <v>48760</v>
      </c>
      <c r="AX254" s="724">
        <f t="shared" si="98"/>
        <v>49125</v>
      </c>
    </row>
    <row r="255" spans="1:50" s="704" customFormat="1">
      <c r="B255" s="705" t="s">
        <v>1436</v>
      </c>
      <c r="C255" s="706" t="str">
        <f>_xlfn.TEXTAFTER($B255,$C$252)&amp;" - old"</f>
        <v>Monitered EGM's - old</v>
      </c>
      <c r="D255" s="707" t="str" cm="1">
        <f t="array" ref="D255">_xlfn.XLOOKUP($B255,$B$96:$B$176,_xlfn.XLOOKUP(D$181,$D$5:$AX$5,$D$96:$AX$176))</f>
        <v>#</v>
      </c>
      <c r="E255" s="707"/>
      <c r="F255" s="707"/>
      <c r="G255" s="708" cm="1">
        <f t="array" ref="G255">_xlfn.XLOOKUP($B255,$B$96:$B$176,_xlfn.XLOOKUP(G$181,$D$5:$AX$5,$D$96:$AX$176))</f>
        <v>121050</v>
      </c>
      <c r="H255" s="708" cm="1">
        <f t="array" ref="H255">_xlfn.XLOOKUP($B255,$B$96:$B$176,_xlfn.XLOOKUP(H$181,$D$5:$AX$5,$D$96:$AX$176))</f>
        <v>120370</v>
      </c>
      <c r="I255" s="708" cm="1">
        <f t="array" ref="I255">_xlfn.XLOOKUP($B255,$B$96:$B$176,_xlfn.XLOOKUP(I$181,$D$5:$AX$5,$D$96:$AX$176))</f>
        <v>121290</v>
      </c>
      <c r="J255" s="708" cm="1">
        <f t="array" ref="J255">_xlfn.XLOOKUP($B255,$B$96:$B$176,_xlfn.XLOOKUP(J$181,$D$5:$AX$5,$D$96:$AX$176))</f>
        <v>122210</v>
      </c>
      <c r="K255" s="708" cm="1">
        <f t="array" ref="K255">_xlfn.XLOOKUP($B255,$B$96:$B$176,_xlfn.XLOOKUP(K$181,$D$5:$AX$5,$D$96:$AX$176))</f>
        <v>125350</v>
      </c>
      <c r="L255" s="708" cm="1">
        <f t="array" ref="L255">_xlfn.XLOOKUP($B255,$B$96:$B$176,_xlfn.XLOOKUP(L$181,$D$5:$AX$5,$D$96:$AX$176))</f>
        <v>122210</v>
      </c>
      <c r="M255" s="708" cm="1">
        <f t="array" ref="M255">_xlfn.XLOOKUP($B255,$B$96:$B$176,_xlfn.XLOOKUP(M$181,$D$5:$AX$5,$D$96:$AX$176))</f>
        <v>126250</v>
      </c>
      <c r="N255" s="708" cm="1">
        <f t="array" ref="N255">_xlfn.XLOOKUP($B255,$B$96:$B$176,_xlfn.XLOOKUP(N$181,$D$5:$AX$5,$D$96:$AX$176))</f>
        <v>126970</v>
      </c>
      <c r="O255" s="708" cm="1">
        <f t="array" ref="O255">_xlfn.XLOOKUP($B255,$B$96:$B$176,_xlfn.XLOOKUP(O$181,$D$5:$AX$5,$D$96:$AX$176))</f>
        <v>127340</v>
      </c>
      <c r="P255" s="708" cm="1">
        <f t="array" ref="P255">_xlfn.XLOOKUP($B255,$B$96:$B$176,_xlfn.XLOOKUP(P$181,$D$5:$AX$5,$D$96:$AX$176))</f>
        <v>127340</v>
      </c>
      <c r="Q255" s="708" cm="1">
        <f t="array" ref="Q255">_xlfn.XLOOKUP($B255,$B$96:$B$176,_xlfn.XLOOKUP(Q$181,$D$5:$AX$5,$D$96:$AX$176))</f>
        <v>127340</v>
      </c>
      <c r="R255" s="708" cm="1">
        <f t="array" ref="R255">_xlfn.XLOOKUP($B255,$B$96:$B$176,_xlfn.XLOOKUP(R$181,$D$5:$AX$5,$D$96:$AX$176))</f>
        <v>127340</v>
      </c>
      <c r="S255" s="708" cm="1">
        <f t="array" ref="S255">_xlfn.XLOOKUP($B255,$B$96:$B$176,_xlfn.XLOOKUP(S$181,$D$5:$AX$5,$D$96:$AX$176))</f>
        <v>127340</v>
      </c>
      <c r="T255" s="708" cm="1">
        <f t="array" ref="T255">_xlfn.XLOOKUP($B255,$B$96:$B$176,_xlfn.XLOOKUP(T$181,$D$5:$AX$5,$D$96:$AX$176))</f>
        <v>127340</v>
      </c>
      <c r="U255" s="708" cm="1">
        <f t="array" ref="U255">_xlfn.XLOOKUP($B255,$B$96:$B$176,_xlfn.XLOOKUP(U$181,$D$5:$AX$5,$D$96:$AX$176))</f>
        <v>127340</v>
      </c>
      <c r="V255" s="708" cm="1">
        <f t="array" ref="V255">_xlfn.XLOOKUP($B255,$B$96:$B$176,_xlfn.XLOOKUP(V$181,$D$5:$AX$5,$D$96:$AX$176))</f>
        <v>127340</v>
      </c>
      <c r="W255" s="708" cm="1">
        <f t="array" ref="W255">_xlfn.XLOOKUP($B255,$B$96:$B$176,_xlfn.XLOOKUP(W$181,$D$5:$AX$5,$D$96:$AX$176))</f>
        <v>127340</v>
      </c>
      <c r="X255" s="708" cm="1">
        <f t="array" ref="X255">_xlfn.XLOOKUP($B255,$B$96:$B$176,_xlfn.XLOOKUP(X$181,$D$5:$AX$5,$D$96:$AX$176))</f>
        <v>127340</v>
      </c>
      <c r="Y255" s="708" cm="1">
        <f t="array" ref="Y255">_xlfn.XLOOKUP($B255,$B$96:$B$176,_xlfn.XLOOKUP(Y$181,$D$5:$AX$5,$D$96:$AX$176))</f>
        <v>127340</v>
      </c>
      <c r="Z255" s="708" cm="1">
        <f t="array" ref="Z255">_xlfn.XLOOKUP($B255,$B$96:$B$176,_xlfn.XLOOKUP(Z$181,$D$5:$AX$5,$D$96:$AX$176))</f>
        <v>127340</v>
      </c>
      <c r="AA255" s="708" cm="1">
        <f t="array" ref="AA255">_xlfn.XLOOKUP($B255,$B$96:$B$176,_xlfn.XLOOKUP(AA$181,$D$5:$AX$5,$D$96:$AX$176))</f>
        <v>127340</v>
      </c>
      <c r="AB255" s="708" cm="1">
        <f t="array" ref="AB255">_xlfn.XLOOKUP($B255,$B$96:$B$176,_xlfn.XLOOKUP(AB$181,$D$5:$AX$5,$D$96:$AX$176))</f>
        <v>127340</v>
      </c>
      <c r="AC255" s="708" cm="1">
        <f t="array" ref="AC255">_xlfn.XLOOKUP($B255,$B$96:$B$176,_xlfn.XLOOKUP(AC$181,$D$5:$AX$5,$D$96:$AX$176))</f>
        <v>127340</v>
      </c>
      <c r="AD255" s="708" cm="1">
        <f t="array" ref="AD255">_xlfn.XLOOKUP($B255,$B$96:$B$176,_xlfn.XLOOKUP(AD$181,$D$5:$AX$5,$D$96:$AX$176))</f>
        <v>127340</v>
      </c>
      <c r="AE255" s="708" cm="1">
        <f t="array" ref="AE255">_xlfn.XLOOKUP($B255,$B$96:$B$176,_xlfn.XLOOKUP(AE$181,$D$5:$AX$5,$D$96:$AX$176))</f>
        <v>127340</v>
      </c>
      <c r="AF255" s="708" cm="1">
        <f t="array" ref="AF255">_xlfn.XLOOKUP($B255,$B$96:$B$176,_xlfn.XLOOKUP(AF$181,$D$5:$AX$5,$D$96:$AX$176))</f>
        <v>127340</v>
      </c>
      <c r="AG255" s="709"/>
      <c r="AH255" s="706" t="str">
        <f t="shared" ref="AH255:AH278" si="99">C255</f>
        <v>Monitered EGM's - old</v>
      </c>
      <c r="AI255" s="707" t="str" cm="1">
        <f t="array" ref="AI255">_xlfn.XLOOKUP($B255,$B$96:$B$176,_xlfn.XLOOKUP(AI$181,$D$5:$AX$5,$D$96:$AX$176))</f>
        <v>#</v>
      </c>
      <c r="AJ255" s="707"/>
      <c r="AK255" s="707"/>
      <c r="AL255" s="708" cm="1">
        <f t="array" ref="AL255">_xlfn.XLOOKUP($B255,$B$96:$B$176,_xlfn.XLOOKUP(AL$181,$D$5:$AX$5,$D$96:$AX$176))</f>
        <v>120370</v>
      </c>
      <c r="AM255" s="708" cm="1">
        <f t="array" ref="AM255">_xlfn.XLOOKUP($B255,$B$96:$B$176,_xlfn.XLOOKUP(AM$181,$D$5:$AX$5,$D$96:$AX$176))</f>
        <v>122210</v>
      </c>
      <c r="AN255" s="708" cm="1">
        <f t="array" ref="AN255">_xlfn.XLOOKUP($B255,$B$96:$B$176,_xlfn.XLOOKUP(AN$181,$D$5:$AX$5,$D$96:$AX$176))</f>
        <v>122210</v>
      </c>
      <c r="AO255" s="708" cm="1">
        <f t="array" ref="AO255">_xlfn.XLOOKUP($B255,$B$96:$B$176,_xlfn.XLOOKUP(AO$181,$D$5:$AX$5,$D$96:$AX$176))</f>
        <v>126970</v>
      </c>
      <c r="AP255" s="708" cm="1">
        <f t="array" ref="AP255">_xlfn.XLOOKUP($B255,$B$96:$B$176,_xlfn.XLOOKUP(AP$181,$D$5:$AX$5,$D$96:$AX$176))</f>
        <v>127340</v>
      </c>
      <c r="AQ255" s="708" cm="1">
        <f t="array" ref="AQ255">_xlfn.XLOOKUP($B255,$B$96:$B$176,_xlfn.XLOOKUP(AQ$181,$D$5:$AX$5,$D$96:$AX$176))</f>
        <v>127340</v>
      </c>
      <c r="AR255" s="708" cm="1">
        <f t="array" ref="AR255">_xlfn.XLOOKUP($B255,$B$96:$B$176,_xlfn.XLOOKUP(AR$181,$D$5:$AX$5,$D$96:$AX$176))</f>
        <v>127340</v>
      </c>
      <c r="AS255" s="708" cm="1">
        <f t="array" ref="AS255">_xlfn.XLOOKUP($B255,$B$96:$B$176,_xlfn.XLOOKUP(AS$181,$D$5:$AX$5,$D$96:$AX$176))</f>
        <v>127340</v>
      </c>
      <c r="AT255" s="708" cm="1">
        <f t="array" ref="AT255">_xlfn.XLOOKUP($B255,$B$96:$B$176,_xlfn.XLOOKUP(AT$181,$D$5:$AX$5,$D$96:$AX$176))</f>
        <v>127340</v>
      </c>
      <c r="AU255" s="708" cm="1">
        <f t="array" ref="AU255">_xlfn.XLOOKUP($B255,$B$96:$B$176,_xlfn.XLOOKUP(AU$181,$D$5:$AX$5,$D$96:$AX$176))</f>
        <v>127340</v>
      </c>
      <c r="AV255" s="708" cm="1">
        <f t="array" ref="AV255">_xlfn.XLOOKUP($B255,$B$96:$B$176,_xlfn.XLOOKUP(AV$181,$D$5:$AX$5,$D$96:$AX$176))</f>
        <v>127340</v>
      </c>
      <c r="AW255" s="708" cm="1">
        <f t="array" ref="AW255">_xlfn.XLOOKUP($B255,$B$96:$B$176,_xlfn.XLOOKUP(AW$181,$D$5:$AX$5,$D$96:$AX$176))</f>
        <v>127340</v>
      </c>
      <c r="AX255" s="708" cm="1">
        <f t="array" ref="AX255">_xlfn.XLOOKUP($B255,$B$96:$B$176,_xlfn.XLOOKUP(AX$181,$D$5:$AX$5,$D$96:$AX$176))</f>
        <v>127340</v>
      </c>
    </row>
    <row r="256" spans="1:50">
      <c r="B256" s="705" t="s">
        <v>1436</v>
      </c>
      <c r="C256" s="318" t="str">
        <f>_xlfn.TEXTAFTER($B256,$C$252)&amp;" - New"</f>
        <v>Monitered EGM's - New</v>
      </c>
      <c r="D256" s="311" t="str" cm="1">
        <f t="array" ref="D256">_xlfn.XLOOKUP($B256,$B$11:$B$91,_xlfn.XLOOKUP(D$181,$D$5:$AX$5,$D$11:$AX$91))</f>
        <v>#</v>
      </c>
      <c r="E256" s="311"/>
      <c r="F256" s="311"/>
      <c r="G256" s="312" cm="1">
        <f t="array" ref="G256">_xlfn.XLOOKUP($B256,$B$11:$B$91,_xlfn.XLOOKUP(G$181,$D$5:$AX$5,$D$11:$AX$91))</f>
        <v>121050</v>
      </c>
      <c r="H256" s="312" cm="1">
        <f t="array" ref="H256">_xlfn.XLOOKUP($B256,$B$11:$B$91,_xlfn.XLOOKUP(H$181,$D$5:$AX$5,$D$11:$AX$91))</f>
        <v>120370</v>
      </c>
      <c r="I256" s="312" cm="1">
        <f t="array" ref="I256">_xlfn.XLOOKUP($B256,$B$11:$B$91,_xlfn.XLOOKUP(I$181,$D$5:$AX$5,$D$11:$AX$91))</f>
        <v>121290</v>
      </c>
      <c r="J256" s="312" cm="1">
        <f t="array" ref="J256">_xlfn.XLOOKUP($B256,$B$11:$B$91,_xlfn.XLOOKUP(J$181,$D$5:$AX$5,$D$11:$AX$91))</f>
        <v>122210</v>
      </c>
      <c r="K256" s="312" cm="1">
        <f t="array" ref="K256">_xlfn.XLOOKUP($B256,$B$11:$B$91,_xlfn.XLOOKUP(K$181,$D$5:$AX$5,$D$11:$AX$91))</f>
        <v>125350</v>
      </c>
      <c r="L256" s="312" cm="1">
        <f t="array" ref="L256">_xlfn.XLOOKUP($B256,$B$11:$B$91,_xlfn.XLOOKUP(L$181,$D$5:$AX$5,$D$11:$AX$91))</f>
        <v>122210</v>
      </c>
      <c r="M256" s="312" cm="1">
        <f t="array" ref="M256">_xlfn.XLOOKUP($B256,$B$11:$B$91,_xlfn.XLOOKUP(M$181,$D$5:$AX$5,$D$11:$AX$91))</f>
        <v>126250</v>
      </c>
      <c r="N256" s="312" cm="1">
        <f t="array" ref="N256">_xlfn.XLOOKUP($B256,$B$11:$B$91,_xlfn.XLOOKUP(N$181,$D$5:$AX$5,$D$11:$AX$91))</f>
        <v>126970</v>
      </c>
      <c r="O256" s="312" cm="1">
        <f t="array" ref="O256">_xlfn.XLOOKUP($B256,$B$11:$B$91,_xlfn.XLOOKUP(O$181,$D$5:$AX$5,$D$11:$AX$91))</f>
        <v>127340</v>
      </c>
      <c r="P256" s="312" cm="1">
        <f t="array" ref="P256">_xlfn.XLOOKUP($B256,$B$11:$B$91,_xlfn.XLOOKUP(P$181,$D$5:$AX$5,$D$11:$AX$91))</f>
        <v>127600</v>
      </c>
      <c r="Q256" s="312" cm="1">
        <f t="array" ref="Q256">_xlfn.XLOOKUP($B256,$B$11:$B$91,_xlfn.XLOOKUP(Q$181,$D$5:$AX$5,$D$11:$AX$91))</f>
        <v>127600</v>
      </c>
      <c r="R256" s="312" cm="1">
        <f t="array" ref="R256">_xlfn.XLOOKUP($B256,$B$11:$B$91,_xlfn.XLOOKUP(R$181,$D$5:$AX$5,$D$11:$AX$91))</f>
        <v>127600</v>
      </c>
      <c r="S256" s="312" cm="1">
        <f t="array" ref="S256">_xlfn.XLOOKUP($B256,$B$11:$B$91,_xlfn.XLOOKUP(S$181,$D$5:$AX$5,$D$11:$AX$91))</f>
        <v>127600</v>
      </c>
      <c r="T256" s="312" cm="1">
        <f t="array" ref="T256">_xlfn.XLOOKUP($B256,$B$11:$B$91,_xlfn.XLOOKUP(T$181,$D$5:$AX$5,$D$11:$AX$91))</f>
        <v>127600</v>
      </c>
      <c r="U256" s="312" cm="1">
        <f t="array" ref="U256">_xlfn.XLOOKUP($B256,$B$11:$B$91,_xlfn.XLOOKUP(U$181,$D$5:$AX$5,$D$11:$AX$91))</f>
        <v>127600</v>
      </c>
      <c r="V256" s="312" cm="1">
        <f t="array" ref="V256">_xlfn.XLOOKUP($B256,$B$11:$B$91,_xlfn.XLOOKUP(V$181,$D$5:$AX$5,$D$11:$AX$91))</f>
        <v>127600</v>
      </c>
      <c r="W256" s="312" cm="1">
        <f t="array" ref="W256">_xlfn.XLOOKUP($B256,$B$11:$B$91,_xlfn.XLOOKUP(W$181,$D$5:$AX$5,$D$11:$AX$91))</f>
        <v>127600</v>
      </c>
      <c r="X256" s="312" cm="1">
        <f t="array" ref="X256">_xlfn.XLOOKUP($B256,$B$11:$B$91,_xlfn.XLOOKUP(X$181,$D$5:$AX$5,$D$11:$AX$91))</f>
        <v>127600</v>
      </c>
      <c r="Y256" s="312" cm="1">
        <f t="array" ref="Y256">_xlfn.XLOOKUP($B256,$B$11:$B$91,_xlfn.XLOOKUP(Y$181,$D$5:$AX$5,$D$11:$AX$91))</f>
        <v>127600</v>
      </c>
      <c r="Z256" s="312" cm="1">
        <f t="array" ref="Z256">_xlfn.XLOOKUP($B256,$B$11:$B$91,_xlfn.XLOOKUP(Z$181,$D$5:$AX$5,$D$11:$AX$91))</f>
        <v>127600</v>
      </c>
      <c r="AA256" s="312" cm="1">
        <f t="array" ref="AA256">_xlfn.XLOOKUP($B256,$B$11:$B$91,_xlfn.XLOOKUP(AA$181,$D$5:$AX$5,$D$11:$AX$91))</f>
        <v>127600</v>
      </c>
      <c r="AB256" s="312" cm="1">
        <f t="array" ref="AB256">_xlfn.XLOOKUP($B256,$B$11:$B$91,_xlfn.XLOOKUP(AB$181,$D$5:$AX$5,$D$11:$AX$91))</f>
        <v>127600</v>
      </c>
      <c r="AC256" s="312" cm="1">
        <f t="array" ref="AC256">_xlfn.XLOOKUP($B256,$B$11:$B$91,_xlfn.XLOOKUP(AC$181,$D$5:$AX$5,$D$11:$AX$91))</f>
        <v>127600</v>
      </c>
      <c r="AD256" s="312" cm="1">
        <f t="array" ref="AD256">_xlfn.XLOOKUP($B256,$B$11:$B$91,_xlfn.XLOOKUP(AD$181,$D$5:$AX$5,$D$11:$AX$91))</f>
        <v>127600</v>
      </c>
      <c r="AE256" s="312" cm="1">
        <f t="array" ref="AE256">_xlfn.XLOOKUP($B256,$B$11:$B$91,_xlfn.XLOOKUP(AE$181,$D$5:$AX$5,$D$11:$AX$91))</f>
        <v>127600</v>
      </c>
      <c r="AF256" s="312" cm="1">
        <f t="array" ref="AF256">_xlfn.XLOOKUP($B256,$B$11:$B$91,_xlfn.XLOOKUP(AF$181,$D$5:$AX$5,$D$11:$AX$91))</f>
        <v>127600</v>
      </c>
      <c r="AG256" s="312"/>
      <c r="AH256" s="310" t="str">
        <f t="shared" si="99"/>
        <v>Monitered EGM's - New</v>
      </c>
      <c r="AI256" s="311" t="str" cm="1">
        <f t="array" ref="AI256">_xlfn.XLOOKUP($B256,$B$11:$B$91,_xlfn.XLOOKUP(AI$181,$D$5:$AX$5,$D$11:$AX$91))</f>
        <v>#</v>
      </c>
      <c r="AJ256" s="311"/>
      <c r="AK256" s="311"/>
      <c r="AL256" s="312" cm="1">
        <f t="array" ref="AL256">_xlfn.XLOOKUP($B256,$B$11:$B$91,_xlfn.XLOOKUP(AL$181,$D$5:$AX$5,$D$11:$AX$91))</f>
        <v>120370</v>
      </c>
      <c r="AM256" s="312" cm="1">
        <f t="array" ref="AM256">_xlfn.XLOOKUP($B256,$B$11:$B$91,_xlfn.XLOOKUP(AM$181,$D$5:$AX$5,$D$11:$AX$91))</f>
        <v>122210</v>
      </c>
      <c r="AN256" s="312" cm="1">
        <f t="array" ref="AN256">_xlfn.XLOOKUP($B256,$B$11:$B$91,_xlfn.XLOOKUP(AN$181,$D$5:$AX$5,$D$11:$AX$91))</f>
        <v>122210</v>
      </c>
      <c r="AO256" s="312" cm="1">
        <f t="array" ref="AO256">_xlfn.XLOOKUP($B256,$B$11:$B$91,_xlfn.XLOOKUP(AO$181,$D$5:$AX$5,$D$11:$AX$91))</f>
        <v>126970</v>
      </c>
      <c r="AP256" s="312" cm="1">
        <f t="array" ref="AP256">_xlfn.XLOOKUP($B256,$B$11:$B$91,_xlfn.XLOOKUP(AP$181,$D$5:$AX$5,$D$11:$AX$91))</f>
        <v>127600</v>
      </c>
      <c r="AQ256" s="312" cm="1">
        <f t="array" ref="AQ256">_xlfn.XLOOKUP($B256,$B$11:$B$91,_xlfn.XLOOKUP(AQ$181,$D$5:$AX$5,$D$11:$AX$91))</f>
        <v>127600</v>
      </c>
      <c r="AR256" s="312" cm="1">
        <f t="array" ref="AR256">_xlfn.XLOOKUP($B256,$B$11:$B$91,_xlfn.XLOOKUP(AR$181,$D$5:$AX$5,$D$11:$AX$91))</f>
        <v>127600</v>
      </c>
      <c r="AS256" s="312" cm="1">
        <f t="array" ref="AS256">_xlfn.XLOOKUP($B256,$B$11:$B$91,_xlfn.XLOOKUP(AS$181,$D$5:$AX$5,$D$11:$AX$91))</f>
        <v>127600</v>
      </c>
      <c r="AT256" s="312" cm="1">
        <f t="array" ref="AT256">_xlfn.XLOOKUP($B256,$B$11:$B$91,_xlfn.XLOOKUP(AT$181,$D$5:$AX$5,$D$11:$AX$91))</f>
        <v>127600</v>
      </c>
      <c r="AU256" s="312" cm="1">
        <f t="array" ref="AU256">_xlfn.XLOOKUP($B256,$B$11:$B$91,_xlfn.XLOOKUP(AU$181,$D$5:$AX$5,$D$11:$AX$91))</f>
        <v>127600</v>
      </c>
      <c r="AV256" s="312" cm="1">
        <f t="array" ref="AV256">_xlfn.XLOOKUP($B256,$B$11:$B$91,_xlfn.XLOOKUP(AV$181,$D$5:$AX$5,$D$11:$AX$91))</f>
        <v>127600</v>
      </c>
      <c r="AW256" s="312" cm="1">
        <f t="array" ref="AW256">_xlfn.XLOOKUP($B256,$B$11:$B$91,_xlfn.XLOOKUP(AW$181,$D$5:$AX$5,$D$11:$AX$91))</f>
        <v>127600</v>
      </c>
      <c r="AX256" s="312" cm="1">
        <f t="array" ref="AX256">_xlfn.XLOOKUP($B256,$B$11:$B$91,_xlfn.XLOOKUP(AX$181,$D$5:$AX$5,$D$11:$AX$91))</f>
        <v>127600</v>
      </c>
    </row>
    <row r="257" spans="2:50" hidden="1" outlineLevel="1">
      <c r="C257" s="313" t="s">
        <v>1121</v>
      </c>
      <c r="D257" s="307" t="s">
        <v>842</v>
      </c>
      <c r="E257" s="307"/>
      <c r="F257" s="307"/>
      <c r="G257" s="314" t="s">
        <v>967</v>
      </c>
      <c r="H257" s="314" t="s">
        <v>967</v>
      </c>
      <c r="I257" s="314">
        <f t="shared" ref="I257:AF257" si="100">I256/G256-1</f>
        <v>1.9826517967782564E-3</v>
      </c>
      <c r="J257" s="314">
        <f t="shared" si="100"/>
        <v>1.528620088061805E-2</v>
      </c>
      <c r="K257" s="314">
        <f t="shared" si="100"/>
        <v>3.3473493280567146E-2</v>
      </c>
      <c r="L257" s="314">
        <f t="shared" si="100"/>
        <v>0</v>
      </c>
      <c r="M257" s="314">
        <f t="shared" si="100"/>
        <v>7.1798962903868446E-3</v>
      </c>
      <c r="N257" s="314">
        <f t="shared" si="100"/>
        <v>3.8949349480402518E-2</v>
      </c>
      <c r="O257" s="314">
        <f t="shared" si="100"/>
        <v>8.6336633663366413E-3</v>
      </c>
      <c r="P257" s="314">
        <f t="shared" si="100"/>
        <v>4.9618020004724706E-3</v>
      </c>
      <c r="Q257" s="314">
        <f t="shared" si="100"/>
        <v>2.041777917386467E-3</v>
      </c>
      <c r="R257" s="314">
        <f t="shared" si="100"/>
        <v>0</v>
      </c>
      <c r="S257" s="314">
        <f t="shared" si="100"/>
        <v>0</v>
      </c>
      <c r="T257" s="314">
        <f t="shared" si="100"/>
        <v>0</v>
      </c>
      <c r="U257" s="314">
        <f t="shared" si="100"/>
        <v>0</v>
      </c>
      <c r="V257" s="314">
        <f t="shared" si="100"/>
        <v>0</v>
      </c>
      <c r="W257" s="314">
        <f t="shared" si="100"/>
        <v>0</v>
      </c>
      <c r="X257" s="314">
        <f t="shared" si="100"/>
        <v>0</v>
      </c>
      <c r="Y257" s="314">
        <f t="shared" si="100"/>
        <v>0</v>
      </c>
      <c r="Z257" s="314">
        <f t="shared" si="100"/>
        <v>0</v>
      </c>
      <c r="AA257" s="314">
        <f t="shared" si="100"/>
        <v>0</v>
      </c>
      <c r="AB257" s="314">
        <f t="shared" si="100"/>
        <v>0</v>
      </c>
      <c r="AC257" s="314">
        <f t="shared" si="100"/>
        <v>0</v>
      </c>
      <c r="AD257" s="314">
        <f t="shared" si="100"/>
        <v>0</v>
      </c>
      <c r="AE257" s="314">
        <f t="shared" si="100"/>
        <v>0</v>
      </c>
      <c r="AF257" s="314">
        <f t="shared" si="100"/>
        <v>0</v>
      </c>
      <c r="AG257" s="315"/>
      <c r="AH257" s="313" t="str">
        <f t="shared" si="99"/>
        <v>- Growth</v>
      </c>
      <c r="AI257" s="307" t="str">
        <f>D257</f>
        <v>%</v>
      </c>
      <c r="AJ257" s="307"/>
      <c r="AK257" s="307"/>
      <c r="AL257" s="314" t="s">
        <v>967</v>
      </c>
      <c r="AM257" s="314">
        <f t="shared" ref="AM257:AX257" si="101">AM256/AL256-1</f>
        <v>1.528620088061805E-2</v>
      </c>
      <c r="AN257" s="314">
        <f t="shared" si="101"/>
        <v>0</v>
      </c>
      <c r="AO257" s="314">
        <f t="shared" si="101"/>
        <v>3.8949349480402518E-2</v>
      </c>
      <c r="AP257" s="314">
        <f t="shared" si="101"/>
        <v>4.9618020004724706E-3</v>
      </c>
      <c r="AQ257" s="314">
        <f t="shared" si="101"/>
        <v>0</v>
      </c>
      <c r="AR257" s="314">
        <f t="shared" si="101"/>
        <v>0</v>
      </c>
      <c r="AS257" s="314">
        <f t="shared" si="101"/>
        <v>0</v>
      </c>
      <c r="AT257" s="314">
        <f t="shared" si="101"/>
        <v>0</v>
      </c>
      <c r="AU257" s="314">
        <f t="shared" si="101"/>
        <v>0</v>
      </c>
      <c r="AV257" s="314">
        <f t="shared" si="101"/>
        <v>0</v>
      </c>
      <c r="AW257" s="314">
        <f t="shared" si="101"/>
        <v>0</v>
      </c>
      <c r="AX257" s="314">
        <f t="shared" si="101"/>
        <v>0</v>
      </c>
    </row>
    <row r="258" spans="2:50" collapsed="1">
      <c r="C258" s="313" t="s">
        <v>1122</v>
      </c>
      <c r="D258" s="307" t="s">
        <v>842</v>
      </c>
      <c r="E258" s="307"/>
      <c r="F258" s="307"/>
      <c r="G258" s="314">
        <f xml:space="preserve"> IFERROR(ROUND( G256 / G255,3) - 1, 0)</f>
        <v>0</v>
      </c>
      <c r="H258" s="314">
        <f t="shared" ref="H258:AF258" si="102" xml:space="preserve"> IFERROR(ROUND( H256 / H255,3) - 1, 0)</f>
        <v>0</v>
      </c>
      <c r="I258" s="314">
        <f t="shared" si="102"/>
        <v>0</v>
      </c>
      <c r="J258" s="314">
        <f t="shared" si="102"/>
        <v>0</v>
      </c>
      <c r="K258" s="314">
        <f t="shared" si="102"/>
        <v>0</v>
      </c>
      <c r="L258" s="314">
        <f t="shared" si="102"/>
        <v>0</v>
      </c>
      <c r="M258" s="314">
        <f t="shared" si="102"/>
        <v>0</v>
      </c>
      <c r="N258" s="314">
        <f t="shared" si="102"/>
        <v>0</v>
      </c>
      <c r="O258" s="314">
        <f t="shared" si="102"/>
        <v>0</v>
      </c>
      <c r="P258" s="314">
        <f t="shared" si="102"/>
        <v>2.0000000000000018E-3</v>
      </c>
      <c r="Q258" s="314">
        <f t="shared" si="102"/>
        <v>2.0000000000000018E-3</v>
      </c>
      <c r="R258" s="314">
        <f t="shared" si="102"/>
        <v>2.0000000000000018E-3</v>
      </c>
      <c r="S258" s="314">
        <f t="shared" si="102"/>
        <v>2.0000000000000018E-3</v>
      </c>
      <c r="T258" s="314">
        <f t="shared" si="102"/>
        <v>2.0000000000000018E-3</v>
      </c>
      <c r="U258" s="314">
        <f t="shared" si="102"/>
        <v>2.0000000000000018E-3</v>
      </c>
      <c r="V258" s="314">
        <f t="shared" si="102"/>
        <v>2.0000000000000018E-3</v>
      </c>
      <c r="W258" s="314">
        <f t="shared" si="102"/>
        <v>2.0000000000000018E-3</v>
      </c>
      <c r="X258" s="314">
        <f t="shared" si="102"/>
        <v>2.0000000000000018E-3</v>
      </c>
      <c r="Y258" s="314">
        <f t="shared" si="102"/>
        <v>2.0000000000000018E-3</v>
      </c>
      <c r="Z258" s="314">
        <f t="shared" si="102"/>
        <v>2.0000000000000018E-3</v>
      </c>
      <c r="AA258" s="314">
        <f t="shared" si="102"/>
        <v>2.0000000000000018E-3</v>
      </c>
      <c r="AB258" s="314">
        <f t="shared" si="102"/>
        <v>2.0000000000000018E-3</v>
      </c>
      <c r="AC258" s="314">
        <f t="shared" si="102"/>
        <v>2.0000000000000018E-3</v>
      </c>
      <c r="AD258" s="314">
        <f t="shared" si="102"/>
        <v>2.0000000000000018E-3</v>
      </c>
      <c r="AE258" s="314">
        <f t="shared" si="102"/>
        <v>2.0000000000000018E-3</v>
      </c>
      <c r="AF258" s="314">
        <f t="shared" si="102"/>
        <v>2.0000000000000018E-3</v>
      </c>
      <c r="AG258" s="314"/>
      <c r="AH258" s="313" t="str">
        <f t="shared" si="99"/>
        <v>- Revision</v>
      </c>
      <c r="AI258" s="307" t="str">
        <f>D258</f>
        <v>%</v>
      </c>
      <c r="AJ258" s="307"/>
      <c r="AK258" s="307"/>
      <c r="AL258" s="314">
        <f t="shared" ref="AL258:AX258" si="103" xml:space="preserve"> IFERROR(ROUND( AL256 / AL255,3) - 1, 0)</f>
        <v>0</v>
      </c>
      <c r="AM258" s="314">
        <f t="shared" si="103"/>
        <v>0</v>
      </c>
      <c r="AN258" s="314">
        <f t="shared" si="103"/>
        <v>0</v>
      </c>
      <c r="AO258" s="314">
        <f t="shared" si="103"/>
        <v>0</v>
      </c>
      <c r="AP258" s="314">
        <f t="shared" si="103"/>
        <v>2.0000000000000018E-3</v>
      </c>
      <c r="AQ258" s="314">
        <f t="shared" si="103"/>
        <v>2.0000000000000018E-3</v>
      </c>
      <c r="AR258" s="314">
        <f t="shared" si="103"/>
        <v>2.0000000000000018E-3</v>
      </c>
      <c r="AS258" s="314">
        <f t="shared" si="103"/>
        <v>2.0000000000000018E-3</v>
      </c>
      <c r="AT258" s="314">
        <f t="shared" si="103"/>
        <v>2.0000000000000018E-3</v>
      </c>
      <c r="AU258" s="314">
        <f t="shared" si="103"/>
        <v>2.0000000000000018E-3</v>
      </c>
      <c r="AV258" s="314">
        <f t="shared" si="103"/>
        <v>2.0000000000000018E-3</v>
      </c>
      <c r="AW258" s="314">
        <f t="shared" si="103"/>
        <v>2.0000000000000018E-3</v>
      </c>
      <c r="AX258" s="314">
        <f t="shared" si="103"/>
        <v>2.0000000000000018E-3</v>
      </c>
    </row>
    <row r="259" spans="2:50">
      <c r="B259" s="305" t="s">
        <v>1437</v>
      </c>
      <c r="C259" s="706" t="str">
        <f>_xlfn.TEXTAFTER($B259,$C$252)&amp;" - old"</f>
        <v>Revenue / Machine - old</v>
      </c>
      <c r="D259" s="707" t="str" cm="1">
        <f t="array" ref="D259">_xlfn.XLOOKUP($B259,$B$96:$B$176,_xlfn.XLOOKUP(D$181,$D$5:$AX$5,$D$96:$AX$176))</f>
        <v>A$</v>
      </c>
      <c r="E259" s="307"/>
      <c r="F259" s="307"/>
      <c r="G259" s="708" cm="1">
        <f t="array" ref="G259">_xlfn.XLOOKUP($B259,$B$96:$B$176,_xlfn.XLOOKUP(G$181,$D$5:$AX$5,$D$96:$AX$176))</f>
        <v>361.22768040812969</v>
      </c>
      <c r="H259" s="708" cm="1">
        <f t="array" ref="H259">_xlfn.XLOOKUP($B259,$B$96:$B$176,_xlfn.XLOOKUP(H$181,$D$5:$AX$5,$D$96:$AX$176))</f>
        <v>457.29434181095183</v>
      </c>
      <c r="I259" s="708" cm="1">
        <f t="array" ref="I259">_xlfn.XLOOKUP($B259,$B$96:$B$176,_xlfn.XLOOKUP(I$181,$D$5:$AX$5,$D$96:$AX$176))</f>
        <v>479.18563270710916</v>
      </c>
      <c r="J259" s="708" cm="1">
        <f t="array" ref="J259">_xlfn.XLOOKUP($B259,$B$96:$B$176,_xlfn.XLOOKUP(J$181,$D$5:$AX$5,$D$96:$AX$176))</f>
        <v>492.81314168377827</v>
      </c>
      <c r="K259" s="708" cm="1">
        <f t="array" ref="K259">_xlfn.XLOOKUP($B259,$B$96:$B$176,_xlfn.XLOOKUP(K$181,$D$5:$AX$5,$D$96:$AX$176))</f>
        <v>516.23848763936007</v>
      </c>
      <c r="L259" s="708" cm="1">
        <f t="array" ref="L259">_xlfn.XLOOKUP($B259,$B$96:$B$176,_xlfn.XLOOKUP(L$181,$D$5:$AX$5,$D$96:$AX$176))</f>
        <v>526.7409920827273</v>
      </c>
      <c r="M259" s="708" cm="1">
        <f t="array" ref="M259">_xlfn.XLOOKUP($B259,$B$96:$B$176,_xlfn.XLOOKUP(M$181,$D$5:$AX$5,$D$96:$AX$176))</f>
        <v>0</v>
      </c>
      <c r="N259" s="708" cm="1">
        <f t="array" ref="N259">_xlfn.XLOOKUP($B259,$B$96:$B$176,_xlfn.XLOOKUP(N$181,$D$5:$AX$5,$D$96:$AX$176))</f>
        <v>0</v>
      </c>
      <c r="O259" s="708" cm="1">
        <f t="array" ref="O259">_xlfn.XLOOKUP($B259,$B$96:$B$176,_xlfn.XLOOKUP(O$181,$D$5:$AX$5,$D$96:$AX$176))</f>
        <v>0</v>
      </c>
      <c r="P259" s="708" cm="1">
        <f t="array" ref="P259">_xlfn.XLOOKUP($B259,$B$96:$B$176,_xlfn.XLOOKUP(P$181,$D$5:$AX$5,$D$96:$AX$176))</f>
        <v>0</v>
      </c>
      <c r="Q259" s="708" cm="1">
        <f t="array" ref="Q259">_xlfn.XLOOKUP($B259,$B$96:$B$176,_xlfn.XLOOKUP(Q$181,$D$5:$AX$5,$D$96:$AX$176))</f>
        <v>0</v>
      </c>
      <c r="R259" s="708" cm="1">
        <f t="array" ref="R259">_xlfn.XLOOKUP($B259,$B$96:$B$176,_xlfn.XLOOKUP(R$181,$D$5:$AX$5,$D$96:$AX$176))</f>
        <v>0</v>
      </c>
      <c r="S259" s="708" cm="1">
        <f t="array" ref="S259">_xlfn.XLOOKUP($B259,$B$96:$B$176,_xlfn.XLOOKUP(S$181,$D$5:$AX$5,$D$96:$AX$176))</f>
        <v>0</v>
      </c>
      <c r="T259" s="708" cm="1">
        <f t="array" ref="T259">_xlfn.XLOOKUP($B259,$B$96:$B$176,_xlfn.XLOOKUP(T$181,$D$5:$AX$5,$D$96:$AX$176))</f>
        <v>0</v>
      </c>
      <c r="U259" s="708" cm="1">
        <f t="array" ref="U259">_xlfn.XLOOKUP($B259,$B$96:$B$176,_xlfn.XLOOKUP(U$181,$D$5:$AX$5,$D$96:$AX$176))</f>
        <v>0</v>
      </c>
      <c r="V259" s="708" cm="1">
        <f t="array" ref="V259">_xlfn.XLOOKUP($B259,$B$96:$B$176,_xlfn.XLOOKUP(V$181,$D$5:$AX$5,$D$96:$AX$176))</f>
        <v>0</v>
      </c>
      <c r="W259" s="708" cm="1">
        <f t="array" ref="W259">_xlfn.XLOOKUP($B259,$B$96:$B$176,_xlfn.XLOOKUP(W$181,$D$5:$AX$5,$D$96:$AX$176))</f>
        <v>0</v>
      </c>
      <c r="X259" s="708" cm="1">
        <f t="array" ref="X259">_xlfn.XLOOKUP($B259,$B$96:$B$176,_xlfn.XLOOKUP(X$181,$D$5:$AX$5,$D$96:$AX$176))</f>
        <v>0</v>
      </c>
      <c r="Y259" s="708" cm="1">
        <f t="array" ref="Y259">_xlfn.XLOOKUP($B259,$B$96:$B$176,_xlfn.XLOOKUP(Y$181,$D$5:$AX$5,$D$96:$AX$176))</f>
        <v>0</v>
      </c>
      <c r="Z259" s="708" cm="1">
        <f t="array" ref="Z259">_xlfn.XLOOKUP($B259,$B$96:$B$176,_xlfn.XLOOKUP(Z$181,$D$5:$AX$5,$D$96:$AX$176))</f>
        <v>0</v>
      </c>
      <c r="AA259" s="708" cm="1">
        <f t="array" ref="AA259">_xlfn.XLOOKUP($B259,$B$96:$B$176,_xlfn.XLOOKUP(AA$181,$D$5:$AX$5,$D$96:$AX$176))</f>
        <v>0</v>
      </c>
      <c r="AB259" s="708" cm="1">
        <f t="array" ref="AB259">_xlfn.XLOOKUP($B259,$B$96:$B$176,_xlfn.XLOOKUP(AB$181,$D$5:$AX$5,$D$96:$AX$176))</f>
        <v>0</v>
      </c>
      <c r="AC259" s="708" cm="1">
        <f t="array" ref="AC259">_xlfn.XLOOKUP($B259,$B$96:$B$176,_xlfn.XLOOKUP(AC$181,$D$5:$AX$5,$D$96:$AX$176))</f>
        <v>0</v>
      </c>
      <c r="AD259" s="708" cm="1">
        <f t="array" ref="AD259">_xlfn.XLOOKUP($B259,$B$96:$B$176,_xlfn.XLOOKUP(AD$181,$D$5:$AX$5,$D$96:$AX$176))</f>
        <v>0</v>
      </c>
      <c r="AE259" s="708" cm="1">
        <f t="array" ref="AE259">_xlfn.XLOOKUP($B259,$B$96:$B$176,_xlfn.XLOOKUP(AE$181,$D$5:$AX$5,$D$96:$AX$176))</f>
        <v>0</v>
      </c>
      <c r="AF259" s="708" cm="1">
        <f t="array" ref="AF259">_xlfn.XLOOKUP($B259,$B$96:$B$176,_xlfn.XLOOKUP(AF$181,$D$5:$AX$5,$D$96:$AX$176))</f>
        <v>0</v>
      </c>
      <c r="AG259" s="309"/>
      <c r="AH259" s="306" t="str">
        <f t="shared" si="99"/>
        <v>Revenue / Machine - old</v>
      </c>
      <c r="AI259" s="707" t="str" cm="1">
        <f t="array" ref="AI259">_xlfn.XLOOKUP($B259,$B$96:$B$176,_xlfn.XLOOKUP(AI$181,$D$5:$AX$5,$D$96:$AX$176))</f>
        <v>A$</v>
      </c>
      <c r="AJ259" s="307"/>
      <c r="AK259" s="307"/>
      <c r="AL259" s="708" cm="1">
        <f t="array" ref="AL259">_xlfn.XLOOKUP($B259,$B$96:$B$176,_xlfn.XLOOKUP(AL$181,$D$5:$AX$5,$D$96:$AX$176))</f>
        <v>818.52202221908146</v>
      </c>
      <c r="AM259" s="708" cm="1">
        <f t="array" ref="AM259">_xlfn.XLOOKUP($B259,$B$96:$B$176,_xlfn.XLOOKUP(AM$181,$D$5:$AX$5,$D$96:$AX$176))</f>
        <v>971.99877439088743</v>
      </c>
      <c r="AN259" s="708" cm="1">
        <f t="array" ref="AN259">_xlfn.XLOOKUP($B259,$B$96:$B$176,_xlfn.XLOOKUP(AN$181,$D$5:$AX$5,$D$96:$AX$176))</f>
        <v>1042.9794797220875</v>
      </c>
      <c r="AO259" s="708" cm="1">
        <f t="array" ref="AO259">_xlfn.XLOOKUP($B259,$B$96:$B$176,_xlfn.XLOOKUP(AO$181,$D$5:$AX$5,$D$96:$AX$176))</f>
        <v>0</v>
      </c>
      <c r="AP259" s="708" cm="1">
        <f t="array" ref="AP259">_xlfn.XLOOKUP($B259,$B$96:$B$176,_xlfn.XLOOKUP(AP$181,$D$5:$AX$5,$D$96:$AX$176))</f>
        <v>0</v>
      </c>
      <c r="AQ259" s="708" cm="1">
        <f t="array" ref="AQ259">_xlfn.XLOOKUP($B259,$B$96:$B$176,_xlfn.XLOOKUP(AQ$181,$D$5:$AX$5,$D$96:$AX$176))</f>
        <v>0</v>
      </c>
      <c r="AR259" s="708" cm="1">
        <f t="array" ref="AR259">_xlfn.XLOOKUP($B259,$B$96:$B$176,_xlfn.XLOOKUP(AR$181,$D$5:$AX$5,$D$96:$AX$176))</f>
        <v>0</v>
      </c>
      <c r="AS259" s="708" cm="1">
        <f t="array" ref="AS259">_xlfn.XLOOKUP($B259,$B$96:$B$176,_xlfn.XLOOKUP(AS$181,$D$5:$AX$5,$D$96:$AX$176))</f>
        <v>0</v>
      </c>
      <c r="AT259" s="708" cm="1">
        <f t="array" ref="AT259">_xlfn.XLOOKUP($B259,$B$96:$B$176,_xlfn.XLOOKUP(AT$181,$D$5:$AX$5,$D$96:$AX$176))</f>
        <v>0</v>
      </c>
      <c r="AU259" s="708" cm="1">
        <f t="array" ref="AU259">_xlfn.XLOOKUP($B259,$B$96:$B$176,_xlfn.XLOOKUP(AU$181,$D$5:$AX$5,$D$96:$AX$176))</f>
        <v>0</v>
      </c>
      <c r="AV259" s="708" cm="1">
        <f t="array" ref="AV259">_xlfn.XLOOKUP($B259,$B$96:$B$176,_xlfn.XLOOKUP(AV$181,$D$5:$AX$5,$D$96:$AX$176))</f>
        <v>0</v>
      </c>
      <c r="AW259" s="708" cm="1">
        <f t="array" ref="AW259">_xlfn.XLOOKUP($B259,$B$96:$B$176,_xlfn.XLOOKUP(AW$181,$D$5:$AX$5,$D$96:$AX$176))</f>
        <v>0</v>
      </c>
      <c r="AX259" s="708" cm="1">
        <f t="array" ref="AX259">_xlfn.XLOOKUP($B259,$B$96:$B$176,_xlfn.XLOOKUP(AX$181,$D$5:$AX$5,$D$96:$AX$176))</f>
        <v>0</v>
      </c>
    </row>
    <row r="260" spans="2:50">
      <c r="B260" s="305" t="s">
        <v>1437</v>
      </c>
      <c r="C260" s="318" t="str">
        <f>_xlfn.TEXTAFTER($B260,$C$252)&amp;" - New"</f>
        <v>Revenue / Machine - New</v>
      </c>
      <c r="D260" s="311" t="str" cm="1">
        <f t="array" ref="D260">_xlfn.XLOOKUP($B260,$B$11:$B$91,_xlfn.XLOOKUP(D$181,$D$5:$AX$5,$D$11:$AX$91))</f>
        <v>A$</v>
      </c>
      <c r="E260" s="311"/>
      <c r="F260" s="311"/>
      <c r="G260" s="312" t="e" cm="1">
        <f t="array" ref="G260">_xlfn.XLOOKUP($B260,$B$11:$B$91,_xlfn.XLOOKUP(G$181,$D$5:$AX$5,$D$11:$AX$91))</f>
        <v>#REF!</v>
      </c>
      <c r="H260" s="312" t="e" cm="1">
        <f t="array" ref="H260">_xlfn.XLOOKUP($B260,$B$11:$B$91,_xlfn.XLOOKUP(H$181,$D$5:$AX$5,$D$11:$AX$91))</f>
        <v>#REF!</v>
      </c>
      <c r="I260" s="312" t="e" cm="1">
        <f t="array" ref="I260">_xlfn.XLOOKUP($B260,$B$11:$B$91,_xlfn.XLOOKUP(I$181,$D$5:$AX$5,$D$11:$AX$91))</f>
        <v>#REF!</v>
      </c>
      <c r="J260" s="312" t="e" cm="1">
        <f t="array" ref="J260">_xlfn.XLOOKUP($B260,$B$11:$B$91,_xlfn.XLOOKUP(J$181,$D$5:$AX$5,$D$11:$AX$91))</f>
        <v>#REF!</v>
      </c>
      <c r="K260" s="312" t="e" cm="1">
        <f t="array" ref="K260">_xlfn.XLOOKUP($B260,$B$11:$B$91,_xlfn.XLOOKUP(K$181,$D$5:$AX$5,$D$11:$AX$91))</f>
        <v>#REF!</v>
      </c>
      <c r="L260" s="312" t="e" cm="1">
        <f t="array" ref="L260">_xlfn.XLOOKUP($B260,$B$11:$B$91,_xlfn.XLOOKUP(L$181,$D$5:$AX$5,$D$11:$AX$91))</f>
        <v>#REF!</v>
      </c>
      <c r="M260" s="312" t="e" cm="1">
        <f t="array" ref="M260">_xlfn.XLOOKUP($B260,$B$11:$B$91,_xlfn.XLOOKUP(M$181,$D$5:$AX$5,$D$11:$AX$91))</f>
        <v>#REF!</v>
      </c>
      <c r="N260" s="312" t="e" cm="1">
        <f t="array" ref="N260">_xlfn.XLOOKUP($B260,$B$11:$B$91,_xlfn.XLOOKUP(N$181,$D$5:$AX$5,$D$11:$AX$91))</f>
        <v>#REF!</v>
      </c>
      <c r="O260" s="312" t="e" cm="1">
        <f t="array" ref="O260">_xlfn.XLOOKUP($B260,$B$11:$B$91,_xlfn.XLOOKUP(O$181,$D$5:$AX$5,$D$11:$AX$91))</f>
        <v>#REF!</v>
      </c>
      <c r="P260" s="312" t="e" cm="1">
        <f t="array" ref="P260">_xlfn.XLOOKUP($B260,$B$11:$B$91,_xlfn.XLOOKUP(P$181,$D$5:$AX$5,$D$11:$AX$91))</f>
        <v>#REF!</v>
      </c>
      <c r="Q260" s="312" t="e" cm="1">
        <f t="array" ref="Q260">_xlfn.XLOOKUP($B260,$B$11:$B$91,_xlfn.XLOOKUP(Q$181,$D$5:$AX$5,$D$11:$AX$91))</f>
        <v>#REF!</v>
      </c>
      <c r="R260" s="312" t="e" cm="1">
        <f t="array" ref="R260">_xlfn.XLOOKUP($B260,$B$11:$B$91,_xlfn.XLOOKUP(R$181,$D$5:$AX$5,$D$11:$AX$91))</f>
        <v>#REF!</v>
      </c>
      <c r="S260" s="312" t="e" cm="1">
        <f t="array" ref="S260">_xlfn.XLOOKUP($B260,$B$11:$B$91,_xlfn.XLOOKUP(S$181,$D$5:$AX$5,$D$11:$AX$91))</f>
        <v>#REF!</v>
      </c>
      <c r="T260" s="312" t="e" cm="1">
        <f t="array" ref="T260">_xlfn.XLOOKUP($B260,$B$11:$B$91,_xlfn.XLOOKUP(T$181,$D$5:$AX$5,$D$11:$AX$91))</f>
        <v>#REF!</v>
      </c>
      <c r="U260" s="312" t="e" cm="1">
        <f t="array" ref="U260">_xlfn.XLOOKUP($B260,$B$11:$B$91,_xlfn.XLOOKUP(U$181,$D$5:$AX$5,$D$11:$AX$91))</f>
        <v>#REF!</v>
      </c>
      <c r="V260" s="312" t="e" cm="1">
        <f t="array" ref="V260">_xlfn.XLOOKUP($B260,$B$11:$B$91,_xlfn.XLOOKUP(V$181,$D$5:$AX$5,$D$11:$AX$91))</f>
        <v>#REF!</v>
      </c>
      <c r="W260" s="312" t="e" cm="1">
        <f t="array" ref="W260">_xlfn.XLOOKUP($B260,$B$11:$B$91,_xlfn.XLOOKUP(W$181,$D$5:$AX$5,$D$11:$AX$91))</f>
        <v>#REF!</v>
      </c>
      <c r="X260" s="312" t="e" cm="1">
        <f t="array" ref="X260">_xlfn.XLOOKUP($B260,$B$11:$B$91,_xlfn.XLOOKUP(X$181,$D$5:$AX$5,$D$11:$AX$91))</f>
        <v>#REF!</v>
      </c>
      <c r="Y260" s="312" t="e" cm="1">
        <f t="array" ref="Y260">_xlfn.XLOOKUP($B260,$B$11:$B$91,_xlfn.XLOOKUP(Y$181,$D$5:$AX$5,$D$11:$AX$91))</f>
        <v>#REF!</v>
      </c>
      <c r="Z260" s="312" t="e" cm="1">
        <f t="array" ref="Z260">_xlfn.XLOOKUP($B260,$B$11:$B$91,_xlfn.XLOOKUP(Z$181,$D$5:$AX$5,$D$11:$AX$91))</f>
        <v>#REF!</v>
      </c>
      <c r="AA260" s="312" t="e" cm="1">
        <f t="array" ref="AA260">_xlfn.XLOOKUP($B260,$B$11:$B$91,_xlfn.XLOOKUP(AA$181,$D$5:$AX$5,$D$11:$AX$91))</f>
        <v>#REF!</v>
      </c>
      <c r="AB260" s="312" t="e" cm="1">
        <f t="array" ref="AB260">_xlfn.XLOOKUP($B260,$B$11:$B$91,_xlfn.XLOOKUP(AB$181,$D$5:$AX$5,$D$11:$AX$91))</f>
        <v>#REF!</v>
      </c>
      <c r="AC260" s="312" t="e" cm="1">
        <f t="array" ref="AC260">_xlfn.XLOOKUP($B260,$B$11:$B$91,_xlfn.XLOOKUP(AC$181,$D$5:$AX$5,$D$11:$AX$91))</f>
        <v>#REF!</v>
      </c>
      <c r="AD260" s="312" t="e" cm="1">
        <f t="array" ref="AD260">_xlfn.XLOOKUP($B260,$B$11:$B$91,_xlfn.XLOOKUP(AD$181,$D$5:$AX$5,$D$11:$AX$91))</f>
        <v>#REF!</v>
      </c>
      <c r="AE260" s="312" t="e" cm="1">
        <f t="array" ref="AE260">_xlfn.XLOOKUP($B260,$B$11:$B$91,_xlfn.XLOOKUP(AE$181,$D$5:$AX$5,$D$11:$AX$91))</f>
        <v>#REF!</v>
      </c>
      <c r="AF260" s="312" t="e" cm="1">
        <f t="array" ref="AF260">_xlfn.XLOOKUP($B260,$B$11:$B$91,_xlfn.XLOOKUP(AF$181,$D$5:$AX$5,$D$11:$AX$91))</f>
        <v>#REF!</v>
      </c>
      <c r="AG260" s="312"/>
      <c r="AH260" s="310" t="str">
        <f t="shared" si="99"/>
        <v>Revenue / Machine - New</v>
      </c>
      <c r="AI260" s="311" t="str" cm="1">
        <f t="array" ref="AI260">_xlfn.XLOOKUP($B260,$B$11:$B$91,_xlfn.XLOOKUP(AI$181,$D$5:$AX$5,$D$11:$AX$91))</f>
        <v>A$</v>
      </c>
      <c r="AJ260" s="311"/>
      <c r="AK260" s="311"/>
      <c r="AL260" s="312" t="e" cm="1">
        <f t="array" ref="AL260">_xlfn.XLOOKUP($B260,$B$11:$B$91,_xlfn.XLOOKUP(AL$181,$D$5:$AX$5,$D$11:$AX$91))</f>
        <v>#REF!</v>
      </c>
      <c r="AM260" s="312" t="e" cm="1">
        <f t="array" ref="AM260">_xlfn.XLOOKUP($B260,$B$11:$B$91,_xlfn.XLOOKUP(AM$181,$D$5:$AX$5,$D$11:$AX$91))</f>
        <v>#REF!</v>
      </c>
      <c r="AN260" s="312" t="e" cm="1">
        <f t="array" ref="AN260">_xlfn.XLOOKUP($B260,$B$11:$B$91,_xlfn.XLOOKUP(AN$181,$D$5:$AX$5,$D$11:$AX$91))</f>
        <v>#REF!</v>
      </c>
      <c r="AO260" s="312" t="e" cm="1">
        <f t="array" ref="AO260">_xlfn.XLOOKUP($B260,$B$11:$B$91,_xlfn.XLOOKUP(AO$181,$D$5:$AX$5,$D$11:$AX$91))</f>
        <v>#REF!</v>
      </c>
      <c r="AP260" s="312" t="e" cm="1">
        <f t="array" ref="AP260">_xlfn.XLOOKUP($B260,$B$11:$B$91,_xlfn.XLOOKUP(AP$181,$D$5:$AX$5,$D$11:$AX$91))</f>
        <v>#REF!</v>
      </c>
      <c r="AQ260" s="312" t="e" cm="1">
        <f t="array" ref="AQ260">_xlfn.XLOOKUP($B260,$B$11:$B$91,_xlfn.XLOOKUP(AQ$181,$D$5:$AX$5,$D$11:$AX$91))</f>
        <v>#REF!</v>
      </c>
      <c r="AR260" s="312" t="e" cm="1">
        <f t="array" ref="AR260">_xlfn.XLOOKUP($B260,$B$11:$B$91,_xlfn.XLOOKUP(AR$181,$D$5:$AX$5,$D$11:$AX$91))</f>
        <v>#REF!</v>
      </c>
      <c r="AS260" s="312" t="e" cm="1">
        <f t="array" ref="AS260">_xlfn.XLOOKUP($B260,$B$11:$B$91,_xlfn.XLOOKUP(AS$181,$D$5:$AX$5,$D$11:$AX$91))</f>
        <v>#REF!</v>
      </c>
      <c r="AT260" s="312" t="e" cm="1">
        <f t="array" ref="AT260">_xlfn.XLOOKUP($B260,$B$11:$B$91,_xlfn.XLOOKUP(AT$181,$D$5:$AX$5,$D$11:$AX$91))</f>
        <v>#REF!</v>
      </c>
      <c r="AU260" s="312" t="e" cm="1">
        <f t="array" ref="AU260">_xlfn.XLOOKUP($B260,$B$11:$B$91,_xlfn.XLOOKUP(AU$181,$D$5:$AX$5,$D$11:$AX$91))</f>
        <v>#REF!</v>
      </c>
      <c r="AV260" s="312" t="e" cm="1">
        <f t="array" ref="AV260">_xlfn.XLOOKUP($B260,$B$11:$B$91,_xlfn.XLOOKUP(AV$181,$D$5:$AX$5,$D$11:$AX$91))</f>
        <v>#REF!</v>
      </c>
      <c r="AW260" s="312" t="e" cm="1">
        <f t="array" ref="AW260">_xlfn.XLOOKUP($B260,$B$11:$B$91,_xlfn.XLOOKUP(AW$181,$D$5:$AX$5,$D$11:$AX$91))</f>
        <v>#REF!</v>
      </c>
      <c r="AX260" s="312" t="e" cm="1">
        <f t="array" ref="AX260">_xlfn.XLOOKUP($B260,$B$11:$B$91,_xlfn.XLOOKUP(AX$181,$D$5:$AX$5,$D$11:$AX$91))</f>
        <v>#REF!</v>
      </c>
    </row>
    <row r="261" spans="2:50" hidden="1" outlineLevel="1">
      <c r="C261" s="313" t="s">
        <v>1121</v>
      </c>
      <c r="D261" s="307" t="s">
        <v>842</v>
      </c>
      <c r="E261" s="307"/>
      <c r="F261" s="307"/>
      <c r="G261" s="314" t="s">
        <v>967</v>
      </c>
      <c r="H261" s="314" t="s">
        <v>967</v>
      </c>
      <c r="I261" s="314" t="e">
        <f t="shared" ref="I261:AF261" si="104">I260/G260-1</f>
        <v>#REF!</v>
      </c>
      <c r="J261" s="314" t="e">
        <f t="shared" si="104"/>
        <v>#REF!</v>
      </c>
      <c r="K261" s="314" t="e">
        <f t="shared" si="104"/>
        <v>#REF!</v>
      </c>
      <c r="L261" s="314" t="e">
        <f t="shared" si="104"/>
        <v>#REF!</v>
      </c>
      <c r="M261" s="314" t="e">
        <f t="shared" si="104"/>
        <v>#REF!</v>
      </c>
      <c r="N261" s="314" t="e">
        <f t="shared" si="104"/>
        <v>#REF!</v>
      </c>
      <c r="O261" s="314" t="e">
        <f t="shared" si="104"/>
        <v>#REF!</v>
      </c>
      <c r="P261" s="314" t="e">
        <f t="shared" si="104"/>
        <v>#REF!</v>
      </c>
      <c r="Q261" s="314" t="e">
        <f t="shared" si="104"/>
        <v>#REF!</v>
      </c>
      <c r="R261" s="314" t="e">
        <f t="shared" si="104"/>
        <v>#REF!</v>
      </c>
      <c r="S261" s="314" t="e">
        <f t="shared" si="104"/>
        <v>#REF!</v>
      </c>
      <c r="T261" s="314" t="e">
        <f t="shared" si="104"/>
        <v>#REF!</v>
      </c>
      <c r="U261" s="314" t="e">
        <f t="shared" si="104"/>
        <v>#REF!</v>
      </c>
      <c r="V261" s="314" t="e">
        <f t="shared" si="104"/>
        <v>#REF!</v>
      </c>
      <c r="W261" s="314" t="e">
        <f t="shared" si="104"/>
        <v>#REF!</v>
      </c>
      <c r="X261" s="314" t="e">
        <f t="shared" si="104"/>
        <v>#REF!</v>
      </c>
      <c r="Y261" s="314" t="e">
        <f t="shared" si="104"/>
        <v>#REF!</v>
      </c>
      <c r="Z261" s="314" t="e">
        <f t="shared" si="104"/>
        <v>#REF!</v>
      </c>
      <c r="AA261" s="314" t="e">
        <f t="shared" si="104"/>
        <v>#REF!</v>
      </c>
      <c r="AB261" s="314" t="e">
        <f t="shared" si="104"/>
        <v>#REF!</v>
      </c>
      <c r="AC261" s="314" t="e">
        <f t="shared" si="104"/>
        <v>#REF!</v>
      </c>
      <c r="AD261" s="314" t="e">
        <f t="shared" si="104"/>
        <v>#REF!</v>
      </c>
      <c r="AE261" s="314" t="e">
        <f t="shared" si="104"/>
        <v>#REF!</v>
      </c>
      <c r="AF261" s="314" t="e">
        <f t="shared" si="104"/>
        <v>#REF!</v>
      </c>
      <c r="AG261" s="315"/>
      <c r="AH261" s="313" t="str">
        <f t="shared" si="99"/>
        <v>- Growth</v>
      </c>
      <c r="AI261" s="307" t="str">
        <f>D261</f>
        <v>%</v>
      </c>
      <c r="AJ261" s="307"/>
      <c r="AK261" s="307"/>
      <c r="AL261" s="314" t="s">
        <v>967</v>
      </c>
      <c r="AM261" s="314" t="e">
        <f t="shared" ref="AM261:AX261" si="105">AM260/AL260-1</f>
        <v>#REF!</v>
      </c>
      <c r="AN261" s="314" t="e">
        <f t="shared" si="105"/>
        <v>#REF!</v>
      </c>
      <c r="AO261" s="314" t="e">
        <f t="shared" si="105"/>
        <v>#REF!</v>
      </c>
      <c r="AP261" s="314" t="e">
        <f t="shared" si="105"/>
        <v>#REF!</v>
      </c>
      <c r="AQ261" s="314" t="e">
        <f t="shared" si="105"/>
        <v>#REF!</v>
      </c>
      <c r="AR261" s="314" t="e">
        <f t="shared" si="105"/>
        <v>#REF!</v>
      </c>
      <c r="AS261" s="314" t="e">
        <f t="shared" si="105"/>
        <v>#REF!</v>
      </c>
      <c r="AT261" s="314" t="e">
        <f t="shared" si="105"/>
        <v>#REF!</v>
      </c>
      <c r="AU261" s="314" t="e">
        <f t="shared" si="105"/>
        <v>#REF!</v>
      </c>
      <c r="AV261" s="314" t="e">
        <f t="shared" si="105"/>
        <v>#REF!</v>
      </c>
      <c r="AW261" s="314" t="e">
        <f t="shared" si="105"/>
        <v>#REF!</v>
      </c>
      <c r="AX261" s="314" t="e">
        <f t="shared" si="105"/>
        <v>#REF!</v>
      </c>
    </row>
    <row r="262" spans="2:50" collapsed="1">
      <c r="C262" s="313" t="s">
        <v>1122</v>
      </c>
      <c r="D262" s="307" t="s">
        <v>842</v>
      </c>
      <c r="E262" s="307"/>
      <c r="F262" s="307"/>
      <c r="G262" s="314">
        <f xml:space="preserve"> IFERROR(ROUND( G260 / G259,3) - 1, 0)</f>
        <v>0</v>
      </c>
      <c r="H262" s="314">
        <f t="shared" ref="H262:AF262" si="106" xml:space="preserve"> IFERROR(ROUND( H260 / H259,3) - 1, 0)</f>
        <v>0</v>
      </c>
      <c r="I262" s="314">
        <f t="shared" si="106"/>
        <v>0</v>
      </c>
      <c r="J262" s="314">
        <f t="shared" si="106"/>
        <v>0</v>
      </c>
      <c r="K262" s="314">
        <f t="shared" si="106"/>
        <v>0</v>
      </c>
      <c r="L262" s="314">
        <f t="shared" si="106"/>
        <v>0</v>
      </c>
      <c r="M262" s="314">
        <f t="shared" si="106"/>
        <v>0</v>
      </c>
      <c r="N262" s="314">
        <f t="shared" si="106"/>
        <v>0</v>
      </c>
      <c r="O262" s="314">
        <f t="shared" si="106"/>
        <v>0</v>
      </c>
      <c r="P262" s="314">
        <f t="shared" si="106"/>
        <v>0</v>
      </c>
      <c r="Q262" s="314">
        <f t="shared" si="106"/>
        <v>0</v>
      </c>
      <c r="R262" s="314">
        <f t="shared" si="106"/>
        <v>0</v>
      </c>
      <c r="S262" s="314">
        <f t="shared" si="106"/>
        <v>0</v>
      </c>
      <c r="T262" s="314">
        <f t="shared" si="106"/>
        <v>0</v>
      </c>
      <c r="U262" s="314">
        <f t="shared" si="106"/>
        <v>0</v>
      </c>
      <c r="V262" s="314">
        <f t="shared" si="106"/>
        <v>0</v>
      </c>
      <c r="W262" s="314">
        <f t="shared" si="106"/>
        <v>0</v>
      </c>
      <c r="X262" s="314">
        <f t="shared" si="106"/>
        <v>0</v>
      </c>
      <c r="Y262" s="314">
        <f t="shared" si="106"/>
        <v>0</v>
      </c>
      <c r="Z262" s="314">
        <f t="shared" si="106"/>
        <v>0</v>
      </c>
      <c r="AA262" s="314">
        <f t="shared" si="106"/>
        <v>0</v>
      </c>
      <c r="AB262" s="314">
        <f t="shared" si="106"/>
        <v>0</v>
      </c>
      <c r="AC262" s="314">
        <f t="shared" si="106"/>
        <v>0</v>
      </c>
      <c r="AD262" s="314">
        <f t="shared" si="106"/>
        <v>0</v>
      </c>
      <c r="AE262" s="314">
        <f t="shared" si="106"/>
        <v>0</v>
      </c>
      <c r="AF262" s="314">
        <f t="shared" si="106"/>
        <v>0</v>
      </c>
      <c r="AG262" s="314"/>
      <c r="AH262" s="313" t="str">
        <f t="shared" si="99"/>
        <v>- Revision</v>
      </c>
      <c r="AI262" s="307" t="str">
        <f>D262</f>
        <v>%</v>
      </c>
      <c r="AJ262" s="307"/>
      <c r="AK262" s="307"/>
      <c r="AL262" s="314">
        <f t="shared" ref="AL262:AX262" si="107" xml:space="preserve"> IFERROR(ROUND( AL260 / AL259,3) - 1, 0)</f>
        <v>0</v>
      </c>
      <c r="AM262" s="314">
        <f t="shared" si="107"/>
        <v>0</v>
      </c>
      <c r="AN262" s="314">
        <f t="shared" si="107"/>
        <v>0</v>
      </c>
      <c r="AO262" s="314">
        <f t="shared" si="107"/>
        <v>0</v>
      </c>
      <c r="AP262" s="314">
        <f t="shared" si="107"/>
        <v>0</v>
      </c>
      <c r="AQ262" s="314">
        <f t="shared" si="107"/>
        <v>0</v>
      </c>
      <c r="AR262" s="314">
        <f t="shared" si="107"/>
        <v>0</v>
      </c>
      <c r="AS262" s="314">
        <f t="shared" si="107"/>
        <v>0</v>
      </c>
      <c r="AT262" s="314">
        <f t="shared" si="107"/>
        <v>0</v>
      </c>
      <c r="AU262" s="314">
        <f t="shared" si="107"/>
        <v>0</v>
      </c>
      <c r="AV262" s="314">
        <f t="shared" si="107"/>
        <v>0</v>
      </c>
      <c r="AW262" s="314">
        <f t="shared" si="107"/>
        <v>0</v>
      </c>
      <c r="AX262" s="314">
        <f t="shared" si="107"/>
        <v>0</v>
      </c>
    </row>
    <row r="263" spans="2:50">
      <c r="B263" s="305" t="s">
        <v>1438</v>
      </c>
      <c r="C263" s="706" t="str">
        <f>_xlfn.TEXTAFTER($B263,$C$252)&amp;" - old"</f>
        <v>Integrity Services Revenue - old</v>
      </c>
      <c r="D263" s="707" t="str" cm="1">
        <f t="array" ref="D263">_xlfn.XLOOKUP($B263,$B$96:$B$176,_xlfn.XLOOKUP(D$181,$D$5:$AX$5,$D$96:$AX$176))</f>
        <v>A$m</v>
      </c>
      <c r="E263" s="307"/>
      <c r="F263" s="307"/>
      <c r="G263" s="708" cm="1">
        <f t="array" ref="G263">_xlfn.XLOOKUP($B263,$B$96:$B$176,_xlfn.XLOOKUP(G$181,$D$5:$AX$5,$D$96:$AX$176))</f>
        <v>43.9</v>
      </c>
      <c r="H263" s="708" cm="1">
        <f t="array" ref="H263">_xlfn.XLOOKUP($B263,$B$96:$B$176,_xlfn.XLOOKUP(H$181,$D$5:$AX$5,$D$96:$AX$176))</f>
        <v>55.199999999999996</v>
      </c>
      <c r="I263" s="708" cm="1">
        <f t="array" ref="I263">_xlfn.XLOOKUP($B263,$B$96:$B$176,_xlfn.XLOOKUP(I$181,$D$5:$AX$5,$D$96:$AX$176))</f>
        <v>57.9</v>
      </c>
      <c r="J263" s="708" cm="1">
        <f t="array" ref="J263">_xlfn.XLOOKUP($B263,$B$96:$B$176,_xlfn.XLOOKUP(J$181,$D$5:$AX$5,$D$96:$AX$176))</f>
        <v>60.000000000000007</v>
      </c>
      <c r="K263" s="708" cm="1">
        <f t="array" ref="K263">_xlfn.XLOOKUP($B263,$B$96:$B$176,_xlfn.XLOOKUP(K$181,$D$5:$AX$5,$D$96:$AX$176))</f>
        <v>63.9</v>
      </c>
      <c r="L263" s="708" cm="1">
        <f t="array" ref="L263">_xlfn.XLOOKUP($B263,$B$96:$B$176,_xlfn.XLOOKUP(L$181,$D$5:$AX$5,$D$96:$AX$176))</f>
        <v>65.199999999999989</v>
      </c>
      <c r="M263" s="708" cm="1">
        <f t="array" ref="M263">_xlfn.XLOOKUP($B263,$B$96:$B$176,_xlfn.XLOOKUP(M$181,$D$5:$AX$5,$D$96:$AX$176))</f>
        <v>0</v>
      </c>
      <c r="N263" s="708" cm="1">
        <f t="array" ref="N263">_xlfn.XLOOKUP($B263,$B$96:$B$176,_xlfn.XLOOKUP(N$181,$D$5:$AX$5,$D$96:$AX$176))</f>
        <v>0</v>
      </c>
      <c r="O263" s="708" cm="1">
        <f t="array" ref="O263">_xlfn.XLOOKUP($B263,$B$96:$B$176,_xlfn.XLOOKUP(O$181,$D$5:$AX$5,$D$96:$AX$176))</f>
        <v>0</v>
      </c>
      <c r="P263" s="708" cm="1">
        <f t="array" ref="P263">_xlfn.XLOOKUP($B263,$B$96:$B$176,_xlfn.XLOOKUP(P$181,$D$5:$AX$5,$D$96:$AX$176))</f>
        <v>0</v>
      </c>
      <c r="Q263" s="708" cm="1">
        <f t="array" ref="Q263">_xlfn.XLOOKUP($B263,$B$96:$B$176,_xlfn.XLOOKUP(Q$181,$D$5:$AX$5,$D$96:$AX$176))</f>
        <v>0</v>
      </c>
      <c r="R263" s="708" cm="1">
        <f t="array" ref="R263">_xlfn.XLOOKUP($B263,$B$96:$B$176,_xlfn.XLOOKUP(R$181,$D$5:$AX$5,$D$96:$AX$176))</f>
        <v>0</v>
      </c>
      <c r="S263" s="708" cm="1">
        <f t="array" ref="S263">_xlfn.XLOOKUP($B263,$B$96:$B$176,_xlfn.XLOOKUP(S$181,$D$5:$AX$5,$D$96:$AX$176))</f>
        <v>0</v>
      </c>
      <c r="T263" s="708" cm="1">
        <f t="array" ref="T263">_xlfn.XLOOKUP($B263,$B$96:$B$176,_xlfn.XLOOKUP(T$181,$D$5:$AX$5,$D$96:$AX$176))</f>
        <v>0</v>
      </c>
      <c r="U263" s="708" cm="1">
        <f t="array" ref="U263">_xlfn.XLOOKUP($B263,$B$96:$B$176,_xlfn.XLOOKUP(U$181,$D$5:$AX$5,$D$96:$AX$176))</f>
        <v>0</v>
      </c>
      <c r="V263" s="708" cm="1">
        <f t="array" ref="V263">_xlfn.XLOOKUP($B263,$B$96:$B$176,_xlfn.XLOOKUP(V$181,$D$5:$AX$5,$D$96:$AX$176))</f>
        <v>0</v>
      </c>
      <c r="W263" s="708" cm="1">
        <f t="array" ref="W263">_xlfn.XLOOKUP($B263,$B$96:$B$176,_xlfn.XLOOKUP(W$181,$D$5:$AX$5,$D$96:$AX$176))</f>
        <v>0</v>
      </c>
      <c r="X263" s="708" cm="1">
        <f t="array" ref="X263">_xlfn.XLOOKUP($B263,$B$96:$B$176,_xlfn.XLOOKUP(X$181,$D$5:$AX$5,$D$96:$AX$176))</f>
        <v>0</v>
      </c>
      <c r="Y263" s="708" cm="1">
        <f t="array" ref="Y263">_xlfn.XLOOKUP($B263,$B$96:$B$176,_xlfn.XLOOKUP(Y$181,$D$5:$AX$5,$D$96:$AX$176))</f>
        <v>0</v>
      </c>
      <c r="Z263" s="708" cm="1">
        <f t="array" ref="Z263">_xlfn.XLOOKUP($B263,$B$96:$B$176,_xlfn.XLOOKUP(Z$181,$D$5:$AX$5,$D$96:$AX$176))</f>
        <v>0</v>
      </c>
      <c r="AA263" s="708" cm="1">
        <f t="array" ref="AA263">_xlfn.XLOOKUP($B263,$B$96:$B$176,_xlfn.XLOOKUP(AA$181,$D$5:$AX$5,$D$96:$AX$176))</f>
        <v>0</v>
      </c>
      <c r="AB263" s="708" cm="1">
        <f t="array" ref="AB263">_xlfn.XLOOKUP($B263,$B$96:$B$176,_xlfn.XLOOKUP(AB$181,$D$5:$AX$5,$D$96:$AX$176))</f>
        <v>0</v>
      </c>
      <c r="AC263" s="708" cm="1">
        <f t="array" ref="AC263">_xlfn.XLOOKUP($B263,$B$96:$B$176,_xlfn.XLOOKUP(AC$181,$D$5:$AX$5,$D$96:$AX$176))</f>
        <v>0</v>
      </c>
      <c r="AD263" s="708" cm="1">
        <f t="array" ref="AD263">_xlfn.XLOOKUP($B263,$B$96:$B$176,_xlfn.XLOOKUP(AD$181,$D$5:$AX$5,$D$96:$AX$176))</f>
        <v>0</v>
      </c>
      <c r="AE263" s="708" cm="1">
        <f t="array" ref="AE263">_xlfn.XLOOKUP($B263,$B$96:$B$176,_xlfn.XLOOKUP(AE$181,$D$5:$AX$5,$D$96:$AX$176))</f>
        <v>0</v>
      </c>
      <c r="AF263" s="708" cm="1">
        <f t="array" ref="AF263">_xlfn.XLOOKUP($B263,$B$96:$B$176,_xlfn.XLOOKUP(AF$181,$D$5:$AX$5,$D$96:$AX$176))</f>
        <v>0</v>
      </c>
      <c r="AG263" s="309"/>
      <c r="AH263" s="306" t="str">
        <f t="shared" si="99"/>
        <v>Integrity Services Revenue - old</v>
      </c>
      <c r="AI263" s="707" t="str" cm="1">
        <f t="array" ref="AI263">_xlfn.XLOOKUP($B263,$B$96:$B$176,_xlfn.XLOOKUP(AI$181,$D$5:$AX$5,$D$96:$AX$176))</f>
        <v>A$m</v>
      </c>
      <c r="AJ263" s="307"/>
      <c r="AK263" s="307"/>
      <c r="AL263" s="708" cm="1">
        <f t="array" ref="AL263">_xlfn.XLOOKUP($B263,$B$96:$B$176,_xlfn.XLOOKUP(AL$181,$D$5:$AX$5,$D$96:$AX$176))</f>
        <v>99.1</v>
      </c>
      <c r="AM263" s="708" cm="1">
        <f t="array" ref="AM263">_xlfn.XLOOKUP($B263,$B$96:$B$176,_xlfn.XLOOKUP(AM$181,$D$5:$AX$5,$D$96:$AX$176))</f>
        <v>117.9</v>
      </c>
      <c r="AN263" s="708" cm="1">
        <f t="array" ref="AN263">_xlfn.XLOOKUP($B263,$B$96:$B$176,_xlfn.XLOOKUP(AN$181,$D$5:$AX$5,$D$96:$AX$176))</f>
        <v>129.1</v>
      </c>
      <c r="AO263" s="708" cm="1">
        <f t="array" ref="AO263">_xlfn.XLOOKUP($B263,$B$96:$B$176,_xlfn.XLOOKUP(AO$181,$D$5:$AX$5,$D$96:$AX$176))</f>
        <v>0</v>
      </c>
      <c r="AP263" s="708" cm="1">
        <f t="array" ref="AP263">_xlfn.XLOOKUP($B263,$B$96:$B$176,_xlfn.XLOOKUP(AP$181,$D$5:$AX$5,$D$96:$AX$176))</f>
        <v>0</v>
      </c>
      <c r="AQ263" s="708" cm="1">
        <f t="array" ref="AQ263">_xlfn.XLOOKUP($B263,$B$96:$B$176,_xlfn.XLOOKUP(AQ$181,$D$5:$AX$5,$D$96:$AX$176))</f>
        <v>0</v>
      </c>
      <c r="AR263" s="708" cm="1">
        <f t="array" ref="AR263">_xlfn.XLOOKUP($B263,$B$96:$B$176,_xlfn.XLOOKUP(AR$181,$D$5:$AX$5,$D$96:$AX$176))</f>
        <v>0</v>
      </c>
      <c r="AS263" s="708" cm="1">
        <f t="array" ref="AS263">_xlfn.XLOOKUP($B263,$B$96:$B$176,_xlfn.XLOOKUP(AS$181,$D$5:$AX$5,$D$96:$AX$176))</f>
        <v>0</v>
      </c>
      <c r="AT263" s="708" cm="1">
        <f t="array" ref="AT263">_xlfn.XLOOKUP($B263,$B$96:$B$176,_xlfn.XLOOKUP(AT$181,$D$5:$AX$5,$D$96:$AX$176))</f>
        <v>0</v>
      </c>
      <c r="AU263" s="708" cm="1">
        <f t="array" ref="AU263">_xlfn.XLOOKUP($B263,$B$96:$B$176,_xlfn.XLOOKUP(AU$181,$D$5:$AX$5,$D$96:$AX$176))</f>
        <v>0</v>
      </c>
      <c r="AV263" s="708" cm="1">
        <f t="array" ref="AV263">_xlfn.XLOOKUP($B263,$B$96:$B$176,_xlfn.XLOOKUP(AV$181,$D$5:$AX$5,$D$96:$AX$176))</f>
        <v>0</v>
      </c>
      <c r="AW263" s="708" cm="1">
        <f t="array" ref="AW263">_xlfn.XLOOKUP($B263,$B$96:$B$176,_xlfn.XLOOKUP(AW$181,$D$5:$AX$5,$D$96:$AX$176))</f>
        <v>0</v>
      </c>
      <c r="AX263" s="708" cm="1">
        <f t="array" ref="AX263">_xlfn.XLOOKUP($B263,$B$96:$B$176,_xlfn.XLOOKUP(AX$181,$D$5:$AX$5,$D$96:$AX$176))</f>
        <v>0</v>
      </c>
    </row>
    <row r="264" spans="2:50">
      <c r="B264" s="305" t="s">
        <v>1438</v>
      </c>
      <c r="C264" s="318" t="str">
        <f>_xlfn.TEXTAFTER($B264,$C$252)&amp;" - New"</f>
        <v>Integrity Services Revenue - New</v>
      </c>
      <c r="D264" s="311" t="str" cm="1">
        <f t="array" ref="D264">_xlfn.XLOOKUP($B264,$B$11:$B$91,_xlfn.XLOOKUP(D$181,$D$5:$AX$5,$D$11:$AX$91))</f>
        <v>A$m</v>
      </c>
      <c r="E264" s="311"/>
      <c r="F264" s="311"/>
      <c r="G264" s="312" t="e" cm="1">
        <f t="array" ref="G264">_xlfn.XLOOKUP($B264,$B$11:$B$91,_xlfn.XLOOKUP(G$181,$D$5:$AX$5,$D$11:$AX$91))</f>
        <v>#REF!</v>
      </c>
      <c r="H264" s="312" t="e" cm="1">
        <f t="array" ref="H264">_xlfn.XLOOKUP($B264,$B$11:$B$91,_xlfn.XLOOKUP(H$181,$D$5:$AX$5,$D$11:$AX$91))</f>
        <v>#REF!</v>
      </c>
      <c r="I264" s="312" t="e" cm="1">
        <f t="array" ref="I264">_xlfn.XLOOKUP($B264,$B$11:$B$91,_xlfn.XLOOKUP(I$181,$D$5:$AX$5,$D$11:$AX$91))</f>
        <v>#REF!</v>
      </c>
      <c r="J264" s="312" t="e" cm="1">
        <f t="array" ref="J264">_xlfn.XLOOKUP($B264,$B$11:$B$91,_xlfn.XLOOKUP(J$181,$D$5:$AX$5,$D$11:$AX$91))</f>
        <v>#REF!</v>
      </c>
      <c r="K264" s="312" t="e" cm="1">
        <f t="array" ref="K264">_xlfn.XLOOKUP($B264,$B$11:$B$91,_xlfn.XLOOKUP(K$181,$D$5:$AX$5,$D$11:$AX$91))</f>
        <v>#REF!</v>
      </c>
      <c r="L264" s="312" t="e" cm="1">
        <f t="array" ref="L264">_xlfn.XLOOKUP($B264,$B$11:$B$91,_xlfn.XLOOKUP(L$181,$D$5:$AX$5,$D$11:$AX$91))</f>
        <v>#REF!</v>
      </c>
      <c r="M264" s="312" t="e" cm="1">
        <f t="array" ref="M264">_xlfn.XLOOKUP($B264,$B$11:$B$91,_xlfn.XLOOKUP(M$181,$D$5:$AX$5,$D$11:$AX$91))</f>
        <v>#REF!</v>
      </c>
      <c r="N264" s="312" t="e" cm="1">
        <f t="array" ref="N264">_xlfn.XLOOKUP($B264,$B$11:$B$91,_xlfn.XLOOKUP(N$181,$D$5:$AX$5,$D$11:$AX$91))</f>
        <v>#REF!</v>
      </c>
      <c r="O264" s="312" t="e" cm="1">
        <f t="array" ref="O264">_xlfn.XLOOKUP($B264,$B$11:$B$91,_xlfn.XLOOKUP(O$181,$D$5:$AX$5,$D$11:$AX$91))</f>
        <v>#REF!</v>
      </c>
      <c r="P264" s="312" t="e" cm="1">
        <f t="array" ref="P264">_xlfn.XLOOKUP($B264,$B$11:$B$91,_xlfn.XLOOKUP(P$181,$D$5:$AX$5,$D$11:$AX$91))</f>
        <v>#REF!</v>
      </c>
      <c r="Q264" s="312" t="e" cm="1">
        <f t="array" ref="Q264">_xlfn.XLOOKUP($B264,$B$11:$B$91,_xlfn.XLOOKUP(Q$181,$D$5:$AX$5,$D$11:$AX$91))</f>
        <v>#REF!</v>
      </c>
      <c r="R264" s="312" t="e" cm="1">
        <f t="array" ref="R264">_xlfn.XLOOKUP($B264,$B$11:$B$91,_xlfn.XLOOKUP(R$181,$D$5:$AX$5,$D$11:$AX$91))</f>
        <v>#REF!</v>
      </c>
      <c r="S264" s="312" t="e" cm="1">
        <f t="array" ref="S264">_xlfn.XLOOKUP($B264,$B$11:$B$91,_xlfn.XLOOKUP(S$181,$D$5:$AX$5,$D$11:$AX$91))</f>
        <v>#REF!</v>
      </c>
      <c r="T264" s="312" t="e" cm="1">
        <f t="array" ref="T264">_xlfn.XLOOKUP($B264,$B$11:$B$91,_xlfn.XLOOKUP(T$181,$D$5:$AX$5,$D$11:$AX$91))</f>
        <v>#REF!</v>
      </c>
      <c r="U264" s="312" t="e" cm="1">
        <f t="array" ref="U264">_xlfn.XLOOKUP($B264,$B$11:$B$91,_xlfn.XLOOKUP(U$181,$D$5:$AX$5,$D$11:$AX$91))</f>
        <v>#REF!</v>
      </c>
      <c r="V264" s="312" t="e" cm="1">
        <f t="array" ref="V264">_xlfn.XLOOKUP($B264,$B$11:$B$91,_xlfn.XLOOKUP(V$181,$D$5:$AX$5,$D$11:$AX$91))</f>
        <v>#REF!</v>
      </c>
      <c r="W264" s="312" t="e" cm="1">
        <f t="array" ref="W264">_xlfn.XLOOKUP($B264,$B$11:$B$91,_xlfn.XLOOKUP(W$181,$D$5:$AX$5,$D$11:$AX$91))</f>
        <v>#REF!</v>
      </c>
      <c r="X264" s="312" t="e" cm="1">
        <f t="array" ref="X264">_xlfn.XLOOKUP($B264,$B$11:$B$91,_xlfn.XLOOKUP(X$181,$D$5:$AX$5,$D$11:$AX$91))</f>
        <v>#REF!</v>
      </c>
      <c r="Y264" s="312" t="e" cm="1">
        <f t="array" ref="Y264">_xlfn.XLOOKUP($B264,$B$11:$B$91,_xlfn.XLOOKUP(Y$181,$D$5:$AX$5,$D$11:$AX$91))</f>
        <v>#REF!</v>
      </c>
      <c r="Z264" s="312" t="e" cm="1">
        <f t="array" ref="Z264">_xlfn.XLOOKUP($B264,$B$11:$B$91,_xlfn.XLOOKUP(Z$181,$D$5:$AX$5,$D$11:$AX$91))</f>
        <v>#REF!</v>
      </c>
      <c r="AA264" s="312" t="e" cm="1">
        <f t="array" ref="AA264">_xlfn.XLOOKUP($B264,$B$11:$B$91,_xlfn.XLOOKUP(AA$181,$D$5:$AX$5,$D$11:$AX$91))</f>
        <v>#REF!</v>
      </c>
      <c r="AB264" s="312" t="e" cm="1">
        <f t="array" ref="AB264">_xlfn.XLOOKUP($B264,$B$11:$B$91,_xlfn.XLOOKUP(AB$181,$D$5:$AX$5,$D$11:$AX$91))</f>
        <v>#REF!</v>
      </c>
      <c r="AC264" s="312" t="e" cm="1">
        <f t="array" ref="AC264">_xlfn.XLOOKUP($B264,$B$11:$B$91,_xlfn.XLOOKUP(AC$181,$D$5:$AX$5,$D$11:$AX$91))</f>
        <v>#REF!</v>
      </c>
      <c r="AD264" s="312" t="e" cm="1">
        <f t="array" ref="AD264">_xlfn.XLOOKUP($B264,$B$11:$B$91,_xlfn.XLOOKUP(AD$181,$D$5:$AX$5,$D$11:$AX$91))</f>
        <v>#REF!</v>
      </c>
      <c r="AE264" s="312" t="e" cm="1">
        <f t="array" ref="AE264">_xlfn.XLOOKUP($B264,$B$11:$B$91,_xlfn.XLOOKUP(AE$181,$D$5:$AX$5,$D$11:$AX$91))</f>
        <v>#REF!</v>
      </c>
      <c r="AF264" s="312" t="e" cm="1">
        <f t="array" ref="AF264">_xlfn.XLOOKUP($B264,$B$11:$B$91,_xlfn.XLOOKUP(AF$181,$D$5:$AX$5,$D$11:$AX$91))</f>
        <v>#REF!</v>
      </c>
      <c r="AG264" s="312"/>
      <c r="AH264" s="310" t="str">
        <f t="shared" si="99"/>
        <v>Integrity Services Revenue - New</v>
      </c>
      <c r="AI264" s="311" t="str" cm="1">
        <f t="array" ref="AI264">_xlfn.XLOOKUP($B264,$B$11:$B$91,_xlfn.XLOOKUP(AI$181,$D$5:$AX$5,$D$11:$AX$91))</f>
        <v>A$m</v>
      </c>
      <c r="AJ264" s="311"/>
      <c r="AK264" s="311"/>
      <c r="AL264" s="312" t="e" cm="1">
        <f t="array" ref="AL264">_xlfn.XLOOKUP($B264,$B$11:$B$91,_xlfn.XLOOKUP(AL$181,$D$5:$AX$5,$D$11:$AX$91))</f>
        <v>#REF!</v>
      </c>
      <c r="AM264" s="312" t="e" cm="1">
        <f t="array" ref="AM264">_xlfn.XLOOKUP($B264,$B$11:$B$91,_xlfn.XLOOKUP(AM$181,$D$5:$AX$5,$D$11:$AX$91))</f>
        <v>#REF!</v>
      </c>
      <c r="AN264" s="312" t="e" cm="1">
        <f t="array" ref="AN264">_xlfn.XLOOKUP($B264,$B$11:$B$91,_xlfn.XLOOKUP(AN$181,$D$5:$AX$5,$D$11:$AX$91))</f>
        <v>#REF!</v>
      </c>
      <c r="AO264" s="312" t="e" cm="1">
        <f t="array" ref="AO264">_xlfn.XLOOKUP($B264,$B$11:$B$91,_xlfn.XLOOKUP(AO$181,$D$5:$AX$5,$D$11:$AX$91))</f>
        <v>#REF!</v>
      </c>
      <c r="AP264" s="312" t="e" cm="1">
        <f t="array" ref="AP264">_xlfn.XLOOKUP($B264,$B$11:$B$91,_xlfn.XLOOKUP(AP$181,$D$5:$AX$5,$D$11:$AX$91))</f>
        <v>#REF!</v>
      </c>
      <c r="AQ264" s="312" t="e" cm="1">
        <f t="array" ref="AQ264">_xlfn.XLOOKUP($B264,$B$11:$B$91,_xlfn.XLOOKUP(AQ$181,$D$5:$AX$5,$D$11:$AX$91))</f>
        <v>#REF!</v>
      </c>
      <c r="AR264" s="312" t="e" cm="1">
        <f t="array" ref="AR264">_xlfn.XLOOKUP($B264,$B$11:$B$91,_xlfn.XLOOKUP(AR$181,$D$5:$AX$5,$D$11:$AX$91))</f>
        <v>#REF!</v>
      </c>
      <c r="AS264" s="312" t="e" cm="1">
        <f t="array" ref="AS264">_xlfn.XLOOKUP($B264,$B$11:$B$91,_xlfn.XLOOKUP(AS$181,$D$5:$AX$5,$D$11:$AX$91))</f>
        <v>#REF!</v>
      </c>
      <c r="AT264" s="312" t="e" cm="1">
        <f t="array" ref="AT264">_xlfn.XLOOKUP($B264,$B$11:$B$91,_xlfn.XLOOKUP(AT$181,$D$5:$AX$5,$D$11:$AX$91))</f>
        <v>#REF!</v>
      </c>
      <c r="AU264" s="312" t="e" cm="1">
        <f t="array" ref="AU264">_xlfn.XLOOKUP($B264,$B$11:$B$91,_xlfn.XLOOKUP(AU$181,$D$5:$AX$5,$D$11:$AX$91))</f>
        <v>#REF!</v>
      </c>
      <c r="AV264" s="312" t="e" cm="1">
        <f t="array" ref="AV264">_xlfn.XLOOKUP($B264,$B$11:$B$91,_xlfn.XLOOKUP(AV$181,$D$5:$AX$5,$D$11:$AX$91))</f>
        <v>#REF!</v>
      </c>
      <c r="AW264" s="312" t="e" cm="1">
        <f t="array" ref="AW264">_xlfn.XLOOKUP($B264,$B$11:$B$91,_xlfn.XLOOKUP(AW$181,$D$5:$AX$5,$D$11:$AX$91))</f>
        <v>#REF!</v>
      </c>
      <c r="AX264" s="312" t="e" cm="1">
        <f t="array" ref="AX264">_xlfn.XLOOKUP($B264,$B$11:$B$91,_xlfn.XLOOKUP(AX$181,$D$5:$AX$5,$D$11:$AX$91))</f>
        <v>#REF!</v>
      </c>
    </row>
    <row r="265" spans="2:50" hidden="1" outlineLevel="1">
      <c r="B265" s="305"/>
      <c r="C265" s="313" t="s">
        <v>1121</v>
      </c>
      <c r="D265" s="307" t="s">
        <v>842</v>
      </c>
      <c r="E265" s="307"/>
      <c r="F265" s="307"/>
      <c r="G265" s="314" t="s">
        <v>967</v>
      </c>
      <c r="H265" s="314" t="s">
        <v>967</v>
      </c>
      <c r="I265" s="314" t="e">
        <f t="shared" ref="I265:AF265" si="108">I264/G264-1</f>
        <v>#REF!</v>
      </c>
      <c r="J265" s="314" t="e">
        <f t="shared" si="108"/>
        <v>#REF!</v>
      </c>
      <c r="K265" s="314" t="e">
        <f t="shared" si="108"/>
        <v>#REF!</v>
      </c>
      <c r="L265" s="314" t="e">
        <f t="shared" si="108"/>
        <v>#REF!</v>
      </c>
      <c r="M265" s="314" t="e">
        <f t="shared" si="108"/>
        <v>#REF!</v>
      </c>
      <c r="N265" s="314" t="e">
        <f t="shared" si="108"/>
        <v>#REF!</v>
      </c>
      <c r="O265" s="314" t="e">
        <f t="shared" si="108"/>
        <v>#REF!</v>
      </c>
      <c r="P265" s="314" t="e">
        <f t="shared" si="108"/>
        <v>#REF!</v>
      </c>
      <c r="Q265" s="314" t="e">
        <f t="shared" si="108"/>
        <v>#REF!</v>
      </c>
      <c r="R265" s="314" t="e">
        <f t="shared" si="108"/>
        <v>#REF!</v>
      </c>
      <c r="S265" s="314" t="e">
        <f t="shared" si="108"/>
        <v>#REF!</v>
      </c>
      <c r="T265" s="314" t="e">
        <f t="shared" si="108"/>
        <v>#REF!</v>
      </c>
      <c r="U265" s="314" t="e">
        <f t="shared" si="108"/>
        <v>#REF!</v>
      </c>
      <c r="V265" s="314" t="e">
        <f t="shared" si="108"/>
        <v>#REF!</v>
      </c>
      <c r="W265" s="314" t="e">
        <f t="shared" si="108"/>
        <v>#REF!</v>
      </c>
      <c r="X265" s="314" t="e">
        <f t="shared" si="108"/>
        <v>#REF!</v>
      </c>
      <c r="Y265" s="314" t="e">
        <f t="shared" si="108"/>
        <v>#REF!</v>
      </c>
      <c r="Z265" s="314" t="e">
        <f t="shared" si="108"/>
        <v>#REF!</v>
      </c>
      <c r="AA265" s="314" t="e">
        <f t="shared" si="108"/>
        <v>#REF!</v>
      </c>
      <c r="AB265" s="314" t="e">
        <f t="shared" si="108"/>
        <v>#REF!</v>
      </c>
      <c r="AC265" s="314" t="e">
        <f t="shared" si="108"/>
        <v>#REF!</v>
      </c>
      <c r="AD265" s="314" t="e">
        <f t="shared" si="108"/>
        <v>#REF!</v>
      </c>
      <c r="AE265" s="314" t="e">
        <f t="shared" si="108"/>
        <v>#REF!</v>
      </c>
      <c r="AF265" s="314" t="e">
        <f t="shared" si="108"/>
        <v>#REF!</v>
      </c>
      <c r="AG265" s="315"/>
      <c r="AH265" s="313" t="str">
        <f t="shared" si="99"/>
        <v>- Growth</v>
      </c>
      <c r="AI265" s="307" t="str">
        <f>D265</f>
        <v>%</v>
      </c>
      <c r="AJ265" s="307"/>
      <c r="AK265" s="307"/>
      <c r="AL265" s="314" t="s">
        <v>967</v>
      </c>
      <c r="AM265" s="314" t="e">
        <f t="shared" ref="AM265:AX265" si="109">AM264/AL264-1</f>
        <v>#REF!</v>
      </c>
      <c r="AN265" s="314" t="e">
        <f t="shared" si="109"/>
        <v>#REF!</v>
      </c>
      <c r="AO265" s="314" t="e">
        <f t="shared" si="109"/>
        <v>#REF!</v>
      </c>
      <c r="AP265" s="314" t="e">
        <f t="shared" si="109"/>
        <v>#REF!</v>
      </c>
      <c r="AQ265" s="314" t="e">
        <f t="shared" si="109"/>
        <v>#REF!</v>
      </c>
      <c r="AR265" s="314" t="e">
        <f t="shared" si="109"/>
        <v>#REF!</v>
      </c>
      <c r="AS265" s="314" t="e">
        <f t="shared" si="109"/>
        <v>#REF!</v>
      </c>
      <c r="AT265" s="314" t="e">
        <f t="shared" si="109"/>
        <v>#REF!</v>
      </c>
      <c r="AU265" s="314" t="e">
        <f t="shared" si="109"/>
        <v>#REF!</v>
      </c>
      <c r="AV265" s="314" t="e">
        <f t="shared" si="109"/>
        <v>#REF!</v>
      </c>
      <c r="AW265" s="314" t="e">
        <f t="shared" si="109"/>
        <v>#REF!</v>
      </c>
      <c r="AX265" s="314" t="e">
        <f t="shared" si="109"/>
        <v>#REF!</v>
      </c>
    </row>
    <row r="266" spans="2:50" collapsed="1">
      <c r="B266" s="305"/>
      <c r="C266" s="313" t="s">
        <v>1122</v>
      </c>
      <c r="D266" s="307" t="s">
        <v>842</v>
      </c>
      <c r="E266" s="307"/>
      <c r="F266" s="307"/>
      <c r="G266" s="314">
        <f xml:space="preserve"> IFERROR(ROUND( G264 / G263,3) - 1, 0)</f>
        <v>0</v>
      </c>
      <c r="H266" s="314">
        <f t="shared" ref="H266:AF266" si="110" xml:space="preserve"> IFERROR(ROUND( H264 / H263,3) - 1, 0)</f>
        <v>0</v>
      </c>
      <c r="I266" s="314">
        <f t="shared" si="110"/>
        <v>0</v>
      </c>
      <c r="J266" s="314">
        <f t="shared" si="110"/>
        <v>0</v>
      </c>
      <c r="K266" s="314">
        <f t="shared" si="110"/>
        <v>0</v>
      </c>
      <c r="L266" s="314">
        <f t="shared" si="110"/>
        <v>0</v>
      </c>
      <c r="M266" s="314">
        <f t="shared" si="110"/>
        <v>0</v>
      </c>
      <c r="N266" s="314">
        <f t="shared" si="110"/>
        <v>0</v>
      </c>
      <c r="O266" s="314">
        <f t="shared" si="110"/>
        <v>0</v>
      </c>
      <c r="P266" s="314">
        <f t="shared" si="110"/>
        <v>0</v>
      </c>
      <c r="Q266" s="314">
        <f t="shared" si="110"/>
        <v>0</v>
      </c>
      <c r="R266" s="314">
        <f t="shared" si="110"/>
        <v>0</v>
      </c>
      <c r="S266" s="314">
        <f t="shared" si="110"/>
        <v>0</v>
      </c>
      <c r="T266" s="314">
        <f t="shared" si="110"/>
        <v>0</v>
      </c>
      <c r="U266" s="314">
        <f t="shared" si="110"/>
        <v>0</v>
      </c>
      <c r="V266" s="314">
        <f t="shared" si="110"/>
        <v>0</v>
      </c>
      <c r="W266" s="314">
        <f t="shared" si="110"/>
        <v>0</v>
      </c>
      <c r="X266" s="314">
        <f t="shared" si="110"/>
        <v>0</v>
      </c>
      <c r="Y266" s="314">
        <f t="shared" si="110"/>
        <v>0</v>
      </c>
      <c r="Z266" s="314">
        <f t="shared" si="110"/>
        <v>0</v>
      </c>
      <c r="AA266" s="314">
        <f t="shared" si="110"/>
        <v>0</v>
      </c>
      <c r="AB266" s="314">
        <f t="shared" si="110"/>
        <v>0</v>
      </c>
      <c r="AC266" s="314">
        <f t="shared" si="110"/>
        <v>0</v>
      </c>
      <c r="AD266" s="314">
        <f t="shared" si="110"/>
        <v>0</v>
      </c>
      <c r="AE266" s="314">
        <f t="shared" si="110"/>
        <v>0</v>
      </c>
      <c r="AF266" s="314">
        <f t="shared" si="110"/>
        <v>0</v>
      </c>
      <c r="AG266" s="314"/>
      <c r="AH266" s="313" t="str">
        <f t="shared" si="99"/>
        <v>- Revision</v>
      </c>
      <c r="AI266" s="307" t="str">
        <f>D266</f>
        <v>%</v>
      </c>
      <c r="AJ266" s="307"/>
      <c r="AK266" s="307"/>
      <c r="AL266" s="314">
        <f t="shared" ref="AL266:AX266" si="111" xml:space="preserve"> IFERROR(ROUND( AL264 / AL263,3) - 1, 0)</f>
        <v>0</v>
      </c>
      <c r="AM266" s="314">
        <f t="shared" si="111"/>
        <v>0</v>
      </c>
      <c r="AN266" s="314">
        <f t="shared" si="111"/>
        <v>0</v>
      </c>
      <c r="AO266" s="314">
        <f t="shared" si="111"/>
        <v>0</v>
      </c>
      <c r="AP266" s="314">
        <f t="shared" si="111"/>
        <v>0</v>
      </c>
      <c r="AQ266" s="314">
        <f t="shared" si="111"/>
        <v>0</v>
      </c>
      <c r="AR266" s="314">
        <f t="shared" si="111"/>
        <v>0</v>
      </c>
      <c r="AS266" s="314">
        <f t="shared" si="111"/>
        <v>0</v>
      </c>
      <c r="AT266" s="314">
        <f t="shared" si="111"/>
        <v>0</v>
      </c>
      <c r="AU266" s="314">
        <f t="shared" si="111"/>
        <v>0</v>
      </c>
      <c r="AV266" s="314">
        <f t="shared" si="111"/>
        <v>0</v>
      </c>
      <c r="AW266" s="314">
        <f t="shared" si="111"/>
        <v>0</v>
      </c>
      <c r="AX266" s="314">
        <f t="shared" si="111"/>
        <v>0</v>
      </c>
    </row>
    <row r="267" spans="2:50">
      <c r="B267" s="305" t="s">
        <v>1439</v>
      </c>
      <c r="C267" s="706" t="str">
        <f>_xlfn.TEXTAFTER($B267,$C$252)&amp;" - old"</f>
        <v>Integrity Services EBITDA - old</v>
      </c>
      <c r="D267" s="707" t="str" cm="1">
        <f t="array" ref="D267">_xlfn.XLOOKUP($B267,$B$96:$B$176,_xlfn.XLOOKUP(D$181,$D$5:$AX$5,$D$96:$AX$176))</f>
        <v>A$m</v>
      </c>
      <c r="E267" s="307"/>
      <c r="F267" s="307"/>
      <c r="G267" s="708" cm="1">
        <f t="array" ref="G267">_xlfn.XLOOKUP($B267,$B$96:$B$176,_xlfn.XLOOKUP(G$181,$D$5:$AX$5,$D$96:$AX$176))</f>
        <v>15</v>
      </c>
      <c r="H267" s="708" cm="1">
        <f t="array" ref="H267">_xlfn.XLOOKUP($B267,$B$96:$B$176,_xlfn.XLOOKUP(H$181,$D$5:$AX$5,$D$96:$AX$176))</f>
        <v>25.700000000000003</v>
      </c>
      <c r="I267" s="708" cm="1">
        <f t="array" ref="I267">_xlfn.XLOOKUP($B267,$B$96:$B$176,_xlfn.XLOOKUP(I$181,$D$5:$AX$5,$D$96:$AX$176))</f>
        <v>26.7</v>
      </c>
      <c r="J267" s="708" cm="1">
        <f t="array" ref="J267">_xlfn.XLOOKUP($B267,$B$96:$B$176,_xlfn.XLOOKUP(J$181,$D$5:$AX$5,$D$96:$AX$176))</f>
        <v>28.500000000000004</v>
      </c>
      <c r="K267" s="708" cm="1">
        <f t="array" ref="K267">_xlfn.XLOOKUP($B267,$B$96:$B$176,_xlfn.XLOOKUP(K$181,$D$5:$AX$5,$D$96:$AX$176))</f>
        <v>28.8</v>
      </c>
      <c r="L267" s="708" cm="1">
        <f t="array" ref="L267">_xlfn.XLOOKUP($B267,$B$96:$B$176,_xlfn.XLOOKUP(L$181,$D$5:$AX$5,$D$96:$AX$176))</f>
        <v>28.3</v>
      </c>
      <c r="M267" s="708" cm="1">
        <f t="array" ref="M267">_xlfn.XLOOKUP($B267,$B$96:$B$176,_xlfn.XLOOKUP(M$181,$D$5:$AX$5,$D$96:$AX$176))</f>
        <v>0</v>
      </c>
      <c r="N267" s="708" cm="1">
        <f t="array" ref="N267">_xlfn.XLOOKUP($B267,$B$96:$B$176,_xlfn.XLOOKUP(N$181,$D$5:$AX$5,$D$96:$AX$176))</f>
        <v>0</v>
      </c>
      <c r="O267" s="708" cm="1">
        <f t="array" ref="O267">_xlfn.XLOOKUP($B267,$B$96:$B$176,_xlfn.XLOOKUP(O$181,$D$5:$AX$5,$D$96:$AX$176))</f>
        <v>0</v>
      </c>
      <c r="P267" s="708" cm="1">
        <f t="array" ref="P267">_xlfn.XLOOKUP($B267,$B$96:$B$176,_xlfn.XLOOKUP(P$181,$D$5:$AX$5,$D$96:$AX$176))</f>
        <v>0</v>
      </c>
      <c r="Q267" s="708" cm="1">
        <f t="array" ref="Q267">_xlfn.XLOOKUP($B267,$B$96:$B$176,_xlfn.XLOOKUP(Q$181,$D$5:$AX$5,$D$96:$AX$176))</f>
        <v>0</v>
      </c>
      <c r="R267" s="708" cm="1">
        <f t="array" ref="R267">_xlfn.XLOOKUP($B267,$B$96:$B$176,_xlfn.XLOOKUP(R$181,$D$5:$AX$5,$D$96:$AX$176))</f>
        <v>0</v>
      </c>
      <c r="S267" s="708" cm="1">
        <f t="array" ref="S267">_xlfn.XLOOKUP($B267,$B$96:$B$176,_xlfn.XLOOKUP(S$181,$D$5:$AX$5,$D$96:$AX$176))</f>
        <v>0</v>
      </c>
      <c r="T267" s="708" cm="1">
        <f t="array" ref="T267">_xlfn.XLOOKUP($B267,$B$96:$B$176,_xlfn.XLOOKUP(T$181,$D$5:$AX$5,$D$96:$AX$176))</f>
        <v>0</v>
      </c>
      <c r="U267" s="708" cm="1">
        <f t="array" ref="U267">_xlfn.XLOOKUP($B267,$B$96:$B$176,_xlfn.XLOOKUP(U$181,$D$5:$AX$5,$D$96:$AX$176))</f>
        <v>0</v>
      </c>
      <c r="V267" s="708" cm="1">
        <f t="array" ref="V267">_xlfn.XLOOKUP($B267,$B$96:$B$176,_xlfn.XLOOKUP(V$181,$D$5:$AX$5,$D$96:$AX$176))</f>
        <v>0</v>
      </c>
      <c r="W267" s="708" cm="1">
        <f t="array" ref="W267">_xlfn.XLOOKUP($B267,$B$96:$B$176,_xlfn.XLOOKUP(W$181,$D$5:$AX$5,$D$96:$AX$176))</f>
        <v>0</v>
      </c>
      <c r="X267" s="708" cm="1">
        <f t="array" ref="X267">_xlfn.XLOOKUP($B267,$B$96:$B$176,_xlfn.XLOOKUP(X$181,$D$5:$AX$5,$D$96:$AX$176))</f>
        <v>0</v>
      </c>
      <c r="Y267" s="708" cm="1">
        <f t="array" ref="Y267">_xlfn.XLOOKUP($B267,$B$96:$B$176,_xlfn.XLOOKUP(Y$181,$D$5:$AX$5,$D$96:$AX$176))</f>
        <v>0</v>
      </c>
      <c r="Z267" s="708" cm="1">
        <f t="array" ref="Z267">_xlfn.XLOOKUP($B267,$B$96:$B$176,_xlfn.XLOOKUP(Z$181,$D$5:$AX$5,$D$96:$AX$176))</f>
        <v>0</v>
      </c>
      <c r="AA267" s="708" cm="1">
        <f t="array" ref="AA267">_xlfn.XLOOKUP($B267,$B$96:$B$176,_xlfn.XLOOKUP(AA$181,$D$5:$AX$5,$D$96:$AX$176))</f>
        <v>0</v>
      </c>
      <c r="AB267" s="708" cm="1">
        <f t="array" ref="AB267">_xlfn.XLOOKUP($B267,$B$96:$B$176,_xlfn.XLOOKUP(AB$181,$D$5:$AX$5,$D$96:$AX$176))</f>
        <v>0</v>
      </c>
      <c r="AC267" s="708" cm="1">
        <f t="array" ref="AC267">_xlfn.XLOOKUP($B267,$B$96:$B$176,_xlfn.XLOOKUP(AC$181,$D$5:$AX$5,$D$96:$AX$176))</f>
        <v>0</v>
      </c>
      <c r="AD267" s="708" cm="1">
        <f t="array" ref="AD267">_xlfn.XLOOKUP($B267,$B$96:$B$176,_xlfn.XLOOKUP(AD$181,$D$5:$AX$5,$D$96:$AX$176))</f>
        <v>0</v>
      </c>
      <c r="AE267" s="708" cm="1">
        <f t="array" ref="AE267">_xlfn.XLOOKUP($B267,$B$96:$B$176,_xlfn.XLOOKUP(AE$181,$D$5:$AX$5,$D$96:$AX$176))</f>
        <v>0</v>
      </c>
      <c r="AF267" s="708" cm="1">
        <f t="array" ref="AF267">_xlfn.XLOOKUP($B267,$B$96:$B$176,_xlfn.XLOOKUP(AF$181,$D$5:$AX$5,$D$96:$AX$176))</f>
        <v>0</v>
      </c>
      <c r="AG267" s="309"/>
      <c r="AH267" s="306" t="str">
        <f t="shared" si="99"/>
        <v>Integrity Services EBITDA - old</v>
      </c>
      <c r="AI267" s="707" t="str" cm="1">
        <f t="array" ref="AI267">_xlfn.XLOOKUP($B267,$B$96:$B$176,_xlfn.XLOOKUP(AI$181,$D$5:$AX$5,$D$96:$AX$176))</f>
        <v>A$m</v>
      </c>
      <c r="AJ267" s="307"/>
      <c r="AK267" s="307"/>
      <c r="AL267" s="708" cm="1">
        <f t="array" ref="AL267">_xlfn.XLOOKUP($B267,$B$96:$B$176,_xlfn.XLOOKUP(AL$181,$D$5:$AX$5,$D$96:$AX$176))</f>
        <v>40.700000000000003</v>
      </c>
      <c r="AM267" s="708" cm="1">
        <f t="array" ref="AM267">_xlfn.XLOOKUP($B267,$B$96:$B$176,_xlfn.XLOOKUP(AM$181,$D$5:$AX$5,$D$96:$AX$176))</f>
        <v>55.2</v>
      </c>
      <c r="AN267" s="708" cm="1">
        <f t="array" ref="AN267">_xlfn.XLOOKUP($B267,$B$96:$B$176,_xlfn.XLOOKUP(AN$181,$D$5:$AX$5,$D$96:$AX$176))</f>
        <v>57.1</v>
      </c>
      <c r="AO267" s="708" cm="1">
        <f t="array" ref="AO267">_xlfn.XLOOKUP($B267,$B$96:$B$176,_xlfn.XLOOKUP(AO$181,$D$5:$AX$5,$D$96:$AX$176))</f>
        <v>0</v>
      </c>
      <c r="AP267" s="708" cm="1">
        <f t="array" ref="AP267">_xlfn.XLOOKUP($B267,$B$96:$B$176,_xlfn.XLOOKUP(AP$181,$D$5:$AX$5,$D$96:$AX$176))</f>
        <v>0</v>
      </c>
      <c r="AQ267" s="708" cm="1">
        <f t="array" ref="AQ267">_xlfn.XLOOKUP($B267,$B$96:$B$176,_xlfn.XLOOKUP(AQ$181,$D$5:$AX$5,$D$96:$AX$176))</f>
        <v>0</v>
      </c>
      <c r="AR267" s="708" cm="1">
        <f t="array" ref="AR267">_xlfn.XLOOKUP($B267,$B$96:$B$176,_xlfn.XLOOKUP(AR$181,$D$5:$AX$5,$D$96:$AX$176))</f>
        <v>0</v>
      </c>
      <c r="AS267" s="708" cm="1">
        <f t="array" ref="AS267">_xlfn.XLOOKUP($B267,$B$96:$B$176,_xlfn.XLOOKUP(AS$181,$D$5:$AX$5,$D$96:$AX$176))</f>
        <v>0</v>
      </c>
      <c r="AT267" s="708" cm="1">
        <f t="array" ref="AT267">_xlfn.XLOOKUP($B267,$B$96:$B$176,_xlfn.XLOOKUP(AT$181,$D$5:$AX$5,$D$96:$AX$176))</f>
        <v>0</v>
      </c>
      <c r="AU267" s="708" cm="1">
        <f t="array" ref="AU267">_xlfn.XLOOKUP($B267,$B$96:$B$176,_xlfn.XLOOKUP(AU$181,$D$5:$AX$5,$D$96:$AX$176))</f>
        <v>0</v>
      </c>
      <c r="AV267" s="708" cm="1">
        <f t="array" ref="AV267">_xlfn.XLOOKUP($B267,$B$96:$B$176,_xlfn.XLOOKUP(AV$181,$D$5:$AX$5,$D$96:$AX$176))</f>
        <v>0</v>
      </c>
      <c r="AW267" s="708" cm="1">
        <f t="array" ref="AW267">_xlfn.XLOOKUP($B267,$B$96:$B$176,_xlfn.XLOOKUP(AW$181,$D$5:$AX$5,$D$96:$AX$176))</f>
        <v>0</v>
      </c>
      <c r="AX267" s="708" cm="1">
        <f t="array" ref="AX267">_xlfn.XLOOKUP($B267,$B$96:$B$176,_xlfn.XLOOKUP(AX$181,$D$5:$AX$5,$D$96:$AX$176))</f>
        <v>0</v>
      </c>
    </row>
    <row r="268" spans="2:50">
      <c r="B268" s="305" t="s">
        <v>1439</v>
      </c>
      <c r="C268" s="318" t="str">
        <f>_xlfn.TEXTAFTER($B268,$C$252)&amp;" - New"</f>
        <v>Integrity Services EBITDA - New</v>
      </c>
      <c r="D268" s="311" t="str" cm="1">
        <f t="array" ref="D268">_xlfn.XLOOKUP($B268,$B$11:$B$91,_xlfn.XLOOKUP(D$181,$D$5:$AX$5,$D$11:$AX$91))</f>
        <v>A$m</v>
      </c>
      <c r="E268" s="311"/>
      <c r="F268" s="311"/>
      <c r="G268" s="312" t="e" cm="1">
        <f t="array" ref="G268">_xlfn.XLOOKUP($B268,$B$11:$B$91,_xlfn.XLOOKUP(G$181,$D$5:$AX$5,$D$11:$AX$91))</f>
        <v>#REF!</v>
      </c>
      <c r="H268" s="312" t="e" cm="1">
        <f t="array" ref="H268">_xlfn.XLOOKUP($B268,$B$11:$B$91,_xlfn.XLOOKUP(H$181,$D$5:$AX$5,$D$11:$AX$91))</f>
        <v>#REF!</v>
      </c>
      <c r="I268" s="312" t="e" cm="1">
        <f t="array" ref="I268">_xlfn.XLOOKUP($B268,$B$11:$B$91,_xlfn.XLOOKUP(I$181,$D$5:$AX$5,$D$11:$AX$91))</f>
        <v>#REF!</v>
      </c>
      <c r="J268" s="312" t="e" cm="1">
        <f t="array" ref="J268">_xlfn.XLOOKUP($B268,$B$11:$B$91,_xlfn.XLOOKUP(J$181,$D$5:$AX$5,$D$11:$AX$91))</f>
        <v>#REF!</v>
      </c>
      <c r="K268" s="312" t="e" cm="1">
        <f t="array" ref="K268">_xlfn.XLOOKUP($B268,$B$11:$B$91,_xlfn.XLOOKUP(K$181,$D$5:$AX$5,$D$11:$AX$91))</f>
        <v>#REF!</v>
      </c>
      <c r="L268" s="312" t="e" cm="1">
        <f t="array" ref="L268">_xlfn.XLOOKUP($B268,$B$11:$B$91,_xlfn.XLOOKUP(L$181,$D$5:$AX$5,$D$11:$AX$91))</f>
        <v>#REF!</v>
      </c>
      <c r="M268" s="312" t="e" cm="1">
        <f t="array" ref="M268">_xlfn.XLOOKUP($B268,$B$11:$B$91,_xlfn.XLOOKUP(M$181,$D$5:$AX$5,$D$11:$AX$91))</f>
        <v>#REF!</v>
      </c>
      <c r="N268" s="312" t="e" cm="1">
        <f t="array" ref="N268">_xlfn.XLOOKUP($B268,$B$11:$B$91,_xlfn.XLOOKUP(N$181,$D$5:$AX$5,$D$11:$AX$91))</f>
        <v>#REF!</v>
      </c>
      <c r="O268" s="312" t="e" cm="1">
        <f t="array" ref="O268">_xlfn.XLOOKUP($B268,$B$11:$B$91,_xlfn.XLOOKUP(O$181,$D$5:$AX$5,$D$11:$AX$91))</f>
        <v>#REF!</v>
      </c>
      <c r="P268" s="312" t="e" cm="1">
        <f t="array" ref="P268">_xlfn.XLOOKUP($B268,$B$11:$B$91,_xlfn.XLOOKUP(P$181,$D$5:$AX$5,$D$11:$AX$91))</f>
        <v>#REF!</v>
      </c>
      <c r="Q268" s="312" t="e" cm="1">
        <f t="array" ref="Q268">_xlfn.XLOOKUP($B268,$B$11:$B$91,_xlfn.XLOOKUP(Q$181,$D$5:$AX$5,$D$11:$AX$91))</f>
        <v>#REF!</v>
      </c>
      <c r="R268" s="312" t="e" cm="1">
        <f t="array" ref="R268">_xlfn.XLOOKUP($B268,$B$11:$B$91,_xlfn.XLOOKUP(R$181,$D$5:$AX$5,$D$11:$AX$91))</f>
        <v>#REF!</v>
      </c>
      <c r="S268" s="312" t="e" cm="1">
        <f t="array" ref="S268">_xlfn.XLOOKUP($B268,$B$11:$B$91,_xlfn.XLOOKUP(S$181,$D$5:$AX$5,$D$11:$AX$91))</f>
        <v>#REF!</v>
      </c>
      <c r="T268" s="312" t="e" cm="1">
        <f t="array" ref="T268">_xlfn.XLOOKUP($B268,$B$11:$B$91,_xlfn.XLOOKUP(T$181,$D$5:$AX$5,$D$11:$AX$91))</f>
        <v>#REF!</v>
      </c>
      <c r="U268" s="312" t="e" cm="1">
        <f t="array" ref="U268">_xlfn.XLOOKUP($B268,$B$11:$B$91,_xlfn.XLOOKUP(U$181,$D$5:$AX$5,$D$11:$AX$91))</f>
        <v>#REF!</v>
      </c>
      <c r="V268" s="312" t="e" cm="1">
        <f t="array" ref="V268">_xlfn.XLOOKUP($B268,$B$11:$B$91,_xlfn.XLOOKUP(V$181,$D$5:$AX$5,$D$11:$AX$91))</f>
        <v>#REF!</v>
      </c>
      <c r="W268" s="312" t="e" cm="1">
        <f t="array" ref="W268">_xlfn.XLOOKUP($B268,$B$11:$B$91,_xlfn.XLOOKUP(W$181,$D$5:$AX$5,$D$11:$AX$91))</f>
        <v>#REF!</v>
      </c>
      <c r="X268" s="312" t="e" cm="1">
        <f t="array" ref="X268">_xlfn.XLOOKUP($B268,$B$11:$B$91,_xlfn.XLOOKUP(X$181,$D$5:$AX$5,$D$11:$AX$91))</f>
        <v>#REF!</v>
      </c>
      <c r="Y268" s="312" t="e" cm="1">
        <f t="array" ref="Y268">_xlfn.XLOOKUP($B268,$B$11:$B$91,_xlfn.XLOOKUP(Y$181,$D$5:$AX$5,$D$11:$AX$91))</f>
        <v>#REF!</v>
      </c>
      <c r="Z268" s="312" t="e" cm="1">
        <f t="array" ref="Z268">_xlfn.XLOOKUP($B268,$B$11:$B$91,_xlfn.XLOOKUP(Z$181,$D$5:$AX$5,$D$11:$AX$91))</f>
        <v>#REF!</v>
      </c>
      <c r="AA268" s="312" t="e" cm="1">
        <f t="array" ref="AA268">_xlfn.XLOOKUP($B268,$B$11:$B$91,_xlfn.XLOOKUP(AA$181,$D$5:$AX$5,$D$11:$AX$91))</f>
        <v>#REF!</v>
      </c>
      <c r="AB268" s="312" t="e" cm="1">
        <f t="array" ref="AB268">_xlfn.XLOOKUP($B268,$B$11:$B$91,_xlfn.XLOOKUP(AB$181,$D$5:$AX$5,$D$11:$AX$91))</f>
        <v>#REF!</v>
      </c>
      <c r="AC268" s="312" t="e" cm="1">
        <f t="array" ref="AC268">_xlfn.XLOOKUP($B268,$B$11:$B$91,_xlfn.XLOOKUP(AC$181,$D$5:$AX$5,$D$11:$AX$91))</f>
        <v>#REF!</v>
      </c>
      <c r="AD268" s="312" t="e" cm="1">
        <f t="array" ref="AD268">_xlfn.XLOOKUP($B268,$B$11:$B$91,_xlfn.XLOOKUP(AD$181,$D$5:$AX$5,$D$11:$AX$91))</f>
        <v>#REF!</v>
      </c>
      <c r="AE268" s="312" t="e" cm="1">
        <f t="array" ref="AE268">_xlfn.XLOOKUP($B268,$B$11:$B$91,_xlfn.XLOOKUP(AE$181,$D$5:$AX$5,$D$11:$AX$91))</f>
        <v>#REF!</v>
      </c>
      <c r="AF268" s="312" t="e" cm="1">
        <f t="array" ref="AF268">_xlfn.XLOOKUP($B268,$B$11:$B$91,_xlfn.XLOOKUP(AF$181,$D$5:$AX$5,$D$11:$AX$91))</f>
        <v>#REF!</v>
      </c>
      <c r="AG268" s="312"/>
      <c r="AH268" s="310" t="str">
        <f t="shared" si="99"/>
        <v>Integrity Services EBITDA - New</v>
      </c>
      <c r="AI268" s="311" t="str" cm="1">
        <f t="array" ref="AI268">_xlfn.XLOOKUP($B268,$B$11:$B$91,_xlfn.XLOOKUP(AI$181,$D$5:$AX$5,$D$11:$AX$91))</f>
        <v>A$m</v>
      </c>
      <c r="AJ268" s="311"/>
      <c r="AK268" s="311"/>
      <c r="AL268" s="312" t="e" cm="1">
        <f t="array" ref="AL268">_xlfn.XLOOKUP($B268,$B$11:$B$91,_xlfn.XLOOKUP(AL$181,$D$5:$AX$5,$D$11:$AX$91))</f>
        <v>#REF!</v>
      </c>
      <c r="AM268" s="312" t="e" cm="1">
        <f t="array" ref="AM268">_xlfn.XLOOKUP($B268,$B$11:$B$91,_xlfn.XLOOKUP(AM$181,$D$5:$AX$5,$D$11:$AX$91))</f>
        <v>#REF!</v>
      </c>
      <c r="AN268" s="312" t="e" cm="1">
        <f t="array" ref="AN268">_xlfn.XLOOKUP($B268,$B$11:$B$91,_xlfn.XLOOKUP(AN$181,$D$5:$AX$5,$D$11:$AX$91))</f>
        <v>#REF!</v>
      </c>
      <c r="AO268" s="312" t="e" cm="1">
        <f t="array" ref="AO268">_xlfn.XLOOKUP($B268,$B$11:$B$91,_xlfn.XLOOKUP(AO$181,$D$5:$AX$5,$D$11:$AX$91))</f>
        <v>#REF!</v>
      </c>
      <c r="AP268" s="312" t="e" cm="1">
        <f t="array" ref="AP268">_xlfn.XLOOKUP($B268,$B$11:$B$91,_xlfn.XLOOKUP(AP$181,$D$5:$AX$5,$D$11:$AX$91))</f>
        <v>#REF!</v>
      </c>
      <c r="AQ268" s="312" t="e" cm="1">
        <f t="array" ref="AQ268">_xlfn.XLOOKUP($B268,$B$11:$B$91,_xlfn.XLOOKUP(AQ$181,$D$5:$AX$5,$D$11:$AX$91))</f>
        <v>#REF!</v>
      </c>
      <c r="AR268" s="312" t="e" cm="1">
        <f t="array" ref="AR268">_xlfn.XLOOKUP($B268,$B$11:$B$91,_xlfn.XLOOKUP(AR$181,$D$5:$AX$5,$D$11:$AX$91))</f>
        <v>#REF!</v>
      </c>
      <c r="AS268" s="312" t="e" cm="1">
        <f t="array" ref="AS268">_xlfn.XLOOKUP($B268,$B$11:$B$91,_xlfn.XLOOKUP(AS$181,$D$5:$AX$5,$D$11:$AX$91))</f>
        <v>#REF!</v>
      </c>
      <c r="AT268" s="312" t="e" cm="1">
        <f t="array" ref="AT268">_xlfn.XLOOKUP($B268,$B$11:$B$91,_xlfn.XLOOKUP(AT$181,$D$5:$AX$5,$D$11:$AX$91))</f>
        <v>#REF!</v>
      </c>
      <c r="AU268" s="312" t="e" cm="1">
        <f t="array" ref="AU268">_xlfn.XLOOKUP($B268,$B$11:$B$91,_xlfn.XLOOKUP(AU$181,$D$5:$AX$5,$D$11:$AX$91))</f>
        <v>#REF!</v>
      </c>
      <c r="AV268" s="312" t="e" cm="1">
        <f t="array" ref="AV268">_xlfn.XLOOKUP($B268,$B$11:$B$91,_xlfn.XLOOKUP(AV$181,$D$5:$AX$5,$D$11:$AX$91))</f>
        <v>#REF!</v>
      </c>
      <c r="AW268" s="312" t="e" cm="1">
        <f t="array" ref="AW268">_xlfn.XLOOKUP($B268,$B$11:$B$91,_xlfn.XLOOKUP(AW$181,$D$5:$AX$5,$D$11:$AX$91))</f>
        <v>#REF!</v>
      </c>
      <c r="AX268" s="312" t="e" cm="1">
        <f t="array" ref="AX268">_xlfn.XLOOKUP($B268,$B$11:$B$91,_xlfn.XLOOKUP(AX$181,$D$5:$AX$5,$D$11:$AX$91))</f>
        <v>#REF!</v>
      </c>
    </row>
    <row r="269" spans="2:50" hidden="1" outlineLevel="1">
      <c r="B269" s="305"/>
      <c r="C269" s="313" t="s">
        <v>1121</v>
      </c>
      <c r="D269" s="307" t="s">
        <v>842</v>
      </c>
      <c r="E269" s="307"/>
      <c r="F269" s="307"/>
      <c r="G269" s="314" t="s">
        <v>967</v>
      </c>
      <c r="H269" s="314" t="s">
        <v>967</v>
      </c>
      <c r="I269" s="314" t="e">
        <f t="shared" ref="I269:AF269" si="112">I268/G268-1</f>
        <v>#REF!</v>
      </c>
      <c r="J269" s="314" t="e">
        <f t="shared" si="112"/>
        <v>#REF!</v>
      </c>
      <c r="K269" s="314" t="e">
        <f t="shared" si="112"/>
        <v>#REF!</v>
      </c>
      <c r="L269" s="314" t="e">
        <f t="shared" si="112"/>
        <v>#REF!</v>
      </c>
      <c r="M269" s="314" t="e">
        <f t="shared" si="112"/>
        <v>#REF!</v>
      </c>
      <c r="N269" s="314" t="e">
        <f t="shared" si="112"/>
        <v>#REF!</v>
      </c>
      <c r="O269" s="314" t="e">
        <f t="shared" si="112"/>
        <v>#REF!</v>
      </c>
      <c r="P269" s="314" t="e">
        <f t="shared" si="112"/>
        <v>#REF!</v>
      </c>
      <c r="Q269" s="314" t="e">
        <f t="shared" si="112"/>
        <v>#REF!</v>
      </c>
      <c r="R269" s="314" t="e">
        <f t="shared" si="112"/>
        <v>#REF!</v>
      </c>
      <c r="S269" s="314" t="e">
        <f t="shared" si="112"/>
        <v>#REF!</v>
      </c>
      <c r="T269" s="314" t="e">
        <f t="shared" si="112"/>
        <v>#REF!</v>
      </c>
      <c r="U269" s="314" t="e">
        <f t="shared" si="112"/>
        <v>#REF!</v>
      </c>
      <c r="V269" s="314" t="e">
        <f t="shared" si="112"/>
        <v>#REF!</v>
      </c>
      <c r="W269" s="314" t="e">
        <f t="shared" si="112"/>
        <v>#REF!</v>
      </c>
      <c r="X269" s="314" t="e">
        <f t="shared" si="112"/>
        <v>#REF!</v>
      </c>
      <c r="Y269" s="314" t="e">
        <f t="shared" si="112"/>
        <v>#REF!</v>
      </c>
      <c r="Z269" s="314" t="e">
        <f t="shared" si="112"/>
        <v>#REF!</v>
      </c>
      <c r="AA269" s="314" t="e">
        <f t="shared" si="112"/>
        <v>#REF!</v>
      </c>
      <c r="AB269" s="314" t="e">
        <f t="shared" si="112"/>
        <v>#REF!</v>
      </c>
      <c r="AC269" s="314" t="e">
        <f t="shared" si="112"/>
        <v>#REF!</v>
      </c>
      <c r="AD269" s="314" t="e">
        <f t="shared" si="112"/>
        <v>#REF!</v>
      </c>
      <c r="AE269" s="314" t="e">
        <f t="shared" si="112"/>
        <v>#REF!</v>
      </c>
      <c r="AF269" s="314" t="e">
        <f t="shared" si="112"/>
        <v>#REF!</v>
      </c>
      <c r="AG269" s="315"/>
      <c r="AH269" s="313" t="str">
        <f t="shared" si="99"/>
        <v>- Growth</v>
      </c>
      <c r="AI269" s="307" t="str">
        <f>D269</f>
        <v>%</v>
      </c>
      <c r="AJ269" s="307"/>
      <c r="AK269" s="307"/>
      <c r="AL269" s="314" t="s">
        <v>967</v>
      </c>
      <c r="AM269" s="314" t="e">
        <f t="shared" ref="AM269:AX269" si="113">AM268/AL268-1</f>
        <v>#REF!</v>
      </c>
      <c r="AN269" s="314" t="e">
        <f t="shared" si="113"/>
        <v>#REF!</v>
      </c>
      <c r="AO269" s="314" t="e">
        <f t="shared" si="113"/>
        <v>#REF!</v>
      </c>
      <c r="AP269" s="314" t="e">
        <f t="shared" si="113"/>
        <v>#REF!</v>
      </c>
      <c r="AQ269" s="314" t="e">
        <f t="shared" si="113"/>
        <v>#REF!</v>
      </c>
      <c r="AR269" s="314" t="e">
        <f t="shared" si="113"/>
        <v>#REF!</v>
      </c>
      <c r="AS269" s="314" t="e">
        <f t="shared" si="113"/>
        <v>#REF!</v>
      </c>
      <c r="AT269" s="314" t="e">
        <f t="shared" si="113"/>
        <v>#REF!</v>
      </c>
      <c r="AU269" s="314" t="e">
        <f t="shared" si="113"/>
        <v>#REF!</v>
      </c>
      <c r="AV269" s="314" t="e">
        <f t="shared" si="113"/>
        <v>#REF!</v>
      </c>
      <c r="AW269" s="314" t="e">
        <f t="shared" si="113"/>
        <v>#REF!</v>
      </c>
      <c r="AX269" s="314" t="e">
        <f t="shared" si="113"/>
        <v>#REF!</v>
      </c>
    </row>
    <row r="270" spans="2:50" collapsed="1">
      <c r="B270" s="305"/>
      <c r="C270" s="313" t="s">
        <v>1122</v>
      </c>
      <c r="D270" s="307" t="s">
        <v>842</v>
      </c>
      <c r="E270" s="307"/>
      <c r="F270" s="307"/>
      <c r="G270" s="314">
        <f xml:space="preserve"> IFERROR(ROUND( G268 / G267,3) - 1, 0)</f>
        <v>0</v>
      </c>
      <c r="H270" s="314">
        <f t="shared" ref="H270:AF270" si="114" xml:space="preserve"> IFERROR(ROUND( H268 / H267,3) - 1, 0)</f>
        <v>0</v>
      </c>
      <c r="I270" s="314">
        <f t="shared" si="114"/>
        <v>0</v>
      </c>
      <c r="J270" s="314">
        <f t="shared" si="114"/>
        <v>0</v>
      </c>
      <c r="K270" s="314">
        <f t="shared" si="114"/>
        <v>0</v>
      </c>
      <c r="L270" s="314">
        <f t="shared" si="114"/>
        <v>0</v>
      </c>
      <c r="M270" s="314">
        <f t="shared" si="114"/>
        <v>0</v>
      </c>
      <c r="N270" s="314">
        <f t="shared" si="114"/>
        <v>0</v>
      </c>
      <c r="O270" s="314">
        <f t="shared" si="114"/>
        <v>0</v>
      </c>
      <c r="P270" s="314">
        <f t="shared" si="114"/>
        <v>0</v>
      </c>
      <c r="Q270" s="314">
        <f t="shared" si="114"/>
        <v>0</v>
      </c>
      <c r="R270" s="314">
        <f t="shared" si="114"/>
        <v>0</v>
      </c>
      <c r="S270" s="314">
        <f t="shared" si="114"/>
        <v>0</v>
      </c>
      <c r="T270" s="314">
        <f t="shared" si="114"/>
        <v>0</v>
      </c>
      <c r="U270" s="314">
        <f t="shared" si="114"/>
        <v>0</v>
      </c>
      <c r="V270" s="314">
        <f t="shared" si="114"/>
        <v>0</v>
      </c>
      <c r="W270" s="314">
        <f t="shared" si="114"/>
        <v>0</v>
      </c>
      <c r="X270" s="314">
        <f t="shared" si="114"/>
        <v>0</v>
      </c>
      <c r="Y270" s="314">
        <f t="shared" si="114"/>
        <v>0</v>
      </c>
      <c r="Z270" s="314">
        <f t="shared" si="114"/>
        <v>0</v>
      </c>
      <c r="AA270" s="314">
        <f t="shared" si="114"/>
        <v>0</v>
      </c>
      <c r="AB270" s="314">
        <f t="shared" si="114"/>
        <v>0</v>
      </c>
      <c r="AC270" s="314">
        <f t="shared" si="114"/>
        <v>0</v>
      </c>
      <c r="AD270" s="314">
        <f t="shared" si="114"/>
        <v>0</v>
      </c>
      <c r="AE270" s="314">
        <f t="shared" si="114"/>
        <v>0</v>
      </c>
      <c r="AF270" s="314">
        <f t="shared" si="114"/>
        <v>0</v>
      </c>
      <c r="AG270" s="314"/>
      <c r="AH270" s="313" t="str">
        <f t="shared" si="99"/>
        <v>- Revision</v>
      </c>
      <c r="AI270" s="307" t="str">
        <f>D270</f>
        <v>%</v>
      </c>
      <c r="AJ270" s="307"/>
      <c r="AK270" s="307"/>
      <c r="AL270" s="314">
        <f t="shared" ref="AL270:AX270" si="115" xml:space="preserve"> IFERROR(ROUND( AL268 / AL267,3) - 1, 0)</f>
        <v>0</v>
      </c>
      <c r="AM270" s="314">
        <f t="shared" si="115"/>
        <v>0</v>
      </c>
      <c r="AN270" s="314">
        <f t="shared" si="115"/>
        <v>0</v>
      </c>
      <c r="AO270" s="314">
        <f t="shared" si="115"/>
        <v>0</v>
      </c>
      <c r="AP270" s="314">
        <f t="shared" si="115"/>
        <v>0</v>
      </c>
      <c r="AQ270" s="314">
        <f t="shared" si="115"/>
        <v>0</v>
      </c>
      <c r="AR270" s="314">
        <f t="shared" si="115"/>
        <v>0</v>
      </c>
      <c r="AS270" s="314">
        <f t="shared" si="115"/>
        <v>0</v>
      </c>
      <c r="AT270" s="314">
        <f t="shared" si="115"/>
        <v>0</v>
      </c>
      <c r="AU270" s="314">
        <f t="shared" si="115"/>
        <v>0</v>
      </c>
      <c r="AV270" s="314">
        <f t="shared" si="115"/>
        <v>0</v>
      </c>
      <c r="AW270" s="314">
        <f t="shared" si="115"/>
        <v>0</v>
      </c>
      <c r="AX270" s="314">
        <f t="shared" si="115"/>
        <v>0</v>
      </c>
    </row>
    <row r="271" spans="2:50">
      <c r="B271" s="305" t="s">
        <v>1440</v>
      </c>
      <c r="C271" s="706" t="str">
        <f>_xlfn.TEXTAFTER($B271,$C$252)&amp;" - old"</f>
        <v>Other Venue Services Revenue - old</v>
      </c>
      <c r="D271" s="707" t="str" cm="1">
        <f t="array" ref="D271">_xlfn.XLOOKUP($B271,$B$96:$B$176,_xlfn.XLOOKUP(D$181,$D$5:$AX$5,$D$96:$AX$176))</f>
        <v>A$m</v>
      </c>
      <c r="E271" s="307"/>
      <c r="F271" s="307"/>
      <c r="G271" s="708" cm="1">
        <f t="array" ref="G271">_xlfn.XLOOKUP($B271,$B$96:$B$176,_xlfn.XLOOKUP(G$181,$D$5:$AX$5,$D$96:$AX$176))</f>
        <v>35.700000000000003</v>
      </c>
      <c r="H271" s="708" cm="1">
        <f t="array" ref="H271">_xlfn.XLOOKUP($B271,$B$96:$B$176,_xlfn.XLOOKUP(H$181,$D$5:$AX$5,$D$96:$AX$176))</f>
        <v>62.099999999999994</v>
      </c>
      <c r="I271" s="708" cm="1">
        <f t="array" ref="I271">_xlfn.XLOOKUP($B271,$B$96:$B$176,_xlfn.XLOOKUP(I$181,$D$5:$AX$5,$D$96:$AX$176))</f>
        <v>50.9</v>
      </c>
      <c r="J271" s="708" cm="1">
        <f t="array" ref="J271">_xlfn.XLOOKUP($B271,$B$96:$B$176,_xlfn.XLOOKUP(J$181,$D$5:$AX$5,$D$96:$AX$176))</f>
        <v>34.800000000000004</v>
      </c>
      <c r="K271" s="708" cm="1">
        <f t="array" ref="K271">_xlfn.XLOOKUP($B271,$B$96:$B$176,_xlfn.XLOOKUP(K$181,$D$5:$AX$5,$D$96:$AX$176))</f>
        <v>29.1</v>
      </c>
      <c r="L271" s="708" cm="1">
        <f t="array" ref="L271">_xlfn.XLOOKUP($B271,$B$96:$B$176,_xlfn.XLOOKUP(L$181,$D$5:$AX$5,$D$96:$AX$176))</f>
        <v>17.899999999999999</v>
      </c>
      <c r="M271" s="708" cm="1">
        <f t="array" ref="M271">_xlfn.XLOOKUP($B271,$B$96:$B$176,_xlfn.XLOOKUP(M$181,$D$5:$AX$5,$D$96:$AX$176))</f>
        <v>0</v>
      </c>
      <c r="N271" s="708" cm="1">
        <f t="array" ref="N271">_xlfn.XLOOKUP($B271,$B$96:$B$176,_xlfn.XLOOKUP(N$181,$D$5:$AX$5,$D$96:$AX$176))</f>
        <v>0</v>
      </c>
      <c r="O271" s="708" cm="1">
        <f t="array" ref="O271">_xlfn.XLOOKUP($B271,$B$96:$B$176,_xlfn.XLOOKUP(O$181,$D$5:$AX$5,$D$96:$AX$176))</f>
        <v>0</v>
      </c>
      <c r="P271" s="708" cm="1">
        <f t="array" ref="P271">_xlfn.XLOOKUP($B271,$B$96:$B$176,_xlfn.XLOOKUP(P$181,$D$5:$AX$5,$D$96:$AX$176))</f>
        <v>0</v>
      </c>
      <c r="Q271" s="708" cm="1">
        <f t="array" ref="Q271">_xlfn.XLOOKUP($B271,$B$96:$B$176,_xlfn.XLOOKUP(Q$181,$D$5:$AX$5,$D$96:$AX$176))</f>
        <v>0</v>
      </c>
      <c r="R271" s="708" cm="1">
        <f t="array" ref="R271">_xlfn.XLOOKUP($B271,$B$96:$B$176,_xlfn.XLOOKUP(R$181,$D$5:$AX$5,$D$96:$AX$176))</f>
        <v>0</v>
      </c>
      <c r="S271" s="708" cm="1">
        <f t="array" ref="S271">_xlfn.XLOOKUP($B271,$B$96:$B$176,_xlfn.XLOOKUP(S$181,$D$5:$AX$5,$D$96:$AX$176))</f>
        <v>0</v>
      </c>
      <c r="T271" s="708" cm="1">
        <f t="array" ref="T271">_xlfn.XLOOKUP($B271,$B$96:$B$176,_xlfn.XLOOKUP(T$181,$D$5:$AX$5,$D$96:$AX$176))</f>
        <v>0</v>
      </c>
      <c r="U271" s="708" cm="1">
        <f t="array" ref="U271">_xlfn.XLOOKUP($B271,$B$96:$B$176,_xlfn.XLOOKUP(U$181,$D$5:$AX$5,$D$96:$AX$176))</f>
        <v>0</v>
      </c>
      <c r="V271" s="708" cm="1">
        <f t="array" ref="V271">_xlfn.XLOOKUP($B271,$B$96:$B$176,_xlfn.XLOOKUP(V$181,$D$5:$AX$5,$D$96:$AX$176))</f>
        <v>0</v>
      </c>
      <c r="W271" s="708" cm="1">
        <f t="array" ref="W271">_xlfn.XLOOKUP($B271,$B$96:$B$176,_xlfn.XLOOKUP(W$181,$D$5:$AX$5,$D$96:$AX$176))</f>
        <v>0</v>
      </c>
      <c r="X271" s="708" cm="1">
        <f t="array" ref="X271">_xlfn.XLOOKUP($B271,$B$96:$B$176,_xlfn.XLOOKUP(X$181,$D$5:$AX$5,$D$96:$AX$176))</f>
        <v>0</v>
      </c>
      <c r="Y271" s="708" cm="1">
        <f t="array" ref="Y271">_xlfn.XLOOKUP($B271,$B$96:$B$176,_xlfn.XLOOKUP(Y$181,$D$5:$AX$5,$D$96:$AX$176))</f>
        <v>0</v>
      </c>
      <c r="Z271" s="708" cm="1">
        <f t="array" ref="Z271">_xlfn.XLOOKUP($B271,$B$96:$B$176,_xlfn.XLOOKUP(Z$181,$D$5:$AX$5,$D$96:$AX$176))</f>
        <v>0</v>
      </c>
      <c r="AA271" s="708" cm="1">
        <f t="array" ref="AA271">_xlfn.XLOOKUP($B271,$B$96:$B$176,_xlfn.XLOOKUP(AA$181,$D$5:$AX$5,$D$96:$AX$176))</f>
        <v>0</v>
      </c>
      <c r="AB271" s="708" cm="1">
        <f t="array" ref="AB271">_xlfn.XLOOKUP($B271,$B$96:$B$176,_xlfn.XLOOKUP(AB$181,$D$5:$AX$5,$D$96:$AX$176))</f>
        <v>0</v>
      </c>
      <c r="AC271" s="708" cm="1">
        <f t="array" ref="AC271">_xlfn.XLOOKUP($B271,$B$96:$B$176,_xlfn.XLOOKUP(AC$181,$D$5:$AX$5,$D$96:$AX$176))</f>
        <v>0</v>
      </c>
      <c r="AD271" s="708" cm="1">
        <f t="array" ref="AD271">_xlfn.XLOOKUP($B271,$B$96:$B$176,_xlfn.XLOOKUP(AD$181,$D$5:$AX$5,$D$96:$AX$176))</f>
        <v>0</v>
      </c>
      <c r="AE271" s="708" cm="1">
        <f t="array" ref="AE271">_xlfn.XLOOKUP($B271,$B$96:$B$176,_xlfn.XLOOKUP(AE$181,$D$5:$AX$5,$D$96:$AX$176))</f>
        <v>0</v>
      </c>
      <c r="AF271" s="708" cm="1">
        <f t="array" ref="AF271">_xlfn.XLOOKUP($B271,$B$96:$B$176,_xlfn.XLOOKUP(AF$181,$D$5:$AX$5,$D$96:$AX$176))</f>
        <v>0</v>
      </c>
      <c r="AG271" s="309"/>
      <c r="AH271" s="306" t="str">
        <f t="shared" si="99"/>
        <v>Other Venue Services Revenue - old</v>
      </c>
      <c r="AI271" s="707" t="str" cm="1">
        <f t="array" ref="AI271">_xlfn.XLOOKUP($B271,$B$96:$B$176,_xlfn.XLOOKUP(AI$181,$D$5:$AX$5,$D$96:$AX$176))</f>
        <v>A$m</v>
      </c>
      <c r="AJ271" s="307"/>
      <c r="AK271" s="307"/>
      <c r="AL271" s="708" cm="1">
        <f t="array" ref="AL271">_xlfn.XLOOKUP($B271,$B$96:$B$176,_xlfn.XLOOKUP(AL$181,$D$5:$AX$5,$D$96:$AX$176))</f>
        <v>97.8</v>
      </c>
      <c r="AM271" s="708" cm="1">
        <f t="array" ref="AM271">_xlfn.XLOOKUP($B271,$B$96:$B$176,_xlfn.XLOOKUP(AM$181,$D$5:$AX$5,$D$96:$AX$176))</f>
        <v>85.7</v>
      </c>
      <c r="AN271" s="708" cm="1">
        <f t="array" ref="AN271">_xlfn.XLOOKUP($B271,$B$96:$B$176,_xlfn.XLOOKUP(AN$181,$D$5:$AX$5,$D$96:$AX$176))</f>
        <v>47</v>
      </c>
      <c r="AO271" s="708" cm="1">
        <f t="array" ref="AO271">_xlfn.XLOOKUP($B271,$B$96:$B$176,_xlfn.XLOOKUP(AO$181,$D$5:$AX$5,$D$96:$AX$176))</f>
        <v>0</v>
      </c>
      <c r="AP271" s="708" cm="1">
        <f t="array" ref="AP271">_xlfn.XLOOKUP($B271,$B$96:$B$176,_xlfn.XLOOKUP(AP$181,$D$5:$AX$5,$D$96:$AX$176))</f>
        <v>0</v>
      </c>
      <c r="AQ271" s="708" cm="1">
        <f t="array" ref="AQ271">_xlfn.XLOOKUP($B271,$B$96:$B$176,_xlfn.XLOOKUP(AQ$181,$D$5:$AX$5,$D$96:$AX$176))</f>
        <v>0</v>
      </c>
      <c r="AR271" s="708" cm="1">
        <f t="array" ref="AR271">_xlfn.XLOOKUP($B271,$B$96:$B$176,_xlfn.XLOOKUP(AR$181,$D$5:$AX$5,$D$96:$AX$176))</f>
        <v>0</v>
      </c>
      <c r="AS271" s="708" cm="1">
        <f t="array" ref="AS271">_xlfn.XLOOKUP($B271,$B$96:$B$176,_xlfn.XLOOKUP(AS$181,$D$5:$AX$5,$D$96:$AX$176))</f>
        <v>0</v>
      </c>
      <c r="AT271" s="708" cm="1">
        <f t="array" ref="AT271">_xlfn.XLOOKUP($B271,$B$96:$B$176,_xlfn.XLOOKUP(AT$181,$D$5:$AX$5,$D$96:$AX$176))</f>
        <v>0</v>
      </c>
      <c r="AU271" s="708" cm="1">
        <f t="array" ref="AU271">_xlfn.XLOOKUP($B271,$B$96:$B$176,_xlfn.XLOOKUP(AU$181,$D$5:$AX$5,$D$96:$AX$176))</f>
        <v>0</v>
      </c>
      <c r="AV271" s="708" cm="1">
        <f t="array" ref="AV271">_xlfn.XLOOKUP($B271,$B$96:$B$176,_xlfn.XLOOKUP(AV$181,$D$5:$AX$5,$D$96:$AX$176))</f>
        <v>0</v>
      </c>
      <c r="AW271" s="708" cm="1">
        <f t="array" ref="AW271">_xlfn.XLOOKUP($B271,$B$96:$B$176,_xlfn.XLOOKUP(AW$181,$D$5:$AX$5,$D$96:$AX$176))</f>
        <v>0</v>
      </c>
      <c r="AX271" s="708" cm="1">
        <f t="array" ref="AX271">_xlfn.XLOOKUP($B271,$B$96:$B$176,_xlfn.XLOOKUP(AX$181,$D$5:$AX$5,$D$96:$AX$176))</f>
        <v>0</v>
      </c>
    </row>
    <row r="272" spans="2:50">
      <c r="B272" s="305" t="s">
        <v>1440</v>
      </c>
      <c r="C272" s="318" t="str">
        <f>_xlfn.TEXTAFTER($B272,$C$252)&amp;" - New"</f>
        <v>Other Venue Services Revenue - New</v>
      </c>
      <c r="D272" s="311" t="str" cm="1">
        <f t="array" ref="D272">_xlfn.XLOOKUP($B272,$B$11:$B$91,_xlfn.XLOOKUP(D$181,$D$5:$AX$5,$D$11:$AX$91))</f>
        <v>A$m</v>
      </c>
      <c r="E272" s="311"/>
      <c r="F272" s="311"/>
      <c r="G272" s="312" t="e" cm="1">
        <f t="array" ref="G272">_xlfn.XLOOKUP($B272,$B$11:$B$91,_xlfn.XLOOKUP(G$181,$D$5:$AX$5,$D$11:$AX$91))</f>
        <v>#REF!</v>
      </c>
      <c r="H272" s="312" t="e" cm="1">
        <f t="array" ref="H272">_xlfn.XLOOKUP($B272,$B$11:$B$91,_xlfn.XLOOKUP(H$181,$D$5:$AX$5,$D$11:$AX$91))</f>
        <v>#REF!</v>
      </c>
      <c r="I272" s="312" t="e" cm="1">
        <f t="array" ref="I272">_xlfn.XLOOKUP($B272,$B$11:$B$91,_xlfn.XLOOKUP(I$181,$D$5:$AX$5,$D$11:$AX$91))</f>
        <v>#REF!</v>
      </c>
      <c r="J272" s="312" t="e" cm="1">
        <f t="array" ref="J272">_xlfn.XLOOKUP($B272,$B$11:$B$91,_xlfn.XLOOKUP(J$181,$D$5:$AX$5,$D$11:$AX$91))</f>
        <v>#REF!</v>
      </c>
      <c r="K272" s="312" t="e" cm="1">
        <f t="array" ref="K272">_xlfn.XLOOKUP($B272,$B$11:$B$91,_xlfn.XLOOKUP(K$181,$D$5:$AX$5,$D$11:$AX$91))</f>
        <v>#REF!</v>
      </c>
      <c r="L272" s="312" t="e" cm="1">
        <f t="array" ref="L272">_xlfn.XLOOKUP($B272,$B$11:$B$91,_xlfn.XLOOKUP(L$181,$D$5:$AX$5,$D$11:$AX$91))</f>
        <v>#REF!</v>
      </c>
      <c r="M272" s="312" t="e" cm="1">
        <f t="array" ref="M272">_xlfn.XLOOKUP($B272,$B$11:$B$91,_xlfn.XLOOKUP(M$181,$D$5:$AX$5,$D$11:$AX$91))</f>
        <v>#REF!</v>
      </c>
      <c r="N272" s="312" t="e" cm="1">
        <f t="array" ref="N272">_xlfn.XLOOKUP($B272,$B$11:$B$91,_xlfn.XLOOKUP(N$181,$D$5:$AX$5,$D$11:$AX$91))</f>
        <v>#REF!</v>
      </c>
      <c r="O272" s="312" t="e" cm="1">
        <f t="array" ref="O272">_xlfn.XLOOKUP($B272,$B$11:$B$91,_xlfn.XLOOKUP(O$181,$D$5:$AX$5,$D$11:$AX$91))</f>
        <v>#REF!</v>
      </c>
      <c r="P272" s="312" t="e" cm="1">
        <f t="array" ref="P272">_xlfn.XLOOKUP($B272,$B$11:$B$91,_xlfn.XLOOKUP(P$181,$D$5:$AX$5,$D$11:$AX$91))</f>
        <v>#REF!</v>
      </c>
      <c r="Q272" s="312" t="e" cm="1">
        <f t="array" ref="Q272">_xlfn.XLOOKUP($B272,$B$11:$B$91,_xlfn.XLOOKUP(Q$181,$D$5:$AX$5,$D$11:$AX$91))</f>
        <v>#REF!</v>
      </c>
      <c r="R272" s="312" t="e" cm="1">
        <f t="array" ref="R272">_xlfn.XLOOKUP($B272,$B$11:$B$91,_xlfn.XLOOKUP(R$181,$D$5:$AX$5,$D$11:$AX$91))</f>
        <v>#REF!</v>
      </c>
      <c r="S272" s="312" t="e" cm="1">
        <f t="array" ref="S272">_xlfn.XLOOKUP($B272,$B$11:$B$91,_xlfn.XLOOKUP(S$181,$D$5:$AX$5,$D$11:$AX$91))</f>
        <v>#REF!</v>
      </c>
      <c r="T272" s="312" t="e" cm="1">
        <f t="array" ref="T272">_xlfn.XLOOKUP($B272,$B$11:$B$91,_xlfn.XLOOKUP(T$181,$D$5:$AX$5,$D$11:$AX$91))</f>
        <v>#REF!</v>
      </c>
      <c r="U272" s="312" t="e" cm="1">
        <f t="array" ref="U272">_xlfn.XLOOKUP($B272,$B$11:$B$91,_xlfn.XLOOKUP(U$181,$D$5:$AX$5,$D$11:$AX$91))</f>
        <v>#REF!</v>
      </c>
      <c r="V272" s="312" t="e" cm="1">
        <f t="array" ref="V272">_xlfn.XLOOKUP($B272,$B$11:$B$91,_xlfn.XLOOKUP(V$181,$D$5:$AX$5,$D$11:$AX$91))</f>
        <v>#REF!</v>
      </c>
      <c r="W272" s="312" t="e" cm="1">
        <f t="array" ref="W272">_xlfn.XLOOKUP($B272,$B$11:$B$91,_xlfn.XLOOKUP(W$181,$D$5:$AX$5,$D$11:$AX$91))</f>
        <v>#REF!</v>
      </c>
      <c r="X272" s="312" t="e" cm="1">
        <f t="array" ref="X272">_xlfn.XLOOKUP($B272,$B$11:$B$91,_xlfn.XLOOKUP(X$181,$D$5:$AX$5,$D$11:$AX$91))</f>
        <v>#REF!</v>
      </c>
      <c r="Y272" s="312" t="e" cm="1">
        <f t="array" ref="Y272">_xlfn.XLOOKUP($B272,$B$11:$B$91,_xlfn.XLOOKUP(Y$181,$D$5:$AX$5,$D$11:$AX$91))</f>
        <v>#REF!</v>
      </c>
      <c r="Z272" s="312" t="e" cm="1">
        <f t="array" ref="Z272">_xlfn.XLOOKUP($B272,$B$11:$B$91,_xlfn.XLOOKUP(Z$181,$D$5:$AX$5,$D$11:$AX$91))</f>
        <v>#REF!</v>
      </c>
      <c r="AA272" s="312" t="e" cm="1">
        <f t="array" ref="AA272">_xlfn.XLOOKUP($B272,$B$11:$B$91,_xlfn.XLOOKUP(AA$181,$D$5:$AX$5,$D$11:$AX$91))</f>
        <v>#REF!</v>
      </c>
      <c r="AB272" s="312" t="e" cm="1">
        <f t="array" ref="AB272">_xlfn.XLOOKUP($B272,$B$11:$B$91,_xlfn.XLOOKUP(AB$181,$D$5:$AX$5,$D$11:$AX$91))</f>
        <v>#REF!</v>
      </c>
      <c r="AC272" s="312" t="e" cm="1">
        <f t="array" ref="AC272">_xlfn.XLOOKUP($B272,$B$11:$B$91,_xlfn.XLOOKUP(AC$181,$D$5:$AX$5,$D$11:$AX$91))</f>
        <v>#REF!</v>
      </c>
      <c r="AD272" s="312" t="e" cm="1">
        <f t="array" ref="AD272">_xlfn.XLOOKUP($B272,$B$11:$B$91,_xlfn.XLOOKUP(AD$181,$D$5:$AX$5,$D$11:$AX$91))</f>
        <v>#REF!</v>
      </c>
      <c r="AE272" s="312" t="e" cm="1">
        <f t="array" ref="AE272">_xlfn.XLOOKUP($B272,$B$11:$B$91,_xlfn.XLOOKUP(AE$181,$D$5:$AX$5,$D$11:$AX$91))</f>
        <v>#REF!</v>
      </c>
      <c r="AF272" s="312" t="e" cm="1">
        <f t="array" ref="AF272">_xlfn.XLOOKUP($B272,$B$11:$B$91,_xlfn.XLOOKUP(AF$181,$D$5:$AX$5,$D$11:$AX$91))</f>
        <v>#REF!</v>
      </c>
      <c r="AG272" s="312"/>
      <c r="AH272" s="310" t="str">
        <f t="shared" si="99"/>
        <v>Other Venue Services Revenue - New</v>
      </c>
      <c r="AI272" s="311" t="str" cm="1">
        <f t="array" ref="AI272">_xlfn.XLOOKUP($B272,$B$11:$B$91,_xlfn.XLOOKUP(AI$181,$D$5:$AX$5,$D$11:$AX$91))</f>
        <v>A$m</v>
      </c>
      <c r="AJ272" s="311"/>
      <c r="AK272" s="311"/>
      <c r="AL272" s="312" t="e" cm="1">
        <f t="array" ref="AL272">_xlfn.XLOOKUP($B272,$B$11:$B$91,_xlfn.XLOOKUP(AL$181,$D$5:$AX$5,$D$11:$AX$91))</f>
        <v>#REF!</v>
      </c>
      <c r="AM272" s="312" t="e" cm="1">
        <f t="array" ref="AM272">_xlfn.XLOOKUP($B272,$B$11:$B$91,_xlfn.XLOOKUP(AM$181,$D$5:$AX$5,$D$11:$AX$91))</f>
        <v>#REF!</v>
      </c>
      <c r="AN272" s="312" t="e" cm="1">
        <f t="array" ref="AN272">_xlfn.XLOOKUP($B272,$B$11:$B$91,_xlfn.XLOOKUP(AN$181,$D$5:$AX$5,$D$11:$AX$91))</f>
        <v>#REF!</v>
      </c>
      <c r="AO272" s="312" t="e" cm="1">
        <f t="array" ref="AO272">_xlfn.XLOOKUP($B272,$B$11:$B$91,_xlfn.XLOOKUP(AO$181,$D$5:$AX$5,$D$11:$AX$91))</f>
        <v>#REF!</v>
      </c>
      <c r="AP272" s="312" t="e" cm="1">
        <f t="array" ref="AP272">_xlfn.XLOOKUP($B272,$B$11:$B$91,_xlfn.XLOOKUP(AP$181,$D$5:$AX$5,$D$11:$AX$91))</f>
        <v>#REF!</v>
      </c>
      <c r="AQ272" s="312" t="e" cm="1">
        <f t="array" ref="AQ272">_xlfn.XLOOKUP($B272,$B$11:$B$91,_xlfn.XLOOKUP(AQ$181,$D$5:$AX$5,$D$11:$AX$91))</f>
        <v>#REF!</v>
      </c>
      <c r="AR272" s="312" t="e" cm="1">
        <f t="array" ref="AR272">_xlfn.XLOOKUP($B272,$B$11:$B$91,_xlfn.XLOOKUP(AR$181,$D$5:$AX$5,$D$11:$AX$91))</f>
        <v>#REF!</v>
      </c>
      <c r="AS272" s="312" t="e" cm="1">
        <f t="array" ref="AS272">_xlfn.XLOOKUP($B272,$B$11:$B$91,_xlfn.XLOOKUP(AS$181,$D$5:$AX$5,$D$11:$AX$91))</f>
        <v>#REF!</v>
      </c>
      <c r="AT272" s="312" t="e" cm="1">
        <f t="array" ref="AT272">_xlfn.XLOOKUP($B272,$B$11:$B$91,_xlfn.XLOOKUP(AT$181,$D$5:$AX$5,$D$11:$AX$91))</f>
        <v>#REF!</v>
      </c>
      <c r="AU272" s="312" t="e" cm="1">
        <f t="array" ref="AU272">_xlfn.XLOOKUP($B272,$B$11:$B$91,_xlfn.XLOOKUP(AU$181,$D$5:$AX$5,$D$11:$AX$91))</f>
        <v>#REF!</v>
      </c>
      <c r="AV272" s="312" t="e" cm="1">
        <f t="array" ref="AV272">_xlfn.XLOOKUP($B272,$B$11:$B$91,_xlfn.XLOOKUP(AV$181,$D$5:$AX$5,$D$11:$AX$91))</f>
        <v>#REF!</v>
      </c>
      <c r="AW272" s="312" t="e" cm="1">
        <f t="array" ref="AW272">_xlfn.XLOOKUP($B272,$B$11:$B$91,_xlfn.XLOOKUP(AW$181,$D$5:$AX$5,$D$11:$AX$91))</f>
        <v>#REF!</v>
      </c>
      <c r="AX272" s="312" t="e" cm="1">
        <f t="array" ref="AX272">_xlfn.XLOOKUP($B272,$B$11:$B$91,_xlfn.XLOOKUP(AX$181,$D$5:$AX$5,$D$11:$AX$91))</f>
        <v>#REF!</v>
      </c>
    </row>
    <row r="273" spans="1:50" hidden="1" outlineLevel="1">
      <c r="B273" s="305"/>
      <c r="C273" s="313" t="s">
        <v>1121</v>
      </c>
      <c r="D273" s="307" t="s">
        <v>842</v>
      </c>
      <c r="E273" s="307"/>
      <c r="F273" s="307"/>
      <c r="G273" s="314" t="s">
        <v>967</v>
      </c>
      <c r="H273" s="314" t="s">
        <v>967</v>
      </c>
      <c r="I273" s="314" t="e">
        <f t="shared" ref="I273:AF273" si="116">I272/G272-1</f>
        <v>#REF!</v>
      </c>
      <c r="J273" s="314" t="e">
        <f t="shared" si="116"/>
        <v>#REF!</v>
      </c>
      <c r="K273" s="314" t="e">
        <f t="shared" si="116"/>
        <v>#REF!</v>
      </c>
      <c r="L273" s="314" t="e">
        <f t="shared" si="116"/>
        <v>#REF!</v>
      </c>
      <c r="M273" s="314" t="e">
        <f t="shared" si="116"/>
        <v>#REF!</v>
      </c>
      <c r="N273" s="314" t="e">
        <f t="shared" si="116"/>
        <v>#REF!</v>
      </c>
      <c r="O273" s="314" t="e">
        <f t="shared" si="116"/>
        <v>#REF!</v>
      </c>
      <c r="P273" s="314" t="e">
        <f t="shared" si="116"/>
        <v>#REF!</v>
      </c>
      <c r="Q273" s="314" t="e">
        <f t="shared" si="116"/>
        <v>#REF!</v>
      </c>
      <c r="R273" s="314" t="e">
        <f t="shared" si="116"/>
        <v>#REF!</v>
      </c>
      <c r="S273" s="314" t="e">
        <f t="shared" si="116"/>
        <v>#REF!</v>
      </c>
      <c r="T273" s="314" t="e">
        <f t="shared" si="116"/>
        <v>#REF!</v>
      </c>
      <c r="U273" s="314" t="e">
        <f t="shared" si="116"/>
        <v>#REF!</v>
      </c>
      <c r="V273" s="314" t="e">
        <f t="shared" si="116"/>
        <v>#REF!</v>
      </c>
      <c r="W273" s="314" t="e">
        <f t="shared" si="116"/>
        <v>#REF!</v>
      </c>
      <c r="X273" s="314" t="e">
        <f t="shared" si="116"/>
        <v>#REF!</v>
      </c>
      <c r="Y273" s="314" t="e">
        <f t="shared" si="116"/>
        <v>#REF!</v>
      </c>
      <c r="Z273" s="314" t="e">
        <f t="shared" si="116"/>
        <v>#REF!</v>
      </c>
      <c r="AA273" s="314" t="e">
        <f t="shared" si="116"/>
        <v>#REF!</v>
      </c>
      <c r="AB273" s="314" t="e">
        <f t="shared" si="116"/>
        <v>#REF!</v>
      </c>
      <c r="AC273" s="314" t="e">
        <f t="shared" si="116"/>
        <v>#REF!</v>
      </c>
      <c r="AD273" s="314" t="e">
        <f t="shared" si="116"/>
        <v>#REF!</v>
      </c>
      <c r="AE273" s="314" t="e">
        <f t="shared" si="116"/>
        <v>#REF!</v>
      </c>
      <c r="AF273" s="314" t="e">
        <f t="shared" si="116"/>
        <v>#REF!</v>
      </c>
      <c r="AG273" s="315"/>
      <c r="AH273" s="313" t="str">
        <f t="shared" si="99"/>
        <v>- Growth</v>
      </c>
      <c r="AI273" s="307" t="str">
        <f>D273</f>
        <v>%</v>
      </c>
      <c r="AJ273" s="307"/>
      <c r="AK273" s="307"/>
      <c r="AL273" s="314" t="s">
        <v>967</v>
      </c>
      <c r="AM273" s="314" t="e">
        <f t="shared" ref="AM273:AX273" si="117">AM272/AL272-1</f>
        <v>#REF!</v>
      </c>
      <c r="AN273" s="314" t="e">
        <f t="shared" si="117"/>
        <v>#REF!</v>
      </c>
      <c r="AO273" s="314" t="e">
        <f t="shared" si="117"/>
        <v>#REF!</v>
      </c>
      <c r="AP273" s="314" t="e">
        <f t="shared" si="117"/>
        <v>#REF!</v>
      </c>
      <c r="AQ273" s="314" t="e">
        <f t="shared" si="117"/>
        <v>#REF!</v>
      </c>
      <c r="AR273" s="314" t="e">
        <f t="shared" si="117"/>
        <v>#REF!</v>
      </c>
      <c r="AS273" s="314" t="e">
        <f t="shared" si="117"/>
        <v>#REF!</v>
      </c>
      <c r="AT273" s="314" t="e">
        <f t="shared" si="117"/>
        <v>#REF!</v>
      </c>
      <c r="AU273" s="314" t="e">
        <f t="shared" si="117"/>
        <v>#REF!</v>
      </c>
      <c r="AV273" s="314" t="e">
        <f t="shared" si="117"/>
        <v>#REF!</v>
      </c>
      <c r="AW273" s="314" t="e">
        <f t="shared" si="117"/>
        <v>#REF!</v>
      </c>
      <c r="AX273" s="314" t="e">
        <f t="shared" si="117"/>
        <v>#REF!</v>
      </c>
    </row>
    <row r="274" spans="1:50" collapsed="1">
      <c r="B274" s="305"/>
      <c r="C274" s="313" t="s">
        <v>1122</v>
      </c>
      <c r="D274" s="307" t="s">
        <v>842</v>
      </c>
      <c r="E274" s="307"/>
      <c r="F274" s="307"/>
      <c r="G274" s="314">
        <f xml:space="preserve"> IFERROR(ROUND( G272 / G271,3) - 1, 0)</f>
        <v>0</v>
      </c>
      <c r="H274" s="314">
        <f t="shared" ref="H274:AF274" si="118" xml:space="preserve"> IFERROR(ROUND( H272 / H271,3) - 1, 0)</f>
        <v>0</v>
      </c>
      <c r="I274" s="314">
        <f t="shared" si="118"/>
        <v>0</v>
      </c>
      <c r="J274" s="314">
        <f t="shared" si="118"/>
        <v>0</v>
      </c>
      <c r="K274" s="314">
        <f t="shared" si="118"/>
        <v>0</v>
      </c>
      <c r="L274" s="314">
        <f t="shared" si="118"/>
        <v>0</v>
      </c>
      <c r="M274" s="314">
        <f t="shared" si="118"/>
        <v>0</v>
      </c>
      <c r="N274" s="314">
        <f t="shared" si="118"/>
        <v>0</v>
      </c>
      <c r="O274" s="314">
        <f t="shared" si="118"/>
        <v>0</v>
      </c>
      <c r="P274" s="314">
        <f t="shared" si="118"/>
        <v>0</v>
      </c>
      <c r="Q274" s="314">
        <f t="shared" si="118"/>
        <v>0</v>
      </c>
      <c r="R274" s="314">
        <f t="shared" si="118"/>
        <v>0</v>
      </c>
      <c r="S274" s="314">
        <f t="shared" si="118"/>
        <v>0</v>
      </c>
      <c r="T274" s="314">
        <f t="shared" si="118"/>
        <v>0</v>
      </c>
      <c r="U274" s="314">
        <f t="shared" si="118"/>
        <v>0</v>
      </c>
      <c r="V274" s="314">
        <f t="shared" si="118"/>
        <v>0</v>
      </c>
      <c r="W274" s="314">
        <f t="shared" si="118"/>
        <v>0</v>
      </c>
      <c r="X274" s="314">
        <f t="shared" si="118"/>
        <v>0</v>
      </c>
      <c r="Y274" s="314">
        <f t="shared" si="118"/>
        <v>0</v>
      </c>
      <c r="Z274" s="314">
        <f t="shared" si="118"/>
        <v>0</v>
      </c>
      <c r="AA274" s="314">
        <f t="shared" si="118"/>
        <v>0</v>
      </c>
      <c r="AB274" s="314">
        <f t="shared" si="118"/>
        <v>0</v>
      </c>
      <c r="AC274" s="314">
        <f t="shared" si="118"/>
        <v>0</v>
      </c>
      <c r="AD274" s="314">
        <f t="shared" si="118"/>
        <v>0</v>
      </c>
      <c r="AE274" s="314">
        <f t="shared" si="118"/>
        <v>0</v>
      </c>
      <c r="AF274" s="314">
        <f t="shared" si="118"/>
        <v>0</v>
      </c>
      <c r="AG274" s="314"/>
      <c r="AH274" s="313" t="str">
        <f t="shared" si="99"/>
        <v>- Revision</v>
      </c>
      <c r="AI274" s="307" t="str">
        <f>D274</f>
        <v>%</v>
      </c>
      <c r="AJ274" s="307"/>
      <c r="AK274" s="307"/>
      <c r="AL274" s="314">
        <f t="shared" ref="AL274:AX274" si="119" xml:space="preserve"> IFERROR(ROUND( AL272 / AL271,3) - 1, 0)</f>
        <v>0</v>
      </c>
      <c r="AM274" s="314">
        <f t="shared" si="119"/>
        <v>0</v>
      </c>
      <c r="AN274" s="314">
        <f t="shared" si="119"/>
        <v>0</v>
      </c>
      <c r="AO274" s="314">
        <f t="shared" si="119"/>
        <v>0</v>
      </c>
      <c r="AP274" s="314">
        <f t="shared" si="119"/>
        <v>0</v>
      </c>
      <c r="AQ274" s="314">
        <f t="shared" si="119"/>
        <v>0</v>
      </c>
      <c r="AR274" s="314">
        <f t="shared" si="119"/>
        <v>0</v>
      </c>
      <c r="AS274" s="314">
        <f t="shared" si="119"/>
        <v>0</v>
      </c>
      <c r="AT274" s="314">
        <f t="shared" si="119"/>
        <v>0</v>
      </c>
      <c r="AU274" s="314">
        <f t="shared" si="119"/>
        <v>0</v>
      </c>
      <c r="AV274" s="314">
        <f t="shared" si="119"/>
        <v>0</v>
      </c>
      <c r="AW274" s="314">
        <f t="shared" si="119"/>
        <v>0</v>
      </c>
      <c r="AX274" s="314">
        <f t="shared" si="119"/>
        <v>0</v>
      </c>
    </row>
    <row r="275" spans="1:50">
      <c r="B275" s="305" t="s">
        <v>1441</v>
      </c>
      <c r="C275" s="706" t="str">
        <f>_xlfn.TEXTAFTER($B275,$C$252)&amp;" - old"</f>
        <v>Other Venues Services EBITDA - old</v>
      </c>
      <c r="D275" s="707" t="str" cm="1">
        <f t="array" ref="D275">_xlfn.XLOOKUP($B275,$B$96:$B$176,_xlfn.XLOOKUP(D$181,$D$5:$AX$5,$D$96:$AX$176))</f>
        <v>A$m</v>
      </c>
      <c r="E275" s="307"/>
      <c r="F275" s="307"/>
      <c r="G275" s="708" cm="1">
        <f t="array" ref="G275">_xlfn.XLOOKUP($B275,$B$96:$B$176,_xlfn.XLOOKUP(G$181,$D$5:$AX$5,$D$96:$AX$176))</f>
        <v>4.5999999999999996</v>
      </c>
      <c r="H275" s="708" cm="1">
        <f t="array" ref="H275">_xlfn.XLOOKUP($B275,$B$96:$B$176,_xlfn.XLOOKUP(H$181,$D$5:$AX$5,$D$96:$AX$176))</f>
        <v>27.9</v>
      </c>
      <c r="I275" s="708" cm="1">
        <f t="array" ref="I275">_xlfn.XLOOKUP($B275,$B$96:$B$176,_xlfn.XLOOKUP(I$181,$D$5:$AX$5,$D$96:$AX$176))</f>
        <v>16.2</v>
      </c>
      <c r="J275" s="708" cm="1">
        <f t="array" ref="J275">_xlfn.XLOOKUP($B275,$B$96:$B$176,_xlfn.XLOOKUP(J$181,$D$5:$AX$5,$D$96:$AX$176))</f>
        <v>11.7</v>
      </c>
      <c r="K275" s="708" cm="1">
        <f t="array" ref="K275">_xlfn.XLOOKUP($B275,$B$96:$B$176,_xlfn.XLOOKUP(K$181,$D$5:$AX$5,$D$96:$AX$176))</f>
        <v>7</v>
      </c>
      <c r="L275" s="708" cm="1">
        <f t="array" ref="L275">_xlfn.XLOOKUP($B275,$B$96:$B$176,_xlfn.XLOOKUP(L$181,$D$5:$AX$5,$D$96:$AX$176))</f>
        <v>2.4000000000000004</v>
      </c>
      <c r="M275" s="708" cm="1">
        <f t="array" ref="M275">_xlfn.XLOOKUP($B275,$B$96:$B$176,_xlfn.XLOOKUP(M$181,$D$5:$AX$5,$D$96:$AX$176))</f>
        <v>0</v>
      </c>
      <c r="N275" s="708" cm="1">
        <f t="array" ref="N275">_xlfn.XLOOKUP($B275,$B$96:$B$176,_xlfn.XLOOKUP(N$181,$D$5:$AX$5,$D$96:$AX$176))</f>
        <v>0</v>
      </c>
      <c r="O275" s="708" cm="1">
        <f t="array" ref="O275">_xlfn.XLOOKUP($B275,$B$96:$B$176,_xlfn.XLOOKUP(O$181,$D$5:$AX$5,$D$96:$AX$176))</f>
        <v>0</v>
      </c>
      <c r="P275" s="708" cm="1">
        <f t="array" ref="P275">_xlfn.XLOOKUP($B275,$B$96:$B$176,_xlfn.XLOOKUP(P$181,$D$5:$AX$5,$D$96:$AX$176))</f>
        <v>0</v>
      </c>
      <c r="Q275" s="708" cm="1">
        <f t="array" ref="Q275">_xlfn.XLOOKUP($B275,$B$96:$B$176,_xlfn.XLOOKUP(Q$181,$D$5:$AX$5,$D$96:$AX$176))</f>
        <v>0</v>
      </c>
      <c r="R275" s="708" cm="1">
        <f t="array" ref="R275">_xlfn.XLOOKUP($B275,$B$96:$B$176,_xlfn.XLOOKUP(R$181,$D$5:$AX$5,$D$96:$AX$176))</f>
        <v>0</v>
      </c>
      <c r="S275" s="708" cm="1">
        <f t="array" ref="S275">_xlfn.XLOOKUP($B275,$B$96:$B$176,_xlfn.XLOOKUP(S$181,$D$5:$AX$5,$D$96:$AX$176))</f>
        <v>0</v>
      </c>
      <c r="T275" s="708" cm="1">
        <f t="array" ref="T275">_xlfn.XLOOKUP($B275,$B$96:$B$176,_xlfn.XLOOKUP(T$181,$D$5:$AX$5,$D$96:$AX$176))</f>
        <v>0</v>
      </c>
      <c r="U275" s="708" cm="1">
        <f t="array" ref="U275">_xlfn.XLOOKUP($B275,$B$96:$B$176,_xlfn.XLOOKUP(U$181,$D$5:$AX$5,$D$96:$AX$176))</f>
        <v>0</v>
      </c>
      <c r="V275" s="708" cm="1">
        <f t="array" ref="V275">_xlfn.XLOOKUP($B275,$B$96:$B$176,_xlfn.XLOOKUP(V$181,$D$5:$AX$5,$D$96:$AX$176))</f>
        <v>0</v>
      </c>
      <c r="W275" s="708" cm="1">
        <f t="array" ref="W275">_xlfn.XLOOKUP($B275,$B$96:$B$176,_xlfn.XLOOKUP(W$181,$D$5:$AX$5,$D$96:$AX$176))</f>
        <v>0</v>
      </c>
      <c r="X275" s="708" cm="1">
        <f t="array" ref="X275">_xlfn.XLOOKUP($B275,$B$96:$B$176,_xlfn.XLOOKUP(X$181,$D$5:$AX$5,$D$96:$AX$176))</f>
        <v>0</v>
      </c>
      <c r="Y275" s="708" cm="1">
        <f t="array" ref="Y275">_xlfn.XLOOKUP($B275,$B$96:$B$176,_xlfn.XLOOKUP(Y$181,$D$5:$AX$5,$D$96:$AX$176))</f>
        <v>0</v>
      </c>
      <c r="Z275" s="708" cm="1">
        <f t="array" ref="Z275">_xlfn.XLOOKUP($B275,$B$96:$B$176,_xlfn.XLOOKUP(Z$181,$D$5:$AX$5,$D$96:$AX$176))</f>
        <v>0</v>
      </c>
      <c r="AA275" s="708" cm="1">
        <f t="array" ref="AA275">_xlfn.XLOOKUP($B275,$B$96:$B$176,_xlfn.XLOOKUP(AA$181,$D$5:$AX$5,$D$96:$AX$176))</f>
        <v>0</v>
      </c>
      <c r="AB275" s="708" cm="1">
        <f t="array" ref="AB275">_xlfn.XLOOKUP($B275,$B$96:$B$176,_xlfn.XLOOKUP(AB$181,$D$5:$AX$5,$D$96:$AX$176))</f>
        <v>0</v>
      </c>
      <c r="AC275" s="708" cm="1">
        <f t="array" ref="AC275">_xlfn.XLOOKUP($B275,$B$96:$B$176,_xlfn.XLOOKUP(AC$181,$D$5:$AX$5,$D$96:$AX$176))</f>
        <v>0</v>
      </c>
      <c r="AD275" s="708" cm="1">
        <f t="array" ref="AD275">_xlfn.XLOOKUP($B275,$B$96:$B$176,_xlfn.XLOOKUP(AD$181,$D$5:$AX$5,$D$96:$AX$176))</f>
        <v>0</v>
      </c>
      <c r="AE275" s="708" cm="1">
        <f t="array" ref="AE275">_xlfn.XLOOKUP($B275,$B$96:$B$176,_xlfn.XLOOKUP(AE$181,$D$5:$AX$5,$D$96:$AX$176))</f>
        <v>0</v>
      </c>
      <c r="AF275" s="708" cm="1">
        <f t="array" ref="AF275">_xlfn.XLOOKUP($B275,$B$96:$B$176,_xlfn.XLOOKUP(AF$181,$D$5:$AX$5,$D$96:$AX$176))</f>
        <v>0</v>
      </c>
      <c r="AG275" s="309"/>
      <c r="AH275" s="306" t="str">
        <f t="shared" si="99"/>
        <v>Other Venues Services EBITDA - old</v>
      </c>
      <c r="AI275" s="707" t="str" cm="1">
        <f t="array" ref="AI275">_xlfn.XLOOKUP($B275,$B$96:$B$176,_xlfn.XLOOKUP(AI$181,$D$5:$AX$5,$D$96:$AX$176))</f>
        <v>A$m</v>
      </c>
      <c r="AJ275" s="307"/>
      <c r="AK275" s="307"/>
      <c r="AL275" s="708" cm="1">
        <f t="array" ref="AL275">_xlfn.XLOOKUP($B275,$B$96:$B$176,_xlfn.XLOOKUP(AL$181,$D$5:$AX$5,$D$96:$AX$176))</f>
        <v>32.5</v>
      </c>
      <c r="AM275" s="708" cm="1">
        <f t="array" ref="AM275">_xlfn.XLOOKUP($B275,$B$96:$B$176,_xlfn.XLOOKUP(AM$181,$D$5:$AX$5,$D$96:$AX$176))</f>
        <v>27.9</v>
      </c>
      <c r="AN275" s="708" cm="1">
        <f t="array" ref="AN275">_xlfn.XLOOKUP($B275,$B$96:$B$176,_xlfn.XLOOKUP(AN$181,$D$5:$AX$5,$D$96:$AX$176))</f>
        <v>9.4</v>
      </c>
      <c r="AO275" s="708" cm="1">
        <f t="array" ref="AO275">_xlfn.XLOOKUP($B275,$B$96:$B$176,_xlfn.XLOOKUP(AO$181,$D$5:$AX$5,$D$96:$AX$176))</f>
        <v>0</v>
      </c>
      <c r="AP275" s="708" cm="1">
        <f t="array" ref="AP275">_xlfn.XLOOKUP($B275,$B$96:$B$176,_xlfn.XLOOKUP(AP$181,$D$5:$AX$5,$D$96:$AX$176))</f>
        <v>0</v>
      </c>
      <c r="AQ275" s="708" cm="1">
        <f t="array" ref="AQ275">_xlfn.XLOOKUP($B275,$B$96:$B$176,_xlfn.XLOOKUP(AQ$181,$D$5:$AX$5,$D$96:$AX$176))</f>
        <v>0</v>
      </c>
      <c r="AR275" s="708" cm="1">
        <f t="array" ref="AR275">_xlfn.XLOOKUP($B275,$B$96:$B$176,_xlfn.XLOOKUP(AR$181,$D$5:$AX$5,$D$96:$AX$176))</f>
        <v>0</v>
      </c>
      <c r="AS275" s="708" cm="1">
        <f t="array" ref="AS275">_xlfn.XLOOKUP($B275,$B$96:$B$176,_xlfn.XLOOKUP(AS$181,$D$5:$AX$5,$D$96:$AX$176))</f>
        <v>0</v>
      </c>
      <c r="AT275" s="708" cm="1">
        <f t="array" ref="AT275">_xlfn.XLOOKUP($B275,$B$96:$B$176,_xlfn.XLOOKUP(AT$181,$D$5:$AX$5,$D$96:$AX$176))</f>
        <v>0</v>
      </c>
      <c r="AU275" s="708" cm="1">
        <f t="array" ref="AU275">_xlfn.XLOOKUP($B275,$B$96:$B$176,_xlfn.XLOOKUP(AU$181,$D$5:$AX$5,$D$96:$AX$176))</f>
        <v>0</v>
      </c>
      <c r="AV275" s="708" cm="1">
        <f t="array" ref="AV275">_xlfn.XLOOKUP($B275,$B$96:$B$176,_xlfn.XLOOKUP(AV$181,$D$5:$AX$5,$D$96:$AX$176))</f>
        <v>0</v>
      </c>
      <c r="AW275" s="708" cm="1">
        <f t="array" ref="AW275">_xlfn.XLOOKUP($B275,$B$96:$B$176,_xlfn.XLOOKUP(AW$181,$D$5:$AX$5,$D$96:$AX$176))</f>
        <v>0</v>
      </c>
      <c r="AX275" s="708" cm="1">
        <f t="array" ref="AX275">_xlfn.XLOOKUP($B275,$B$96:$B$176,_xlfn.XLOOKUP(AX$181,$D$5:$AX$5,$D$96:$AX$176))</f>
        <v>0</v>
      </c>
    </row>
    <row r="276" spans="1:50">
      <c r="B276" s="305" t="s">
        <v>1441</v>
      </c>
      <c r="C276" s="318" t="str">
        <f>_xlfn.TEXTAFTER($B276,$C$252)&amp;" - New"</f>
        <v>Other Venues Services EBITDA - New</v>
      </c>
      <c r="D276" s="311" t="str" cm="1">
        <f t="array" ref="D276">_xlfn.XLOOKUP($B276,$B$11:$B$91,_xlfn.XLOOKUP(D$181,$D$5:$AX$5,$D$11:$AX$91))</f>
        <v>A$m</v>
      </c>
      <c r="E276" s="311"/>
      <c r="F276" s="311"/>
      <c r="G276" s="312" t="e" cm="1">
        <f t="array" ref="G276">_xlfn.XLOOKUP($B276,$B$11:$B$91,_xlfn.XLOOKUP(G$181,$D$5:$AX$5,$D$11:$AX$91))</f>
        <v>#REF!</v>
      </c>
      <c r="H276" s="312" t="e" cm="1">
        <f t="array" ref="H276">_xlfn.XLOOKUP($B276,$B$11:$B$91,_xlfn.XLOOKUP(H$181,$D$5:$AX$5,$D$11:$AX$91))</f>
        <v>#REF!</v>
      </c>
      <c r="I276" s="312" t="e" cm="1">
        <f t="array" ref="I276">_xlfn.XLOOKUP($B276,$B$11:$B$91,_xlfn.XLOOKUP(I$181,$D$5:$AX$5,$D$11:$AX$91))</f>
        <v>#REF!</v>
      </c>
      <c r="J276" s="312" t="e" cm="1">
        <f t="array" ref="J276">_xlfn.XLOOKUP($B276,$B$11:$B$91,_xlfn.XLOOKUP(J$181,$D$5:$AX$5,$D$11:$AX$91))</f>
        <v>#REF!</v>
      </c>
      <c r="K276" s="312" t="e" cm="1">
        <f t="array" ref="K276">_xlfn.XLOOKUP($B276,$B$11:$B$91,_xlfn.XLOOKUP(K$181,$D$5:$AX$5,$D$11:$AX$91))</f>
        <v>#REF!</v>
      </c>
      <c r="L276" s="312" t="e" cm="1">
        <f t="array" ref="L276">_xlfn.XLOOKUP($B276,$B$11:$B$91,_xlfn.XLOOKUP(L$181,$D$5:$AX$5,$D$11:$AX$91))</f>
        <v>#REF!</v>
      </c>
      <c r="M276" s="312" t="e" cm="1">
        <f t="array" ref="M276">_xlfn.XLOOKUP($B276,$B$11:$B$91,_xlfn.XLOOKUP(M$181,$D$5:$AX$5,$D$11:$AX$91))</f>
        <v>#REF!</v>
      </c>
      <c r="N276" s="312" t="e" cm="1">
        <f t="array" ref="N276">_xlfn.XLOOKUP($B276,$B$11:$B$91,_xlfn.XLOOKUP(N$181,$D$5:$AX$5,$D$11:$AX$91))</f>
        <v>#REF!</v>
      </c>
      <c r="O276" s="312" t="e" cm="1">
        <f t="array" ref="O276">_xlfn.XLOOKUP($B276,$B$11:$B$91,_xlfn.XLOOKUP(O$181,$D$5:$AX$5,$D$11:$AX$91))</f>
        <v>#REF!</v>
      </c>
      <c r="P276" s="312" t="e" cm="1">
        <f t="array" ref="P276">_xlfn.XLOOKUP($B276,$B$11:$B$91,_xlfn.XLOOKUP(P$181,$D$5:$AX$5,$D$11:$AX$91))</f>
        <v>#REF!</v>
      </c>
      <c r="Q276" s="312" t="e" cm="1">
        <f t="array" ref="Q276">_xlfn.XLOOKUP($B276,$B$11:$B$91,_xlfn.XLOOKUP(Q$181,$D$5:$AX$5,$D$11:$AX$91))</f>
        <v>#REF!</v>
      </c>
      <c r="R276" s="312" t="e" cm="1">
        <f t="array" ref="R276">_xlfn.XLOOKUP($B276,$B$11:$B$91,_xlfn.XLOOKUP(R$181,$D$5:$AX$5,$D$11:$AX$91))</f>
        <v>#REF!</v>
      </c>
      <c r="S276" s="312" t="e" cm="1">
        <f t="array" ref="S276">_xlfn.XLOOKUP($B276,$B$11:$B$91,_xlfn.XLOOKUP(S$181,$D$5:$AX$5,$D$11:$AX$91))</f>
        <v>#REF!</v>
      </c>
      <c r="T276" s="312" t="e" cm="1">
        <f t="array" ref="T276">_xlfn.XLOOKUP($B276,$B$11:$B$91,_xlfn.XLOOKUP(T$181,$D$5:$AX$5,$D$11:$AX$91))</f>
        <v>#REF!</v>
      </c>
      <c r="U276" s="312" t="e" cm="1">
        <f t="array" ref="U276">_xlfn.XLOOKUP($B276,$B$11:$B$91,_xlfn.XLOOKUP(U$181,$D$5:$AX$5,$D$11:$AX$91))</f>
        <v>#REF!</v>
      </c>
      <c r="V276" s="312" t="e" cm="1">
        <f t="array" ref="V276">_xlfn.XLOOKUP($B276,$B$11:$B$91,_xlfn.XLOOKUP(V$181,$D$5:$AX$5,$D$11:$AX$91))</f>
        <v>#REF!</v>
      </c>
      <c r="W276" s="312" t="e" cm="1">
        <f t="array" ref="W276">_xlfn.XLOOKUP($B276,$B$11:$B$91,_xlfn.XLOOKUP(W$181,$D$5:$AX$5,$D$11:$AX$91))</f>
        <v>#REF!</v>
      </c>
      <c r="X276" s="312" t="e" cm="1">
        <f t="array" ref="X276">_xlfn.XLOOKUP($B276,$B$11:$B$91,_xlfn.XLOOKUP(X$181,$D$5:$AX$5,$D$11:$AX$91))</f>
        <v>#REF!</v>
      </c>
      <c r="Y276" s="312" t="e" cm="1">
        <f t="array" ref="Y276">_xlfn.XLOOKUP($B276,$B$11:$B$91,_xlfn.XLOOKUP(Y$181,$D$5:$AX$5,$D$11:$AX$91))</f>
        <v>#REF!</v>
      </c>
      <c r="Z276" s="312" t="e" cm="1">
        <f t="array" ref="Z276">_xlfn.XLOOKUP($B276,$B$11:$B$91,_xlfn.XLOOKUP(Z$181,$D$5:$AX$5,$D$11:$AX$91))</f>
        <v>#REF!</v>
      </c>
      <c r="AA276" s="312" t="e" cm="1">
        <f t="array" ref="AA276">_xlfn.XLOOKUP($B276,$B$11:$B$91,_xlfn.XLOOKUP(AA$181,$D$5:$AX$5,$D$11:$AX$91))</f>
        <v>#REF!</v>
      </c>
      <c r="AB276" s="312" t="e" cm="1">
        <f t="array" ref="AB276">_xlfn.XLOOKUP($B276,$B$11:$B$91,_xlfn.XLOOKUP(AB$181,$D$5:$AX$5,$D$11:$AX$91))</f>
        <v>#REF!</v>
      </c>
      <c r="AC276" s="312" t="e" cm="1">
        <f t="array" ref="AC276">_xlfn.XLOOKUP($B276,$B$11:$B$91,_xlfn.XLOOKUP(AC$181,$D$5:$AX$5,$D$11:$AX$91))</f>
        <v>#REF!</v>
      </c>
      <c r="AD276" s="312" t="e" cm="1">
        <f t="array" ref="AD276">_xlfn.XLOOKUP($B276,$B$11:$B$91,_xlfn.XLOOKUP(AD$181,$D$5:$AX$5,$D$11:$AX$91))</f>
        <v>#REF!</v>
      </c>
      <c r="AE276" s="312" t="e" cm="1">
        <f t="array" ref="AE276">_xlfn.XLOOKUP($B276,$B$11:$B$91,_xlfn.XLOOKUP(AE$181,$D$5:$AX$5,$D$11:$AX$91))</f>
        <v>#REF!</v>
      </c>
      <c r="AF276" s="312" t="e" cm="1">
        <f t="array" ref="AF276">_xlfn.XLOOKUP($B276,$B$11:$B$91,_xlfn.XLOOKUP(AF$181,$D$5:$AX$5,$D$11:$AX$91))</f>
        <v>#REF!</v>
      </c>
      <c r="AG276" s="312"/>
      <c r="AH276" s="310" t="str">
        <f t="shared" si="99"/>
        <v>Other Venues Services EBITDA - New</v>
      </c>
      <c r="AI276" s="311" t="str" cm="1">
        <f t="array" ref="AI276">_xlfn.XLOOKUP($B276,$B$11:$B$91,_xlfn.XLOOKUP(AI$181,$D$5:$AX$5,$D$11:$AX$91))</f>
        <v>A$m</v>
      </c>
      <c r="AJ276" s="311"/>
      <c r="AK276" s="311"/>
      <c r="AL276" s="312" t="e" cm="1">
        <f t="array" ref="AL276">_xlfn.XLOOKUP($B276,$B$11:$B$91,_xlfn.XLOOKUP(AL$181,$D$5:$AX$5,$D$11:$AX$91))</f>
        <v>#REF!</v>
      </c>
      <c r="AM276" s="312" t="e" cm="1">
        <f t="array" ref="AM276">_xlfn.XLOOKUP($B276,$B$11:$B$91,_xlfn.XLOOKUP(AM$181,$D$5:$AX$5,$D$11:$AX$91))</f>
        <v>#REF!</v>
      </c>
      <c r="AN276" s="312" t="e" cm="1">
        <f t="array" ref="AN276">_xlfn.XLOOKUP($B276,$B$11:$B$91,_xlfn.XLOOKUP(AN$181,$D$5:$AX$5,$D$11:$AX$91))</f>
        <v>#REF!</v>
      </c>
      <c r="AO276" s="312" t="e" cm="1">
        <f t="array" ref="AO276">_xlfn.XLOOKUP($B276,$B$11:$B$91,_xlfn.XLOOKUP(AO$181,$D$5:$AX$5,$D$11:$AX$91))</f>
        <v>#REF!</v>
      </c>
      <c r="AP276" s="312" t="e" cm="1">
        <f t="array" ref="AP276">_xlfn.XLOOKUP($B276,$B$11:$B$91,_xlfn.XLOOKUP(AP$181,$D$5:$AX$5,$D$11:$AX$91))</f>
        <v>#REF!</v>
      </c>
      <c r="AQ276" s="312" t="e" cm="1">
        <f t="array" ref="AQ276">_xlfn.XLOOKUP($B276,$B$11:$B$91,_xlfn.XLOOKUP(AQ$181,$D$5:$AX$5,$D$11:$AX$91))</f>
        <v>#REF!</v>
      </c>
      <c r="AR276" s="312" t="e" cm="1">
        <f t="array" ref="AR276">_xlfn.XLOOKUP($B276,$B$11:$B$91,_xlfn.XLOOKUP(AR$181,$D$5:$AX$5,$D$11:$AX$91))</f>
        <v>#REF!</v>
      </c>
      <c r="AS276" s="312" t="e" cm="1">
        <f t="array" ref="AS276">_xlfn.XLOOKUP($B276,$B$11:$B$91,_xlfn.XLOOKUP(AS$181,$D$5:$AX$5,$D$11:$AX$91))</f>
        <v>#REF!</v>
      </c>
      <c r="AT276" s="312" t="e" cm="1">
        <f t="array" ref="AT276">_xlfn.XLOOKUP($B276,$B$11:$B$91,_xlfn.XLOOKUP(AT$181,$D$5:$AX$5,$D$11:$AX$91))</f>
        <v>#REF!</v>
      </c>
      <c r="AU276" s="312" t="e" cm="1">
        <f t="array" ref="AU276">_xlfn.XLOOKUP($B276,$B$11:$B$91,_xlfn.XLOOKUP(AU$181,$D$5:$AX$5,$D$11:$AX$91))</f>
        <v>#REF!</v>
      </c>
      <c r="AV276" s="312" t="e" cm="1">
        <f t="array" ref="AV276">_xlfn.XLOOKUP($B276,$B$11:$B$91,_xlfn.XLOOKUP(AV$181,$D$5:$AX$5,$D$11:$AX$91))</f>
        <v>#REF!</v>
      </c>
      <c r="AW276" s="312" t="e" cm="1">
        <f t="array" ref="AW276">_xlfn.XLOOKUP($B276,$B$11:$B$91,_xlfn.XLOOKUP(AW$181,$D$5:$AX$5,$D$11:$AX$91))</f>
        <v>#REF!</v>
      </c>
      <c r="AX276" s="312" t="e" cm="1">
        <f t="array" ref="AX276">_xlfn.XLOOKUP($B276,$B$11:$B$91,_xlfn.XLOOKUP(AX$181,$D$5:$AX$5,$D$11:$AX$91))</f>
        <v>#REF!</v>
      </c>
    </row>
    <row r="277" spans="1:50" hidden="1" outlineLevel="1">
      <c r="C277" s="313" t="s">
        <v>1121</v>
      </c>
      <c r="D277" s="307" t="s">
        <v>842</v>
      </c>
      <c r="E277" s="307"/>
      <c r="F277" s="307"/>
      <c r="G277" s="314" t="s">
        <v>967</v>
      </c>
      <c r="H277" s="314" t="s">
        <v>967</v>
      </c>
      <c r="I277" s="314" t="e">
        <f t="shared" ref="I277:AF277" si="120">I276/G276-1</f>
        <v>#REF!</v>
      </c>
      <c r="J277" s="314" t="e">
        <f t="shared" si="120"/>
        <v>#REF!</v>
      </c>
      <c r="K277" s="314" t="e">
        <f t="shared" si="120"/>
        <v>#REF!</v>
      </c>
      <c r="L277" s="314" t="e">
        <f t="shared" si="120"/>
        <v>#REF!</v>
      </c>
      <c r="M277" s="314" t="e">
        <f t="shared" si="120"/>
        <v>#REF!</v>
      </c>
      <c r="N277" s="314" t="e">
        <f t="shared" si="120"/>
        <v>#REF!</v>
      </c>
      <c r="O277" s="314" t="e">
        <f t="shared" si="120"/>
        <v>#REF!</v>
      </c>
      <c r="P277" s="314" t="e">
        <f t="shared" si="120"/>
        <v>#REF!</v>
      </c>
      <c r="Q277" s="314" t="e">
        <f t="shared" si="120"/>
        <v>#REF!</v>
      </c>
      <c r="R277" s="314" t="e">
        <f t="shared" si="120"/>
        <v>#REF!</v>
      </c>
      <c r="S277" s="314" t="e">
        <f t="shared" si="120"/>
        <v>#REF!</v>
      </c>
      <c r="T277" s="314" t="e">
        <f t="shared" si="120"/>
        <v>#REF!</v>
      </c>
      <c r="U277" s="314" t="e">
        <f t="shared" si="120"/>
        <v>#REF!</v>
      </c>
      <c r="V277" s="314" t="e">
        <f t="shared" si="120"/>
        <v>#REF!</v>
      </c>
      <c r="W277" s="314" t="e">
        <f t="shared" si="120"/>
        <v>#REF!</v>
      </c>
      <c r="X277" s="314" t="e">
        <f t="shared" si="120"/>
        <v>#REF!</v>
      </c>
      <c r="Y277" s="314" t="e">
        <f t="shared" si="120"/>
        <v>#REF!</v>
      </c>
      <c r="Z277" s="314" t="e">
        <f t="shared" si="120"/>
        <v>#REF!</v>
      </c>
      <c r="AA277" s="314" t="e">
        <f t="shared" si="120"/>
        <v>#REF!</v>
      </c>
      <c r="AB277" s="314" t="e">
        <f t="shared" si="120"/>
        <v>#REF!</v>
      </c>
      <c r="AC277" s="314" t="e">
        <f t="shared" si="120"/>
        <v>#REF!</v>
      </c>
      <c r="AD277" s="314" t="e">
        <f t="shared" si="120"/>
        <v>#REF!</v>
      </c>
      <c r="AE277" s="314" t="e">
        <f t="shared" si="120"/>
        <v>#REF!</v>
      </c>
      <c r="AF277" s="314" t="e">
        <f t="shared" si="120"/>
        <v>#REF!</v>
      </c>
      <c r="AG277" s="315"/>
      <c r="AH277" s="313" t="str">
        <f t="shared" si="99"/>
        <v>- Growth</v>
      </c>
      <c r="AI277" s="307" t="str">
        <f>D277</f>
        <v>%</v>
      </c>
      <c r="AJ277" s="307"/>
      <c r="AK277" s="307"/>
      <c r="AL277" s="314" t="s">
        <v>967</v>
      </c>
      <c r="AM277" s="314" t="e">
        <f t="shared" ref="AM277:AX277" si="121">AM276/AL276-1</f>
        <v>#REF!</v>
      </c>
      <c r="AN277" s="314" t="e">
        <f t="shared" si="121"/>
        <v>#REF!</v>
      </c>
      <c r="AO277" s="314" t="e">
        <f t="shared" si="121"/>
        <v>#REF!</v>
      </c>
      <c r="AP277" s="314" t="e">
        <f t="shared" si="121"/>
        <v>#REF!</v>
      </c>
      <c r="AQ277" s="314" t="e">
        <f t="shared" si="121"/>
        <v>#REF!</v>
      </c>
      <c r="AR277" s="314" t="e">
        <f t="shared" si="121"/>
        <v>#REF!</v>
      </c>
      <c r="AS277" s="314" t="e">
        <f t="shared" si="121"/>
        <v>#REF!</v>
      </c>
      <c r="AT277" s="314" t="e">
        <f t="shared" si="121"/>
        <v>#REF!</v>
      </c>
      <c r="AU277" s="314" t="e">
        <f t="shared" si="121"/>
        <v>#REF!</v>
      </c>
      <c r="AV277" s="314" t="e">
        <f t="shared" si="121"/>
        <v>#REF!</v>
      </c>
      <c r="AW277" s="314" t="e">
        <f t="shared" si="121"/>
        <v>#REF!</v>
      </c>
      <c r="AX277" s="314" t="e">
        <f t="shared" si="121"/>
        <v>#REF!</v>
      </c>
    </row>
    <row r="278" spans="1:50" collapsed="1">
      <c r="C278" s="313" t="s">
        <v>1122</v>
      </c>
      <c r="D278" s="307" t="s">
        <v>842</v>
      </c>
      <c r="E278" s="307"/>
      <c r="F278" s="307"/>
      <c r="G278" s="314">
        <f xml:space="preserve"> IFERROR(ROUND( G276 / G275,3) - 1, 0)</f>
        <v>0</v>
      </c>
      <c r="H278" s="314">
        <f t="shared" ref="H278:AF278" si="122" xml:space="preserve"> IFERROR(ROUND( H276 / H275,3) - 1, 0)</f>
        <v>0</v>
      </c>
      <c r="I278" s="314">
        <f t="shared" si="122"/>
        <v>0</v>
      </c>
      <c r="J278" s="314">
        <f t="shared" si="122"/>
        <v>0</v>
      </c>
      <c r="K278" s="314">
        <f t="shared" si="122"/>
        <v>0</v>
      </c>
      <c r="L278" s="314">
        <f t="shared" si="122"/>
        <v>0</v>
      </c>
      <c r="M278" s="314">
        <f t="shared" si="122"/>
        <v>0</v>
      </c>
      <c r="N278" s="314">
        <f t="shared" si="122"/>
        <v>0</v>
      </c>
      <c r="O278" s="314">
        <f t="shared" si="122"/>
        <v>0</v>
      </c>
      <c r="P278" s="314">
        <f t="shared" si="122"/>
        <v>0</v>
      </c>
      <c r="Q278" s="314">
        <f t="shared" si="122"/>
        <v>0</v>
      </c>
      <c r="R278" s="314">
        <f t="shared" si="122"/>
        <v>0</v>
      </c>
      <c r="S278" s="314">
        <f t="shared" si="122"/>
        <v>0</v>
      </c>
      <c r="T278" s="314">
        <f t="shared" si="122"/>
        <v>0</v>
      </c>
      <c r="U278" s="314">
        <f t="shared" si="122"/>
        <v>0</v>
      </c>
      <c r="V278" s="314">
        <f t="shared" si="122"/>
        <v>0</v>
      </c>
      <c r="W278" s="314">
        <f t="shared" si="122"/>
        <v>0</v>
      </c>
      <c r="X278" s="314">
        <f t="shared" si="122"/>
        <v>0</v>
      </c>
      <c r="Y278" s="314">
        <f t="shared" si="122"/>
        <v>0</v>
      </c>
      <c r="Z278" s="314">
        <f t="shared" si="122"/>
        <v>0</v>
      </c>
      <c r="AA278" s="314">
        <f t="shared" si="122"/>
        <v>0</v>
      </c>
      <c r="AB278" s="314">
        <f t="shared" si="122"/>
        <v>0</v>
      </c>
      <c r="AC278" s="314">
        <f t="shared" si="122"/>
        <v>0</v>
      </c>
      <c r="AD278" s="314">
        <f t="shared" si="122"/>
        <v>0</v>
      </c>
      <c r="AE278" s="314">
        <f t="shared" si="122"/>
        <v>0</v>
      </c>
      <c r="AF278" s="314">
        <f t="shared" si="122"/>
        <v>0</v>
      </c>
      <c r="AG278" s="314"/>
      <c r="AH278" s="313" t="str">
        <f t="shared" si="99"/>
        <v>- Revision</v>
      </c>
      <c r="AI278" s="307" t="str">
        <f>D278</f>
        <v>%</v>
      </c>
      <c r="AJ278" s="307"/>
      <c r="AK278" s="307"/>
      <c r="AL278" s="314">
        <f t="shared" ref="AL278:AX278" si="123" xml:space="preserve"> IFERROR(ROUND( AL276 / AL275,3) - 1, 0)</f>
        <v>0</v>
      </c>
      <c r="AM278" s="314">
        <f t="shared" si="123"/>
        <v>0</v>
      </c>
      <c r="AN278" s="314">
        <f t="shared" si="123"/>
        <v>0</v>
      </c>
      <c r="AO278" s="314">
        <f t="shared" si="123"/>
        <v>0</v>
      </c>
      <c r="AP278" s="314">
        <f t="shared" si="123"/>
        <v>0</v>
      </c>
      <c r="AQ278" s="314">
        <f t="shared" si="123"/>
        <v>0</v>
      </c>
      <c r="AR278" s="314">
        <f t="shared" si="123"/>
        <v>0</v>
      </c>
      <c r="AS278" s="314">
        <f t="shared" si="123"/>
        <v>0</v>
      </c>
      <c r="AT278" s="314">
        <f t="shared" si="123"/>
        <v>0</v>
      </c>
      <c r="AU278" s="314">
        <f t="shared" si="123"/>
        <v>0</v>
      </c>
      <c r="AV278" s="314">
        <f t="shared" si="123"/>
        <v>0</v>
      </c>
      <c r="AW278" s="314">
        <f t="shared" si="123"/>
        <v>0</v>
      </c>
      <c r="AX278" s="314">
        <f t="shared" si="123"/>
        <v>0</v>
      </c>
    </row>
    <row r="279" spans="1:50">
      <c r="C279" s="313"/>
      <c r="D279" s="307"/>
      <c r="E279" s="307"/>
      <c r="F279" s="307"/>
      <c r="G279" s="314"/>
      <c r="H279" s="314"/>
      <c r="I279" s="314"/>
      <c r="J279" s="314"/>
      <c r="K279" s="314"/>
      <c r="L279" s="314"/>
      <c r="M279" s="314"/>
      <c r="N279" s="314"/>
      <c r="O279" s="314"/>
      <c r="P279" s="314"/>
      <c r="Q279" s="314"/>
      <c r="R279" s="314"/>
      <c r="S279" s="314"/>
      <c r="T279" s="314"/>
      <c r="U279" s="314"/>
      <c r="V279" s="314"/>
      <c r="W279" s="314"/>
      <c r="X279" s="314"/>
      <c r="Y279" s="314"/>
      <c r="Z279" s="314"/>
      <c r="AA279" s="314"/>
      <c r="AB279" s="314"/>
      <c r="AC279" s="314"/>
      <c r="AD279" s="314"/>
      <c r="AE279" s="314"/>
      <c r="AF279" s="314"/>
      <c r="AG279" s="314"/>
      <c r="AH279" s="313"/>
      <c r="AI279" s="307"/>
      <c r="AJ279" s="307"/>
      <c r="AK279" s="307"/>
      <c r="AL279" s="314"/>
      <c r="AM279" s="314"/>
      <c r="AN279" s="314"/>
      <c r="AO279" s="314"/>
      <c r="AP279" s="314"/>
      <c r="AQ279" s="314"/>
      <c r="AR279" s="314"/>
      <c r="AS279" s="314"/>
      <c r="AT279" s="314"/>
      <c r="AU279" s="314"/>
      <c r="AV279" s="314"/>
      <c r="AW279" s="314"/>
      <c r="AX279" s="314"/>
    </row>
    <row r="280" spans="1:50">
      <c r="A280" t="s">
        <v>971</v>
      </c>
      <c r="C280" s="291" t="s">
        <v>1293</v>
      </c>
      <c r="D280" s="292"/>
      <c r="E280" s="292"/>
      <c r="F280" s="292"/>
      <c r="G280" s="292"/>
      <c r="H280" s="292"/>
      <c r="I280" s="292"/>
      <c r="J280" s="292"/>
      <c r="K280" s="292"/>
      <c r="L280" s="292"/>
      <c r="M280" s="292"/>
      <c r="N280" s="292"/>
      <c r="O280" s="292"/>
      <c r="P280" s="293"/>
      <c r="Q280" s="293"/>
      <c r="R280" s="293"/>
      <c r="S280" s="293"/>
      <c r="T280" s="293"/>
      <c r="U280" s="293"/>
      <c r="V280" s="293"/>
      <c r="W280" s="293"/>
      <c r="X280" s="293"/>
      <c r="Y280" s="293"/>
      <c r="Z280" s="293"/>
      <c r="AA280" s="293"/>
      <c r="AB280" s="293"/>
      <c r="AC280" s="293"/>
      <c r="AD280" s="293"/>
      <c r="AE280" s="293"/>
      <c r="AF280" s="293"/>
      <c r="AG280" s="293"/>
      <c r="AH280" s="293"/>
      <c r="AI280" s="293"/>
      <c r="AJ280" s="292"/>
      <c r="AK280" s="292"/>
      <c r="AL280" s="292"/>
      <c r="AM280" s="292"/>
      <c r="AN280" s="292"/>
      <c r="AO280" s="292"/>
      <c r="AP280" s="292"/>
      <c r="AQ280" s="292"/>
      <c r="AR280" s="292"/>
      <c r="AS280" s="292"/>
      <c r="AT280" s="292"/>
      <c r="AU280" s="292"/>
      <c r="AV280" s="292"/>
      <c r="AW280" s="292"/>
      <c r="AX280" s="292"/>
    </row>
    <row r="281" spans="1:50">
      <c r="C281" s="296"/>
      <c r="D281" s="296" t="s">
        <v>960</v>
      </c>
      <c r="E281" s="296"/>
      <c r="F281" s="296" t="str">
        <f>F$5</f>
        <v>VAL</v>
      </c>
      <c r="G281" s="297" t="str">
        <f t="shared" ref="G281:AF281" si="124">G$5</f>
        <v>1H22A</v>
      </c>
      <c r="H281" s="298" t="str">
        <f t="shared" si="124"/>
        <v>2H22A</v>
      </c>
      <c r="I281" s="297" t="str">
        <f t="shared" si="124"/>
        <v>1H23A</v>
      </c>
      <c r="J281" s="298" t="str">
        <f t="shared" si="124"/>
        <v>2H23A</v>
      </c>
      <c r="K281" s="297" t="str">
        <f t="shared" si="124"/>
        <v>1H24E</v>
      </c>
      <c r="L281" s="298" t="str">
        <f t="shared" si="124"/>
        <v>2H24E</v>
      </c>
      <c r="M281" s="297" t="str">
        <f t="shared" si="124"/>
        <v>1H25E</v>
      </c>
      <c r="N281" s="298" t="str">
        <f t="shared" si="124"/>
        <v>2H25E</v>
      </c>
      <c r="O281" s="297" t="str">
        <f t="shared" si="124"/>
        <v>1H26E</v>
      </c>
      <c r="P281" s="298" t="str">
        <f t="shared" si="124"/>
        <v>2H26E</v>
      </c>
      <c r="Q281" s="297" t="str">
        <f t="shared" si="124"/>
        <v>1H27E</v>
      </c>
      <c r="R281" s="298" t="str">
        <f t="shared" si="124"/>
        <v>2H27E</v>
      </c>
      <c r="S281" s="297" t="str">
        <f t="shared" si="124"/>
        <v>1H28E</v>
      </c>
      <c r="T281" s="298" t="str">
        <f t="shared" si="124"/>
        <v>2H28E</v>
      </c>
      <c r="U281" s="297" t="str">
        <f t="shared" si="124"/>
        <v>1H29E</v>
      </c>
      <c r="V281" s="298" t="str">
        <f t="shared" si="124"/>
        <v>2H29E</v>
      </c>
      <c r="W281" s="297" t="str">
        <f t="shared" si="124"/>
        <v>1H30E</v>
      </c>
      <c r="X281" s="298" t="str">
        <f t="shared" si="124"/>
        <v>2H30E</v>
      </c>
      <c r="Y281" s="298" t="str">
        <f t="shared" si="124"/>
        <v>1H31E</v>
      </c>
      <c r="Z281" s="298" t="str">
        <f t="shared" si="124"/>
        <v>2H31E</v>
      </c>
      <c r="AA281" s="298" t="str">
        <f t="shared" si="124"/>
        <v>1H32E</v>
      </c>
      <c r="AB281" s="298" t="str">
        <f t="shared" si="124"/>
        <v>2H32E</v>
      </c>
      <c r="AC281" s="298" t="str">
        <f t="shared" si="124"/>
        <v>1H33E</v>
      </c>
      <c r="AD281" s="298" t="str">
        <f t="shared" si="124"/>
        <v>2H33E</v>
      </c>
      <c r="AE281" s="298" t="str">
        <f t="shared" si="124"/>
        <v>1H34E</v>
      </c>
      <c r="AF281" s="298" t="str">
        <f t="shared" si="124"/>
        <v>2H34E</v>
      </c>
      <c r="AG281" s="299"/>
      <c r="AH281" s="723"/>
      <c r="AI281" s="723" t="s">
        <v>960</v>
      </c>
      <c r="AJ281" s="723"/>
      <c r="AK281" s="723" t="str">
        <f>AK$5</f>
        <v>VAL</v>
      </c>
      <c r="AL281" s="723" t="str">
        <f t="shared" ref="AL281:AX281" si="125">AL$5</f>
        <v>FY22A</v>
      </c>
      <c r="AM281" s="723" t="str">
        <f t="shared" si="125"/>
        <v>FY23A</v>
      </c>
      <c r="AN281" s="723" t="str">
        <f t="shared" si="125"/>
        <v>FY24A</v>
      </c>
      <c r="AO281" s="723" t="str">
        <f t="shared" si="125"/>
        <v>FY25A</v>
      </c>
      <c r="AP281" s="723" t="str">
        <f t="shared" si="125"/>
        <v>FY26A</v>
      </c>
      <c r="AQ281" s="723" t="str">
        <f t="shared" si="125"/>
        <v>FY27A</v>
      </c>
      <c r="AR281" s="723" t="str">
        <f t="shared" si="125"/>
        <v>FY28A</v>
      </c>
      <c r="AS281" s="723" t="str">
        <f t="shared" si="125"/>
        <v>FY29A</v>
      </c>
      <c r="AT281" s="723" t="str">
        <f t="shared" si="125"/>
        <v>FY30A</v>
      </c>
      <c r="AU281" s="723" t="str">
        <f t="shared" si="125"/>
        <v>FY31A</v>
      </c>
      <c r="AV281" s="723" t="str">
        <f t="shared" si="125"/>
        <v>FY32A</v>
      </c>
      <c r="AW281" s="723" t="str">
        <f t="shared" si="125"/>
        <v>FY33A</v>
      </c>
      <c r="AX281" s="723" t="str">
        <f t="shared" si="125"/>
        <v>FY34A</v>
      </c>
    </row>
    <row r="282" spans="1:50">
      <c r="C282" s="300"/>
      <c r="D282" s="300"/>
      <c r="E282" s="300"/>
      <c r="F282" s="300"/>
      <c r="G282" s="301">
        <f t="shared" ref="G282:AF282" si="126">G$6</f>
        <v>44561</v>
      </c>
      <c r="H282" s="302">
        <f t="shared" si="126"/>
        <v>44742</v>
      </c>
      <c r="I282" s="301">
        <f t="shared" si="126"/>
        <v>44926</v>
      </c>
      <c r="J282" s="302">
        <f t="shared" si="126"/>
        <v>45107</v>
      </c>
      <c r="K282" s="301">
        <f t="shared" si="126"/>
        <v>45291</v>
      </c>
      <c r="L282" s="302">
        <f t="shared" si="126"/>
        <v>45473</v>
      </c>
      <c r="M282" s="301">
        <f t="shared" si="126"/>
        <v>45657</v>
      </c>
      <c r="N282" s="302">
        <f t="shared" si="126"/>
        <v>45838</v>
      </c>
      <c r="O282" s="301">
        <f t="shared" si="126"/>
        <v>46022</v>
      </c>
      <c r="P282" s="302">
        <f t="shared" si="126"/>
        <v>46203</v>
      </c>
      <c r="Q282" s="301">
        <f t="shared" si="126"/>
        <v>46387</v>
      </c>
      <c r="R282" s="302">
        <f t="shared" si="126"/>
        <v>46568</v>
      </c>
      <c r="S282" s="301">
        <f t="shared" si="126"/>
        <v>46752</v>
      </c>
      <c r="T282" s="302">
        <f t="shared" si="126"/>
        <v>46934</v>
      </c>
      <c r="U282" s="301">
        <f t="shared" si="126"/>
        <v>47118</v>
      </c>
      <c r="V282" s="302">
        <f t="shared" si="126"/>
        <v>47299</v>
      </c>
      <c r="W282" s="301">
        <f t="shared" si="126"/>
        <v>47483</v>
      </c>
      <c r="X282" s="300">
        <f t="shared" si="126"/>
        <v>47664</v>
      </c>
      <c r="Y282" s="300">
        <f t="shared" si="126"/>
        <v>47848</v>
      </c>
      <c r="Z282" s="300">
        <f t="shared" si="126"/>
        <v>48029</v>
      </c>
      <c r="AA282" s="300">
        <f t="shared" si="126"/>
        <v>48213</v>
      </c>
      <c r="AB282" s="300">
        <f t="shared" si="126"/>
        <v>48395</v>
      </c>
      <c r="AC282" s="300">
        <f t="shared" si="126"/>
        <v>48579</v>
      </c>
      <c r="AD282" s="300">
        <f t="shared" si="126"/>
        <v>48760</v>
      </c>
      <c r="AE282" s="300">
        <f t="shared" si="126"/>
        <v>48944</v>
      </c>
      <c r="AF282" s="300">
        <f t="shared" si="126"/>
        <v>49125</v>
      </c>
      <c r="AG282" s="303"/>
      <c r="AH282" s="724"/>
      <c r="AI282" s="724"/>
      <c r="AJ282" s="724"/>
      <c r="AK282" s="724"/>
      <c r="AL282" s="724">
        <f t="shared" ref="AL282:AX282" si="127">AL$6</f>
        <v>44742</v>
      </c>
      <c r="AM282" s="724">
        <f t="shared" si="127"/>
        <v>45107</v>
      </c>
      <c r="AN282" s="724">
        <f t="shared" si="127"/>
        <v>45473</v>
      </c>
      <c r="AO282" s="724">
        <f t="shared" si="127"/>
        <v>45838</v>
      </c>
      <c r="AP282" s="724">
        <f t="shared" si="127"/>
        <v>46203</v>
      </c>
      <c r="AQ282" s="724">
        <f t="shared" si="127"/>
        <v>46568</v>
      </c>
      <c r="AR282" s="724">
        <f t="shared" si="127"/>
        <v>46934</v>
      </c>
      <c r="AS282" s="724">
        <f t="shared" si="127"/>
        <v>47299</v>
      </c>
      <c r="AT282" s="724">
        <f t="shared" si="127"/>
        <v>47664</v>
      </c>
      <c r="AU282" s="724">
        <f t="shared" si="127"/>
        <v>48029</v>
      </c>
      <c r="AV282" s="724">
        <f t="shared" si="127"/>
        <v>48395</v>
      </c>
      <c r="AW282" s="724">
        <f t="shared" si="127"/>
        <v>48760</v>
      </c>
      <c r="AX282" s="724">
        <f t="shared" si="127"/>
        <v>49125</v>
      </c>
    </row>
    <row r="283" spans="1:50" s="704" customFormat="1">
      <c r="B283" s="705" t="s">
        <v>1461</v>
      </c>
      <c r="C283" s="706" t="str">
        <f>_xlfn.TEXTAFTER($B283,$C$280)&amp;" - old"</f>
        <v>Revenue - old</v>
      </c>
      <c r="D283" s="707" t="str" cm="1">
        <f t="array" ref="D283">_xlfn.XLOOKUP($B283,$B$96:$B$176,_xlfn.XLOOKUP(D$181,$D$5:$AX$5,$D$96:$AX$176))</f>
        <v>A$m</v>
      </c>
      <c r="E283" s="707"/>
      <c r="F283" s="707"/>
      <c r="G283" s="708" cm="1">
        <f t="array" ref="G283">_xlfn.XLOOKUP($B283,$B$96:$B$176,_xlfn.XLOOKUP(G$181,$D$5:$AX$5,$D$96:$AX$176))</f>
        <v>79.599999999999994</v>
      </c>
      <c r="H283" s="708" cm="1">
        <f t="array" ref="H283">_xlfn.XLOOKUP($B283,$B$96:$B$176,_xlfn.XLOOKUP(H$181,$D$5:$AX$5,$D$96:$AX$176))</f>
        <v>117.30000000000001</v>
      </c>
      <c r="I283" s="708" cm="1">
        <f t="array" ref="I283">_xlfn.XLOOKUP($B283,$B$96:$B$176,_xlfn.XLOOKUP(I$181,$D$5:$AX$5,$D$96:$AX$176))</f>
        <v>108.8</v>
      </c>
      <c r="J283" s="708" cm="1">
        <f t="array" ref="J283">_xlfn.XLOOKUP($B283,$B$96:$B$176,_xlfn.XLOOKUP(J$181,$D$5:$AX$5,$D$96:$AX$176))</f>
        <v>94.8</v>
      </c>
      <c r="K283" s="708" cm="1">
        <f t="array" ref="K283">_xlfn.XLOOKUP($B283,$B$96:$B$176,_xlfn.XLOOKUP(K$181,$D$5:$AX$5,$D$96:$AX$176))</f>
        <v>93</v>
      </c>
      <c r="L283" s="708" cm="1">
        <f t="array" ref="L283">_xlfn.XLOOKUP($B283,$B$96:$B$176,_xlfn.XLOOKUP(L$181,$D$5:$AX$5,$D$96:$AX$176))</f>
        <v>83.1</v>
      </c>
      <c r="M283" s="708" cm="1">
        <f t="array" ref="M283">_xlfn.XLOOKUP($B283,$B$96:$B$176,_xlfn.XLOOKUP(M$181,$D$5:$AX$5,$D$96:$AX$176))</f>
        <v>88.1</v>
      </c>
      <c r="N283" s="708" cm="1">
        <f t="array" ref="N283">_xlfn.XLOOKUP($B283,$B$96:$B$176,_xlfn.XLOOKUP(N$181,$D$5:$AX$5,$D$96:$AX$176))</f>
        <v>87.700000000000017</v>
      </c>
      <c r="O283" s="708" cm="1">
        <f t="array" ref="O283">_xlfn.XLOOKUP($B283,$B$96:$B$176,_xlfn.XLOOKUP(O$181,$D$5:$AX$5,$D$96:$AX$176))</f>
        <v>91.7</v>
      </c>
      <c r="P283" s="708" cm="1">
        <f t="array" ref="P283">_xlfn.XLOOKUP($B283,$B$96:$B$176,_xlfn.XLOOKUP(P$181,$D$5:$AX$5,$D$96:$AX$176))</f>
        <v>91.032600000000016</v>
      </c>
      <c r="Q283" s="708" cm="1">
        <f t="array" ref="Q283">_xlfn.XLOOKUP($B283,$B$96:$B$176,_xlfn.XLOOKUP(Q$181,$D$5:$AX$5,$D$96:$AX$176))</f>
        <v>94.451000000000008</v>
      </c>
      <c r="R283" s="708" cm="1">
        <f t="array" ref="R283">_xlfn.XLOOKUP($B283,$B$96:$B$176,_xlfn.XLOOKUP(R$181,$D$5:$AX$5,$D$96:$AX$176))</f>
        <v>93.763578000000024</v>
      </c>
      <c r="S283" s="708" cm="1">
        <f t="array" ref="S283">_xlfn.XLOOKUP($B283,$B$96:$B$176,_xlfn.XLOOKUP(S$181,$D$5:$AX$5,$D$96:$AX$176))</f>
        <v>97.284530000000004</v>
      </c>
      <c r="T283" s="708" cm="1">
        <f t="array" ref="T283">_xlfn.XLOOKUP($B283,$B$96:$B$176,_xlfn.XLOOKUP(T$181,$D$5:$AX$5,$D$96:$AX$176))</f>
        <v>96.576485340000033</v>
      </c>
      <c r="U283" s="708" cm="1">
        <f t="array" ref="U283">_xlfn.XLOOKUP($B283,$B$96:$B$176,_xlfn.XLOOKUP(U$181,$D$5:$AX$5,$D$96:$AX$176))</f>
        <v>100.20306590000001</v>
      </c>
      <c r="V283" s="708" cm="1">
        <f t="array" ref="V283">_xlfn.XLOOKUP($B283,$B$96:$B$176,_xlfn.XLOOKUP(V$181,$D$5:$AX$5,$D$96:$AX$176))</f>
        <v>99.473779900200043</v>
      </c>
      <c r="W283" s="708" cm="1">
        <f t="array" ref="W283">_xlfn.XLOOKUP($B283,$B$96:$B$176,_xlfn.XLOOKUP(W$181,$D$5:$AX$5,$D$96:$AX$176))</f>
        <v>103.20915787700001</v>
      </c>
      <c r="X283" s="708" cm="1">
        <f t="array" ref="X283">_xlfn.XLOOKUP($B283,$B$96:$B$176,_xlfn.XLOOKUP(X$181,$D$5:$AX$5,$D$96:$AX$176))</f>
        <v>102.45799329720604</v>
      </c>
      <c r="Y283" s="708" cm="1">
        <f t="array" ref="Y283">_xlfn.XLOOKUP($B283,$B$96:$B$176,_xlfn.XLOOKUP(Y$181,$D$5:$AX$5,$D$96:$AX$176))</f>
        <v>106.30543261331002</v>
      </c>
      <c r="Z283" s="708" cm="1">
        <f t="array" ref="Z283">_xlfn.XLOOKUP($B283,$B$96:$B$176,_xlfn.XLOOKUP(Z$181,$D$5:$AX$5,$D$96:$AX$176))</f>
        <v>105.53173309612222</v>
      </c>
      <c r="AA283" s="708" cm="1">
        <f t="array" ref="AA283">_xlfn.XLOOKUP($B283,$B$96:$B$176,_xlfn.XLOOKUP(AA$181,$D$5:$AX$5,$D$96:$AX$176))</f>
        <v>109.49459559170933</v>
      </c>
      <c r="AB283" s="708" cm="1">
        <f t="array" ref="AB283">_xlfn.XLOOKUP($B283,$B$96:$B$176,_xlfn.XLOOKUP(AB$181,$D$5:$AX$5,$D$96:$AX$176))</f>
        <v>108.69768508900589</v>
      </c>
      <c r="AC283" s="708" cm="1">
        <f t="array" ref="AC283">_xlfn.XLOOKUP($B283,$B$96:$B$176,_xlfn.XLOOKUP(AC$181,$D$5:$AX$5,$D$96:$AX$176))</f>
        <v>112.77943345946061</v>
      </c>
      <c r="AD283" s="708" cm="1">
        <f t="array" ref="AD283">_xlfn.XLOOKUP($B283,$B$96:$B$176,_xlfn.XLOOKUP(AD$181,$D$5:$AX$5,$D$96:$AX$176))</f>
        <v>111.95861564167606</v>
      </c>
      <c r="AE283" s="708" cm="1">
        <f t="array" ref="AE283">_xlfn.XLOOKUP($B283,$B$96:$B$176,_xlfn.XLOOKUP(AE$181,$D$5:$AX$5,$D$96:$AX$176))</f>
        <v>116.16281646324443</v>
      </c>
      <c r="AF283" s="708" cm="1">
        <f t="array" ref="AF283">_xlfn.XLOOKUP($B283,$B$96:$B$176,_xlfn.XLOOKUP(AF$181,$D$5:$AX$5,$D$96:$AX$176))</f>
        <v>115.31737411092635</v>
      </c>
      <c r="AG283" s="709"/>
      <c r="AH283" s="706" t="str">
        <f t="shared" ref="AH283:AH310" si="128">C283</f>
        <v>Revenue - old</v>
      </c>
      <c r="AI283" s="707" t="str" cm="1">
        <f t="array" ref="AI283">_xlfn.XLOOKUP($B283,$B$96:$B$176,_xlfn.XLOOKUP(AI$181,$D$5:$AX$5,$D$96:$AX$176))</f>
        <v>A$m</v>
      </c>
      <c r="AJ283" s="707"/>
      <c r="AK283" s="707"/>
      <c r="AL283" s="708" cm="1">
        <f t="array" ref="AL283">_xlfn.XLOOKUP($B283,$B$96:$B$176,_xlfn.XLOOKUP(AL$181,$D$5:$AX$5,$D$96:$AX$176))</f>
        <v>196.9</v>
      </c>
      <c r="AM283" s="708" cm="1">
        <f t="array" ref="AM283">_xlfn.XLOOKUP($B283,$B$96:$B$176,_xlfn.XLOOKUP(AM$181,$D$5:$AX$5,$D$96:$AX$176))</f>
        <v>203.6</v>
      </c>
      <c r="AN283" s="708" cm="1">
        <f t="array" ref="AN283">_xlfn.XLOOKUP($B283,$B$96:$B$176,_xlfn.XLOOKUP(AN$181,$D$5:$AX$5,$D$96:$AX$176))</f>
        <v>176.1</v>
      </c>
      <c r="AO283" s="708" cm="1">
        <f t="array" ref="AO283">_xlfn.XLOOKUP($B283,$B$96:$B$176,_xlfn.XLOOKUP(AO$181,$D$5:$AX$5,$D$96:$AX$176))</f>
        <v>175.8</v>
      </c>
      <c r="AP283" s="708" cm="1">
        <f t="array" ref="AP283">_xlfn.XLOOKUP($B283,$B$96:$B$176,_xlfn.XLOOKUP(AP$181,$D$5:$AX$5,$D$96:$AX$176))</f>
        <v>182.73260000000002</v>
      </c>
      <c r="AQ283" s="708" cm="1">
        <f t="array" ref="AQ283">_xlfn.XLOOKUP($B283,$B$96:$B$176,_xlfn.XLOOKUP(AQ$181,$D$5:$AX$5,$D$96:$AX$176))</f>
        <v>188.21457800000002</v>
      </c>
      <c r="AR283" s="708" cm="1">
        <f t="array" ref="AR283">_xlfn.XLOOKUP($B283,$B$96:$B$176,_xlfn.XLOOKUP(AR$181,$D$5:$AX$5,$D$96:$AX$176))</f>
        <v>193.86101534000005</v>
      </c>
      <c r="AS283" s="708" cm="1">
        <f t="array" ref="AS283">_xlfn.XLOOKUP($B283,$B$96:$B$176,_xlfn.XLOOKUP(AS$181,$D$5:$AX$5,$D$96:$AX$176))</f>
        <v>199.67684580020006</v>
      </c>
      <c r="AT283" s="708" cm="1">
        <f t="array" ref="AT283">_xlfn.XLOOKUP($B283,$B$96:$B$176,_xlfn.XLOOKUP(AT$181,$D$5:$AX$5,$D$96:$AX$176))</f>
        <v>205.66715117420605</v>
      </c>
      <c r="AU283" s="708" cm="1">
        <f t="array" ref="AU283">_xlfn.XLOOKUP($B283,$B$96:$B$176,_xlfn.XLOOKUP(AU$181,$D$5:$AX$5,$D$96:$AX$176))</f>
        <v>211.83716570943224</v>
      </c>
      <c r="AV283" s="708" cm="1">
        <f t="array" ref="AV283">_xlfn.XLOOKUP($B283,$B$96:$B$176,_xlfn.XLOOKUP(AV$181,$D$5:$AX$5,$D$96:$AX$176))</f>
        <v>218.19228068071521</v>
      </c>
      <c r="AW283" s="708" cm="1">
        <f t="array" ref="AW283">_xlfn.XLOOKUP($B283,$B$96:$B$176,_xlfn.XLOOKUP(AW$181,$D$5:$AX$5,$D$96:$AX$176))</f>
        <v>224.73804910113665</v>
      </c>
      <c r="AX283" s="708" cm="1">
        <f t="array" ref="AX283">_xlfn.XLOOKUP($B283,$B$96:$B$176,_xlfn.XLOOKUP(AX$181,$D$5:$AX$5,$D$96:$AX$176))</f>
        <v>231.48019057417076</v>
      </c>
    </row>
    <row r="284" spans="1:50">
      <c r="B284" s="305" t="s">
        <v>1461</v>
      </c>
      <c r="C284" s="318" t="str">
        <f>_xlfn.TEXTAFTER($B284,$C$280)&amp;" - New"</f>
        <v>Revenue - New</v>
      </c>
      <c r="D284" s="311" t="str" cm="1">
        <f t="array" ref="D284">_xlfn.XLOOKUP($B284,$B$11:$B$91,_xlfn.XLOOKUP(D$181,$D$5:$AX$5,$D$11:$AX$91))</f>
        <v>A$m</v>
      </c>
      <c r="E284" s="311"/>
      <c r="F284" s="311"/>
      <c r="G284" s="312" cm="1">
        <f t="array" ref="G284">_xlfn.XLOOKUP($B284,$B$11:$B$91,_xlfn.XLOOKUP(G$181,$D$5:$AX$5,$D$11:$AX$91))</f>
        <v>79.599999999999994</v>
      </c>
      <c r="H284" s="312" cm="1">
        <f t="array" ref="H284">_xlfn.XLOOKUP($B284,$B$11:$B$91,_xlfn.XLOOKUP(H$181,$D$5:$AX$5,$D$11:$AX$91))</f>
        <v>117.30000000000001</v>
      </c>
      <c r="I284" s="312" cm="1">
        <f t="array" ref="I284">_xlfn.XLOOKUP($B284,$B$11:$B$91,_xlfn.XLOOKUP(I$181,$D$5:$AX$5,$D$11:$AX$91))</f>
        <v>108.8</v>
      </c>
      <c r="J284" s="312" cm="1">
        <f t="array" ref="J284">_xlfn.XLOOKUP($B284,$B$11:$B$91,_xlfn.XLOOKUP(J$181,$D$5:$AX$5,$D$11:$AX$91))</f>
        <v>94.8</v>
      </c>
      <c r="K284" s="312" cm="1">
        <f t="array" ref="K284">_xlfn.XLOOKUP($B284,$B$11:$B$91,_xlfn.XLOOKUP(K$181,$D$5:$AX$5,$D$11:$AX$91))</f>
        <v>80.3</v>
      </c>
      <c r="L284" s="312" cm="1">
        <f t="array" ref="L284">_xlfn.XLOOKUP($B284,$B$11:$B$91,_xlfn.XLOOKUP(L$181,$D$5:$AX$5,$D$11:$AX$91))</f>
        <v>83.100000000000009</v>
      </c>
      <c r="M284" s="312" cm="1">
        <f t="array" ref="M284">_xlfn.XLOOKUP($B284,$B$11:$B$91,_xlfn.XLOOKUP(M$181,$D$5:$AX$5,$D$11:$AX$91))</f>
        <v>88.1</v>
      </c>
      <c r="N284" s="312" cm="1">
        <f t="array" ref="N284">_xlfn.XLOOKUP($B284,$B$11:$B$91,_xlfn.XLOOKUP(N$181,$D$5:$AX$5,$D$11:$AX$91))</f>
        <v>87.700000000000017</v>
      </c>
      <c r="O284" s="312" cm="1">
        <f t="array" ref="O284">_xlfn.XLOOKUP($B284,$B$11:$B$91,_xlfn.XLOOKUP(O$181,$D$5:$AX$5,$D$11:$AX$91))</f>
        <v>91.7</v>
      </c>
      <c r="P284" s="312" cm="1">
        <f t="array" ref="P284">_xlfn.XLOOKUP($B284,$B$11:$B$91,_xlfn.XLOOKUP(P$181,$D$5:$AX$5,$D$11:$AX$91))</f>
        <v>89.899999999999991</v>
      </c>
      <c r="Q284" s="312" cm="1">
        <f t="array" ref="Q284">_xlfn.XLOOKUP($B284,$B$11:$B$91,_xlfn.XLOOKUP(Q$181,$D$5:$AX$5,$D$11:$AX$91))</f>
        <v>93.992499999999993</v>
      </c>
      <c r="R284" s="312" cm="1">
        <f t="array" ref="R284">_xlfn.XLOOKUP($B284,$B$11:$B$91,_xlfn.XLOOKUP(R$181,$D$5:$AX$5,$D$11:$AX$91))</f>
        <v>92.14749999999998</v>
      </c>
      <c r="S284" s="312" cm="1">
        <f t="array" ref="S284">_xlfn.XLOOKUP($B284,$B$11:$B$91,_xlfn.XLOOKUP(S$181,$D$5:$AX$5,$D$11:$AX$91))</f>
        <v>96.342312499999977</v>
      </c>
      <c r="T284" s="312" cm="1">
        <f t="array" ref="T284">_xlfn.XLOOKUP($B284,$B$11:$B$91,_xlfn.XLOOKUP(T$181,$D$5:$AX$5,$D$11:$AX$91))</f>
        <v>94.451187499999975</v>
      </c>
      <c r="U284" s="312" cm="1">
        <f t="array" ref="U284">_xlfn.XLOOKUP($B284,$B$11:$B$91,_xlfn.XLOOKUP(U$181,$D$5:$AX$5,$D$11:$AX$91))</f>
        <v>99.23258187499998</v>
      </c>
      <c r="V284" s="312" cm="1">
        <f t="array" ref="V284">_xlfn.XLOOKUP($B284,$B$11:$B$91,_xlfn.XLOOKUP(V$181,$D$5:$AX$5,$D$11:$AX$91))</f>
        <v>97.284723124999971</v>
      </c>
      <c r="W284" s="312" cm="1">
        <f t="array" ref="W284">_xlfn.XLOOKUP($B284,$B$11:$B$91,_xlfn.XLOOKUP(W$181,$D$5:$AX$5,$D$11:$AX$91))</f>
        <v>102.20955933124998</v>
      </c>
      <c r="X284" s="312" cm="1">
        <f t="array" ref="X284">_xlfn.XLOOKUP($B284,$B$11:$B$91,_xlfn.XLOOKUP(X$181,$D$5:$AX$5,$D$11:$AX$91))</f>
        <v>100.20326481874997</v>
      </c>
      <c r="Y284" s="312" cm="1">
        <f t="array" ref="Y284">_xlfn.XLOOKUP($B284,$B$11:$B$91,_xlfn.XLOOKUP(Y$181,$D$5:$AX$5,$D$11:$AX$91))</f>
        <v>105.27584611118748</v>
      </c>
      <c r="Z284" s="312" cm="1">
        <f t="array" ref="Z284">_xlfn.XLOOKUP($B284,$B$11:$B$91,_xlfn.XLOOKUP(Z$181,$D$5:$AX$5,$D$11:$AX$91))</f>
        <v>103.20936276331247</v>
      </c>
      <c r="AA284" s="312" cm="1">
        <f t="array" ref="AA284">_xlfn.XLOOKUP($B284,$B$11:$B$91,_xlfn.XLOOKUP(AA$181,$D$5:$AX$5,$D$11:$AX$91))</f>
        <v>108.4341214945231</v>
      </c>
      <c r="AB284" s="312" cm="1">
        <f t="array" ref="AB284">_xlfn.XLOOKUP($B284,$B$11:$B$91,_xlfn.XLOOKUP(AB$181,$D$5:$AX$5,$D$11:$AX$91))</f>
        <v>106.30564364621185</v>
      </c>
      <c r="AC284" s="312" cm="1">
        <f t="array" ref="AC284">_xlfn.XLOOKUP($B284,$B$11:$B$91,_xlfn.XLOOKUP(AC$181,$D$5:$AX$5,$D$11:$AX$91))</f>
        <v>111.68714513935879</v>
      </c>
      <c r="AD284" s="312" cm="1">
        <f t="array" ref="AD284">_xlfn.XLOOKUP($B284,$B$11:$B$91,_xlfn.XLOOKUP(AD$181,$D$5:$AX$5,$D$11:$AX$91))</f>
        <v>109.49481295559821</v>
      </c>
      <c r="AE284" s="312" cm="1">
        <f t="array" ref="AE284">_xlfn.XLOOKUP($B284,$B$11:$B$91,_xlfn.XLOOKUP(AE$181,$D$5:$AX$5,$D$11:$AX$91))</f>
        <v>115.03775949353955</v>
      </c>
      <c r="AF284" s="312" cm="1">
        <f t="array" ref="AF284">_xlfn.XLOOKUP($B284,$B$11:$B$91,_xlfn.XLOOKUP(AF$181,$D$5:$AX$5,$D$11:$AX$91))</f>
        <v>112.77965734426616</v>
      </c>
      <c r="AG284" s="312"/>
      <c r="AH284" s="310" t="str">
        <f t="shared" si="128"/>
        <v>Revenue - New</v>
      </c>
      <c r="AI284" s="311" t="str" cm="1">
        <f t="array" ref="AI284">_xlfn.XLOOKUP($B284,$B$11:$B$91,_xlfn.XLOOKUP(AI$181,$D$5:$AX$5,$D$11:$AX$91))</f>
        <v>A$m</v>
      </c>
      <c r="AJ284" s="311"/>
      <c r="AK284" s="311"/>
      <c r="AL284" s="312" cm="1">
        <f t="array" ref="AL284">_xlfn.XLOOKUP($B284,$B$11:$B$91,_xlfn.XLOOKUP(AL$181,$D$5:$AX$5,$D$11:$AX$91))</f>
        <v>196.9</v>
      </c>
      <c r="AM284" s="312" cm="1">
        <f t="array" ref="AM284">_xlfn.XLOOKUP($B284,$B$11:$B$91,_xlfn.XLOOKUP(AM$181,$D$5:$AX$5,$D$11:$AX$91))</f>
        <v>203.6</v>
      </c>
      <c r="AN284" s="312" cm="1">
        <f t="array" ref="AN284">_xlfn.XLOOKUP($B284,$B$11:$B$91,_xlfn.XLOOKUP(AN$181,$D$5:$AX$5,$D$11:$AX$91))</f>
        <v>163.4</v>
      </c>
      <c r="AO284" s="312" cm="1">
        <f t="array" ref="AO284">_xlfn.XLOOKUP($B284,$B$11:$B$91,_xlfn.XLOOKUP(AO$181,$D$5:$AX$5,$D$11:$AX$91))</f>
        <v>175.8</v>
      </c>
      <c r="AP284" s="312" cm="1">
        <f t="array" ref="AP284">_xlfn.XLOOKUP($B284,$B$11:$B$91,_xlfn.XLOOKUP(AP$181,$D$5:$AX$5,$D$11:$AX$91))</f>
        <v>181.6</v>
      </c>
      <c r="AQ284" s="312" cm="1">
        <f t="array" ref="AQ284">_xlfn.XLOOKUP($B284,$B$11:$B$91,_xlfn.XLOOKUP(AQ$181,$D$5:$AX$5,$D$11:$AX$91))</f>
        <v>186.14</v>
      </c>
      <c r="AR284" s="312" cm="1">
        <f t="array" ref="AR284">_xlfn.XLOOKUP($B284,$B$11:$B$91,_xlfn.XLOOKUP(AR$181,$D$5:$AX$5,$D$11:$AX$91))</f>
        <v>190.79349999999994</v>
      </c>
      <c r="AS284" s="312" cm="1">
        <f t="array" ref="AS284">_xlfn.XLOOKUP($B284,$B$11:$B$91,_xlfn.XLOOKUP(AS$181,$D$5:$AX$5,$D$11:$AX$91))</f>
        <v>196.51730499999996</v>
      </c>
      <c r="AT284" s="312" cm="1">
        <f t="array" ref="AT284">_xlfn.XLOOKUP($B284,$B$11:$B$91,_xlfn.XLOOKUP(AT$181,$D$5:$AX$5,$D$11:$AX$91))</f>
        <v>202.41282414999995</v>
      </c>
      <c r="AU284" s="312" cm="1">
        <f t="array" ref="AU284">_xlfn.XLOOKUP($B284,$B$11:$B$91,_xlfn.XLOOKUP(AU$181,$D$5:$AX$5,$D$11:$AX$91))</f>
        <v>208.48520887449996</v>
      </c>
      <c r="AV284" s="312" cm="1">
        <f t="array" ref="AV284">_xlfn.XLOOKUP($B284,$B$11:$B$91,_xlfn.XLOOKUP(AV$181,$D$5:$AX$5,$D$11:$AX$91))</f>
        <v>214.73976514073496</v>
      </c>
      <c r="AW284" s="312" cm="1">
        <f t="array" ref="AW284">_xlfn.XLOOKUP($B284,$B$11:$B$91,_xlfn.XLOOKUP(AW$181,$D$5:$AX$5,$D$11:$AX$91))</f>
        <v>221.181958094957</v>
      </c>
      <c r="AX284" s="312" cm="1">
        <f t="array" ref="AX284">_xlfn.XLOOKUP($B284,$B$11:$B$91,_xlfn.XLOOKUP(AX$181,$D$5:$AX$5,$D$11:$AX$91))</f>
        <v>227.81741683780569</v>
      </c>
    </row>
    <row r="285" spans="1:50" hidden="1" outlineLevel="1">
      <c r="C285" s="313" t="s">
        <v>1121</v>
      </c>
      <c r="D285" s="307" t="s">
        <v>842</v>
      </c>
      <c r="E285" s="307"/>
      <c r="F285" s="307"/>
      <c r="G285" s="314" t="s">
        <v>967</v>
      </c>
      <c r="H285" s="314" t="s">
        <v>967</v>
      </c>
      <c r="I285" s="314">
        <f t="shared" ref="I285:AF285" si="129">I284/G284-1</f>
        <v>0.3668341708542715</v>
      </c>
      <c r="J285" s="314">
        <f t="shared" si="129"/>
        <v>-0.19181585677749369</v>
      </c>
      <c r="K285" s="314">
        <f t="shared" si="129"/>
        <v>-0.26194852941176472</v>
      </c>
      <c r="L285" s="314">
        <f t="shared" si="129"/>
        <v>-0.12341772151898722</v>
      </c>
      <c r="M285" s="314">
        <f t="shared" si="129"/>
        <v>9.7135740971357354E-2</v>
      </c>
      <c r="N285" s="314">
        <f t="shared" si="129"/>
        <v>5.5354993983153022E-2</v>
      </c>
      <c r="O285" s="314">
        <f t="shared" si="129"/>
        <v>4.0862656072644832E-2</v>
      </c>
      <c r="P285" s="314">
        <f t="shared" si="129"/>
        <v>2.5085518814138785E-2</v>
      </c>
      <c r="Q285" s="314">
        <f t="shared" si="129"/>
        <v>2.4999999999999911E-2</v>
      </c>
      <c r="R285" s="314">
        <f t="shared" si="129"/>
        <v>2.4999999999999911E-2</v>
      </c>
      <c r="S285" s="314">
        <f t="shared" si="129"/>
        <v>2.4999999999999911E-2</v>
      </c>
      <c r="T285" s="314">
        <f t="shared" si="129"/>
        <v>2.4999999999999911E-2</v>
      </c>
      <c r="U285" s="314">
        <f t="shared" si="129"/>
        <v>3.0000000000000027E-2</v>
      </c>
      <c r="V285" s="314">
        <f t="shared" si="129"/>
        <v>3.0000000000000027E-2</v>
      </c>
      <c r="W285" s="314">
        <f t="shared" si="129"/>
        <v>3.0000000000000027E-2</v>
      </c>
      <c r="X285" s="314">
        <f t="shared" si="129"/>
        <v>3.0000000000000027E-2</v>
      </c>
      <c r="Y285" s="314">
        <f t="shared" si="129"/>
        <v>3.0000000000000027E-2</v>
      </c>
      <c r="Z285" s="314">
        <f t="shared" si="129"/>
        <v>3.0000000000000027E-2</v>
      </c>
      <c r="AA285" s="314">
        <f t="shared" si="129"/>
        <v>3.0000000000000027E-2</v>
      </c>
      <c r="AB285" s="314">
        <f t="shared" si="129"/>
        <v>3.0000000000000027E-2</v>
      </c>
      <c r="AC285" s="314">
        <f t="shared" si="129"/>
        <v>3.0000000000000027E-2</v>
      </c>
      <c r="AD285" s="314">
        <f t="shared" si="129"/>
        <v>3.0000000000000027E-2</v>
      </c>
      <c r="AE285" s="314">
        <f t="shared" si="129"/>
        <v>3.0000000000000027E-2</v>
      </c>
      <c r="AF285" s="314">
        <f t="shared" si="129"/>
        <v>3.0000000000000027E-2</v>
      </c>
      <c r="AG285" s="315"/>
      <c r="AH285" s="313" t="str">
        <f t="shared" si="128"/>
        <v>- Growth</v>
      </c>
      <c r="AI285" s="307" t="str">
        <f>D285</f>
        <v>%</v>
      </c>
      <c r="AJ285" s="307"/>
      <c r="AK285" s="307"/>
      <c r="AL285" s="314" t="s">
        <v>967</v>
      </c>
      <c r="AM285" s="314">
        <f t="shared" ref="AM285:AX285" si="130">AM284/AL284-1</f>
        <v>3.4027425088877461E-2</v>
      </c>
      <c r="AN285" s="314">
        <f t="shared" si="130"/>
        <v>-0.19744597249508833</v>
      </c>
      <c r="AO285" s="314">
        <f t="shared" si="130"/>
        <v>7.5887392900856776E-2</v>
      </c>
      <c r="AP285" s="314">
        <f t="shared" si="130"/>
        <v>3.2992036405005587E-2</v>
      </c>
      <c r="AQ285" s="314">
        <f t="shared" si="130"/>
        <v>2.4999999999999911E-2</v>
      </c>
      <c r="AR285" s="314">
        <f t="shared" si="130"/>
        <v>2.4999999999999689E-2</v>
      </c>
      <c r="AS285" s="314">
        <f t="shared" si="130"/>
        <v>3.0000000000000249E-2</v>
      </c>
      <c r="AT285" s="314">
        <f t="shared" si="130"/>
        <v>3.0000000000000027E-2</v>
      </c>
      <c r="AU285" s="314">
        <f t="shared" si="130"/>
        <v>3.0000000000000027E-2</v>
      </c>
      <c r="AV285" s="314">
        <f t="shared" si="130"/>
        <v>3.0000000000000027E-2</v>
      </c>
      <c r="AW285" s="314">
        <f t="shared" si="130"/>
        <v>3.0000000000000027E-2</v>
      </c>
      <c r="AX285" s="314">
        <f t="shared" si="130"/>
        <v>3.0000000000000027E-2</v>
      </c>
    </row>
    <row r="286" spans="1:50" collapsed="1">
      <c r="C286" s="313" t="s">
        <v>1122</v>
      </c>
      <c r="D286" s="307" t="s">
        <v>842</v>
      </c>
      <c r="E286" s="307"/>
      <c r="F286" s="307"/>
      <c r="G286" s="314">
        <f xml:space="preserve"> IFERROR(ROUND( G284 / G283,3) - 1, 0)</f>
        <v>0</v>
      </c>
      <c r="H286" s="314">
        <f t="shared" ref="H286:AF286" si="131" xml:space="preserve"> IFERROR(ROUND( H284 / H283,3) - 1, 0)</f>
        <v>0</v>
      </c>
      <c r="I286" s="314">
        <f t="shared" si="131"/>
        <v>0</v>
      </c>
      <c r="J286" s="314">
        <f t="shared" si="131"/>
        <v>0</v>
      </c>
      <c r="K286" s="314">
        <f t="shared" si="131"/>
        <v>-0.13700000000000001</v>
      </c>
      <c r="L286" s="314">
        <f t="shared" si="131"/>
        <v>0</v>
      </c>
      <c r="M286" s="314">
        <f t="shared" si="131"/>
        <v>0</v>
      </c>
      <c r="N286" s="314">
        <f t="shared" si="131"/>
        <v>0</v>
      </c>
      <c r="O286" s="314">
        <f t="shared" si="131"/>
        <v>0</v>
      </c>
      <c r="P286" s="314">
        <f t="shared" si="131"/>
        <v>-1.2000000000000011E-2</v>
      </c>
      <c r="Q286" s="314">
        <f t="shared" si="131"/>
        <v>-5.0000000000000044E-3</v>
      </c>
      <c r="R286" s="314">
        <f t="shared" si="131"/>
        <v>-1.7000000000000015E-2</v>
      </c>
      <c r="S286" s="314">
        <f t="shared" si="131"/>
        <v>-1.0000000000000009E-2</v>
      </c>
      <c r="T286" s="314">
        <f t="shared" si="131"/>
        <v>-2.200000000000002E-2</v>
      </c>
      <c r="U286" s="314">
        <f t="shared" si="131"/>
        <v>-1.0000000000000009E-2</v>
      </c>
      <c r="V286" s="314">
        <f t="shared" si="131"/>
        <v>-2.200000000000002E-2</v>
      </c>
      <c r="W286" s="314">
        <f t="shared" si="131"/>
        <v>-1.0000000000000009E-2</v>
      </c>
      <c r="X286" s="314">
        <f t="shared" si="131"/>
        <v>-2.200000000000002E-2</v>
      </c>
      <c r="Y286" s="314">
        <f t="shared" si="131"/>
        <v>-1.0000000000000009E-2</v>
      </c>
      <c r="Z286" s="314">
        <f t="shared" si="131"/>
        <v>-2.200000000000002E-2</v>
      </c>
      <c r="AA286" s="314">
        <f t="shared" si="131"/>
        <v>-1.0000000000000009E-2</v>
      </c>
      <c r="AB286" s="314">
        <f t="shared" si="131"/>
        <v>-2.200000000000002E-2</v>
      </c>
      <c r="AC286" s="314">
        <f t="shared" si="131"/>
        <v>-1.0000000000000009E-2</v>
      </c>
      <c r="AD286" s="314">
        <f t="shared" si="131"/>
        <v>-2.200000000000002E-2</v>
      </c>
      <c r="AE286" s="314">
        <f t="shared" si="131"/>
        <v>-1.0000000000000009E-2</v>
      </c>
      <c r="AF286" s="314">
        <f t="shared" si="131"/>
        <v>-2.200000000000002E-2</v>
      </c>
      <c r="AG286" s="314"/>
      <c r="AH286" s="313" t="str">
        <f t="shared" si="128"/>
        <v>- Revision</v>
      </c>
      <c r="AI286" s="307" t="str">
        <f>D286</f>
        <v>%</v>
      </c>
      <c r="AJ286" s="307"/>
      <c r="AK286" s="307"/>
      <c r="AL286" s="314">
        <f t="shared" ref="AL286:AX286" si="132" xml:space="preserve"> IFERROR(ROUND( AL284 / AL283,3) - 1, 0)</f>
        <v>0</v>
      </c>
      <c r="AM286" s="314">
        <f t="shared" si="132"/>
        <v>0</v>
      </c>
      <c r="AN286" s="314">
        <f t="shared" si="132"/>
        <v>-7.1999999999999953E-2</v>
      </c>
      <c r="AO286" s="314">
        <f t="shared" si="132"/>
        <v>0</v>
      </c>
      <c r="AP286" s="314">
        <f t="shared" si="132"/>
        <v>-6.0000000000000053E-3</v>
      </c>
      <c r="AQ286" s="314">
        <f t="shared" si="132"/>
        <v>-1.100000000000001E-2</v>
      </c>
      <c r="AR286" s="314">
        <f t="shared" si="132"/>
        <v>-1.6000000000000014E-2</v>
      </c>
      <c r="AS286" s="314">
        <f t="shared" si="132"/>
        <v>-1.6000000000000014E-2</v>
      </c>
      <c r="AT286" s="314">
        <f t="shared" si="132"/>
        <v>-1.6000000000000014E-2</v>
      </c>
      <c r="AU286" s="314">
        <f t="shared" si="132"/>
        <v>-1.6000000000000014E-2</v>
      </c>
      <c r="AV286" s="314">
        <f t="shared" si="132"/>
        <v>-1.6000000000000014E-2</v>
      </c>
      <c r="AW286" s="314">
        <f t="shared" si="132"/>
        <v>-1.6000000000000014E-2</v>
      </c>
      <c r="AX286" s="314">
        <f t="shared" si="132"/>
        <v>-1.6000000000000014E-2</v>
      </c>
    </row>
    <row r="287" spans="1:50">
      <c r="B287" s="305" t="s">
        <v>1463</v>
      </c>
      <c r="C287" s="706" t="str">
        <f>_xlfn.TEXTAFTER($B287,$C$280)&amp;" - old"</f>
        <v>Taxes &amp; Commissions - old</v>
      </c>
      <c r="D287" s="707" t="str" cm="1">
        <f t="array" ref="D287">_xlfn.XLOOKUP($B287,$B$96:$B$176,_xlfn.XLOOKUP(D$181,$D$5:$AX$5,$D$96:$AX$176))</f>
        <v>A$m</v>
      </c>
      <c r="E287" s="307"/>
      <c r="F287" s="307"/>
      <c r="G287" s="708" cm="1">
        <f t="array" ref="G287">_xlfn.XLOOKUP($B287,$B$96:$B$176,_xlfn.XLOOKUP(G$181,$D$5:$AX$5,$D$96:$AX$176))</f>
        <v>-5</v>
      </c>
      <c r="H287" s="708" cm="1">
        <f t="array" ref="H287">_xlfn.XLOOKUP($B287,$B$96:$B$176,_xlfn.XLOOKUP(H$181,$D$5:$AX$5,$D$96:$AX$176))</f>
        <v>-5.5999999999999943</v>
      </c>
      <c r="I287" s="708" cm="1">
        <f t="array" ref="I287">_xlfn.XLOOKUP($B287,$B$96:$B$176,_xlfn.XLOOKUP(I$181,$D$5:$AX$5,$D$96:$AX$176))</f>
        <v>-7.3999999999999915</v>
      </c>
      <c r="J287" s="708" cm="1">
        <f t="array" ref="J287">_xlfn.XLOOKUP($B287,$B$96:$B$176,_xlfn.XLOOKUP(J$181,$D$5:$AX$5,$D$96:$AX$176))</f>
        <v>-3.0000000000000142</v>
      </c>
      <c r="K287" s="708" cm="1">
        <f t="array" ref="K287">_xlfn.XLOOKUP($B287,$B$96:$B$176,_xlfn.XLOOKUP(K$181,$D$5:$AX$5,$D$96:$AX$176))</f>
        <v>-1.2999999999999972</v>
      </c>
      <c r="L287" s="708" cm="1">
        <f t="array" ref="L287">_xlfn.XLOOKUP($B287,$B$96:$B$176,_xlfn.XLOOKUP(L$181,$D$5:$AX$5,$D$96:$AX$176))</f>
        <v>-1.2999999999999972</v>
      </c>
      <c r="M287" s="708" cm="1">
        <f t="array" ref="M287">_xlfn.XLOOKUP($B287,$B$96:$B$176,_xlfn.XLOOKUP(M$181,$D$5:$AX$5,$D$96:$AX$176))</f>
        <v>-1.7999999999999972</v>
      </c>
      <c r="N287" s="708" cm="1">
        <f t="array" ref="N287">_xlfn.XLOOKUP($B287,$B$96:$B$176,_xlfn.XLOOKUP(N$181,$D$5:$AX$5,$D$96:$AX$176))</f>
        <v>-1.2000000000000028</v>
      </c>
      <c r="O287" s="708" cm="1">
        <f t="array" ref="O287">_xlfn.XLOOKUP($B287,$B$96:$B$176,_xlfn.XLOOKUP(O$181,$D$5:$AX$5,$D$96:$AX$176))</f>
        <v>-1.5</v>
      </c>
      <c r="P287" s="708" cm="1">
        <f t="array" ref="P287">_xlfn.XLOOKUP($B287,$B$96:$B$176,_xlfn.XLOOKUP(P$181,$D$5:$AX$5,$D$96:$AX$176))</f>
        <v>-1.4890828789531083</v>
      </c>
      <c r="Q287" s="708" cm="1">
        <f t="array" ref="Q287">_xlfn.XLOOKUP($B287,$B$96:$B$176,_xlfn.XLOOKUP(Q$181,$D$5:$AX$5,$D$96:$AX$176))</f>
        <v>-1.5450000000000002</v>
      </c>
      <c r="R287" s="708" cm="1">
        <f t="array" ref="R287">_xlfn.XLOOKUP($B287,$B$96:$B$176,_xlfn.XLOOKUP(R$181,$D$5:$AX$5,$D$96:$AX$176))</f>
        <v>-1.5337553653217018</v>
      </c>
      <c r="S287" s="708" cm="1">
        <f t="array" ref="S287">_xlfn.XLOOKUP($B287,$B$96:$B$176,_xlfn.XLOOKUP(S$181,$D$5:$AX$5,$D$96:$AX$176))</f>
        <v>-1.5913500000000003</v>
      </c>
      <c r="T287" s="708" cm="1">
        <f t="array" ref="T287">_xlfn.XLOOKUP($B287,$B$96:$B$176,_xlfn.XLOOKUP(T$181,$D$5:$AX$5,$D$96:$AX$176))</f>
        <v>-1.5797680262813529</v>
      </c>
      <c r="U287" s="708" cm="1">
        <f t="array" ref="U287">_xlfn.XLOOKUP($B287,$B$96:$B$176,_xlfn.XLOOKUP(U$181,$D$5:$AX$5,$D$96:$AX$176))</f>
        <v>-1.6390905000000002</v>
      </c>
      <c r="V287" s="708" cm="1">
        <f t="array" ref="V287">_xlfn.XLOOKUP($B287,$B$96:$B$176,_xlfn.XLOOKUP(V$181,$D$5:$AX$5,$D$96:$AX$176))</f>
        <v>-1.6271610670697936</v>
      </c>
      <c r="W287" s="708" cm="1">
        <f t="array" ref="W287">_xlfn.XLOOKUP($B287,$B$96:$B$176,_xlfn.XLOOKUP(W$181,$D$5:$AX$5,$D$96:$AX$176))</f>
        <v>-1.6882632150000003</v>
      </c>
      <c r="X287" s="708" cm="1">
        <f t="array" ref="X287">_xlfn.XLOOKUP($B287,$B$96:$B$176,_xlfn.XLOOKUP(X$181,$D$5:$AX$5,$D$96:$AX$176))</f>
        <v>-1.6759758990818874</v>
      </c>
      <c r="Y287" s="708" cm="1">
        <f t="array" ref="Y287">_xlfn.XLOOKUP($B287,$B$96:$B$176,_xlfn.XLOOKUP(Y$181,$D$5:$AX$5,$D$96:$AX$176))</f>
        <v>-1.7389111114500004</v>
      </c>
      <c r="Z287" s="708" cm="1">
        <f t="array" ref="Z287">_xlfn.XLOOKUP($B287,$B$96:$B$176,_xlfn.XLOOKUP(Z$181,$D$5:$AX$5,$D$96:$AX$176))</f>
        <v>-1.7262551760543441</v>
      </c>
      <c r="AA287" s="708" cm="1">
        <f t="array" ref="AA287">_xlfn.XLOOKUP($B287,$B$96:$B$176,_xlfn.XLOOKUP(AA$181,$D$5:$AX$5,$D$96:$AX$176))</f>
        <v>-1.7910784447935006</v>
      </c>
      <c r="AB287" s="708" cm="1">
        <f t="array" ref="AB287">_xlfn.XLOOKUP($B287,$B$96:$B$176,_xlfn.XLOOKUP(AB$181,$D$5:$AX$5,$D$96:$AX$176))</f>
        <v>-1.7780428313359742</v>
      </c>
      <c r="AC287" s="708" cm="1">
        <f t="array" ref="AC287">_xlfn.XLOOKUP($B287,$B$96:$B$176,_xlfn.XLOOKUP(AC$181,$D$5:$AX$5,$D$96:$AX$176))</f>
        <v>-1.8448107981373056</v>
      </c>
      <c r="AD287" s="708" cm="1">
        <f t="array" ref="AD287">_xlfn.XLOOKUP($B287,$B$96:$B$176,_xlfn.XLOOKUP(AD$181,$D$5:$AX$5,$D$96:$AX$176))</f>
        <v>-1.8313841162760534</v>
      </c>
      <c r="AE287" s="708" cm="1">
        <f t="array" ref="AE287">_xlfn.XLOOKUP($B287,$B$96:$B$176,_xlfn.XLOOKUP(AE$181,$D$5:$AX$5,$D$96:$AX$176))</f>
        <v>-1.9001551220814248</v>
      </c>
      <c r="AF287" s="708" cm="1">
        <f t="array" ref="AF287">_xlfn.XLOOKUP($B287,$B$96:$B$176,_xlfn.XLOOKUP(AF$181,$D$5:$AX$5,$D$96:$AX$176))</f>
        <v>-1.8863256397643351</v>
      </c>
      <c r="AG287" s="309"/>
      <c r="AH287" s="306" t="str">
        <f t="shared" si="128"/>
        <v>Taxes &amp; Commissions - old</v>
      </c>
      <c r="AI287" s="707" t="str" cm="1">
        <f t="array" ref="AI287">_xlfn.XLOOKUP($B287,$B$96:$B$176,_xlfn.XLOOKUP(AI$181,$D$5:$AX$5,$D$96:$AX$176))</f>
        <v>A$m</v>
      </c>
      <c r="AJ287" s="307"/>
      <c r="AK287" s="307"/>
      <c r="AL287" s="708" cm="1">
        <f t="array" ref="AL287">_xlfn.XLOOKUP($B287,$B$96:$B$176,_xlfn.XLOOKUP(AL$181,$D$5:$AX$5,$D$96:$AX$176))</f>
        <v>-10.599999999999994</v>
      </c>
      <c r="AM287" s="708" cm="1">
        <f t="array" ref="AM287">_xlfn.XLOOKUP($B287,$B$96:$B$176,_xlfn.XLOOKUP(AM$181,$D$5:$AX$5,$D$96:$AX$176))</f>
        <v>-10.400000000000006</v>
      </c>
      <c r="AN287" s="708" cm="1">
        <f t="array" ref="AN287">_xlfn.XLOOKUP($B287,$B$96:$B$176,_xlfn.XLOOKUP(AN$181,$D$5:$AX$5,$D$96:$AX$176))</f>
        <v>-2.5999999999999943</v>
      </c>
      <c r="AO287" s="708" cm="1">
        <f t="array" ref="AO287">_xlfn.XLOOKUP($B287,$B$96:$B$176,_xlfn.XLOOKUP(AO$181,$D$5:$AX$5,$D$96:$AX$176))</f>
        <v>-3</v>
      </c>
      <c r="AP287" s="708" cm="1">
        <f t="array" ref="AP287">_xlfn.XLOOKUP($B287,$B$96:$B$176,_xlfn.XLOOKUP(AP$181,$D$5:$AX$5,$D$96:$AX$176))</f>
        <v>-2.9890828789531083</v>
      </c>
      <c r="AQ287" s="708" cm="1">
        <f t="array" ref="AQ287">_xlfn.XLOOKUP($B287,$B$96:$B$176,_xlfn.XLOOKUP(AQ$181,$D$5:$AX$5,$D$96:$AX$176))</f>
        <v>-3.0787553653217019</v>
      </c>
      <c r="AR287" s="708" cm="1">
        <f t="array" ref="AR287">_xlfn.XLOOKUP($B287,$B$96:$B$176,_xlfn.XLOOKUP(AR$181,$D$5:$AX$5,$D$96:$AX$176))</f>
        <v>-3.171118026281353</v>
      </c>
      <c r="AS287" s="708" cm="1">
        <f t="array" ref="AS287">_xlfn.XLOOKUP($B287,$B$96:$B$176,_xlfn.XLOOKUP(AS$181,$D$5:$AX$5,$D$96:$AX$176))</f>
        <v>-3.2662515670697938</v>
      </c>
      <c r="AT287" s="708" cm="1">
        <f t="array" ref="AT287">_xlfn.XLOOKUP($B287,$B$96:$B$176,_xlfn.XLOOKUP(AT$181,$D$5:$AX$5,$D$96:$AX$176))</f>
        <v>-3.3642391140818875</v>
      </c>
      <c r="AU287" s="708" cm="1">
        <f t="array" ref="AU287">_xlfn.XLOOKUP($B287,$B$96:$B$176,_xlfn.XLOOKUP(AU$181,$D$5:$AX$5,$D$96:$AX$176))</f>
        <v>-3.4651662875043447</v>
      </c>
      <c r="AV287" s="708" cm="1">
        <f t="array" ref="AV287">_xlfn.XLOOKUP($B287,$B$96:$B$176,_xlfn.XLOOKUP(AV$181,$D$5:$AX$5,$D$96:$AX$176))</f>
        <v>-3.5691212761294748</v>
      </c>
      <c r="AW287" s="708" cm="1">
        <f t="array" ref="AW287">_xlfn.XLOOKUP($B287,$B$96:$B$176,_xlfn.XLOOKUP(AW$181,$D$5:$AX$5,$D$96:$AX$176))</f>
        <v>-3.676194914413359</v>
      </c>
      <c r="AX287" s="708" cm="1">
        <f t="array" ref="AX287">_xlfn.XLOOKUP($B287,$B$96:$B$176,_xlfn.XLOOKUP(AX$181,$D$5:$AX$5,$D$96:$AX$176))</f>
        <v>-3.7864807618457599</v>
      </c>
    </row>
    <row r="288" spans="1:50">
      <c r="B288" s="305" t="s">
        <v>1463</v>
      </c>
      <c r="C288" s="318" t="str">
        <f>_xlfn.TEXTAFTER($B288,$C$280)&amp;" - New"</f>
        <v>Taxes &amp; Commissions - New</v>
      </c>
      <c r="D288" s="311" t="str" cm="1">
        <f t="array" ref="D288">_xlfn.XLOOKUP($B288,$B$11:$B$91,_xlfn.XLOOKUP(D$181,$D$5:$AX$5,$D$11:$AX$91))</f>
        <v>A$m</v>
      </c>
      <c r="E288" s="311"/>
      <c r="F288" s="311"/>
      <c r="G288" s="312" cm="1">
        <f t="array" ref="G288">_xlfn.XLOOKUP($B288,$B$11:$B$91,_xlfn.XLOOKUP(G$181,$D$5:$AX$5,$D$11:$AX$91))</f>
        <v>-5</v>
      </c>
      <c r="H288" s="312" cm="1">
        <f t="array" ref="H288">_xlfn.XLOOKUP($B288,$B$11:$B$91,_xlfn.XLOOKUP(H$181,$D$5:$AX$5,$D$11:$AX$91))</f>
        <v>-5.5999999999999943</v>
      </c>
      <c r="I288" s="312" cm="1">
        <f t="array" ref="I288">_xlfn.XLOOKUP($B288,$B$11:$B$91,_xlfn.XLOOKUP(I$181,$D$5:$AX$5,$D$11:$AX$91))</f>
        <v>-7.3999999999999915</v>
      </c>
      <c r="J288" s="312" cm="1">
        <f t="array" ref="J288">_xlfn.XLOOKUP($B288,$B$11:$B$91,_xlfn.XLOOKUP(J$181,$D$5:$AX$5,$D$11:$AX$91))</f>
        <v>-3.0000000000000142</v>
      </c>
      <c r="K288" s="312" cm="1">
        <f t="array" ref="K288">_xlfn.XLOOKUP($B288,$B$11:$B$91,_xlfn.XLOOKUP(K$181,$D$5:$AX$5,$D$11:$AX$91))</f>
        <v>-0.39999999999999147</v>
      </c>
      <c r="L288" s="312" cm="1">
        <f t="array" ref="L288">_xlfn.XLOOKUP($B288,$B$11:$B$91,_xlfn.XLOOKUP(L$181,$D$5:$AX$5,$D$11:$AX$91))</f>
        <v>-1.3000000000000256</v>
      </c>
      <c r="M288" s="312" cm="1">
        <f t="array" ref="M288">_xlfn.XLOOKUP($B288,$B$11:$B$91,_xlfn.XLOOKUP(M$181,$D$5:$AX$5,$D$11:$AX$91))</f>
        <v>-1.7999999999999972</v>
      </c>
      <c r="N288" s="312" cm="1">
        <f t="array" ref="N288">_xlfn.XLOOKUP($B288,$B$11:$B$91,_xlfn.XLOOKUP(N$181,$D$5:$AX$5,$D$11:$AX$91))</f>
        <v>-1.2000000000000028</v>
      </c>
      <c r="O288" s="312" cm="1">
        <f t="array" ref="O288">_xlfn.XLOOKUP($B288,$B$11:$B$91,_xlfn.XLOOKUP(O$181,$D$5:$AX$5,$D$11:$AX$91))</f>
        <v>-1.5</v>
      </c>
      <c r="P288" s="312" cm="1">
        <f t="array" ref="P288">_xlfn.XLOOKUP($B288,$B$11:$B$91,_xlfn.XLOOKUP(P$181,$D$5:$AX$5,$D$11:$AX$91))</f>
        <v>-0.90000000000000568</v>
      </c>
      <c r="Q288" s="312" cm="1">
        <f t="array" ref="Q288">_xlfn.XLOOKUP($B288,$B$11:$B$91,_xlfn.XLOOKUP(Q$181,$D$5:$AX$5,$D$11:$AX$91))</f>
        <v>-0.94097052280312055</v>
      </c>
      <c r="R288" s="312" cm="1">
        <f t="array" ref="R288">_xlfn.XLOOKUP($B288,$B$11:$B$91,_xlfn.XLOOKUP(R$181,$D$5:$AX$5,$D$11:$AX$91))</f>
        <v>-0.92250000000000576</v>
      </c>
      <c r="S288" s="312" cm="1">
        <f t="array" ref="S288">_xlfn.XLOOKUP($B288,$B$11:$B$91,_xlfn.XLOOKUP(S$181,$D$5:$AX$5,$D$11:$AX$91))</f>
        <v>-0.96449478587319837</v>
      </c>
      <c r="T288" s="312" cm="1">
        <f t="array" ref="T288">_xlfn.XLOOKUP($B288,$B$11:$B$91,_xlfn.XLOOKUP(T$181,$D$5:$AX$5,$D$11:$AX$91))</f>
        <v>-0.94556250000000586</v>
      </c>
      <c r="U288" s="312" cm="1">
        <f t="array" ref="U288">_xlfn.XLOOKUP($B288,$B$11:$B$91,_xlfn.XLOOKUP(U$181,$D$5:$AX$5,$D$11:$AX$91))</f>
        <v>-0.99342962944939439</v>
      </c>
      <c r="V288" s="312" cm="1">
        <f t="array" ref="V288">_xlfn.XLOOKUP($B288,$B$11:$B$91,_xlfn.XLOOKUP(V$181,$D$5:$AX$5,$D$11:$AX$91))</f>
        <v>-0.97392937500000598</v>
      </c>
      <c r="W288" s="312" cm="1">
        <f t="array" ref="W288">_xlfn.XLOOKUP($B288,$B$11:$B$91,_xlfn.XLOOKUP(W$181,$D$5:$AX$5,$D$11:$AX$91))</f>
        <v>-1.0232325183328761</v>
      </c>
      <c r="X288" s="312" cm="1">
        <f t="array" ref="X288">_xlfn.XLOOKUP($B288,$B$11:$B$91,_xlfn.XLOOKUP(X$181,$D$5:$AX$5,$D$11:$AX$91))</f>
        <v>-1.0031472562500061</v>
      </c>
      <c r="Y288" s="312" cm="1">
        <f t="array" ref="Y288">_xlfn.XLOOKUP($B288,$B$11:$B$91,_xlfn.XLOOKUP(Y$181,$D$5:$AX$5,$D$11:$AX$91))</f>
        <v>-1.0539294938828625</v>
      </c>
      <c r="Z288" s="312" cm="1">
        <f t="array" ref="Z288">_xlfn.XLOOKUP($B288,$B$11:$B$91,_xlfn.XLOOKUP(Z$181,$D$5:$AX$5,$D$11:$AX$91))</f>
        <v>-1.0332416739375063</v>
      </c>
      <c r="AA288" s="312" cm="1">
        <f t="array" ref="AA288">_xlfn.XLOOKUP($B288,$B$11:$B$91,_xlfn.XLOOKUP(AA$181,$D$5:$AX$5,$D$11:$AX$91))</f>
        <v>-1.0855473786993484</v>
      </c>
      <c r="AB288" s="312" cm="1">
        <f t="array" ref="AB288">_xlfn.XLOOKUP($B288,$B$11:$B$91,_xlfn.XLOOKUP(AB$181,$D$5:$AX$5,$D$11:$AX$91))</f>
        <v>-1.0642389241556316</v>
      </c>
      <c r="AC288" s="312" cm="1">
        <f t="array" ref="AC288">_xlfn.XLOOKUP($B288,$B$11:$B$91,_xlfn.XLOOKUP(AC$181,$D$5:$AX$5,$D$11:$AX$91))</f>
        <v>-1.1181138000603288</v>
      </c>
      <c r="AD288" s="312" cm="1">
        <f t="array" ref="AD288">_xlfn.XLOOKUP($B288,$B$11:$B$91,_xlfn.XLOOKUP(AD$181,$D$5:$AX$5,$D$11:$AX$91))</f>
        <v>-1.0961660918803005</v>
      </c>
      <c r="AE288" s="312" cm="1">
        <f t="array" ref="AE288">_xlfn.XLOOKUP($B288,$B$11:$B$91,_xlfn.XLOOKUP(AE$181,$D$5:$AX$5,$D$11:$AX$91))</f>
        <v>-1.1516572140621386</v>
      </c>
      <c r="AF288" s="312" cm="1">
        <f t="array" ref="AF288">_xlfn.XLOOKUP($B288,$B$11:$B$91,_xlfn.XLOOKUP(AF$181,$D$5:$AX$5,$D$11:$AX$91))</f>
        <v>-1.1290510746367095</v>
      </c>
      <c r="AG288" s="312"/>
      <c r="AH288" s="310" t="str">
        <f t="shared" si="128"/>
        <v>Taxes &amp; Commissions - New</v>
      </c>
      <c r="AI288" s="311" t="str" cm="1">
        <f t="array" ref="AI288">_xlfn.XLOOKUP($B288,$B$11:$B$91,_xlfn.XLOOKUP(AI$181,$D$5:$AX$5,$D$11:$AX$91))</f>
        <v>A$m</v>
      </c>
      <c r="AJ288" s="311"/>
      <c r="AK288" s="311"/>
      <c r="AL288" s="312" cm="1">
        <f t="array" ref="AL288">_xlfn.XLOOKUP($B288,$B$11:$B$91,_xlfn.XLOOKUP(AL$181,$D$5:$AX$5,$D$11:$AX$91))</f>
        <v>-10.599999999999994</v>
      </c>
      <c r="AM288" s="312" cm="1">
        <f t="array" ref="AM288">_xlfn.XLOOKUP($B288,$B$11:$B$91,_xlfn.XLOOKUP(AM$181,$D$5:$AX$5,$D$11:$AX$91))</f>
        <v>-10.400000000000006</v>
      </c>
      <c r="AN288" s="312" cm="1">
        <f t="array" ref="AN288">_xlfn.XLOOKUP($B288,$B$11:$B$91,_xlfn.XLOOKUP(AN$181,$D$5:$AX$5,$D$11:$AX$91))</f>
        <v>-1.7000000000000171</v>
      </c>
      <c r="AO288" s="312" cm="1">
        <f t="array" ref="AO288">_xlfn.XLOOKUP($B288,$B$11:$B$91,_xlfn.XLOOKUP(AO$181,$D$5:$AX$5,$D$11:$AX$91))</f>
        <v>-3</v>
      </c>
      <c r="AP288" s="312" cm="1">
        <f t="array" ref="AP288">_xlfn.XLOOKUP($B288,$B$11:$B$91,_xlfn.XLOOKUP(AP$181,$D$5:$AX$5,$D$11:$AX$91))</f>
        <v>-2.4000000000000057</v>
      </c>
      <c r="AQ288" s="312" cm="1">
        <f t="array" ref="AQ288">_xlfn.XLOOKUP($B288,$B$11:$B$91,_xlfn.XLOOKUP(AQ$181,$D$5:$AX$5,$D$11:$AX$91))</f>
        <v>-1.8634705228031263</v>
      </c>
      <c r="AR288" s="312" cm="1">
        <f t="array" ref="AR288">_xlfn.XLOOKUP($B288,$B$11:$B$91,_xlfn.XLOOKUP(AR$181,$D$5:$AX$5,$D$11:$AX$91))</f>
        <v>-1.9100572858732043</v>
      </c>
      <c r="AS288" s="312" cm="1">
        <f t="array" ref="AS288">_xlfn.XLOOKUP($B288,$B$11:$B$91,_xlfn.XLOOKUP(AS$181,$D$5:$AX$5,$D$11:$AX$91))</f>
        <v>-1.9673590044494005</v>
      </c>
      <c r="AT288" s="312" cm="1">
        <f t="array" ref="AT288">_xlfn.XLOOKUP($B288,$B$11:$B$91,_xlfn.XLOOKUP(AT$181,$D$5:$AX$5,$D$11:$AX$91))</f>
        <v>-2.0263797745828822</v>
      </c>
      <c r="AU288" s="312" cm="1">
        <f t="array" ref="AU288">_xlfn.XLOOKUP($B288,$B$11:$B$91,_xlfn.XLOOKUP(AU$181,$D$5:$AX$5,$D$11:$AX$91))</f>
        <v>-2.0871711678203688</v>
      </c>
      <c r="AV288" s="312" cm="1">
        <f t="array" ref="AV288">_xlfn.XLOOKUP($B288,$B$11:$B$91,_xlfn.XLOOKUP(AV$181,$D$5:$AX$5,$D$11:$AX$91))</f>
        <v>-2.14978630285498</v>
      </c>
      <c r="AW288" s="312" cm="1">
        <f t="array" ref="AW288">_xlfn.XLOOKUP($B288,$B$11:$B$91,_xlfn.XLOOKUP(AW$181,$D$5:$AX$5,$D$11:$AX$91))</f>
        <v>-2.2142798919406292</v>
      </c>
      <c r="AX288" s="312" cm="1">
        <f t="array" ref="AX288">_xlfn.XLOOKUP($B288,$B$11:$B$91,_xlfn.XLOOKUP(AX$181,$D$5:$AX$5,$D$11:$AX$91))</f>
        <v>-2.2807082886988481</v>
      </c>
    </row>
    <row r="289" spans="2:50" hidden="1" outlineLevel="1">
      <c r="C289" s="313" t="s">
        <v>1121</v>
      </c>
      <c r="D289" s="307" t="s">
        <v>842</v>
      </c>
      <c r="E289" s="307"/>
      <c r="F289" s="307"/>
      <c r="G289" s="314" t="s">
        <v>967</v>
      </c>
      <c r="H289" s="314" t="s">
        <v>967</v>
      </c>
      <c r="I289" s="314">
        <f t="shared" ref="I289:AF289" si="133">I288/G288-1</f>
        <v>0.47999999999999821</v>
      </c>
      <c r="J289" s="314">
        <f t="shared" si="133"/>
        <v>-0.46428571428571119</v>
      </c>
      <c r="K289" s="314">
        <f t="shared" si="133"/>
        <v>-0.94594594594594705</v>
      </c>
      <c r="L289" s="314">
        <f t="shared" si="133"/>
        <v>-0.56666666666666021</v>
      </c>
      <c r="M289" s="314">
        <f t="shared" si="133"/>
        <v>3.5000000000000888</v>
      </c>
      <c r="N289" s="314">
        <f t="shared" si="133"/>
        <v>-7.6923076923092859E-2</v>
      </c>
      <c r="O289" s="314">
        <f t="shared" si="133"/>
        <v>-0.1666666666666653</v>
      </c>
      <c r="P289" s="314">
        <f t="shared" si="133"/>
        <v>-0.249999999999997</v>
      </c>
      <c r="Q289" s="314">
        <f t="shared" si="133"/>
        <v>-0.37268631813125297</v>
      </c>
      <c r="R289" s="314">
        <f t="shared" si="133"/>
        <v>2.4999999999999911E-2</v>
      </c>
      <c r="S289" s="314">
        <f t="shared" si="133"/>
        <v>2.4999999999999689E-2</v>
      </c>
      <c r="T289" s="314">
        <f t="shared" si="133"/>
        <v>2.4999999999999911E-2</v>
      </c>
      <c r="U289" s="314">
        <f t="shared" si="133"/>
        <v>3.0000000000000027E-2</v>
      </c>
      <c r="V289" s="314">
        <f t="shared" si="133"/>
        <v>3.0000000000000027E-2</v>
      </c>
      <c r="W289" s="314">
        <f t="shared" si="133"/>
        <v>2.9999999999999805E-2</v>
      </c>
      <c r="X289" s="314">
        <f t="shared" si="133"/>
        <v>3.0000000000000027E-2</v>
      </c>
      <c r="Y289" s="314">
        <f t="shared" si="133"/>
        <v>3.0000000000000027E-2</v>
      </c>
      <c r="Z289" s="314">
        <f t="shared" si="133"/>
        <v>3.0000000000000027E-2</v>
      </c>
      <c r="AA289" s="314">
        <f t="shared" si="133"/>
        <v>3.0000000000000027E-2</v>
      </c>
      <c r="AB289" s="314">
        <f t="shared" si="133"/>
        <v>3.0000000000000027E-2</v>
      </c>
      <c r="AC289" s="314">
        <f t="shared" si="133"/>
        <v>3.0000000000000027E-2</v>
      </c>
      <c r="AD289" s="314">
        <f t="shared" si="133"/>
        <v>3.0000000000000027E-2</v>
      </c>
      <c r="AE289" s="314">
        <f t="shared" si="133"/>
        <v>3.0000000000000027E-2</v>
      </c>
      <c r="AF289" s="314">
        <f t="shared" si="133"/>
        <v>3.0000000000000027E-2</v>
      </c>
      <c r="AG289" s="315"/>
      <c r="AH289" s="313" t="str">
        <f t="shared" si="128"/>
        <v>- Growth</v>
      </c>
      <c r="AI289" s="307" t="str">
        <f>D289</f>
        <v>%</v>
      </c>
      <c r="AJ289" s="307"/>
      <c r="AK289" s="307"/>
      <c r="AL289" s="314" t="s">
        <v>967</v>
      </c>
      <c r="AM289" s="314">
        <f t="shared" ref="AM289:AX289" si="134">AM288/AL288-1</f>
        <v>-1.8867924528300772E-2</v>
      </c>
      <c r="AN289" s="314">
        <f t="shared" si="134"/>
        <v>-0.83653846153846001</v>
      </c>
      <c r="AO289" s="314">
        <f t="shared" si="134"/>
        <v>0.76470588235292358</v>
      </c>
      <c r="AP289" s="314">
        <f t="shared" si="134"/>
        <v>-0.19999999999999807</v>
      </c>
      <c r="AQ289" s="314">
        <f t="shared" si="134"/>
        <v>-0.2235539488320325</v>
      </c>
      <c r="AR289" s="314">
        <f t="shared" si="134"/>
        <v>2.4999999999999911E-2</v>
      </c>
      <c r="AS289" s="314">
        <f t="shared" si="134"/>
        <v>3.0000000000000027E-2</v>
      </c>
      <c r="AT289" s="314">
        <f t="shared" si="134"/>
        <v>2.9999999999999805E-2</v>
      </c>
      <c r="AU289" s="314">
        <f t="shared" si="134"/>
        <v>3.0000000000000027E-2</v>
      </c>
      <c r="AV289" s="314">
        <f t="shared" si="134"/>
        <v>3.0000000000000027E-2</v>
      </c>
      <c r="AW289" s="314">
        <f t="shared" si="134"/>
        <v>3.0000000000000027E-2</v>
      </c>
      <c r="AX289" s="314">
        <f t="shared" si="134"/>
        <v>3.0000000000000027E-2</v>
      </c>
    </row>
    <row r="290" spans="2:50" collapsed="1">
      <c r="C290" s="313" t="s">
        <v>1122</v>
      </c>
      <c r="D290" s="307" t="s">
        <v>842</v>
      </c>
      <c r="E290" s="307"/>
      <c r="F290" s="307"/>
      <c r="G290" s="314">
        <f xml:space="preserve"> IFERROR(ROUND( G288 / G287,3) - 1, 0)</f>
        <v>0</v>
      </c>
      <c r="H290" s="314">
        <f t="shared" ref="H290:AF290" si="135" xml:space="preserve"> IFERROR(ROUND( H288 / H287,3) - 1, 0)</f>
        <v>0</v>
      </c>
      <c r="I290" s="314">
        <f t="shared" si="135"/>
        <v>0</v>
      </c>
      <c r="J290" s="314">
        <f t="shared" si="135"/>
        <v>0</v>
      </c>
      <c r="K290" s="314">
        <f t="shared" si="135"/>
        <v>-0.69199999999999995</v>
      </c>
      <c r="L290" s="314">
        <f t="shared" si="135"/>
        <v>0</v>
      </c>
      <c r="M290" s="314">
        <f t="shared" si="135"/>
        <v>0</v>
      </c>
      <c r="N290" s="314">
        <f t="shared" si="135"/>
        <v>0</v>
      </c>
      <c r="O290" s="314">
        <f t="shared" si="135"/>
        <v>0</v>
      </c>
      <c r="P290" s="314">
        <f t="shared" si="135"/>
        <v>-0.39600000000000002</v>
      </c>
      <c r="Q290" s="314">
        <f t="shared" si="135"/>
        <v>-0.39100000000000001</v>
      </c>
      <c r="R290" s="314">
        <f t="shared" si="135"/>
        <v>-0.39900000000000002</v>
      </c>
      <c r="S290" s="314">
        <f t="shared" si="135"/>
        <v>-0.39400000000000002</v>
      </c>
      <c r="T290" s="314">
        <f t="shared" si="135"/>
        <v>-0.40100000000000002</v>
      </c>
      <c r="U290" s="314">
        <f t="shared" si="135"/>
        <v>-0.39400000000000002</v>
      </c>
      <c r="V290" s="314">
        <f t="shared" si="135"/>
        <v>-0.40100000000000002</v>
      </c>
      <c r="W290" s="314">
        <f t="shared" si="135"/>
        <v>-0.39400000000000002</v>
      </c>
      <c r="X290" s="314">
        <f t="shared" si="135"/>
        <v>-0.40100000000000002</v>
      </c>
      <c r="Y290" s="314">
        <f t="shared" si="135"/>
        <v>-0.39400000000000002</v>
      </c>
      <c r="Z290" s="314">
        <f t="shared" si="135"/>
        <v>-0.40100000000000002</v>
      </c>
      <c r="AA290" s="314">
        <f t="shared" si="135"/>
        <v>-0.39400000000000002</v>
      </c>
      <c r="AB290" s="314">
        <f t="shared" si="135"/>
        <v>-0.40100000000000002</v>
      </c>
      <c r="AC290" s="314">
        <f t="shared" si="135"/>
        <v>-0.39400000000000002</v>
      </c>
      <c r="AD290" s="314">
        <f t="shared" si="135"/>
        <v>-0.40100000000000002</v>
      </c>
      <c r="AE290" s="314">
        <f t="shared" si="135"/>
        <v>-0.39400000000000002</v>
      </c>
      <c r="AF290" s="314">
        <f t="shared" si="135"/>
        <v>-0.40100000000000002</v>
      </c>
      <c r="AG290" s="314"/>
      <c r="AH290" s="313" t="str">
        <f t="shared" si="128"/>
        <v>- Revision</v>
      </c>
      <c r="AI290" s="307" t="str">
        <f>D290</f>
        <v>%</v>
      </c>
      <c r="AJ290" s="307"/>
      <c r="AK290" s="307"/>
      <c r="AL290" s="314">
        <f t="shared" ref="AL290:AX290" si="136" xml:space="preserve"> IFERROR(ROUND( AL288 / AL287,3) - 1, 0)</f>
        <v>0</v>
      </c>
      <c r="AM290" s="314">
        <f t="shared" si="136"/>
        <v>0</v>
      </c>
      <c r="AN290" s="314">
        <f t="shared" si="136"/>
        <v>-0.34599999999999997</v>
      </c>
      <c r="AO290" s="314">
        <f t="shared" si="136"/>
        <v>0</v>
      </c>
      <c r="AP290" s="314">
        <f t="shared" si="136"/>
        <v>-0.19699999999999995</v>
      </c>
      <c r="AQ290" s="314">
        <f t="shared" si="136"/>
        <v>-0.39500000000000002</v>
      </c>
      <c r="AR290" s="314">
        <f t="shared" si="136"/>
        <v>-0.39800000000000002</v>
      </c>
      <c r="AS290" s="314">
        <f t="shared" si="136"/>
        <v>-0.39800000000000002</v>
      </c>
      <c r="AT290" s="314">
        <f t="shared" si="136"/>
        <v>-0.39800000000000002</v>
      </c>
      <c r="AU290" s="314">
        <f t="shared" si="136"/>
        <v>-0.39800000000000002</v>
      </c>
      <c r="AV290" s="314">
        <f t="shared" si="136"/>
        <v>-0.39800000000000002</v>
      </c>
      <c r="AW290" s="314">
        <f t="shared" si="136"/>
        <v>-0.39800000000000002</v>
      </c>
      <c r="AX290" s="314">
        <f t="shared" si="136"/>
        <v>-0.39800000000000002</v>
      </c>
    </row>
    <row r="291" spans="2:50">
      <c r="B291" s="305" t="s">
        <v>1464</v>
      </c>
      <c r="C291" s="706" t="str">
        <f>_xlfn.TEXTAFTER($B291,$C$280)&amp;" - old"</f>
        <v>Variable Contribution - old</v>
      </c>
      <c r="D291" s="707" t="str" cm="1">
        <f t="array" ref="D291">_xlfn.XLOOKUP($B291,$B$96:$B$176,_xlfn.XLOOKUP(D$181,$D$5:$AX$5,$D$96:$AX$176))</f>
        <v>A$m</v>
      </c>
      <c r="E291" s="307"/>
      <c r="F291" s="307"/>
      <c r="G291" s="708" cm="1">
        <f t="array" ref="G291">_xlfn.XLOOKUP($B291,$B$96:$B$176,_xlfn.XLOOKUP(G$181,$D$5:$AX$5,$D$96:$AX$176))</f>
        <v>74.599999999999994</v>
      </c>
      <c r="H291" s="708" cm="1">
        <f t="array" ref="H291">_xlfn.XLOOKUP($B291,$B$96:$B$176,_xlfn.XLOOKUP(H$181,$D$5:$AX$5,$D$96:$AX$176))</f>
        <v>111.70000000000002</v>
      </c>
      <c r="I291" s="708" cm="1">
        <f t="array" ref="I291">_xlfn.XLOOKUP($B291,$B$96:$B$176,_xlfn.XLOOKUP(I$181,$D$5:$AX$5,$D$96:$AX$176))</f>
        <v>101.4</v>
      </c>
      <c r="J291" s="708" cm="1">
        <f t="array" ref="J291">_xlfn.XLOOKUP($B291,$B$96:$B$176,_xlfn.XLOOKUP(J$181,$D$5:$AX$5,$D$96:$AX$176))</f>
        <v>91.799999999999983</v>
      </c>
      <c r="K291" s="708" cm="1">
        <f t="array" ref="K291">_xlfn.XLOOKUP($B291,$B$96:$B$176,_xlfn.XLOOKUP(K$181,$D$5:$AX$5,$D$96:$AX$176))</f>
        <v>91.7</v>
      </c>
      <c r="L291" s="708" cm="1">
        <f t="array" ref="L291">_xlfn.XLOOKUP($B291,$B$96:$B$176,_xlfn.XLOOKUP(L$181,$D$5:$AX$5,$D$96:$AX$176))</f>
        <v>81.8</v>
      </c>
      <c r="M291" s="708" cm="1">
        <f t="array" ref="M291">_xlfn.XLOOKUP($B291,$B$96:$B$176,_xlfn.XLOOKUP(M$181,$D$5:$AX$5,$D$96:$AX$176))</f>
        <v>86.3</v>
      </c>
      <c r="N291" s="708" cm="1">
        <f t="array" ref="N291">_xlfn.XLOOKUP($B291,$B$96:$B$176,_xlfn.XLOOKUP(N$181,$D$5:$AX$5,$D$96:$AX$176))</f>
        <v>86.500000000000014</v>
      </c>
      <c r="O291" s="708" cm="1">
        <f t="array" ref="O291">_xlfn.XLOOKUP($B291,$B$96:$B$176,_xlfn.XLOOKUP(O$181,$D$5:$AX$5,$D$96:$AX$176))</f>
        <v>90.2</v>
      </c>
      <c r="P291" s="708" cm="1">
        <f t="array" ref="P291">_xlfn.XLOOKUP($B291,$B$96:$B$176,_xlfn.XLOOKUP(P$181,$D$5:$AX$5,$D$96:$AX$176))</f>
        <v>89.543517121046904</v>
      </c>
      <c r="Q291" s="708" cm="1">
        <f t="array" ref="Q291">_xlfn.XLOOKUP($B291,$B$96:$B$176,_xlfn.XLOOKUP(Q$181,$D$5:$AX$5,$D$96:$AX$176))</f>
        <v>92.906000000000006</v>
      </c>
      <c r="R291" s="708" cm="1">
        <f t="array" ref="R291">_xlfn.XLOOKUP($B291,$B$96:$B$176,_xlfn.XLOOKUP(R$181,$D$5:$AX$5,$D$96:$AX$176))</f>
        <v>92.229822634678328</v>
      </c>
      <c r="S291" s="708" cm="1">
        <f t="array" ref="S291">_xlfn.XLOOKUP($B291,$B$96:$B$176,_xlfn.XLOOKUP(S$181,$D$5:$AX$5,$D$96:$AX$176))</f>
        <v>95.693179999999998</v>
      </c>
      <c r="T291" s="708" cm="1">
        <f t="array" ref="T291">_xlfn.XLOOKUP($B291,$B$96:$B$176,_xlfn.XLOOKUP(T$181,$D$5:$AX$5,$D$96:$AX$176))</f>
        <v>94.996717313718676</v>
      </c>
      <c r="U291" s="708" cm="1">
        <f t="array" ref="U291">_xlfn.XLOOKUP($B291,$B$96:$B$176,_xlfn.XLOOKUP(U$181,$D$5:$AX$5,$D$96:$AX$176))</f>
        <v>98.563975400000018</v>
      </c>
      <c r="V291" s="708" cm="1">
        <f t="array" ref="V291">_xlfn.XLOOKUP($B291,$B$96:$B$176,_xlfn.XLOOKUP(V$181,$D$5:$AX$5,$D$96:$AX$176))</f>
        <v>97.84661883313025</v>
      </c>
      <c r="W291" s="708" cm="1">
        <f t="array" ref="W291">_xlfn.XLOOKUP($B291,$B$96:$B$176,_xlfn.XLOOKUP(W$181,$D$5:$AX$5,$D$96:$AX$176))</f>
        <v>101.520894662</v>
      </c>
      <c r="X291" s="708" cm="1">
        <f t="array" ref="X291">_xlfn.XLOOKUP($B291,$B$96:$B$176,_xlfn.XLOOKUP(X$181,$D$5:$AX$5,$D$96:$AX$176))</f>
        <v>100.78201739812415</v>
      </c>
      <c r="Y291" s="708" cm="1">
        <f t="array" ref="Y291">_xlfn.XLOOKUP($B291,$B$96:$B$176,_xlfn.XLOOKUP(Y$181,$D$5:$AX$5,$D$96:$AX$176))</f>
        <v>104.56652150186002</v>
      </c>
      <c r="Z291" s="708" cm="1">
        <f t="array" ref="Z291">_xlfn.XLOOKUP($B291,$B$96:$B$176,_xlfn.XLOOKUP(Z$181,$D$5:$AX$5,$D$96:$AX$176))</f>
        <v>103.80547792006789</v>
      </c>
      <c r="AA291" s="708" cm="1">
        <f t="array" ref="AA291">_xlfn.XLOOKUP($B291,$B$96:$B$176,_xlfn.XLOOKUP(AA$181,$D$5:$AX$5,$D$96:$AX$176))</f>
        <v>107.70351714691583</v>
      </c>
      <c r="AB291" s="708" cm="1">
        <f t="array" ref="AB291">_xlfn.XLOOKUP($B291,$B$96:$B$176,_xlfn.XLOOKUP(AB$181,$D$5:$AX$5,$D$96:$AX$176))</f>
        <v>106.91964225766991</v>
      </c>
      <c r="AC291" s="708" cm="1">
        <f t="array" ref="AC291">_xlfn.XLOOKUP($B291,$B$96:$B$176,_xlfn.XLOOKUP(AC$181,$D$5:$AX$5,$D$96:$AX$176))</f>
        <v>110.9346226613233</v>
      </c>
      <c r="AD291" s="708" cm="1">
        <f t="array" ref="AD291">_xlfn.XLOOKUP($B291,$B$96:$B$176,_xlfn.XLOOKUP(AD$181,$D$5:$AX$5,$D$96:$AX$176))</f>
        <v>110.12723152540001</v>
      </c>
      <c r="AE291" s="708" cm="1">
        <f t="array" ref="AE291">_xlfn.XLOOKUP($B291,$B$96:$B$176,_xlfn.XLOOKUP(AE$181,$D$5:$AX$5,$D$96:$AX$176))</f>
        <v>114.262661341163</v>
      </c>
      <c r="AF291" s="708" cm="1">
        <f t="array" ref="AF291">_xlfn.XLOOKUP($B291,$B$96:$B$176,_xlfn.XLOOKUP(AF$181,$D$5:$AX$5,$D$96:$AX$176))</f>
        <v>113.43104847116201</v>
      </c>
      <c r="AG291" s="309"/>
      <c r="AH291" s="306" t="str">
        <f t="shared" si="128"/>
        <v>Variable Contribution - old</v>
      </c>
      <c r="AI291" s="707" t="str" cm="1">
        <f t="array" ref="AI291">_xlfn.XLOOKUP($B291,$B$96:$B$176,_xlfn.XLOOKUP(AI$181,$D$5:$AX$5,$D$96:$AX$176))</f>
        <v>A$m</v>
      </c>
      <c r="AJ291" s="307"/>
      <c r="AK291" s="307"/>
      <c r="AL291" s="708" cm="1">
        <f t="array" ref="AL291">_xlfn.XLOOKUP($B291,$B$96:$B$176,_xlfn.XLOOKUP(AL$181,$D$5:$AX$5,$D$96:$AX$176))</f>
        <v>186.3</v>
      </c>
      <c r="AM291" s="708" cm="1">
        <f t="array" ref="AM291">_xlfn.XLOOKUP($B291,$B$96:$B$176,_xlfn.XLOOKUP(AM$181,$D$5:$AX$5,$D$96:$AX$176))</f>
        <v>193.2</v>
      </c>
      <c r="AN291" s="708" cm="1">
        <f t="array" ref="AN291">_xlfn.XLOOKUP($B291,$B$96:$B$176,_xlfn.XLOOKUP(AN$181,$D$5:$AX$5,$D$96:$AX$176))</f>
        <v>173.5</v>
      </c>
      <c r="AO291" s="708" cm="1">
        <f t="array" ref="AO291">_xlfn.XLOOKUP($B291,$B$96:$B$176,_xlfn.XLOOKUP(AO$181,$D$5:$AX$5,$D$96:$AX$176))</f>
        <v>172.8</v>
      </c>
      <c r="AP291" s="708" cm="1">
        <f t="array" ref="AP291">_xlfn.XLOOKUP($B291,$B$96:$B$176,_xlfn.XLOOKUP(AP$181,$D$5:$AX$5,$D$96:$AX$176))</f>
        <v>179.74351712104692</v>
      </c>
      <c r="AQ291" s="708" cm="1">
        <f t="array" ref="AQ291">_xlfn.XLOOKUP($B291,$B$96:$B$176,_xlfn.XLOOKUP(AQ$181,$D$5:$AX$5,$D$96:$AX$176))</f>
        <v>185.13582263467833</v>
      </c>
      <c r="AR291" s="708" cm="1">
        <f t="array" ref="AR291">_xlfn.XLOOKUP($B291,$B$96:$B$176,_xlfn.XLOOKUP(AR$181,$D$5:$AX$5,$D$96:$AX$176))</f>
        <v>190.68989731371869</v>
      </c>
      <c r="AS291" s="708" cm="1">
        <f t="array" ref="AS291">_xlfn.XLOOKUP($B291,$B$96:$B$176,_xlfn.XLOOKUP(AS$181,$D$5:$AX$5,$D$96:$AX$176))</f>
        <v>196.41059423313027</v>
      </c>
      <c r="AT291" s="708" cm="1">
        <f t="array" ref="AT291">_xlfn.XLOOKUP($B291,$B$96:$B$176,_xlfn.XLOOKUP(AT$181,$D$5:$AX$5,$D$96:$AX$176))</f>
        <v>202.30291206012416</v>
      </c>
      <c r="AU291" s="708" cm="1">
        <f t="array" ref="AU291">_xlfn.XLOOKUP($B291,$B$96:$B$176,_xlfn.XLOOKUP(AU$181,$D$5:$AX$5,$D$96:$AX$176))</f>
        <v>208.37199942192791</v>
      </c>
      <c r="AV291" s="708" cm="1">
        <f t="array" ref="AV291">_xlfn.XLOOKUP($B291,$B$96:$B$176,_xlfn.XLOOKUP(AV$181,$D$5:$AX$5,$D$96:$AX$176))</f>
        <v>214.62315940458575</v>
      </c>
      <c r="AW291" s="708" cm="1">
        <f t="array" ref="AW291">_xlfn.XLOOKUP($B291,$B$96:$B$176,_xlfn.XLOOKUP(AW$181,$D$5:$AX$5,$D$96:$AX$176))</f>
        <v>221.06185418672331</v>
      </c>
      <c r="AX291" s="708" cm="1">
        <f t="array" ref="AX291">_xlfn.XLOOKUP($B291,$B$96:$B$176,_xlfn.XLOOKUP(AX$181,$D$5:$AX$5,$D$96:$AX$176))</f>
        <v>227.69370981232501</v>
      </c>
    </row>
    <row r="292" spans="2:50">
      <c r="B292" s="305" t="s">
        <v>1464</v>
      </c>
      <c r="C292" s="318" t="str">
        <f>_xlfn.TEXTAFTER($B292,$C$280)&amp;" - New"</f>
        <v>Variable Contribution - New</v>
      </c>
      <c r="D292" s="311" t="str" cm="1">
        <f t="array" ref="D292">_xlfn.XLOOKUP($B292,$B$11:$B$91,_xlfn.XLOOKUP(D$181,$D$5:$AX$5,$D$11:$AX$91))</f>
        <v>A$m</v>
      </c>
      <c r="E292" s="311"/>
      <c r="F292" s="311"/>
      <c r="G292" s="312" cm="1">
        <f t="array" ref="G292">_xlfn.XLOOKUP($B292,$B$11:$B$91,_xlfn.XLOOKUP(G$181,$D$5:$AX$5,$D$11:$AX$91))</f>
        <v>74.599999999999994</v>
      </c>
      <c r="H292" s="312" cm="1">
        <f t="array" ref="H292">_xlfn.XLOOKUP($B292,$B$11:$B$91,_xlfn.XLOOKUP(H$181,$D$5:$AX$5,$D$11:$AX$91))</f>
        <v>111.70000000000002</v>
      </c>
      <c r="I292" s="312" cm="1">
        <f t="array" ref="I292">_xlfn.XLOOKUP($B292,$B$11:$B$91,_xlfn.XLOOKUP(I$181,$D$5:$AX$5,$D$11:$AX$91))</f>
        <v>101.4</v>
      </c>
      <c r="J292" s="312" cm="1">
        <f t="array" ref="J292">_xlfn.XLOOKUP($B292,$B$11:$B$91,_xlfn.XLOOKUP(J$181,$D$5:$AX$5,$D$11:$AX$91))</f>
        <v>91.799999999999983</v>
      </c>
      <c r="K292" s="312" cm="1">
        <f t="array" ref="K292">_xlfn.XLOOKUP($B292,$B$11:$B$91,_xlfn.XLOOKUP(K$181,$D$5:$AX$5,$D$11:$AX$91))</f>
        <v>79.900000000000006</v>
      </c>
      <c r="L292" s="312" cm="1">
        <f t="array" ref="L292">_xlfn.XLOOKUP($B292,$B$11:$B$91,_xlfn.XLOOKUP(L$181,$D$5:$AX$5,$D$11:$AX$91))</f>
        <v>81.799999999999983</v>
      </c>
      <c r="M292" s="312" cm="1">
        <f t="array" ref="M292">_xlfn.XLOOKUP($B292,$B$11:$B$91,_xlfn.XLOOKUP(M$181,$D$5:$AX$5,$D$11:$AX$91))</f>
        <v>86.3</v>
      </c>
      <c r="N292" s="312" cm="1">
        <f t="array" ref="N292">_xlfn.XLOOKUP($B292,$B$11:$B$91,_xlfn.XLOOKUP(N$181,$D$5:$AX$5,$D$11:$AX$91))</f>
        <v>86.500000000000014</v>
      </c>
      <c r="O292" s="312" cm="1">
        <f t="array" ref="O292">_xlfn.XLOOKUP($B292,$B$11:$B$91,_xlfn.XLOOKUP(O$181,$D$5:$AX$5,$D$11:$AX$91))</f>
        <v>90.2</v>
      </c>
      <c r="P292" s="312" cm="1">
        <f t="array" ref="P292">_xlfn.XLOOKUP($B292,$B$11:$B$91,_xlfn.XLOOKUP(P$181,$D$5:$AX$5,$D$11:$AX$91))</f>
        <v>88.999999999999986</v>
      </c>
      <c r="Q292" s="312" cm="1">
        <f t="array" ref="Q292">_xlfn.XLOOKUP($B292,$B$11:$B$91,_xlfn.XLOOKUP(Q$181,$D$5:$AX$5,$D$11:$AX$91))</f>
        <v>93.051529477196866</v>
      </c>
      <c r="R292" s="312" cm="1">
        <f t="array" ref="R292">_xlfn.XLOOKUP($B292,$B$11:$B$91,_xlfn.XLOOKUP(R$181,$D$5:$AX$5,$D$11:$AX$91))</f>
        <v>91.22499999999998</v>
      </c>
      <c r="S292" s="312" cm="1">
        <f t="array" ref="S292">_xlfn.XLOOKUP($B292,$B$11:$B$91,_xlfn.XLOOKUP(S$181,$D$5:$AX$5,$D$11:$AX$91))</f>
        <v>95.377817714126778</v>
      </c>
      <c r="T292" s="312" cm="1">
        <f t="array" ref="T292">_xlfn.XLOOKUP($B292,$B$11:$B$91,_xlfn.XLOOKUP(T$181,$D$5:$AX$5,$D$11:$AX$91))</f>
        <v>93.505624999999966</v>
      </c>
      <c r="U292" s="312" cm="1">
        <f t="array" ref="U292">_xlfn.XLOOKUP($B292,$B$11:$B$91,_xlfn.XLOOKUP(U$181,$D$5:$AX$5,$D$11:$AX$91))</f>
        <v>98.239152245550585</v>
      </c>
      <c r="V292" s="312" cm="1">
        <f t="array" ref="V292">_xlfn.XLOOKUP($B292,$B$11:$B$91,_xlfn.XLOOKUP(V$181,$D$5:$AX$5,$D$11:$AX$91))</f>
        <v>96.310793749999959</v>
      </c>
      <c r="W292" s="312" cm="1">
        <f t="array" ref="W292">_xlfn.XLOOKUP($B292,$B$11:$B$91,_xlfn.XLOOKUP(W$181,$D$5:$AX$5,$D$11:$AX$91))</f>
        <v>101.1863268129171</v>
      </c>
      <c r="X292" s="312" cm="1">
        <f t="array" ref="X292">_xlfn.XLOOKUP($B292,$B$11:$B$91,_xlfn.XLOOKUP(X$181,$D$5:$AX$5,$D$11:$AX$91))</f>
        <v>99.200117562499969</v>
      </c>
      <c r="Y292" s="312" cm="1">
        <f t="array" ref="Y292">_xlfn.XLOOKUP($B292,$B$11:$B$91,_xlfn.XLOOKUP(Y$181,$D$5:$AX$5,$D$11:$AX$91))</f>
        <v>104.22191661730461</v>
      </c>
      <c r="Z292" s="312" cm="1">
        <f t="array" ref="Z292">_xlfn.XLOOKUP($B292,$B$11:$B$91,_xlfn.XLOOKUP(Z$181,$D$5:$AX$5,$D$11:$AX$91))</f>
        <v>102.17612108937496</v>
      </c>
      <c r="AA292" s="312" cm="1">
        <f t="array" ref="AA292">_xlfn.XLOOKUP($B292,$B$11:$B$91,_xlfn.XLOOKUP(AA$181,$D$5:$AX$5,$D$11:$AX$91))</f>
        <v>107.34857411582375</v>
      </c>
      <c r="AB292" s="312" cm="1">
        <f t="array" ref="AB292">_xlfn.XLOOKUP($B292,$B$11:$B$91,_xlfn.XLOOKUP(AB$181,$D$5:$AX$5,$D$11:$AX$91))</f>
        <v>105.24140472205622</v>
      </c>
      <c r="AC292" s="312" cm="1">
        <f t="array" ref="AC292">_xlfn.XLOOKUP($B292,$B$11:$B$91,_xlfn.XLOOKUP(AC$181,$D$5:$AX$5,$D$11:$AX$91))</f>
        <v>110.56903133929846</v>
      </c>
      <c r="AD292" s="312" cm="1">
        <f t="array" ref="AD292">_xlfn.XLOOKUP($B292,$B$11:$B$91,_xlfn.XLOOKUP(AD$181,$D$5:$AX$5,$D$11:$AX$91))</f>
        <v>108.3986468637179</v>
      </c>
      <c r="AE292" s="312" cm="1">
        <f t="array" ref="AE292">_xlfn.XLOOKUP($B292,$B$11:$B$91,_xlfn.XLOOKUP(AE$181,$D$5:$AX$5,$D$11:$AX$91))</f>
        <v>113.88610227947741</v>
      </c>
      <c r="AF292" s="312" cm="1">
        <f t="array" ref="AF292">_xlfn.XLOOKUP($B292,$B$11:$B$91,_xlfn.XLOOKUP(AF$181,$D$5:$AX$5,$D$11:$AX$91))</f>
        <v>111.65060626962945</v>
      </c>
      <c r="AG292" s="312"/>
      <c r="AH292" s="310" t="str">
        <f t="shared" si="128"/>
        <v>Variable Contribution - New</v>
      </c>
      <c r="AI292" s="311" t="str" cm="1">
        <f t="array" ref="AI292">_xlfn.XLOOKUP($B292,$B$11:$B$91,_xlfn.XLOOKUP(AI$181,$D$5:$AX$5,$D$11:$AX$91))</f>
        <v>A$m</v>
      </c>
      <c r="AJ292" s="311"/>
      <c r="AK292" s="311"/>
      <c r="AL292" s="312" cm="1">
        <f t="array" ref="AL292">_xlfn.XLOOKUP($B292,$B$11:$B$91,_xlfn.XLOOKUP(AL$181,$D$5:$AX$5,$D$11:$AX$91))</f>
        <v>186.3</v>
      </c>
      <c r="AM292" s="312" cm="1">
        <f t="array" ref="AM292">_xlfn.XLOOKUP($B292,$B$11:$B$91,_xlfn.XLOOKUP(AM$181,$D$5:$AX$5,$D$11:$AX$91))</f>
        <v>193.2</v>
      </c>
      <c r="AN292" s="312" cm="1">
        <f t="array" ref="AN292">_xlfn.XLOOKUP($B292,$B$11:$B$91,_xlfn.XLOOKUP(AN$181,$D$5:$AX$5,$D$11:$AX$91))</f>
        <v>161.69999999999999</v>
      </c>
      <c r="AO292" s="312" cm="1">
        <f t="array" ref="AO292">_xlfn.XLOOKUP($B292,$B$11:$B$91,_xlfn.XLOOKUP(AO$181,$D$5:$AX$5,$D$11:$AX$91))</f>
        <v>172.8</v>
      </c>
      <c r="AP292" s="312" cm="1">
        <f t="array" ref="AP292">_xlfn.XLOOKUP($B292,$B$11:$B$91,_xlfn.XLOOKUP(AP$181,$D$5:$AX$5,$D$11:$AX$91))</f>
        <v>179.2</v>
      </c>
      <c r="AQ292" s="312" cm="1">
        <f t="array" ref="AQ292">_xlfn.XLOOKUP($B292,$B$11:$B$91,_xlfn.XLOOKUP(AQ$181,$D$5:$AX$5,$D$11:$AX$91))</f>
        <v>184.27652947719685</v>
      </c>
      <c r="AR292" s="312" cm="1">
        <f t="array" ref="AR292">_xlfn.XLOOKUP($B292,$B$11:$B$91,_xlfn.XLOOKUP(AR$181,$D$5:$AX$5,$D$11:$AX$91))</f>
        <v>188.88344271412674</v>
      </c>
      <c r="AS292" s="312" cm="1">
        <f t="array" ref="AS292">_xlfn.XLOOKUP($B292,$B$11:$B$91,_xlfn.XLOOKUP(AS$181,$D$5:$AX$5,$D$11:$AX$91))</f>
        <v>194.54994599555056</v>
      </c>
      <c r="AT292" s="312" cm="1">
        <f t="array" ref="AT292">_xlfn.XLOOKUP($B292,$B$11:$B$91,_xlfn.XLOOKUP(AT$181,$D$5:$AX$5,$D$11:$AX$91))</f>
        <v>200.38644437541706</v>
      </c>
      <c r="AU292" s="312" cm="1">
        <f t="array" ref="AU292">_xlfn.XLOOKUP($B292,$B$11:$B$91,_xlfn.XLOOKUP(AU$181,$D$5:$AX$5,$D$11:$AX$91))</f>
        <v>206.39803770667959</v>
      </c>
      <c r="AV292" s="312" cm="1">
        <f t="array" ref="AV292">_xlfn.XLOOKUP($B292,$B$11:$B$91,_xlfn.XLOOKUP(AV$181,$D$5:$AX$5,$D$11:$AX$91))</f>
        <v>212.58997883787998</v>
      </c>
      <c r="AW292" s="312" cm="1">
        <f t="array" ref="AW292">_xlfn.XLOOKUP($B292,$B$11:$B$91,_xlfn.XLOOKUP(AW$181,$D$5:$AX$5,$D$11:$AX$91))</f>
        <v>218.96767820301636</v>
      </c>
      <c r="AX292" s="312" cm="1">
        <f t="array" ref="AX292">_xlfn.XLOOKUP($B292,$B$11:$B$91,_xlfn.XLOOKUP(AX$181,$D$5:$AX$5,$D$11:$AX$91))</f>
        <v>225.53670854910686</v>
      </c>
    </row>
    <row r="293" spans="2:50" hidden="1" outlineLevel="1">
      <c r="B293" s="305"/>
      <c r="C293" s="313" t="s">
        <v>1121</v>
      </c>
      <c r="D293" s="307" t="s">
        <v>842</v>
      </c>
      <c r="E293" s="307"/>
      <c r="F293" s="307"/>
      <c r="G293" s="314" t="s">
        <v>967</v>
      </c>
      <c r="H293" s="314" t="s">
        <v>967</v>
      </c>
      <c r="I293" s="314">
        <f t="shared" ref="I293:AF293" si="137">I292/G292-1</f>
        <v>0.35924932975871338</v>
      </c>
      <c r="J293" s="314">
        <f t="shared" si="137"/>
        <v>-0.17815577439570307</v>
      </c>
      <c r="K293" s="314">
        <f t="shared" si="137"/>
        <v>-0.21203155818540431</v>
      </c>
      <c r="L293" s="314">
        <f t="shared" si="137"/>
        <v>-0.10893246187363836</v>
      </c>
      <c r="M293" s="314">
        <f t="shared" si="137"/>
        <v>8.010012515644549E-2</v>
      </c>
      <c r="N293" s="314">
        <f t="shared" si="137"/>
        <v>5.7457212713936778E-2</v>
      </c>
      <c r="O293" s="314">
        <f t="shared" si="137"/>
        <v>4.5191193511008088E-2</v>
      </c>
      <c r="P293" s="314">
        <f t="shared" si="137"/>
        <v>2.890173410404584E-2</v>
      </c>
      <c r="Q293" s="314">
        <f t="shared" si="137"/>
        <v>3.1613408838102597E-2</v>
      </c>
      <c r="R293" s="314">
        <f t="shared" si="137"/>
        <v>2.4999999999999911E-2</v>
      </c>
      <c r="S293" s="314">
        <f t="shared" si="137"/>
        <v>2.4999999999999911E-2</v>
      </c>
      <c r="T293" s="314">
        <f t="shared" si="137"/>
        <v>2.4999999999999911E-2</v>
      </c>
      <c r="U293" s="314">
        <f t="shared" si="137"/>
        <v>3.0000000000000027E-2</v>
      </c>
      <c r="V293" s="314">
        <f t="shared" si="137"/>
        <v>3.0000000000000027E-2</v>
      </c>
      <c r="W293" s="314">
        <f t="shared" si="137"/>
        <v>3.0000000000000027E-2</v>
      </c>
      <c r="X293" s="314">
        <f t="shared" si="137"/>
        <v>3.0000000000000027E-2</v>
      </c>
      <c r="Y293" s="314">
        <f t="shared" si="137"/>
        <v>3.0000000000000027E-2</v>
      </c>
      <c r="Z293" s="314">
        <f t="shared" si="137"/>
        <v>2.9999999999999805E-2</v>
      </c>
      <c r="AA293" s="314">
        <f t="shared" si="137"/>
        <v>3.0000000000000027E-2</v>
      </c>
      <c r="AB293" s="314">
        <f t="shared" si="137"/>
        <v>3.0000000000000027E-2</v>
      </c>
      <c r="AC293" s="314">
        <f t="shared" si="137"/>
        <v>3.0000000000000027E-2</v>
      </c>
      <c r="AD293" s="314">
        <f t="shared" si="137"/>
        <v>3.0000000000000027E-2</v>
      </c>
      <c r="AE293" s="314">
        <f t="shared" si="137"/>
        <v>3.0000000000000027E-2</v>
      </c>
      <c r="AF293" s="314">
        <f t="shared" si="137"/>
        <v>3.0000000000000027E-2</v>
      </c>
      <c r="AG293" s="315"/>
      <c r="AH293" s="313" t="str">
        <f t="shared" si="128"/>
        <v>- Growth</v>
      </c>
      <c r="AI293" s="307" t="str">
        <f>D293</f>
        <v>%</v>
      </c>
      <c r="AJ293" s="307"/>
      <c r="AK293" s="307"/>
      <c r="AL293" s="314" t="s">
        <v>967</v>
      </c>
      <c r="AM293" s="314">
        <f t="shared" ref="AM293:AX293" si="138">AM292/AL292-1</f>
        <v>3.7037037037036979E-2</v>
      </c>
      <c r="AN293" s="314">
        <f t="shared" si="138"/>
        <v>-0.16304347826086962</v>
      </c>
      <c r="AO293" s="314">
        <f t="shared" si="138"/>
        <v>6.86456400742117E-2</v>
      </c>
      <c r="AP293" s="314">
        <f t="shared" si="138"/>
        <v>3.7037037037036979E-2</v>
      </c>
      <c r="AQ293" s="314">
        <f t="shared" si="138"/>
        <v>2.8328847529000223E-2</v>
      </c>
      <c r="AR293" s="314">
        <f t="shared" si="138"/>
        <v>2.4999999999999911E-2</v>
      </c>
      <c r="AS293" s="314">
        <f t="shared" si="138"/>
        <v>3.0000000000000027E-2</v>
      </c>
      <c r="AT293" s="314">
        <f t="shared" si="138"/>
        <v>2.9999999999999805E-2</v>
      </c>
      <c r="AU293" s="314">
        <f t="shared" si="138"/>
        <v>3.0000000000000027E-2</v>
      </c>
      <c r="AV293" s="314">
        <f t="shared" si="138"/>
        <v>3.0000000000000027E-2</v>
      </c>
      <c r="AW293" s="314">
        <f t="shared" si="138"/>
        <v>2.9999999999999805E-2</v>
      </c>
      <c r="AX293" s="314">
        <f t="shared" si="138"/>
        <v>3.0000000000000027E-2</v>
      </c>
    </row>
    <row r="294" spans="2:50" collapsed="1">
      <c r="B294" s="305"/>
      <c r="C294" s="313" t="s">
        <v>1122</v>
      </c>
      <c r="D294" s="307" t="s">
        <v>842</v>
      </c>
      <c r="E294" s="307"/>
      <c r="F294" s="307"/>
      <c r="G294" s="314">
        <f xml:space="preserve"> IFERROR(ROUND( G292 / G291,3) - 1, 0)</f>
        <v>0</v>
      </c>
      <c r="H294" s="314">
        <f t="shared" ref="H294:AF294" si="139" xml:space="preserve"> IFERROR(ROUND( H292 / H291,3) - 1, 0)</f>
        <v>0</v>
      </c>
      <c r="I294" s="314">
        <f t="shared" si="139"/>
        <v>0</v>
      </c>
      <c r="J294" s="314">
        <f t="shared" si="139"/>
        <v>0</v>
      </c>
      <c r="K294" s="314">
        <f t="shared" si="139"/>
        <v>-0.129</v>
      </c>
      <c r="L294" s="314">
        <f t="shared" si="139"/>
        <v>0</v>
      </c>
      <c r="M294" s="314">
        <f t="shared" si="139"/>
        <v>0</v>
      </c>
      <c r="N294" s="314">
        <f t="shared" si="139"/>
        <v>0</v>
      </c>
      <c r="O294" s="314">
        <f t="shared" si="139"/>
        <v>0</v>
      </c>
      <c r="P294" s="314">
        <f t="shared" si="139"/>
        <v>-6.0000000000000053E-3</v>
      </c>
      <c r="Q294" s="314">
        <f t="shared" si="139"/>
        <v>2.0000000000000018E-3</v>
      </c>
      <c r="R294" s="314">
        <f t="shared" si="139"/>
        <v>-1.100000000000001E-2</v>
      </c>
      <c r="S294" s="314">
        <f t="shared" si="139"/>
        <v>-3.0000000000000027E-3</v>
      </c>
      <c r="T294" s="314">
        <f t="shared" si="139"/>
        <v>-1.6000000000000014E-2</v>
      </c>
      <c r="U294" s="314">
        <f t="shared" si="139"/>
        <v>-3.0000000000000027E-3</v>
      </c>
      <c r="V294" s="314">
        <f t="shared" si="139"/>
        <v>-1.6000000000000014E-2</v>
      </c>
      <c r="W294" s="314">
        <f t="shared" si="139"/>
        <v>-3.0000000000000027E-3</v>
      </c>
      <c r="X294" s="314">
        <f t="shared" si="139"/>
        <v>-1.6000000000000014E-2</v>
      </c>
      <c r="Y294" s="314">
        <f t="shared" si="139"/>
        <v>-3.0000000000000027E-3</v>
      </c>
      <c r="Z294" s="314">
        <f t="shared" si="139"/>
        <v>-1.6000000000000014E-2</v>
      </c>
      <c r="AA294" s="314">
        <f t="shared" si="139"/>
        <v>-3.0000000000000027E-3</v>
      </c>
      <c r="AB294" s="314">
        <f t="shared" si="139"/>
        <v>-1.6000000000000014E-2</v>
      </c>
      <c r="AC294" s="314">
        <f t="shared" si="139"/>
        <v>-3.0000000000000027E-3</v>
      </c>
      <c r="AD294" s="314">
        <f t="shared" si="139"/>
        <v>-1.6000000000000014E-2</v>
      </c>
      <c r="AE294" s="314">
        <f t="shared" si="139"/>
        <v>-3.0000000000000027E-3</v>
      </c>
      <c r="AF294" s="314">
        <f t="shared" si="139"/>
        <v>-1.6000000000000014E-2</v>
      </c>
      <c r="AG294" s="314"/>
      <c r="AH294" s="313" t="str">
        <f t="shared" si="128"/>
        <v>- Revision</v>
      </c>
      <c r="AI294" s="307" t="str">
        <f>D294</f>
        <v>%</v>
      </c>
      <c r="AJ294" s="307"/>
      <c r="AK294" s="307"/>
      <c r="AL294" s="314">
        <f t="shared" ref="AL294:AX294" si="140" xml:space="preserve"> IFERROR(ROUND( AL292 / AL291,3) - 1, 0)</f>
        <v>0</v>
      </c>
      <c r="AM294" s="314">
        <f t="shared" si="140"/>
        <v>0</v>
      </c>
      <c r="AN294" s="314">
        <f t="shared" si="140"/>
        <v>-6.7999999999999949E-2</v>
      </c>
      <c r="AO294" s="314">
        <f t="shared" si="140"/>
        <v>0</v>
      </c>
      <c r="AP294" s="314">
        <f t="shared" si="140"/>
        <v>-3.0000000000000027E-3</v>
      </c>
      <c r="AQ294" s="314">
        <f t="shared" si="140"/>
        <v>-5.0000000000000044E-3</v>
      </c>
      <c r="AR294" s="314">
        <f t="shared" si="140"/>
        <v>-9.000000000000008E-3</v>
      </c>
      <c r="AS294" s="314">
        <f t="shared" si="140"/>
        <v>-9.000000000000008E-3</v>
      </c>
      <c r="AT294" s="314">
        <f t="shared" si="140"/>
        <v>-9.000000000000008E-3</v>
      </c>
      <c r="AU294" s="314">
        <f t="shared" si="140"/>
        <v>-9.000000000000008E-3</v>
      </c>
      <c r="AV294" s="314">
        <f t="shared" si="140"/>
        <v>-9.000000000000008E-3</v>
      </c>
      <c r="AW294" s="314">
        <f t="shared" si="140"/>
        <v>-9.000000000000008E-3</v>
      </c>
      <c r="AX294" s="314">
        <f t="shared" si="140"/>
        <v>-9.000000000000008E-3</v>
      </c>
    </row>
    <row r="295" spans="2:50">
      <c r="B295" s="305" t="s">
        <v>1465</v>
      </c>
      <c r="C295" s="706" t="str">
        <f>_xlfn.TEXTAFTER($B295,$C$280)&amp;" - old"</f>
        <v>Opex - old</v>
      </c>
      <c r="D295" s="707" t="str" cm="1">
        <f t="array" ref="D295">_xlfn.XLOOKUP($B295,$B$96:$B$176,_xlfn.XLOOKUP(D$181,$D$5:$AX$5,$D$96:$AX$176))</f>
        <v>A$m</v>
      </c>
      <c r="E295" s="307"/>
      <c r="F295" s="307"/>
      <c r="G295" s="708" cm="1">
        <f t="array" ref="G295">_xlfn.XLOOKUP($B295,$B$96:$B$176,_xlfn.XLOOKUP(G$181,$D$5:$AX$5,$D$96:$AX$176))</f>
        <v>-55</v>
      </c>
      <c r="H295" s="708" cm="1">
        <f t="array" ref="H295">_xlfn.XLOOKUP($B295,$B$96:$B$176,_xlfn.XLOOKUP(H$181,$D$5:$AX$5,$D$96:$AX$176))</f>
        <v>-58.099999999999994</v>
      </c>
      <c r="I295" s="708" cm="1">
        <f t="array" ref="I295">_xlfn.XLOOKUP($B295,$B$96:$B$176,_xlfn.XLOOKUP(I$181,$D$5:$AX$5,$D$96:$AX$176))</f>
        <v>-58.5</v>
      </c>
      <c r="J295" s="708" cm="1">
        <f t="array" ref="J295">_xlfn.XLOOKUP($B295,$B$96:$B$176,_xlfn.XLOOKUP(J$181,$D$5:$AX$5,$D$96:$AX$176))</f>
        <v>-51.599999999999994</v>
      </c>
      <c r="K295" s="708" cm="1">
        <f t="array" ref="K295">_xlfn.XLOOKUP($B295,$B$96:$B$176,_xlfn.XLOOKUP(K$181,$D$5:$AX$5,$D$96:$AX$176))</f>
        <v>-55.9</v>
      </c>
      <c r="L295" s="708" cm="1">
        <f t="array" ref="L295">_xlfn.XLOOKUP($B295,$B$96:$B$176,_xlfn.XLOOKUP(L$181,$D$5:$AX$5,$D$96:$AX$176))</f>
        <v>-51.1</v>
      </c>
      <c r="M295" s="708" cm="1">
        <f t="array" ref="M295">_xlfn.XLOOKUP($B295,$B$96:$B$176,_xlfn.XLOOKUP(M$181,$D$5:$AX$5,$D$96:$AX$176))</f>
        <v>-52.8</v>
      </c>
      <c r="N295" s="708" cm="1">
        <f t="array" ref="N295">_xlfn.XLOOKUP($B295,$B$96:$B$176,_xlfn.XLOOKUP(N$181,$D$5:$AX$5,$D$96:$AX$176))</f>
        <v>-57.600000000000009</v>
      </c>
      <c r="O295" s="708" cm="1">
        <f t="array" ref="O295">_xlfn.XLOOKUP($B295,$B$96:$B$176,_xlfn.XLOOKUP(O$181,$D$5:$AX$5,$D$96:$AX$176))</f>
        <v>-54.2</v>
      </c>
      <c r="P295" s="708" cm="1">
        <f t="array" ref="P295">_xlfn.XLOOKUP($B295,$B$96:$B$176,_xlfn.XLOOKUP(P$181,$D$5:$AX$5,$D$96:$AX$176))</f>
        <v>-56.44021200000001</v>
      </c>
      <c r="Q295" s="708" cm="1">
        <f t="array" ref="Q295">_xlfn.XLOOKUP($B295,$B$96:$B$176,_xlfn.XLOOKUP(Q$181,$D$5:$AX$5,$D$96:$AX$176))</f>
        <v>-55.826000000000008</v>
      </c>
      <c r="R295" s="708" cm="1">
        <f t="array" ref="R295">_xlfn.XLOOKUP($B295,$B$96:$B$176,_xlfn.XLOOKUP(R$181,$D$5:$AX$5,$D$96:$AX$176))</f>
        <v>-55.419693866957488</v>
      </c>
      <c r="S295" s="708" cm="1">
        <f t="array" ref="S295">_xlfn.XLOOKUP($B295,$B$96:$B$176,_xlfn.XLOOKUP(S$181,$D$5:$AX$5,$D$96:$AX$176))</f>
        <v>-57.500780000000006</v>
      </c>
      <c r="T295" s="708" cm="1">
        <f t="array" ref="T295">_xlfn.XLOOKUP($B295,$B$96:$B$176,_xlfn.XLOOKUP(T$181,$D$5:$AX$5,$D$96:$AX$176))</f>
        <v>-57.082284682966218</v>
      </c>
      <c r="U295" s="708" cm="1">
        <f t="array" ref="U295">_xlfn.XLOOKUP($B295,$B$96:$B$176,_xlfn.XLOOKUP(U$181,$D$5:$AX$5,$D$96:$AX$176))</f>
        <v>-59.225803400000011</v>
      </c>
      <c r="V295" s="708" cm="1">
        <f t="array" ref="V295">_xlfn.XLOOKUP($B295,$B$96:$B$176,_xlfn.XLOOKUP(V$181,$D$5:$AX$5,$D$96:$AX$176))</f>
        <v>-58.79475322345521</v>
      </c>
      <c r="W295" s="708" cm="1">
        <f t="array" ref="W295">_xlfn.XLOOKUP($B295,$B$96:$B$176,_xlfn.XLOOKUP(W$181,$D$5:$AX$5,$D$96:$AX$176))</f>
        <v>-61.002577502000008</v>
      </c>
      <c r="X295" s="708" cm="1">
        <f t="array" ref="X295">_xlfn.XLOOKUP($B295,$B$96:$B$176,_xlfn.XLOOKUP(X$181,$D$5:$AX$5,$D$96:$AX$176))</f>
        <v>-60.558595820158864</v>
      </c>
      <c r="Y295" s="708" cm="1">
        <f t="array" ref="Y295">_xlfn.XLOOKUP($B295,$B$96:$B$176,_xlfn.XLOOKUP(Y$181,$D$5:$AX$5,$D$96:$AX$176))</f>
        <v>-62.832654827060018</v>
      </c>
      <c r="Z295" s="708" cm="1">
        <f t="array" ref="Z295">_xlfn.XLOOKUP($B295,$B$96:$B$176,_xlfn.XLOOKUP(Z$181,$D$5:$AX$5,$D$96:$AX$176))</f>
        <v>-62.375353694763632</v>
      </c>
      <c r="AA295" s="708" cm="1">
        <f t="array" ref="AA295">_xlfn.XLOOKUP($B295,$B$96:$B$176,_xlfn.XLOOKUP(AA$181,$D$5:$AX$5,$D$96:$AX$176))</f>
        <v>-64.717634471871818</v>
      </c>
      <c r="AB295" s="708" cm="1">
        <f t="array" ref="AB295">_xlfn.XLOOKUP($B295,$B$96:$B$176,_xlfn.XLOOKUP(AB$181,$D$5:$AX$5,$D$96:$AX$176))</f>
        <v>-64.246614305606542</v>
      </c>
      <c r="AC295" s="708" cm="1">
        <f t="array" ref="AC295">_xlfn.XLOOKUP($B295,$B$96:$B$176,_xlfn.XLOOKUP(AC$181,$D$5:$AX$5,$D$96:$AX$176))</f>
        <v>-66.65916350602798</v>
      </c>
      <c r="AD295" s="708" cm="1">
        <f t="array" ref="AD295">_xlfn.XLOOKUP($B295,$B$96:$B$176,_xlfn.XLOOKUP(AD$181,$D$5:$AX$5,$D$96:$AX$176))</f>
        <v>-66.174012734774735</v>
      </c>
      <c r="AE295" s="708" cm="1">
        <f t="array" ref="AE295">_xlfn.XLOOKUP($B295,$B$96:$B$176,_xlfn.XLOOKUP(AE$181,$D$5:$AX$5,$D$96:$AX$176))</f>
        <v>-68.658938411208808</v>
      </c>
      <c r="AF295" s="708" cm="1">
        <f t="array" ref="AF295">_xlfn.XLOOKUP($B295,$B$96:$B$176,_xlfn.XLOOKUP(AF$181,$D$5:$AX$5,$D$96:$AX$176))</f>
        <v>-68.159233116817987</v>
      </c>
      <c r="AG295" s="309"/>
      <c r="AH295" s="306" t="str">
        <f t="shared" si="128"/>
        <v>Opex - old</v>
      </c>
      <c r="AI295" s="707" t="str" cm="1">
        <f t="array" ref="AI295">_xlfn.XLOOKUP($B295,$B$96:$B$176,_xlfn.XLOOKUP(AI$181,$D$5:$AX$5,$D$96:$AX$176))</f>
        <v>A$m</v>
      </c>
      <c r="AJ295" s="307"/>
      <c r="AK295" s="307"/>
      <c r="AL295" s="708" cm="1">
        <f t="array" ref="AL295">_xlfn.XLOOKUP($B295,$B$96:$B$176,_xlfn.XLOOKUP(AL$181,$D$5:$AX$5,$D$96:$AX$176))</f>
        <v>-113.1</v>
      </c>
      <c r="AM295" s="708" cm="1">
        <f t="array" ref="AM295">_xlfn.XLOOKUP($B295,$B$96:$B$176,_xlfn.XLOOKUP(AM$181,$D$5:$AX$5,$D$96:$AX$176))</f>
        <v>-110.1</v>
      </c>
      <c r="AN295" s="708" cm="1">
        <f t="array" ref="AN295">_xlfn.XLOOKUP($B295,$B$96:$B$176,_xlfn.XLOOKUP(AN$181,$D$5:$AX$5,$D$96:$AX$176))</f>
        <v>-107</v>
      </c>
      <c r="AO295" s="708" cm="1">
        <f t="array" ref="AO295">_xlfn.XLOOKUP($B295,$B$96:$B$176,_xlfn.XLOOKUP(AO$181,$D$5:$AX$5,$D$96:$AX$176))</f>
        <v>-110.4</v>
      </c>
      <c r="AP295" s="708" cm="1">
        <f t="array" ref="AP295">_xlfn.XLOOKUP($B295,$B$96:$B$176,_xlfn.XLOOKUP(AP$181,$D$5:$AX$5,$D$96:$AX$176))</f>
        <v>-110.64021200000002</v>
      </c>
      <c r="AQ295" s="708" cm="1">
        <f t="array" ref="AQ295">_xlfn.XLOOKUP($B295,$B$96:$B$176,_xlfn.XLOOKUP(AQ$181,$D$5:$AX$5,$D$96:$AX$176))</f>
        <v>-111.2456938669575</v>
      </c>
      <c r="AR295" s="708" cm="1">
        <f t="array" ref="AR295">_xlfn.XLOOKUP($B295,$B$96:$B$176,_xlfn.XLOOKUP(AR$181,$D$5:$AX$5,$D$96:$AX$176))</f>
        <v>-114.58306468296622</v>
      </c>
      <c r="AS295" s="708" cm="1">
        <f t="array" ref="AS295">_xlfn.XLOOKUP($B295,$B$96:$B$176,_xlfn.XLOOKUP(AS$181,$D$5:$AX$5,$D$96:$AX$176))</f>
        <v>-118.02055662345522</v>
      </c>
      <c r="AT295" s="708" cm="1">
        <f t="array" ref="AT295">_xlfn.XLOOKUP($B295,$B$96:$B$176,_xlfn.XLOOKUP(AT$181,$D$5:$AX$5,$D$96:$AX$176))</f>
        <v>-121.56117332215888</v>
      </c>
      <c r="AU295" s="708" cm="1">
        <f t="array" ref="AU295">_xlfn.XLOOKUP($B295,$B$96:$B$176,_xlfn.XLOOKUP(AU$181,$D$5:$AX$5,$D$96:$AX$176))</f>
        <v>-125.20800852182364</v>
      </c>
      <c r="AV295" s="708" cm="1">
        <f t="array" ref="AV295">_xlfn.XLOOKUP($B295,$B$96:$B$176,_xlfn.XLOOKUP(AV$181,$D$5:$AX$5,$D$96:$AX$176))</f>
        <v>-128.96424877747836</v>
      </c>
      <c r="AW295" s="708" cm="1">
        <f t="array" ref="AW295">_xlfn.XLOOKUP($B295,$B$96:$B$176,_xlfn.XLOOKUP(AW$181,$D$5:$AX$5,$D$96:$AX$176))</f>
        <v>-132.83317624080271</v>
      </c>
      <c r="AX295" s="708" cm="1">
        <f t="array" ref="AX295">_xlfn.XLOOKUP($B295,$B$96:$B$176,_xlfn.XLOOKUP(AX$181,$D$5:$AX$5,$D$96:$AX$176))</f>
        <v>-136.8181715280268</v>
      </c>
    </row>
    <row r="296" spans="2:50">
      <c r="B296" s="305" t="s">
        <v>1465</v>
      </c>
      <c r="C296" s="318" t="str">
        <f>_xlfn.TEXTAFTER($B296,$C$280)&amp;" - New"</f>
        <v>Opex - New</v>
      </c>
      <c r="D296" s="311" t="str" cm="1">
        <f t="array" ref="D296">_xlfn.XLOOKUP($B296,$B$11:$B$91,_xlfn.XLOOKUP(D$181,$D$5:$AX$5,$D$11:$AX$91))</f>
        <v>A$m</v>
      </c>
      <c r="E296" s="311"/>
      <c r="F296" s="311"/>
      <c r="G296" s="312" cm="1">
        <f t="array" ref="G296">_xlfn.XLOOKUP($B296,$B$11:$B$91,_xlfn.XLOOKUP(G$181,$D$5:$AX$5,$D$11:$AX$91))</f>
        <v>-55</v>
      </c>
      <c r="H296" s="312" cm="1">
        <f t="array" ref="H296">_xlfn.XLOOKUP($B296,$B$11:$B$91,_xlfn.XLOOKUP(H$181,$D$5:$AX$5,$D$11:$AX$91))</f>
        <v>-58.099999999999994</v>
      </c>
      <c r="I296" s="312" cm="1">
        <f t="array" ref="I296">_xlfn.XLOOKUP($B296,$B$11:$B$91,_xlfn.XLOOKUP(I$181,$D$5:$AX$5,$D$11:$AX$91))</f>
        <v>-58.5</v>
      </c>
      <c r="J296" s="312" cm="1">
        <f t="array" ref="J296">_xlfn.XLOOKUP($B296,$B$11:$B$91,_xlfn.XLOOKUP(J$181,$D$5:$AX$5,$D$11:$AX$91))</f>
        <v>-51.599999999999994</v>
      </c>
      <c r="K296" s="312" cm="1">
        <f t="array" ref="K296">_xlfn.XLOOKUP($B296,$B$11:$B$91,_xlfn.XLOOKUP(K$181,$D$5:$AX$5,$D$11:$AX$91))</f>
        <v>-51.6</v>
      </c>
      <c r="L296" s="312" cm="1">
        <f t="array" ref="L296">_xlfn.XLOOKUP($B296,$B$11:$B$91,_xlfn.XLOOKUP(L$181,$D$5:$AX$5,$D$11:$AX$91))</f>
        <v>-51.1</v>
      </c>
      <c r="M296" s="312" cm="1">
        <f t="array" ref="M296">_xlfn.XLOOKUP($B296,$B$11:$B$91,_xlfn.XLOOKUP(M$181,$D$5:$AX$5,$D$11:$AX$91))</f>
        <v>-52.8</v>
      </c>
      <c r="N296" s="312" cm="1">
        <f t="array" ref="N296">_xlfn.XLOOKUP($B296,$B$11:$B$91,_xlfn.XLOOKUP(N$181,$D$5:$AX$5,$D$11:$AX$91))</f>
        <v>-57.600000000000009</v>
      </c>
      <c r="O296" s="312" cm="1">
        <f t="array" ref="O296">_xlfn.XLOOKUP($B296,$B$11:$B$91,_xlfn.XLOOKUP(O$181,$D$5:$AX$5,$D$11:$AX$91))</f>
        <v>-54.2</v>
      </c>
      <c r="P296" s="312" cm="1">
        <f t="array" ref="P296">_xlfn.XLOOKUP($B296,$B$11:$B$91,_xlfn.XLOOKUP(P$181,$D$5:$AX$5,$D$11:$AX$91))</f>
        <v>-55.099999999999994</v>
      </c>
      <c r="Q296" s="312" cm="1">
        <f t="array" ref="Q296">_xlfn.XLOOKUP($B296,$B$11:$B$91,_xlfn.XLOOKUP(Q$181,$D$5:$AX$5,$D$11:$AX$91))</f>
        <v>-57.335424999999994</v>
      </c>
      <c r="R296" s="312" cm="1">
        <f t="array" ref="R296">_xlfn.XLOOKUP($B296,$B$11:$B$91,_xlfn.XLOOKUP(R$181,$D$5:$AX$5,$D$11:$AX$91))</f>
        <v>-56.209974999999986</v>
      </c>
      <c r="S296" s="312" cm="1">
        <f t="array" ref="S296">_xlfn.XLOOKUP($B296,$B$11:$B$91,_xlfn.XLOOKUP(S$181,$D$5:$AX$5,$D$11:$AX$91))</f>
        <v>-58.768810624999986</v>
      </c>
      <c r="T296" s="312" cm="1">
        <f t="array" ref="T296">_xlfn.XLOOKUP($B296,$B$11:$B$91,_xlfn.XLOOKUP(T$181,$D$5:$AX$5,$D$11:$AX$91))</f>
        <v>-57.615224374999983</v>
      </c>
      <c r="U296" s="312" cm="1">
        <f t="array" ref="U296">_xlfn.XLOOKUP($B296,$B$11:$B$91,_xlfn.XLOOKUP(U$181,$D$5:$AX$5,$D$11:$AX$91))</f>
        <v>-60.531874943749983</v>
      </c>
      <c r="V296" s="312" cm="1">
        <f t="array" ref="V296">_xlfn.XLOOKUP($B296,$B$11:$B$91,_xlfn.XLOOKUP(V$181,$D$5:$AX$5,$D$11:$AX$91))</f>
        <v>-59.343681106249981</v>
      </c>
      <c r="W296" s="312" cm="1">
        <f t="array" ref="W296">_xlfn.XLOOKUP($B296,$B$11:$B$91,_xlfn.XLOOKUP(W$181,$D$5:$AX$5,$D$11:$AX$91))</f>
        <v>-62.347831192062486</v>
      </c>
      <c r="X296" s="312" cm="1">
        <f t="array" ref="X296">_xlfn.XLOOKUP($B296,$B$11:$B$91,_xlfn.XLOOKUP(X$181,$D$5:$AX$5,$D$11:$AX$91))</f>
        <v>-61.123991539437483</v>
      </c>
      <c r="Y296" s="312" cm="1">
        <f t="array" ref="Y296">_xlfn.XLOOKUP($B296,$B$11:$B$91,_xlfn.XLOOKUP(Y$181,$D$5:$AX$5,$D$11:$AX$91))</f>
        <v>-64.218266127824364</v>
      </c>
      <c r="Z296" s="312" cm="1">
        <f t="array" ref="Z296">_xlfn.XLOOKUP($B296,$B$11:$B$91,_xlfn.XLOOKUP(Z$181,$D$5:$AX$5,$D$11:$AX$91))</f>
        <v>-62.957711285620604</v>
      </c>
      <c r="AA296" s="312" cm="1">
        <f t="array" ref="AA296">_xlfn.XLOOKUP($B296,$B$11:$B$91,_xlfn.XLOOKUP(AA$181,$D$5:$AX$5,$D$11:$AX$91))</f>
        <v>-66.144814111659088</v>
      </c>
      <c r="AB296" s="312" cm="1">
        <f t="array" ref="AB296">_xlfn.XLOOKUP($B296,$B$11:$B$91,_xlfn.XLOOKUP(AB$181,$D$5:$AX$5,$D$11:$AX$91))</f>
        <v>-64.846442624189223</v>
      </c>
      <c r="AC296" s="312" cm="1">
        <f t="array" ref="AC296">_xlfn.XLOOKUP($B296,$B$11:$B$91,_xlfn.XLOOKUP(AC$181,$D$5:$AX$5,$D$11:$AX$91))</f>
        <v>-68.129158535008855</v>
      </c>
      <c r="AD296" s="312" cm="1">
        <f t="array" ref="AD296">_xlfn.XLOOKUP($B296,$B$11:$B$91,_xlfn.XLOOKUP(AD$181,$D$5:$AX$5,$D$11:$AX$91))</f>
        <v>-66.791835902914897</v>
      </c>
      <c r="AE296" s="312" cm="1">
        <f t="array" ref="AE296">_xlfn.XLOOKUP($B296,$B$11:$B$91,_xlfn.XLOOKUP(AE$181,$D$5:$AX$5,$D$11:$AX$91))</f>
        <v>-70.173033291059127</v>
      </c>
      <c r="AF296" s="312" cm="1">
        <f t="array" ref="AF296">_xlfn.XLOOKUP($B296,$B$11:$B$91,_xlfn.XLOOKUP(AF$181,$D$5:$AX$5,$D$11:$AX$91))</f>
        <v>-68.795590980002359</v>
      </c>
      <c r="AG296" s="312"/>
      <c r="AH296" s="310" t="str">
        <f t="shared" si="128"/>
        <v>Opex - New</v>
      </c>
      <c r="AI296" s="311" t="str" cm="1">
        <f t="array" ref="AI296">_xlfn.XLOOKUP($B296,$B$11:$B$91,_xlfn.XLOOKUP(AI$181,$D$5:$AX$5,$D$11:$AX$91))</f>
        <v>A$m</v>
      </c>
      <c r="AJ296" s="311"/>
      <c r="AK296" s="311"/>
      <c r="AL296" s="312" cm="1">
        <f t="array" ref="AL296">_xlfn.XLOOKUP($B296,$B$11:$B$91,_xlfn.XLOOKUP(AL$181,$D$5:$AX$5,$D$11:$AX$91))</f>
        <v>-113.1</v>
      </c>
      <c r="AM296" s="312" cm="1">
        <f t="array" ref="AM296">_xlfn.XLOOKUP($B296,$B$11:$B$91,_xlfn.XLOOKUP(AM$181,$D$5:$AX$5,$D$11:$AX$91))</f>
        <v>-110.1</v>
      </c>
      <c r="AN296" s="312" cm="1">
        <f t="array" ref="AN296">_xlfn.XLOOKUP($B296,$B$11:$B$91,_xlfn.XLOOKUP(AN$181,$D$5:$AX$5,$D$11:$AX$91))</f>
        <v>-102.7</v>
      </c>
      <c r="AO296" s="312" cm="1">
        <f t="array" ref="AO296">_xlfn.XLOOKUP($B296,$B$11:$B$91,_xlfn.XLOOKUP(AO$181,$D$5:$AX$5,$D$11:$AX$91))</f>
        <v>-110.4</v>
      </c>
      <c r="AP296" s="312" cm="1">
        <f t="array" ref="AP296">_xlfn.XLOOKUP($B296,$B$11:$B$91,_xlfn.XLOOKUP(AP$181,$D$5:$AX$5,$D$11:$AX$91))</f>
        <v>-109.3</v>
      </c>
      <c r="AQ296" s="312" cm="1">
        <f t="array" ref="AQ296">_xlfn.XLOOKUP($B296,$B$11:$B$91,_xlfn.XLOOKUP(AQ$181,$D$5:$AX$5,$D$11:$AX$91))</f>
        <v>-113.54539999999997</v>
      </c>
      <c r="AR296" s="312" cm="1">
        <f t="array" ref="AR296">_xlfn.XLOOKUP($B296,$B$11:$B$91,_xlfn.XLOOKUP(AR$181,$D$5:$AX$5,$D$11:$AX$91))</f>
        <v>-116.38403499999997</v>
      </c>
      <c r="AS296" s="312" cm="1">
        <f t="array" ref="AS296">_xlfn.XLOOKUP($B296,$B$11:$B$91,_xlfn.XLOOKUP(AS$181,$D$5:$AX$5,$D$11:$AX$91))</f>
        <v>-119.87555604999997</v>
      </c>
      <c r="AT296" s="312" cm="1">
        <f t="array" ref="AT296">_xlfn.XLOOKUP($B296,$B$11:$B$91,_xlfn.XLOOKUP(AT$181,$D$5:$AX$5,$D$11:$AX$91))</f>
        <v>-123.47182273149997</v>
      </c>
      <c r="AU296" s="312" cm="1">
        <f t="array" ref="AU296">_xlfn.XLOOKUP($B296,$B$11:$B$91,_xlfn.XLOOKUP(AU$181,$D$5:$AX$5,$D$11:$AX$91))</f>
        <v>-127.17597741344497</v>
      </c>
      <c r="AV296" s="312" cm="1">
        <f t="array" ref="AV296">_xlfn.XLOOKUP($B296,$B$11:$B$91,_xlfn.XLOOKUP(AV$181,$D$5:$AX$5,$D$11:$AX$91))</f>
        <v>-130.99125673584831</v>
      </c>
      <c r="AW296" s="312" cm="1">
        <f t="array" ref="AW296">_xlfn.XLOOKUP($B296,$B$11:$B$91,_xlfn.XLOOKUP(AW$181,$D$5:$AX$5,$D$11:$AX$91))</f>
        <v>-134.92099443792375</v>
      </c>
      <c r="AX296" s="312" cm="1">
        <f t="array" ref="AX296">_xlfn.XLOOKUP($B296,$B$11:$B$91,_xlfn.XLOOKUP(AX$181,$D$5:$AX$5,$D$11:$AX$91))</f>
        <v>-138.96862427106149</v>
      </c>
    </row>
    <row r="297" spans="2:50" hidden="1" outlineLevel="1">
      <c r="B297" s="305"/>
      <c r="C297" s="313" t="s">
        <v>1121</v>
      </c>
      <c r="D297" s="307" t="s">
        <v>842</v>
      </c>
      <c r="E297" s="307"/>
      <c r="F297" s="307"/>
      <c r="G297" s="314" t="s">
        <v>967</v>
      </c>
      <c r="H297" s="314" t="s">
        <v>967</v>
      </c>
      <c r="I297" s="314">
        <f t="shared" ref="I297:AF297" si="141">I296/G296-1</f>
        <v>6.3636363636363713E-2</v>
      </c>
      <c r="J297" s="314">
        <f t="shared" si="141"/>
        <v>-0.11187607573149738</v>
      </c>
      <c r="K297" s="314">
        <f t="shared" si="141"/>
        <v>-0.11794871794871797</v>
      </c>
      <c r="L297" s="314">
        <f t="shared" si="141"/>
        <v>-9.6899224806200612E-3</v>
      </c>
      <c r="M297" s="314">
        <f t="shared" si="141"/>
        <v>2.3255813953488191E-2</v>
      </c>
      <c r="N297" s="314">
        <f t="shared" si="141"/>
        <v>0.1272015655577301</v>
      </c>
      <c r="O297" s="314">
        <f t="shared" si="141"/>
        <v>2.6515151515151603E-2</v>
      </c>
      <c r="P297" s="314">
        <f t="shared" si="141"/>
        <v>-4.3402777777778012E-2</v>
      </c>
      <c r="Q297" s="314">
        <f t="shared" si="141"/>
        <v>5.7849169741697182E-2</v>
      </c>
      <c r="R297" s="314">
        <f t="shared" si="141"/>
        <v>2.0144736842105049E-2</v>
      </c>
      <c r="S297" s="314">
        <f t="shared" si="141"/>
        <v>2.4999999999999911E-2</v>
      </c>
      <c r="T297" s="314">
        <f t="shared" si="141"/>
        <v>2.4999999999999911E-2</v>
      </c>
      <c r="U297" s="314">
        <f t="shared" si="141"/>
        <v>3.0000000000000027E-2</v>
      </c>
      <c r="V297" s="314">
        <f t="shared" si="141"/>
        <v>3.0000000000000027E-2</v>
      </c>
      <c r="W297" s="314">
        <f t="shared" si="141"/>
        <v>3.0000000000000027E-2</v>
      </c>
      <c r="X297" s="314">
        <f t="shared" si="141"/>
        <v>3.0000000000000027E-2</v>
      </c>
      <c r="Y297" s="314">
        <f t="shared" si="141"/>
        <v>3.0000000000000027E-2</v>
      </c>
      <c r="Z297" s="314">
        <f t="shared" si="141"/>
        <v>3.0000000000000027E-2</v>
      </c>
      <c r="AA297" s="314">
        <f t="shared" si="141"/>
        <v>2.9999999999999805E-2</v>
      </c>
      <c r="AB297" s="314">
        <f t="shared" si="141"/>
        <v>3.0000000000000027E-2</v>
      </c>
      <c r="AC297" s="314">
        <f t="shared" si="141"/>
        <v>3.0000000000000027E-2</v>
      </c>
      <c r="AD297" s="314">
        <f t="shared" si="141"/>
        <v>3.0000000000000027E-2</v>
      </c>
      <c r="AE297" s="314">
        <f t="shared" si="141"/>
        <v>3.0000000000000027E-2</v>
      </c>
      <c r="AF297" s="314">
        <f t="shared" si="141"/>
        <v>3.0000000000000249E-2</v>
      </c>
      <c r="AG297" s="315"/>
      <c r="AH297" s="313" t="str">
        <f t="shared" si="128"/>
        <v>- Growth</v>
      </c>
      <c r="AI297" s="307" t="str">
        <f>D297</f>
        <v>%</v>
      </c>
      <c r="AJ297" s="307"/>
      <c r="AK297" s="307"/>
      <c r="AL297" s="314" t="s">
        <v>967</v>
      </c>
      <c r="AM297" s="314">
        <f t="shared" ref="AM297:AX297" si="142">AM296/AL296-1</f>
        <v>-2.6525198938992078E-2</v>
      </c>
      <c r="AN297" s="314">
        <f t="shared" si="142"/>
        <v>-6.7211625794731944E-2</v>
      </c>
      <c r="AO297" s="314">
        <f t="shared" si="142"/>
        <v>7.4975657254138239E-2</v>
      </c>
      <c r="AP297" s="314">
        <f t="shared" si="142"/>
        <v>-9.9637681159421287E-3</v>
      </c>
      <c r="AQ297" s="314">
        <f t="shared" si="142"/>
        <v>3.884172003659625E-2</v>
      </c>
      <c r="AR297" s="314">
        <f t="shared" si="142"/>
        <v>2.4999999999999911E-2</v>
      </c>
      <c r="AS297" s="314">
        <f t="shared" si="142"/>
        <v>3.0000000000000027E-2</v>
      </c>
      <c r="AT297" s="314">
        <f t="shared" si="142"/>
        <v>3.0000000000000027E-2</v>
      </c>
      <c r="AU297" s="314">
        <f t="shared" si="142"/>
        <v>3.0000000000000027E-2</v>
      </c>
      <c r="AV297" s="314">
        <f t="shared" si="142"/>
        <v>3.0000000000000027E-2</v>
      </c>
      <c r="AW297" s="314">
        <f t="shared" si="142"/>
        <v>3.0000000000000027E-2</v>
      </c>
      <c r="AX297" s="314">
        <f t="shared" si="142"/>
        <v>3.0000000000000249E-2</v>
      </c>
    </row>
    <row r="298" spans="2:50" collapsed="1">
      <c r="B298" s="305"/>
      <c r="C298" s="313" t="s">
        <v>1122</v>
      </c>
      <c r="D298" s="307" t="s">
        <v>842</v>
      </c>
      <c r="E298" s="307"/>
      <c r="F298" s="307"/>
      <c r="G298" s="314">
        <f xml:space="preserve"> IFERROR(ROUND( G296 / G295,3) - 1, 0)</f>
        <v>0</v>
      </c>
      <c r="H298" s="314">
        <f t="shared" ref="H298:AF298" si="143" xml:space="preserve"> IFERROR(ROUND( H296 / H295,3) - 1, 0)</f>
        <v>0</v>
      </c>
      <c r="I298" s="314">
        <f t="shared" si="143"/>
        <v>0</v>
      </c>
      <c r="J298" s="314">
        <f t="shared" si="143"/>
        <v>0</v>
      </c>
      <c r="K298" s="314">
        <f t="shared" si="143"/>
        <v>-7.6999999999999957E-2</v>
      </c>
      <c r="L298" s="314">
        <f t="shared" si="143"/>
        <v>0</v>
      </c>
      <c r="M298" s="314">
        <f t="shared" si="143"/>
        <v>0</v>
      </c>
      <c r="N298" s="314">
        <f t="shared" si="143"/>
        <v>0</v>
      </c>
      <c r="O298" s="314">
        <f t="shared" si="143"/>
        <v>0</v>
      </c>
      <c r="P298" s="314">
        <f t="shared" si="143"/>
        <v>-2.4000000000000021E-2</v>
      </c>
      <c r="Q298" s="314">
        <f t="shared" si="143"/>
        <v>2.6999999999999913E-2</v>
      </c>
      <c r="R298" s="314">
        <f t="shared" si="143"/>
        <v>1.4000000000000012E-2</v>
      </c>
      <c r="S298" s="314">
        <f t="shared" si="143"/>
        <v>2.200000000000002E-2</v>
      </c>
      <c r="T298" s="314">
        <f t="shared" si="143"/>
        <v>8.999999999999897E-3</v>
      </c>
      <c r="U298" s="314">
        <f t="shared" si="143"/>
        <v>2.200000000000002E-2</v>
      </c>
      <c r="V298" s="314">
        <f t="shared" si="143"/>
        <v>8.999999999999897E-3</v>
      </c>
      <c r="W298" s="314">
        <f t="shared" si="143"/>
        <v>2.200000000000002E-2</v>
      </c>
      <c r="X298" s="314">
        <f t="shared" si="143"/>
        <v>8.999999999999897E-3</v>
      </c>
      <c r="Y298" s="314">
        <f t="shared" si="143"/>
        <v>2.200000000000002E-2</v>
      </c>
      <c r="Z298" s="314">
        <f t="shared" si="143"/>
        <v>8.999999999999897E-3</v>
      </c>
      <c r="AA298" s="314">
        <f t="shared" si="143"/>
        <v>2.200000000000002E-2</v>
      </c>
      <c r="AB298" s="314">
        <f t="shared" si="143"/>
        <v>8.999999999999897E-3</v>
      </c>
      <c r="AC298" s="314">
        <f t="shared" si="143"/>
        <v>2.200000000000002E-2</v>
      </c>
      <c r="AD298" s="314">
        <f t="shared" si="143"/>
        <v>8.999999999999897E-3</v>
      </c>
      <c r="AE298" s="314">
        <f t="shared" si="143"/>
        <v>2.200000000000002E-2</v>
      </c>
      <c r="AF298" s="314">
        <f t="shared" si="143"/>
        <v>8.999999999999897E-3</v>
      </c>
      <c r="AG298" s="314"/>
      <c r="AH298" s="313" t="str">
        <f t="shared" si="128"/>
        <v>- Revision</v>
      </c>
      <c r="AI298" s="307" t="str">
        <f>D298</f>
        <v>%</v>
      </c>
      <c r="AJ298" s="307"/>
      <c r="AK298" s="307"/>
      <c r="AL298" s="314">
        <f t="shared" ref="AL298:AX298" si="144" xml:space="preserve"> IFERROR(ROUND( AL296 / AL295,3) - 1, 0)</f>
        <v>0</v>
      </c>
      <c r="AM298" s="314">
        <f t="shared" si="144"/>
        <v>0</v>
      </c>
      <c r="AN298" s="314">
        <f t="shared" si="144"/>
        <v>-4.0000000000000036E-2</v>
      </c>
      <c r="AO298" s="314">
        <f t="shared" si="144"/>
        <v>0</v>
      </c>
      <c r="AP298" s="314">
        <f t="shared" si="144"/>
        <v>-1.2000000000000011E-2</v>
      </c>
      <c r="AQ298" s="314">
        <f t="shared" si="144"/>
        <v>2.0999999999999908E-2</v>
      </c>
      <c r="AR298" s="314">
        <f t="shared" si="144"/>
        <v>1.6000000000000014E-2</v>
      </c>
      <c r="AS298" s="314">
        <f t="shared" si="144"/>
        <v>1.6000000000000014E-2</v>
      </c>
      <c r="AT298" s="314">
        <f t="shared" si="144"/>
        <v>1.6000000000000014E-2</v>
      </c>
      <c r="AU298" s="314">
        <f t="shared" si="144"/>
        <v>1.6000000000000014E-2</v>
      </c>
      <c r="AV298" s="314">
        <f t="shared" si="144"/>
        <v>1.6000000000000014E-2</v>
      </c>
      <c r="AW298" s="314">
        <f t="shared" si="144"/>
        <v>1.6000000000000014E-2</v>
      </c>
      <c r="AX298" s="314">
        <f t="shared" si="144"/>
        <v>1.6000000000000014E-2</v>
      </c>
    </row>
    <row r="299" spans="2:50">
      <c r="B299" s="305" t="s">
        <v>1466</v>
      </c>
      <c r="C299" s="706" t="str">
        <f>_xlfn.TEXTAFTER($B299,$C$280)&amp;" - old"</f>
        <v>EBITDA - old</v>
      </c>
      <c r="D299" s="707" t="str" cm="1">
        <f t="array" ref="D299">_xlfn.XLOOKUP($B299,$B$96:$B$176,_xlfn.XLOOKUP(D$181,$D$5:$AX$5,$D$96:$AX$176))</f>
        <v>A$m</v>
      </c>
      <c r="E299" s="307"/>
      <c r="F299" s="307"/>
      <c r="G299" s="708" cm="1">
        <f t="array" ref="G299">_xlfn.XLOOKUP($B299,$B$96:$B$176,_xlfn.XLOOKUP(G$181,$D$5:$AX$5,$D$96:$AX$176))</f>
        <v>19.600000000000001</v>
      </c>
      <c r="H299" s="708" cm="1">
        <f t="array" ref="H299">_xlfn.XLOOKUP($B299,$B$96:$B$176,_xlfn.XLOOKUP(H$181,$D$5:$AX$5,$D$96:$AX$176))</f>
        <v>53.6</v>
      </c>
      <c r="I299" s="708" cm="1">
        <f t="array" ref="I299">_xlfn.XLOOKUP($B299,$B$96:$B$176,_xlfn.XLOOKUP(I$181,$D$5:$AX$5,$D$96:$AX$176))</f>
        <v>42.9</v>
      </c>
      <c r="J299" s="708" cm="1">
        <f t="array" ref="J299">_xlfn.XLOOKUP($B299,$B$96:$B$176,_xlfn.XLOOKUP(J$181,$D$5:$AX$5,$D$96:$AX$176))</f>
        <v>40.199999999999996</v>
      </c>
      <c r="K299" s="708" cm="1">
        <f t="array" ref="K299">_xlfn.XLOOKUP($B299,$B$96:$B$176,_xlfn.XLOOKUP(K$181,$D$5:$AX$5,$D$96:$AX$176))</f>
        <v>35.799999999999997</v>
      </c>
      <c r="L299" s="708" cm="1">
        <f t="array" ref="L299">_xlfn.XLOOKUP($B299,$B$96:$B$176,_xlfn.XLOOKUP(L$181,$D$5:$AX$5,$D$96:$AX$176))</f>
        <v>30.700000000000003</v>
      </c>
      <c r="M299" s="708" cm="1">
        <f t="array" ref="M299">_xlfn.XLOOKUP($B299,$B$96:$B$176,_xlfn.XLOOKUP(M$181,$D$5:$AX$5,$D$96:$AX$176))</f>
        <v>33.5</v>
      </c>
      <c r="N299" s="708" cm="1">
        <f t="array" ref="N299">_xlfn.XLOOKUP($B299,$B$96:$B$176,_xlfn.XLOOKUP(N$181,$D$5:$AX$5,$D$96:$AX$176))</f>
        <v>28.9</v>
      </c>
      <c r="O299" s="708" cm="1">
        <f t="array" ref="O299">_xlfn.XLOOKUP($B299,$B$96:$B$176,_xlfn.XLOOKUP(O$181,$D$5:$AX$5,$D$96:$AX$176))</f>
        <v>36</v>
      </c>
      <c r="P299" s="708" cm="1">
        <f t="array" ref="P299">_xlfn.XLOOKUP($B299,$B$96:$B$176,_xlfn.XLOOKUP(P$181,$D$5:$AX$5,$D$96:$AX$176))</f>
        <v>33.103305121046894</v>
      </c>
      <c r="Q299" s="708" cm="1">
        <f t="array" ref="Q299">_xlfn.XLOOKUP($B299,$B$96:$B$176,_xlfn.XLOOKUP(Q$181,$D$5:$AX$5,$D$96:$AX$176))</f>
        <v>37.08</v>
      </c>
      <c r="R299" s="708" cm="1">
        <f t="array" ref="R299">_xlfn.XLOOKUP($B299,$B$96:$B$176,_xlfn.XLOOKUP(R$181,$D$5:$AX$5,$D$96:$AX$176))</f>
        <v>36.81012876772084</v>
      </c>
      <c r="S299" s="708" cm="1">
        <f t="array" ref="S299">_xlfn.XLOOKUP($B299,$B$96:$B$176,_xlfn.XLOOKUP(S$181,$D$5:$AX$5,$D$96:$AX$176))</f>
        <v>38.192399999999992</v>
      </c>
      <c r="T299" s="708" cm="1">
        <f t="array" ref="T299">_xlfn.XLOOKUP($B299,$B$96:$B$176,_xlfn.XLOOKUP(T$181,$D$5:$AX$5,$D$96:$AX$176))</f>
        <v>37.914432630752458</v>
      </c>
      <c r="U299" s="708" cm="1">
        <f t="array" ref="U299">_xlfn.XLOOKUP($B299,$B$96:$B$176,_xlfn.XLOOKUP(U$181,$D$5:$AX$5,$D$96:$AX$176))</f>
        <v>39.338172000000007</v>
      </c>
      <c r="V299" s="708" cm="1">
        <f t="array" ref="V299">_xlfn.XLOOKUP($B299,$B$96:$B$176,_xlfn.XLOOKUP(V$181,$D$5:$AX$5,$D$96:$AX$176))</f>
        <v>39.051865609675041</v>
      </c>
      <c r="W299" s="708" cm="1">
        <f t="array" ref="W299">_xlfn.XLOOKUP($B299,$B$96:$B$176,_xlfn.XLOOKUP(W$181,$D$5:$AX$5,$D$96:$AX$176))</f>
        <v>40.518317159999995</v>
      </c>
      <c r="X299" s="708" cm="1">
        <f t="array" ref="X299">_xlfn.XLOOKUP($B299,$B$96:$B$176,_xlfn.XLOOKUP(X$181,$D$5:$AX$5,$D$96:$AX$176))</f>
        <v>40.22342157796529</v>
      </c>
      <c r="Y299" s="708" cm="1">
        <f t="array" ref="Y299">_xlfn.XLOOKUP($B299,$B$96:$B$176,_xlfn.XLOOKUP(Y$181,$D$5:$AX$5,$D$96:$AX$176))</f>
        <v>41.733866674800005</v>
      </c>
      <c r="Z299" s="708" cm="1">
        <f t="array" ref="Z299">_xlfn.XLOOKUP($B299,$B$96:$B$176,_xlfn.XLOOKUP(Z$181,$D$5:$AX$5,$D$96:$AX$176))</f>
        <v>41.430124225304255</v>
      </c>
      <c r="AA299" s="708" cm="1">
        <f t="array" ref="AA299">_xlfn.XLOOKUP($B299,$B$96:$B$176,_xlfn.XLOOKUP(AA$181,$D$5:$AX$5,$D$96:$AX$176))</f>
        <v>42.98588267504401</v>
      </c>
      <c r="AB299" s="708" cm="1">
        <f t="array" ref="AB299">_xlfn.XLOOKUP($B299,$B$96:$B$176,_xlfn.XLOOKUP(AB$181,$D$5:$AX$5,$D$96:$AX$176))</f>
        <v>42.673027952063364</v>
      </c>
      <c r="AC299" s="708" cm="1">
        <f t="array" ref="AC299">_xlfn.XLOOKUP($B299,$B$96:$B$176,_xlfn.XLOOKUP(AC$181,$D$5:$AX$5,$D$96:$AX$176))</f>
        <v>44.275459155295323</v>
      </c>
      <c r="AD299" s="708" cm="1">
        <f t="array" ref="AD299">_xlfn.XLOOKUP($B299,$B$96:$B$176,_xlfn.XLOOKUP(AD$181,$D$5:$AX$5,$D$96:$AX$176))</f>
        <v>43.953218790625272</v>
      </c>
      <c r="AE299" s="708" cm="1">
        <f t="array" ref="AE299">_xlfn.XLOOKUP($B299,$B$96:$B$176,_xlfn.XLOOKUP(AE$181,$D$5:$AX$5,$D$96:$AX$176))</f>
        <v>45.603722929954188</v>
      </c>
      <c r="AF299" s="708" cm="1">
        <f t="array" ref="AF299">_xlfn.XLOOKUP($B299,$B$96:$B$176,_xlfn.XLOOKUP(AF$181,$D$5:$AX$5,$D$96:$AX$176))</f>
        <v>45.271815354344028</v>
      </c>
      <c r="AG299" s="309"/>
      <c r="AH299" s="306" t="str">
        <f t="shared" si="128"/>
        <v>EBITDA - old</v>
      </c>
      <c r="AI299" s="707" t="str" cm="1">
        <f t="array" ref="AI299">_xlfn.XLOOKUP($B299,$B$96:$B$176,_xlfn.XLOOKUP(AI$181,$D$5:$AX$5,$D$96:$AX$176))</f>
        <v>A$m</v>
      </c>
      <c r="AJ299" s="307"/>
      <c r="AK299" s="307"/>
      <c r="AL299" s="708" cm="1">
        <f t="array" ref="AL299">_xlfn.XLOOKUP($B299,$B$96:$B$176,_xlfn.XLOOKUP(AL$181,$D$5:$AX$5,$D$96:$AX$176))</f>
        <v>73.2</v>
      </c>
      <c r="AM299" s="708" cm="1">
        <f t="array" ref="AM299">_xlfn.XLOOKUP($B299,$B$96:$B$176,_xlfn.XLOOKUP(AM$181,$D$5:$AX$5,$D$96:$AX$176))</f>
        <v>83.1</v>
      </c>
      <c r="AN299" s="708" cm="1">
        <f t="array" ref="AN299">_xlfn.XLOOKUP($B299,$B$96:$B$176,_xlfn.XLOOKUP(AN$181,$D$5:$AX$5,$D$96:$AX$176))</f>
        <v>66.5</v>
      </c>
      <c r="AO299" s="708" cm="1">
        <f t="array" ref="AO299">_xlfn.XLOOKUP($B299,$B$96:$B$176,_xlfn.XLOOKUP(AO$181,$D$5:$AX$5,$D$96:$AX$176))</f>
        <v>62.4</v>
      </c>
      <c r="AP299" s="708" cm="1">
        <f t="array" ref="AP299">_xlfn.XLOOKUP($B299,$B$96:$B$176,_xlfn.XLOOKUP(AP$181,$D$5:$AX$5,$D$96:$AX$176))</f>
        <v>69.103305121046901</v>
      </c>
      <c r="AQ299" s="708" cm="1">
        <f t="array" ref="AQ299">_xlfn.XLOOKUP($B299,$B$96:$B$176,_xlfn.XLOOKUP(AQ$181,$D$5:$AX$5,$D$96:$AX$176))</f>
        <v>73.890128767720839</v>
      </c>
      <c r="AR299" s="708" cm="1">
        <f t="array" ref="AR299">_xlfn.XLOOKUP($B299,$B$96:$B$176,_xlfn.XLOOKUP(AR$181,$D$5:$AX$5,$D$96:$AX$176))</f>
        <v>76.10683263075245</v>
      </c>
      <c r="AS299" s="708" cm="1">
        <f t="array" ref="AS299">_xlfn.XLOOKUP($B299,$B$96:$B$176,_xlfn.XLOOKUP(AS$181,$D$5:$AX$5,$D$96:$AX$176))</f>
        <v>78.390037609675048</v>
      </c>
      <c r="AT299" s="708" cm="1">
        <f t="array" ref="AT299">_xlfn.XLOOKUP($B299,$B$96:$B$176,_xlfn.XLOOKUP(AT$181,$D$5:$AX$5,$D$96:$AX$176))</f>
        <v>80.741738737965278</v>
      </c>
      <c r="AU299" s="708" cm="1">
        <f t="array" ref="AU299">_xlfn.XLOOKUP($B299,$B$96:$B$176,_xlfn.XLOOKUP(AU$181,$D$5:$AX$5,$D$96:$AX$176))</f>
        <v>83.163990900104267</v>
      </c>
      <c r="AV299" s="708" cm="1">
        <f t="array" ref="AV299">_xlfn.XLOOKUP($B299,$B$96:$B$176,_xlfn.XLOOKUP(AV$181,$D$5:$AX$5,$D$96:$AX$176))</f>
        <v>85.658910627107375</v>
      </c>
      <c r="AW299" s="708" cm="1">
        <f t="array" ref="AW299">_xlfn.XLOOKUP($B299,$B$96:$B$176,_xlfn.XLOOKUP(AW$181,$D$5:$AX$5,$D$96:$AX$176))</f>
        <v>88.228677945920595</v>
      </c>
      <c r="AX299" s="708" cm="1">
        <f t="array" ref="AX299">_xlfn.XLOOKUP($B299,$B$96:$B$176,_xlfn.XLOOKUP(AX$181,$D$5:$AX$5,$D$96:$AX$176))</f>
        <v>90.875538284298216</v>
      </c>
    </row>
    <row r="300" spans="2:50">
      <c r="B300" s="305" t="s">
        <v>1466</v>
      </c>
      <c r="C300" s="318" t="str">
        <f>_xlfn.TEXTAFTER($B300,$C$280)&amp;" - New"</f>
        <v>EBITDA - New</v>
      </c>
      <c r="D300" s="311" t="str" cm="1">
        <f t="array" ref="D300">_xlfn.XLOOKUP($B300,$B$11:$B$91,_xlfn.XLOOKUP(D$181,$D$5:$AX$5,$D$11:$AX$91))</f>
        <v>A$m</v>
      </c>
      <c r="E300" s="311"/>
      <c r="F300" s="311"/>
      <c r="G300" s="312" cm="1">
        <f t="array" ref="G300">_xlfn.XLOOKUP($B300,$B$11:$B$91,_xlfn.XLOOKUP(G$181,$D$5:$AX$5,$D$11:$AX$91))</f>
        <v>19.600000000000001</v>
      </c>
      <c r="H300" s="312" cm="1">
        <f t="array" ref="H300">_xlfn.XLOOKUP($B300,$B$11:$B$91,_xlfn.XLOOKUP(H$181,$D$5:$AX$5,$D$11:$AX$91))</f>
        <v>53.6</v>
      </c>
      <c r="I300" s="312" cm="1">
        <f t="array" ref="I300">_xlfn.XLOOKUP($B300,$B$11:$B$91,_xlfn.XLOOKUP(I$181,$D$5:$AX$5,$D$11:$AX$91))</f>
        <v>42.9</v>
      </c>
      <c r="J300" s="312" cm="1">
        <f t="array" ref="J300">_xlfn.XLOOKUP($B300,$B$11:$B$91,_xlfn.XLOOKUP(J$181,$D$5:$AX$5,$D$11:$AX$91))</f>
        <v>40.199999999999996</v>
      </c>
      <c r="K300" s="312" cm="1">
        <f t="array" ref="K300">_xlfn.XLOOKUP($B300,$B$11:$B$91,_xlfn.XLOOKUP(K$181,$D$5:$AX$5,$D$11:$AX$91))</f>
        <v>28.3</v>
      </c>
      <c r="L300" s="312" cm="1">
        <f t="array" ref="L300">_xlfn.XLOOKUP($B300,$B$11:$B$91,_xlfn.XLOOKUP(L$181,$D$5:$AX$5,$D$11:$AX$91))</f>
        <v>30.7</v>
      </c>
      <c r="M300" s="312" cm="1">
        <f t="array" ref="M300">_xlfn.XLOOKUP($B300,$B$11:$B$91,_xlfn.XLOOKUP(M$181,$D$5:$AX$5,$D$11:$AX$91))</f>
        <v>33.5</v>
      </c>
      <c r="N300" s="312" cm="1">
        <f t="array" ref="N300">_xlfn.XLOOKUP($B300,$B$11:$B$91,_xlfn.XLOOKUP(N$181,$D$5:$AX$5,$D$11:$AX$91))</f>
        <v>28.9</v>
      </c>
      <c r="O300" s="312" cm="1">
        <f t="array" ref="O300">_xlfn.XLOOKUP($B300,$B$11:$B$91,_xlfn.XLOOKUP(O$181,$D$5:$AX$5,$D$11:$AX$91))</f>
        <v>36</v>
      </c>
      <c r="P300" s="312" cm="1">
        <f t="array" ref="P300">_xlfn.XLOOKUP($B300,$B$11:$B$91,_xlfn.XLOOKUP(P$181,$D$5:$AX$5,$D$11:$AX$91))</f>
        <v>33.900000000000006</v>
      </c>
      <c r="Q300" s="312" cm="1">
        <f t="array" ref="Q300">_xlfn.XLOOKUP($B300,$B$11:$B$91,_xlfn.XLOOKUP(Q$181,$D$5:$AX$5,$D$11:$AX$91))</f>
        <v>35.716104477196872</v>
      </c>
      <c r="R300" s="312" cm="1">
        <f t="array" ref="R300">_xlfn.XLOOKUP($B300,$B$11:$B$91,_xlfn.XLOOKUP(R$181,$D$5:$AX$5,$D$11:$AX$91))</f>
        <v>35.015024999999994</v>
      </c>
      <c r="S300" s="312" cm="1">
        <f t="array" ref="S300">_xlfn.XLOOKUP($B300,$B$11:$B$91,_xlfn.XLOOKUP(S$181,$D$5:$AX$5,$D$11:$AX$91))</f>
        <v>36.609007089126791</v>
      </c>
      <c r="T300" s="312" cm="1">
        <f t="array" ref="T300">_xlfn.XLOOKUP($B300,$B$11:$B$91,_xlfn.XLOOKUP(T$181,$D$5:$AX$5,$D$11:$AX$91))</f>
        <v>35.890400624999984</v>
      </c>
      <c r="U300" s="312" cm="1">
        <f t="array" ref="U300">_xlfn.XLOOKUP($B300,$B$11:$B$91,_xlfn.XLOOKUP(U$181,$D$5:$AX$5,$D$11:$AX$91))</f>
        <v>37.707277301800602</v>
      </c>
      <c r="V300" s="312" cm="1">
        <f t="array" ref="V300">_xlfn.XLOOKUP($B300,$B$11:$B$91,_xlfn.XLOOKUP(V$181,$D$5:$AX$5,$D$11:$AX$91))</f>
        <v>36.967112643749978</v>
      </c>
      <c r="W300" s="312" cm="1">
        <f t="array" ref="W300">_xlfn.XLOOKUP($B300,$B$11:$B$91,_xlfn.XLOOKUP(W$181,$D$5:$AX$5,$D$11:$AX$91))</f>
        <v>38.838495620854616</v>
      </c>
      <c r="X300" s="312" cm="1">
        <f t="array" ref="X300">_xlfn.XLOOKUP($B300,$B$11:$B$91,_xlfn.XLOOKUP(X$181,$D$5:$AX$5,$D$11:$AX$91))</f>
        <v>38.076126023062486</v>
      </c>
      <c r="Y300" s="312" cm="1">
        <f t="array" ref="Y300">_xlfn.XLOOKUP($B300,$B$11:$B$91,_xlfn.XLOOKUP(Y$181,$D$5:$AX$5,$D$11:$AX$91))</f>
        <v>40.00365048948025</v>
      </c>
      <c r="Z300" s="312" cm="1">
        <f t="array" ref="Z300">_xlfn.XLOOKUP($B300,$B$11:$B$91,_xlfn.XLOOKUP(Z$181,$D$5:$AX$5,$D$11:$AX$91))</f>
        <v>39.218409803754355</v>
      </c>
      <c r="AA300" s="312" cm="1">
        <f t="array" ref="AA300">_xlfn.XLOOKUP($B300,$B$11:$B$91,_xlfn.XLOOKUP(AA$181,$D$5:$AX$5,$D$11:$AX$91))</f>
        <v>41.203760004164664</v>
      </c>
      <c r="AB300" s="312" cm="1">
        <f t="array" ref="AB300">_xlfn.XLOOKUP($B300,$B$11:$B$91,_xlfn.XLOOKUP(AB$181,$D$5:$AX$5,$D$11:$AX$91))</f>
        <v>40.394962097866994</v>
      </c>
      <c r="AC300" s="312" cm="1">
        <f t="array" ref="AC300">_xlfn.XLOOKUP($B300,$B$11:$B$91,_xlfn.XLOOKUP(AC$181,$D$5:$AX$5,$D$11:$AX$91))</f>
        <v>42.439872804289607</v>
      </c>
      <c r="AD300" s="312" cm="1">
        <f t="array" ref="AD300">_xlfn.XLOOKUP($B300,$B$11:$B$91,_xlfn.XLOOKUP(AD$181,$D$5:$AX$5,$D$11:$AX$91))</f>
        <v>41.606810960803003</v>
      </c>
      <c r="AE300" s="312" cm="1">
        <f t="array" ref="AE300">_xlfn.XLOOKUP($B300,$B$11:$B$91,_xlfn.XLOOKUP(AE$181,$D$5:$AX$5,$D$11:$AX$91))</f>
        <v>43.713068988418286</v>
      </c>
      <c r="AF300" s="312" cm="1">
        <f t="array" ref="AF300">_xlfn.XLOOKUP($B300,$B$11:$B$91,_xlfn.XLOOKUP(AF$181,$D$5:$AX$5,$D$11:$AX$91))</f>
        <v>42.85501528962709</v>
      </c>
      <c r="AG300" s="312"/>
      <c r="AH300" s="310" t="str">
        <f t="shared" si="128"/>
        <v>EBITDA - New</v>
      </c>
      <c r="AI300" s="311" t="str" cm="1">
        <f t="array" ref="AI300">_xlfn.XLOOKUP($B300,$B$11:$B$91,_xlfn.XLOOKUP(AI$181,$D$5:$AX$5,$D$11:$AX$91))</f>
        <v>A$m</v>
      </c>
      <c r="AJ300" s="311"/>
      <c r="AK300" s="311"/>
      <c r="AL300" s="312" cm="1">
        <f t="array" ref="AL300">_xlfn.XLOOKUP($B300,$B$11:$B$91,_xlfn.XLOOKUP(AL$181,$D$5:$AX$5,$D$11:$AX$91))</f>
        <v>73.2</v>
      </c>
      <c r="AM300" s="312" cm="1">
        <f t="array" ref="AM300">_xlfn.XLOOKUP($B300,$B$11:$B$91,_xlfn.XLOOKUP(AM$181,$D$5:$AX$5,$D$11:$AX$91))</f>
        <v>83.1</v>
      </c>
      <c r="AN300" s="312" cm="1">
        <f t="array" ref="AN300">_xlfn.XLOOKUP($B300,$B$11:$B$91,_xlfn.XLOOKUP(AN$181,$D$5:$AX$5,$D$11:$AX$91))</f>
        <v>59</v>
      </c>
      <c r="AO300" s="312" cm="1">
        <f t="array" ref="AO300">_xlfn.XLOOKUP($B300,$B$11:$B$91,_xlfn.XLOOKUP(AO$181,$D$5:$AX$5,$D$11:$AX$91))</f>
        <v>62.4</v>
      </c>
      <c r="AP300" s="312" cm="1">
        <f t="array" ref="AP300">_xlfn.XLOOKUP($B300,$B$11:$B$91,_xlfn.XLOOKUP(AP$181,$D$5:$AX$5,$D$11:$AX$91))</f>
        <v>69.900000000000006</v>
      </c>
      <c r="AQ300" s="312" cm="1">
        <f t="array" ref="AQ300">_xlfn.XLOOKUP($B300,$B$11:$B$91,_xlfn.XLOOKUP(AQ$181,$D$5:$AX$5,$D$11:$AX$91))</f>
        <v>70.731129477196873</v>
      </c>
      <c r="AR300" s="312" cm="1">
        <f t="array" ref="AR300">_xlfn.XLOOKUP($B300,$B$11:$B$91,_xlfn.XLOOKUP(AR$181,$D$5:$AX$5,$D$11:$AX$91))</f>
        <v>72.499407714126775</v>
      </c>
      <c r="AS300" s="312" cm="1">
        <f t="array" ref="AS300">_xlfn.XLOOKUP($B300,$B$11:$B$91,_xlfn.XLOOKUP(AS$181,$D$5:$AX$5,$D$11:$AX$91))</f>
        <v>74.674389945550587</v>
      </c>
      <c r="AT300" s="312" cm="1">
        <f t="array" ref="AT300">_xlfn.XLOOKUP($B300,$B$11:$B$91,_xlfn.XLOOKUP(AT$181,$D$5:$AX$5,$D$11:$AX$91))</f>
        <v>76.914621643917101</v>
      </c>
      <c r="AU300" s="312" cm="1">
        <f t="array" ref="AU300">_xlfn.XLOOKUP($B300,$B$11:$B$91,_xlfn.XLOOKUP(AU$181,$D$5:$AX$5,$D$11:$AX$91))</f>
        <v>79.222060293234605</v>
      </c>
      <c r="AV300" s="312" cm="1">
        <f t="array" ref="AV300">_xlfn.XLOOKUP($B300,$B$11:$B$91,_xlfn.XLOOKUP(AV$181,$D$5:$AX$5,$D$11:$AX$91))</f>
        <v>81.598722102031658</v>
      </c>
      <c r="AW300" s="312" cm="1">
        <f t="array" ref="AW300">_xlfn.XLOOKUP($B300,$B$11:$B$91,_xlfn.XLOOKUP(AW$181,$D$5:$AX$5,$D$11:$AX$91))</f>
        <v>84.04668376509261</v>
      </c>
      <c r="AX300" s="312" cm="1">
        <f t="array" ref="AX300">_xlfn.XLOOKUP($B300,$B$11:$B$91,_xlfn.XLOOKUP(AX$181,$D$5:$AX$5,$D$11:$AX$91))</f>
        <v>86.568084278045376</v>
      </c>
    </row>
    <row r="301" spans="2:50" hidden="1" outlineLevel="1">
      <c r="B301" s="305"/>
      <c r="C301" s="313" t="s">
        <v>1121</v>
      </c>
      <c r="D301" s="307" t="s">
        <v>842</v>
      </c>
      <c r="E301" s="307"/>
      <c r="F301" s="307"/>
      <c r="G301" s="314" t="s">
        <v>967</v>
      </c>
      <c r="H301" s="314" t="s">
        <v>967</v>
      </c>
      <c r="I301" s="314">
        <f t="shared" ref="I301:AF301" si="145">I300/G300-1</f>
        <v>1.1887755102040813</v>
      </c>
      <c r="J301" s="314">
        <f t="shared" si="145"/>
        <v>-0.25000000000000011</v>
      </c>
      <c r="K301" s="314">
        <f t="shared" si="145"/>
        <v>-0.34032634032634024</v>
      </c>
      <c r="L301" s="314">
        <f t="shared" si="145"/>
        <v>-0.23631840796019898</v>
      </c>
      <c r="M301" s="314">
        <f t="shared" si="145"/>
        <v>0.18374558303886923</v>
      </c>
      <c r="N301" s="314">
        <f t="shared" si="145"/>
        <v>-5.8631921824104261E-2</v>
      </c>
      <c r="O301" s="314">
        <f t="shared" si="145"/>
        <v>7.4626865671641784E-2</v>
      </c>
      <c r="P301" s="314">
        <f t="shared" si="145"/>
        <v>0.17301038062283758</v>
      </c>
      <c r="Q301" s="314">
        <f t="shared" si="145"/>
        <v>-7.885986744531337E-3</v>
      </c>
      <c r="R301" s="314">
        <f t="shared" si="145"/>
        <v>3.2891592920353707E-2</v>
      </c>
      <c r="S301" s="314">
        <f t="shared" si="145"/>
        <v>2.4999999999999911E-2</v>
      </c>
      <c r="T301" s="314">
        <f t="shared" si="145"/>
        <v>2.4999999999999689E-2</v>
      </c>
      <c r="U301" s="314">
        <f t="shared" si="145"/>
        <v>3.0000000000000249E-2</v>
      </c>
      <c r="V301" s="314">
        <f t="shared" si="145"/>
        <v>2.9999999999999805E-2</v>
      </c>
      <c r="W301" s="314">
        <f t="shared" si="145"/>
        <v>2.9999999999999805E-2</v>
      </c>
      <c r="X301" s="314">
        <f t="shared" si="145"/>
        <v>3.0000000000000249E-2</v>
      </c>
      <c r="Y301" s="314">
        <f t="shared" si="145"/>
        <v>2.9999999999999805E-2</v>
      </c>
      <c r="Z301" s="314">
        <f t="shared" si="145"/>
        <v>2.9999999999999805E-2</v>
      </c>
      <c r="AA301" s="314">
        <f t="shared" si="145"/>
        <v>3.0000000000000249E-2</v>
      </c>
      <c r="AB301" s="314">
        <f t="shared" si="145"/>
        <v>3.0000000000000249E-2</v>
      </c>
      <c r="AC301" s="314">
        <f t="shared" si="145"/>
        <v>3.0000000000000027E-2</v>
      </c>
      <c r="AD301" s="314">
        <f t="shared" si="145"/>
        <v>3.0000000000000027E-2</v>
      </c>
      <c r="AE301" s="314">
        <f t="shared" si="145"/>
        <v>2.9999999999999805E-2</v>
      </c>
      <c r="AF301" s="314">
        <f t="shared" si="145"/>
        <v>3.0000000000000027E-2</v>
      </c>
      <c r="AG301" s="315"/>
      <c r="AH301" s="313" t="str">
        <f t="shared" si="128"/>
        <v>- Growth</v>
      </c>
      <c r="AI301" s="307" t="str">
        <f>D301</f>
        <v>%</v>
      </c>
      <c r="AJ301" s="307"/>
      <c r="AK301" s="307"/>
      <c r="AL301" s="314" t="s">
        <v>967</v>
      </c>
      <c r="AM301" s="314">
        <f t="shared" ref="AM301:AX301" si="146">AM300/AL300-1</f>
        <v>0.13524590163934413</v>
      </c>
      <c r="AN301" s="314">
        <f t="shared" si="146"/>
        <v>-0.29001203369434414</v>
      </c>
      <c r="AO301" s="314">
        <f t="shared" si="146"/>
        <v>5.7627118644067776E-2</v>
      </c>
      <c r="AP301" s="314">
        <f t="shared" si="146"/>
        <v>0.12019230769230771</v>
      </c>
      <c r="AQ301" s="314">
        <f t="shared" si="146"/>
        <v>1.1890264337580447E-2</v>
      </c>
      <c r="AR301" s="314">
        <f t="shared" si="146"/>
        <v>2.4999999999999689E-2</v>
      </c>
      <c r="AS301" s="314">
        <f t="shared" si="146"/>
        <v>3.0000000000000027E-2</v>
      </c>
      <c r="AT301" s="314">
        <f t="shared" si="146"/>
        <v>3.0000000000000027E-2</v>
      </c>
      <c r="AU301" s="314">
        <f t="shared" si="146"/>
        <v>2.9999999999999805E-2</v>
      </c>
      <c r="AV301" s="314">
        <f t="shared" si="146"/>
        <v>3.0000000000000249E-2</v>
      </c>
      <c r="AW301" s="314">
        <f t="shared" si="146"/>
        <v>3.0000000000000027E-2</v>
      </c>
      <c r="AX301" s="314">
        <f t="shared" si="146"/>
        <v>2.9999999999999805E-2</v>
      </c>
    </row>
    <row r="302" spans="2:50" collapsed="1">
      <c r="B302" s="305"/>
      <c r="C302" s="313" t="s">
        <v>1122</v>
      </c>
      <c r="D302" s="307" t="s">
        <v>842</v>
      </c>
      <c r="E302" s="307"/>
      <c r="F302" s="307"/>
      <c r="G302" s="314">
        <f xml:space="preserve"> IFERROR(ROUND( G300 / G299,3) - 1, 0)</f>
        <v>0</v>
      </c>
      <c r="H302" s="314">
        <f t="shared" ref="H302:AF302" si="147" xml:space="preserve"> IFERROR(ROUND( H300 / H299,3) - 1, 0)</f>
        <v>0</v>
      </c>
      <c r="I302" s="314">
        <f t="shared" si="147"/>
        <v>0</v>
      </c>
      <c r="J302" s="314">
        <f t="shared" si="147"/>
        <v>0</v>
      </c>
      <c r="K302" s="314">
        <f t="shared" si="147"/>
        <v>-0.20899999999999996</v>
      </c>
      <c r="L302" s="314">
        <f t="shared" si="147"/>
        <v>0</v>
      </c>
      <c r="M302" s="314">
        <f t="shared" si="147"/>
        <v>0</v>
      </c>
      <c r="N302" s="314">
        <f t="shared" si="147"/>
        <v>0</v>
      </c>
      <c r="O302" s="314">
        <f t="shared" si="147"/>
        <v>0</v>
      </c>
      <c r="P302" s="314">
        <f t="shared" si="147"/>
        <v>2.4000000000000021E-2</v>
      </c>
      <c r="Q302" s="314">
        <f t="shared" si="147"/>
        <v>-3.7000000000000033E-2</v>
      </c>
      <c r="R302" s="314">
        <f t="shared" si="147"/>
        <v>-4.9000000000000044E-2</v>
      </c>
      <c r="S302" s="314">
        <f t="shared" si="147"/>
        <v>-4.1000000000000036E-2</v>
      </c>
      <c r="T302" s="314">
        <f t="shared" si="147"/>
        <v>-5.3000000000000047E-2</v>
      </c>
      <c r="U302" s="314">
        <f t="shared" si="147"/>
        <v>-4.1000000000000036E-2</v>
      </c>
      <c r="V302" s="314">
        <f t="shared" si="147"/>
        <v>-5.3000000000000047E-2</v>
      </c>
      <c r="W302" s="314">
        <f t="shared" si="147"/>
        <v>-4.1000000000000036E-2</v>
      </c>
      <c r="X302" s="314">
        <f t="shared" si="147"/>
        <v>-5.3000000000000047E-2</v>
      </c>
      <c r="Y302" s="314">
        <f t="shared" si="147"/>
        <v>-4.1000000000000036E-2</v>
      </c>
      <c r="Z302" s="314">
        <f t="shared" si="147"/>
        <v>-5.3000000000000047E-2</v>
      </c>
      <c r="AA302" s="314">
        <f t="shared" si="147"/>
        <v>-4.1000000000000036E-2</v>
      </c>
      <c r="AB302" s="314">
        <f t="shared" si="147"/>
        <v>-5.3000000000000047E-2</v>
      </c>
      <c r="AC302" s="314">
        <f t="shared" si="147"/>
        <v>-4.1000000000000036E-2</v>
      </c>
      <c r="AD302" s="314">
        <f t="shared" si="147"/>
        <v>-5.3000000000000047E-2</v>
      </c>
      <c r="AE302" s="314">
        <f t="shared" si="147"/>
        <v>-4.1000000000000036E-2</v>
      </c>
      <c r="AF302" s="314">
        <f t="shared" si="147"/>
        <v>-5.3000000000000047E-2</v>
      </c>
      <c r="AG302" s="314"/>
      <c r="AH302" s="313" t="str">
        <f t="shared" si="128"/>
        <v>- Revision</v>
      </c>
      <c r="AI302" s="307" t="str">
        <f>D302</f>
        <v>%</v>
      </c>
      <c r="AJ302" s="307"/>
      <c r="AK302" s="307"/>
      <c r="AL302" s="314">
        <f t="shared" ref="AL302:AX302" si="148" xml:space="preserve"> IFERROR(ROUND( AL300 / AL299,3) - 1, 0)</f>
        <v>0</v>
      </c>
      <c r="AM302" s="314">
        <f t="shared" si="148"/>
        <v>0</v>
      </c>
      <c r="AN302" s="314">
        <f t="shared" si="148"/>
        <v>-0.11299999999999999</v>
      </c>
      <c r="AO302" s="314">
        <f t="shared" si="148"/>
        <v>0</v>
      </c>
      <c r="AP302" s="314">
        <f t="shared" si="148"/>
        <v>1.2000000000000011E-2</v>
      </c>
      <c r="AQ302" s="314">
        <f t="shared" si="148"/>
        <v>-4.3000000000000038E-2</v>
      </c>
      <c r="AR302" s="314">
        <f t="shared" si="148"/>
        <v>-4.7000000000000042E-2</v>
      </c>
      <c r="AS302" s="314">
        <f t="shared" si="148"/>
        <v>-4.7000000000000042E-2</v>
      </c>
      <c r="AT302" s="314">
        <f t="shared" si="148"/>
        <v>-4.7000000000000042E-2</v>
      </c>
      <c r="AU302" s="314">
        <f t="shared" si="148"/>
        <v>-4.7000000000000042E-2</v>
      </c>
      <c r="AV302" s="314">
        <f t="shared" si="148"/>
        <v>-4.7000000000000042E-2</v>
      </c>
      <c r="AW302" s="314">
        <f t="shared" si="148"/>
        <v>-4.7000000000000042E-2</v>
      </c>
      <c r="AX302" s="314">
        <f t="shared" si="148"/>
        <v>-4.7000000000000042E-2</v>
      </c>
    </row>
    <row r="303" spans="2:50">
      <c r="B303" s="305" t="s">
        <v>1467</v>
      </c>
      <c r="C303" s="706" t="str">
        <f>_xlfn.TEXTAFTER($B303,$C$280)&amp;" - old"</f>
        <v>D&amp;A - old</v>
      </c>
      <c r="D303" s="707" t="str" cm="1">
        <f t="array" ref="D303">_xlfn.XLOOKUP($B303,$B$96:$B$176,_xlfn.XLOOKUP(D$181,$D$5:$AX$5,$D$96:$AX$176))</f>
        <v>A$m</v>
      </c>
      <c r="E303" s="307"/>
      <c r="F303" s="307"/>
      <c r="G303" s="708" cm="1">
        <f t="array" ref="G303">_xlfn.XLOOKUP($B303,$B$96:$B$176,_xlfn.XLOOKUP(G$181,$D$5:$AX$5,$D$96:$AX$176))</f>
        <v>-37.5</v>
      </c>
      <c r="H303" s="708" cm="1">
        <f t="array" ref="H303">_xlfn.XLOOKUP($B303,$B$96:$B$176,_xlfn.XLOOKUP(H$181,$D$5:$AX$5,$D$96:$AX$176))</f>
        <v>-33.900000000000006</v>
      </c>
      <c r="I303" s="708" cm="1">
        <f t="array" ref="I303">_xlfn.XLOOKUP($B303,$B$96:$B$176,_xlfn.XLOOKUP(I$181,$D$5:$AX$5,$D$96:$AX$176))</f>
        <v>-26.9</v>
      </c>
      <c r="J303" s="708" cm="1">
        <f t="array" ref="J303">_xlfn.XLOOKUP($B303,$B$96:$B$176,_xlfn.XLOOKUP(J$181,$D$5:$AX$5,$D$96:$AX$176))</f>
        <v>-21.800000000000004</v>
      </c>
      <c r="K303" s="708" cm="1">
        <f t="array" ref="K303">_xlfn.XLOOKUP($B303,$B$96:$B$176,_xlfn.XLOOKUP(K$181,$D$5:$AX$5,$D$96:$AX$176))</f>
        <v>-19.100000000000001</v>
      </c>
      <c r="L303" s="708" cm="1">
        <f t="array" ref="L303">_xlfn.XLOOKUP($B303,$B$96:$B$176,_xlfn.XLOOKUP(L$181,$D$5:$AX$5,$D$96:$AX$176))</f>
        <v>-20.299999999999997</v>
      </c>
      <c r="M303" s="708" cm="1">
        <f t="array" ref="M303">_xlfn.XLOOKUP($B303,$B$96:$B$176,_xlfn.XLOOKUP(M$181,$D$5:$AX$5,$D$96:$AX$176))</f>
        <v>-20.2</v>
      </c>
      <c r="N303" s="708" cm="1">
        <f t="array" ref="N303">_xlfn.XLOOKUP($B303,$B$96:$B$176,_xlfn.XLOOKUP(N$181,$D$5:$AX$5,$D$96:$AX$176))</f>
        <v>-21.7</v>
      </c>
      <c r="O303" s="708" cm="1">
        <f t="array" ref="O303">_xlfn.XLOOKUP($B303,$B$96:$B$176,_xlfn.XLOOKUP(O$181,$D$5:$AX$5,$D$96:$AX$176))</f>
        <v>-21.1</v>
      </c>
      <c r="P303" s="708" cm="1">
        <f t="array" ref="P303">_xlfn.XLOOKUP($B303,$B$96:$B$176,_xlfn.XLOOKUP(P$181,$D$5:$AX$5,$D$96:$AX$176))</f>
        <v>0</v>
      </c>
      <c r="Q303" s="708" cm="1">
        <f t="array" ref="Q303">_xlfn.XLOOKUP($B303,$B$96:$B$176,_xlfn.XLOOKUP(Q$181,$D$5:$AX$5,$D$96:$AX$176))</f>
        <v>0</v>
      </c>
      <c r="R303" s="708" cm="1">
        <f t="array" ref="R303">_xlfn.XLOOKUP($B303,$B$96:$B$176,_xlfn.XLOOKUP(R$181,$D$5:$AX$5,$D$96:$AX$176))</f>
        <v>0</v>
      </c>
      <c r="S303" s="708" cm="1">
        <f t="array" ref="S303">_xlfn.XLOOKUP($B303,$B$96:$B$176,_xlfn.XLOOKUP(S$181,$D$5:$AX$5,$D$96:$AX$176))</f>
        <v>0</v>
      </c>
      <c r="T303" s="708" cm="1">
        <f t="array" ref="T303">_xlfn.XLOOKUP($B303,$B$96:$B$176,_xlfn.XLOOKUP(T$181,$D$5:$AX$5,$D$96:$AX$176))</f>
        <v>0</v>
      </c>
      <c r="U303" s="708" cm="1">
        <f t="array" ref="U303">_xlfn.XLOOKUP($B303,$B$96:$B$176,_xlfn.XLOOKUP(U$181,$D$5:$AX$5,$D$96:$AX$176))</f>
        <v>0</v>
      </c>
      <c r="V303" s="708" cm="1">
        <f t="array" ref="V303">_xlfn.XLOOKUP($B303,$B$96:$B$176,_xlfn.XLOOKUP(V$181,$D$5:$AX$5,$D$96:$AX$176))</f>
        <v>0</v>
      </c>
      <c r="W303" s="708" cm="1">
        <f t="array" ref="W303">_xlfn.XLOOKUP($B303,$B$96:$B$176,_xlfn.XLOOKUP(W$181,$D$5:$AX$5,$D$96:$AX$176))</f>
        <v>0</v>
      </c>
      <c r="X303" s="708" cm="1">
        <f t="array" ref="X303">_xlfn.XLOOKUP($B303,$B$96:$B$176,_xlfn.XLOOKUP(X$181,$D$5:$AX$5,$D$96:$AX$176))</f>
        <v>0</v>
      </c>
      <c r="Y303" s="708" cm="1">
        <f t="array" ref="Y303">_xlfn.XLOOKUP($B303,$B$96:$B$176,_xlfn.XLOOKUP(Y$181,$D$5:$AX$5,$D$96:$AX$176))</f>
        <v>0</v>
      </c>
      <c r="Z303" s="708" cm="1">
        <f t="array" ref="Z303">_xlfn.XLOOKUP($B303,$B$96:$B$176,_xlfn.XLOOKUP(Z$181,$D$5:$AX$5,$D$96:$AX$176))</f>
        <v>0</v>
      </c>
      <c r="AA303" s="708" cm="1">
        <f t="array" ref="AA303">_xlfn.XLOOKUP($B303,$B$96:$B$176,_xlfn.XLOOKUP(AA$181,$D$5:$AX$5,$D$96:$AX$176))</f>
        <v>0</v>
      </c>
      <c r="AB303" s="708" cm="1">
        <f t="array" ref="AB303">_xlfn.XLOOKUP($B303,$B$96:$B$176,_xlfn.XLOOKUP(AB$181,$D$5:$AX$5,$D$96:$AX$176))</f>
        <v>0</v>
      </c>
      <c r="AC303" s="708" cm="1">
        <f t="array" ref="AC303">_xlfn.XLOOKUP($B303,$B$96:$B$176,_xlfn.XLOOKUP(AC$181,$D$5:$AX$5,$D$96:$AX$176))</f>
        <v>0</v>
      </c>
      <c r="AD303" s="708" cm="1">
        <f t="array" ref="AD303">_xlfn.XLOOKUP($B303,$B$96:$B$176,_xlfn.XLOOKUP(AD$181,$D$5:$AX$5,$D$96:$AX$176))</f>
        <v>0</v>
      </c>
      <c r="AE303" s="708" cm="1">
        <f t="array" ref="AE303">_xlfn.XLOOKUP($B303,$B$96:$B$176,_xlfn.XLOOKUP(AE$181,$D$5:$AX$5,$D$96:$AX$176))</f>
        <v>0</v>
      </c>
      <c r="AF303" s="708" cm="1">
        <f t="array" ref="AF303">_xlfn.XLOOKUP($B303,$B$96:$B$176,_xlfn.XLOOKUP(AF$181,$D$5:$AX$5,$D$96:$AX$176))</f>
        <v>0</v>
      </c>
      <c r="AG303" s="309"/>
      <c r="AH303" s="306" t="str">
        <f t="shared" si="128"/>
        <v>D&amp;A - old</v>
      </c>
      <c r="AI303" s="707" t="str" cm="1">
        <f t="array" ref="AI303">_xlfn.XLOOKUP($B303,$B$96:$B$176,_xlfn.XLOOKUP(AI$181,$D$5:$AX$5,$D$96:$AX$176))</f>
        <v>A$m</v>
      </c>
      <c r="AJ303" s="307"/>
      <c r="AK303" s="307"/>
      <c r="AL303" s="708" cm="1">
        <f t="array" ref="AL303">_xlfn.XLOOKUP($B303,$B$96:$B$176,_xlfn.XLOOKUP(AL$181,$D$5:$AX$5,$D$96:$AX$176))</f>
        <v>-71.400000000000006</v>
      </c>
      <c r="AM303" s="708" cm="1">
        <f t="array" ref="AM303">_xlfn.XLOOKUP($B303,$B$96:$B$176,_xlfn.XLOOKUP(AM$181,$D$5:$AX$5,$D$96:$AX$176))</f>
        <v>-48.7</v>
      </c>
      <c r="AN303" s="708" cm="1">
        <f t="array" ref="AN303">_xlfn.XLOOKUP($B303,$B$96:$B$176,_xlfn.XLOOKUP(AN$181,$D$5:$AX$5,$D$96:$AX$176))</f>
        <v>-39.4</v>
      </c>
      <c r="AO303" s="708" cm="1">
        <f t="array" ref="AO303">_xlfn.XLOOKUP($B303,$B$96:$B$176,_xlfn.XLOOKUP(AO$181,$D$5:$AX$5,$D$96:$AX$176))</f>
        <v>-41.9</v>
      </c>
      <c r="AP303" s="708" cm="1">
        <f t="array" ref="AP303">_xlfn.XLOOKUP($B303,$B$96:$B$176,_xlfn.XLOOKUP(AP$181,$D$5:$AX$5,$D$96:$AX$176))</f>
        <v>-21.1</v>
      </c>
      <c r="AQ303" s="708" cm="1">
        <f t="array" ref="AQ303">_xlfn.XLOOKUP($B303,$B$96:$B$176,_xlfn.XLOOKUP(AQ$181,$D$5:$AX$5,$D$96:$AX$176))</f>
        <v>0</v>
      </c>
      <c r="AR303" s="708" cm="1">
        <f t="array" ref="AR303">_xlfn.XLOOKUP($B303,$B$96:$B$176,_xlfn.XLOOKUP(AR$181,$D$5:$AX$5,$D$96:$AX$176))</f>
        <v>0</v>
      </c>
      <c r="AS303" s="708" cm="1">
        <f t="array" ref="AS303">_xlfn.XLOOKUP($B303,$B$96:$B$176,_xlfn.XLOOKUP(AS$181,$D$5:$AX$5,$D$96:$AX$176))</f>
        <v>0</v>
      </c>
      <c r="AT303" s="708" cm="1">
        <f t="array" ref="AT303">_xlfn.XLOOKUP($B303,$B$96:$B$176,_xlfn.XLOOKUP(AT$181,$D$5:$AX$5,$D$96:$AX$176))</f>
        <v>0</v>
      </c>
      <c r="AU303" s="708" cm="1">
        <f t="array" ref="AU303">_xlfn.XLOOKUP($B303,$B$96:$B$176,_xlfn.XLOOKUP(AU$181,$D$5:$AX$5,$D$96:$AX$176))</f>
        <v>0</v>
      </c>
      <c r="AV303" s="708" cm="1">
        <f t="array" ref="AV303">_xlfn.XLOOKUP($B303,$B$96:$B$176,_xlfn.XLOOKUP(AV$181,$D$5:$AX$5,$D$96:$AX$176))</f>
        <v>0</v>
      </c>
      <c r="AW303" s="708" cm="1">
        <f t="array" ref="AW303">_xlfn.XLOOKUP($B303,$B$96:$B$176,_xlfn.XLOOKUP(AW$181,$D$5:$AX$5,$D$96:$AX$176))</f>
        <v>0</v>
      </c>
      <c r="AX303" s="708" cm="1">
        <f t="array" ref="AX303">_xlfn.XLOOKUP($B303,$B$96:$B$176,_xlfn.XLOOKUP(AX$181,$D$5:$AX$5,$D$96:$AX$176))</f>
        <v>0</v>
      </c>
    </row>
    <row r="304" spans="2:50">
      <c r="B304" s="305" t="s">
        <v>1467</v>
      </c>
      <c r="C304" s="318" t="str">
        <f>_xlfn.TEXTAFTER($B304,$C$280)&amp;" - New"</f>
        <v>D&amp;A - New</v>
      </c>
      <c r="D304" s="311" t="str" cm="1">
        <f t="array" ref="D304">_xlfn.XLOOKUP($B304,$B$11:$B$91,_xlfn.XLOOKUP(D$181,$D$5:$AX$5,$D$11:$AX$91))</f>
        <v>A$m</v>
      </c>
      <c r="E304" s="311"/>
      <c r="F304" s="311"/>
      <c r="G304" s="312" cm="1">
        <f t="array" ref="G304">_xlfn.XLOOKUP($B304,$B$11:$B$91,_xlfn.XLOOKUP(G$181,$D$5:$AX$5,$D$11:$AX$91))</f>
        <v>-37.5</v>
      </c>
      <c r="H304" s="312" cm="1">
        <f t="array" ref="H304">_xlfn.XLOOKUP($B304,$B$11:$B$91,_xlfn.XLOOKUP(H$181,$D$5:$AX$5,$D$11:$AX$91))</f>
        <v>-33.900000000000006</v>
      </c>
      <c r="I304" s="312" cm="1">
        <f t="array" ref="I304">_xlfn.XLOOKUP($B304,$B$11:$B$91,_xlfn.XLOOKUP(I$181,$D$5:$AX$5,$D$11:$AX$91))</f>
        <v>-26.9</v>
      </c>
      <c r="J304" s="312" cm="1">
        <f t="array" ref="J304">_xlfn.XLOOKUP($B304,$B$11:$B$91,_xlfn.XLOOKUP(J$181,$D$5:$AX$5,$D$11:$AX$91))</f>
        <v>-21.800000000000004</v>
      </c>
      <c r="K304" s="312" cm="1">
        <f t="array" ref="K304">_xlfn.XLOOKUP($B304,$B$11:$B$91,_xlfn.XLOOKUP(K$181,$D$5:$AX$5,$D$11:$AX$91))</f>
        <v>-18.7</v>
      </c>
      <c r="L304" s="312" cm="1">
        <f t="array" ref="L304">_xlfn.XLOOKUP($B304,$B$11:$B$91,_xlfn.XLOOKUP(L$181,$D$5:$AX$5,$D$11:$AX$91))</f>
        <v>-20.3</v>
      </c>
      <c r="M304" s="312" cm="1">
        <f t="array" ref="M304">_xlfn.XLOOKUP($B304,$B$11:$B$91,_xlfn.XLOOKUP(M$181,$D$5:$AX$5,$D$11:$AX$91))</f>
        <v>-20.2</v>
      </c>
      <c r="N304" s="312" cm="1">
        <f t="array" ref="N304">_xlfn.XLOOKUP($B304,$B$11:$B$91,_xlfn.XLOOKUP(N$181,$D$5:$AX$5,$D$11:$AX$91))</f>
        <v>-21.7</v>
      </c>
      <c r="O304" s="312" cm="1">
        <f t="array" ref="O304">_xlfn.XLOOKUP($B304,$B$11:$B$91,_xlfn.XLOOKUP(O$181,$D$5:$AX$5,$D$11:$AX$91))</f>
        <v>-21.1</v>
      </c>
      <c r="P304" s="312" cm="1">
        <f t="array" ref="P304">_xlfn.XLOOKUP($B304,$B$11:$B$91,_xlfn.XLOOKUP(P$181,$D$5:$AX$5,$D$11:$AX$91))</f>
        <v>-21.299999999999997</v>
      </c>
      <c r="Q304" s="312" cm="1">
        <f t="array" ref="Q304">_xlfn.XLOOKUP($B304,$B$11:$B$91,_xlfn.XLOOKUP(Q$181,$D$5:$AX$5,$D$11:$AX$91))</f>
        <v>0</v>
      </c>
      <c r="R304" s="312" cm="1">
        <f t="array" ref="R304">_xlfn.XLOOKUP($B304,$B$11:$B$91,_xlfn.XLOOKUP(R$181,$D$5:$AX$5,$D$11:$AX$91))</f>
        <v>0</v>
      </c>
      <c r="S304" s="312" cm="1">
        <f t="array" ref="S304">_xlfn.XLOOKUP($B304,$B$11:$B$91,_xlfn.XLOOKUP(S$181,$D$5:$AX$5,$D$11:$AX$91))</f>
        <v>0</v>
      </c>
      <c r="T304" s="312" cm="1">
        <f t="array" ref="T304">_xlfn.XLOOKUP($B304,$B$11:$B$91,_xlfn.XLOOKUP(T$181,$D$5:$AX$5,$D$11:$AX$91))</f>
        <v>0</v>
      </c>
      <c r="U304" s="312" cm="1">
        <f t="array" ref="U304">_xlfn.XLOOKUP($B304,$B$11:$B$91,_xlfn.XLOOKUP(U$181,$D$5:$AX$5,$D$11:$AX$91))</f>
        <v>0</v>
      </c>
      <c r="V304" s="312" cm="1">
        <f t="array" ref="V304">_xlfn.XLOOKUP($B304,$B$11:$B$91,_xlfn.XLOOKUP(V$181,$D$5:$AX$5,$D$11:$AX$91))</f>
        <v>0</v>
      </c>
      <c r="W304" s="312" cm="1">
        <f t="array" ref="W304">_xlfn.XLOOKUP($B304,$B$11:$B$91,_xlfn.XLOOKUP(W$181,$D$5:$AX$5,$D$11:$AX$91))</f>
        <v>0</v>
      </c>
      <c r="X304" s="312" cm="1">
        <f t="array" ref="X304">_xlfn.XLOOKUP($B304,$B$11:$B$91,_xlfn.XLOOKUP(X$181,$D$5:$AX$5,$D$11:$AX$91))</f>
        <v>0</v>
      </c>
      <c r="Y304" s="312" cm="1">
        <f t="array" ref="Y304">_xlfn.XLOOKUP($B304,$B$11:$B$91,_xlfn.XLOOKUP(Y$181,$D$5:$AX$5,$D$11:$AX$91))</f>
        <v>0</v>
      </c>
      <c r="Z304" s="312" cm="1">
        <f t="array" ref="Z304">_xlfn.XLOOKUP($B304,$B$11:$B$91,_xlfn.XLOOKUP(Z$181,$D$5:$AX$5,$D$11:$AX$91))</f>
        <v>0</v>
      </c>
      <c r="AA304" s="312" cm="1">
        <f t="array" ref="AA304">_xlfn.XLOOKUP($B304,$B$11:$B$91,_xlfn.XLOOKUP(AA$181,$D$5:$AX$5,$D$11:$AX$91))</f>
        <v>0</v>
      </c>
      <c r="AB304" s="312" cm="1">
        <f t="array" ref="AB304">_xlfn.XLOOKUP($B304,$B$11:$B$91,_xlfn.XLOOKUP(AB$181,$D$5:$AX$5,$D$11:$AX$91))</f>
        <v>0</v>
      </c>
      <c r="AC304" s="312" cm="1">
        <f t="array" ref="AC304">_xlfn.XLOOKUP($B304,$B$11:$B$91,_xlfn.XLOOKUP(AC$181,$D$5:$AX$5,$D$11:$AX$91))</f>
        <v>0</v>
      </c>
      <c r="AD304" s="312" cm="1">
        <f t="array" ref="AD304">_xlfn.XLOOKUP($B304,$B$11:$B$91,_xlfn.XLOOKUP(AD$181,$D$5:$AX$5,$D$11:$AX$91))</f>
        <v>0</v>
      </c>
      <c r="AE304" s="312" cm="1">
        <f t="array" ref="AE304">_xlfn.XLOOKUP($B304,$B$11:$B$91,_xlfn.XLOOKUP(AE$181,$D$5:$AX$5,$D$11:$AX$91))</f>
        <v>0</v>
      </c>
      <c r="AF304" s="312" cm="1">
        <f t="array" ref="AF304">_xlfn.XLOOKUP($B304,$B$11:$B$91,_xlfn.XLOOKUP(AF$181,$D$5:$AX$5,$D$11:$AX$91))</f>
        <v>0</v>
      </c>
      <c r="AG304" s="312"/>
      <c r="AH304" s="310" t="str">
        <f t="shared" si="128"/>
        <v>D&amp;A - New</v>
      </c>
      <c r="AI304" s="311" t="str" cm="1">
        <f t="array" ref="AI304">_xlfn.XLOOKUP($B304,$B$11:$B$91,_xlfn.XLOOKUP(AI$181,$D$5:$AX$5,$D$11:$AX$91))</f>
        <v>A$m</v>
      </c>
      <c r="AJ304" s="311"/>
      <c r="AK304" s="311"/>
      <c r="AL304" s="312" cm="1">
        <f t="array" ref="AL304">_xlfn.XLOOKUP($B304,$B$11:$B$91,_xlfn.XLOOKUP(AL$181,$D$5:$AX$5,$D$11:$AX$91))</f>
        <v>-71.400000000000006</v>
      </c>
      <c r="AM304" s="312" cm="1">
        <f t="array" ref="AM304">_xlfn.XLOOKUP($B304,$B$11:$B$91,_xlfn.XLOOKUP(AM$181,$D$5:$AX$5,$D$11:$AX$91))</f>
        <v>-48.7</v>
      </c>
      <c r="AN304" s="312" cm="1">
        <f t="array" ref="AN304">_xlfn.XLOOKUP($B304,$B$11:$B$91,_xlfn.XLOOKUP(AN$181,$D$5:$AX$5,$D$11:$AX$91))</f>
        <v>-39</v>
      </c>
      <c r="AO304" s="312" cm="1">
        <f t="array" ref="AO304">_xlfn.XLOOKUP($B304,$B$11:$B$91,_xlfn.XLOOKUP(AO$181,$D$5:$AX$5,$D$11:$AX$91))</f>
        <v>-41.9</v>
      </c>
      <c r="AP304" s="312" cm="1">
        <f t="array" ref="AP304">_xlfn.XLOOKUP($B304,$B$11:$B$91,_xlfn.XLOOKUP(AP$181,$D$5:$AX$5,$D$11:$AX$91))</f>
        <v>-42.4</v>
      </c>
      <c r="AQ304" s="312" cm="1">
        <f t="array" ref="AQ304">_xlfn.XLOOKUP($B304,$B$11:$B$91,_xlfn.XLOOKUP(AQ$181,$D$5:$AX$5,$D$11:$AX$91))</f>
        <v>0</v>
      </c>
      <c r="AR304" s="312" cm="1">
        <f t="array" ref="AR304">_xlfn.XLOOKUP($B304,$B$11:$B$91,_xlfn.XLOOKUP(AR$181,$D$5:$AX$5,$D$11:$AX$91))</f>
        <v>0</v>
      </c>
      <c r="AS304" s="312" cm="1">
        <f t="array" ref="AS304">_xlfn.XLOOKUP($B304,$B$11:$B$91,_xlfn.XLOOKUP(AS$181,$D$5:$AX$5,$D$11:$AX$91))</f>
        <v>0</v>
      </c>
      <c r="AT304" s="312" cm="1">
        <f t="array" ref="AT304">_xlfn.XLOOKUP($B304,$B$11:$B$91,_xlfn.XLOOKUP(AT$181,$D$5:$AX$5,$D$11:$AX$91))</f>
        <v>0</v>
      </c>
      <c r="AU304" s="312" cm="1">
        <f t="array" ref="AU304">_xlfn.XLOOKUP($B304,$B$11:$B$91,_xlfn.XLOOKUP(AU$181,$D$5:$AX$5,$D$11:$AX$91))</f>
        <v>0</v>
      </c>
      <c r="AV304" s="312" cm="1">
        <f t="array" ref="AV304">_xlfn.XLOOKUP($B304,$B$11:$B$91,_xlfn.XLOOKUP(AV$181,$D$5:$AX$5,$D$11:$AX$91))</f>
        <v>0</v>
      </c>
      <c r="AW304" s="312" cm="1">
        <f t="array" ref="AW304">_xlfn.XLOOKUP($B304,$B$11:$B$91,_xlfn.XLOOKUP(AW$181,$D$5:$AX$5,$D$11:$AX$91))</f>
        <v>0</v>
      </c>
      <c r="AX304" s="312" cm="1">
        <f t="array" ref="AX304">_xlfn.XLOOKUP($B304,$B$11:$B$91,_xlfn.XLOOKUP(AX$181,$D$5:$AX$5,$D$11:$AX$91))</f>
        <v>0</v>
      </c>
    </row>
    <row r="305" spans="1:50" hidden="1" outlineLevel="1">
      <c r="C305" s="313" t="s">
        <v>1121</v>
      </c>
      <c r="D305" s="307" t="s">
        <v>842</v>
      </c>
      <c r="E305" s="307"/>
      <c r="F305" s="307"/>
      <c r="G305" s="314" t="s">
        <v>967</v>
      </c>
      <c r="H305" s="314" t="s">
        <v>967</v>
      </c>
      <c r="I305" s="314">
        <f t="shared" ref="I305:AF305" si="149">I304/G304-1</f>
        <v>-0.28266666666666673</v>
      </c>
      <c r="J305" s="314">
        <f t="shared" si="149"/>
        <v>-0.35693215339233042</v>
      </c>
      <c r="K305" s="314">
        <f t="shared" si="149"/>
        <v>-0.30483271375464682</v>
      </c>
      <c r="L305" s="314">
        <f t="shared" si="149"/>
        <v>-6.8807339449541427E-2</v>
      </c>
      <c r="M305" s="314">
        <f t="shared" si="149"/>
        <v>8.0213903743315607E-2</v>
      </c>
      <c r="N305" s="314">
        <f t="shared" si="149"/>
        <v>6.8965517241379226E-2</v>
      </c>
      <c r="O305" s="314">
        <f t="shared" si="149"/>
        <v>4.4554455445544594E-2</v>
      </c>
      <c r="P305" s="314">
        <f t="shared" si="149"/>
        <v>-1.8433179723502446E-2</v>
      </c>
      <c r="Q305" s="314">
        <f t="shared" si="149"/>
        <v>-1</v>
      </c>
      <c r="R305" s="314">
        <f t="shared" si="149"/>
        <v>-1</v>
      </c>
      <c r="S305" s="314" t="e">
        <f t="shared" si="149"/>
        <v>#DIV/0!</v>
      </c>
      <c r="T305" s="314" t="e">
        <f t="shared" si="149"/>
        <v>#DIV/0!</v>
      </c>
      <c r="U305" s="314" t="e">
        <f t="shared" si="149"/>
        <v>#DIV/0!</v>
      </c>
      <c r="V305" s="314" t="e">
        <f t="shared" si="149"/>
        <v>#DIV/0!</v>
      </c>
      <c r="W305" s="314" t="e">
        <f t="shared" si="149"/>
        <v>#DIV/0!</v>
      </c>
      <c r="X305" s="314" t="e">
        <f t="shared" si="149"/>
        <v>#DIV/0!</v>
      </c>
      <c r="Y305" s="314" t="e">
        <f t="shared" si="149"/>
        <v>#DIV/0!</v>
      </c>
      <c r="Z305" s="314" t="e">
        <f t="shared" si="149"/>
        <v>#DIV/0!</v>
      </c>
      <c r="AA305" s="314" t="e">
        <f t="shared" si="149"/>
        <v>#DIV/0!</v>
      </c>
      <c r="AB305" s="314" t="e">
        <f t="shared" si="149"/>
        <v>#DIV/0!</v>
      </c>
      <c r="AC305" s="314" t="e">
        <f t="shared" si="149"/>
        <v>#DIV/0!</v>
      </c>
      <c r="AD305" s="314" t="e">
        <f t="shared" si="149"/>
        <v>#DIV/0!</v>
      </c>
      <c r="AE305" s="314" t="e">
        <f t="shared" si="149"/>
        <v>#DIV/0!</v>
      </c>
      <c r="AF305" s="314" t="e">
        <f t="shared" si="149"/>
        <v>#DIV/0!</v>
      </c>
      <c r="AG305" s="315"/>
      <c r="AH305" s="313" t="str">
        <f t="shared" si="128"/>
        <v>- Growth</v>
      </c>
      <c r="AI305" s="307" t="str">
        <f>D305</f>
        <v>%</v>
      </c>
      <c r="AJ305" s="307"/>
      <c r="AK305" s="307"/>
      <c r="AL305" s="314" t="s">
        <v>967</v>
      </c>
      <c r="AM305" s="314">
        <f t="shared" ref="AM305:AX305" si="150">AM304/AL304-1</f>
        <v>-0.31792717086834732</v>
      </c>
      <c r="AN305" s="314">
        <f t="shared" si="150"/>
        <v>-0.19917864476386038</v>
      </c>
      <c r="AO305" s="314">
        <f t="shared" si="150"/>
        <v>7.4358974358974317E-2</v>
      </c>
      <c r="AP305" s="314">
        <f t="shared" si="150"/>
        <v>1.193317422434359E-2</v>
      </c>
      <c r="AQ305" s="314">
        <f t="shared" si="150"/>
        <v>-1</v>
      </c>
      <c r="AR305" s="314" t="e">
        <f t="shared" si="150"/>
        <v>#DIV/0!</v>
      </c>
      <c r="AS305" s="314" t="e">
        <f t="shared" si="150"/>
        <v>#DIV/0!</v>
      </c>
      <c r="AT305" s="314" t="e">
        <f t="shared" si="150"/>
        <v>#DIV/0!</v>
      </c>
      <c r="AU305" s="314" t="e">
        <f t="shared" si="150"/>
        <v>#DIV/0!</v>
      </c>
      <c r="AV305" s="314" t="e">
        <f t="shared" si="150"/>
        <v>#DIV/0!</v>
      </c>
      <c r="AW305" s="314" t="e">
        <f t="shared" si="150"/>
        <v>#DIV/0!</v>
      </c>
      <c r="AX305" s="314" t="e">
        <f t="shared" si="150"/>
        <v>#DIV/0!</v>
      </c>
    </row>
    <row r="306" spans="1:50" collapsed="1">
      <c r="C306" s="313" t="s">
        <v>1122</v>
      </c>
      <c r="D306" s="307" t="s">
        <v>842</v>
      </c>
      <c r="E306" s="307"/>
      <c r="F306" s="307"/>
      <c r="G306" s="314">
        <f xml:space="preserve"> IFERROR(ROUND( G304 / G303,3) - 1, 0)</f>
        <v>0</v>
      </c>
      <c r="H306" s="314">
        <f t="shared" ref="H306:AF306" si="151" xml:space="preserve"> IFERROR(ROUND( H304 / H303,3) - 1, 0)</f>
        <v>0</v>
      </c>
      <c r="I306" s="314">
        <f t="shared" si="151"/>
        <v>0</v>
      </c>
      <c r="J306" s="314">
        <f t="shared" si="151"/>
        <v>0</v>
      </c>
      <c r="K306" s="314">
        <f t="shared" si="151"/>
        <v>-2.1000000000000019E-2</v>
      </c>
      <c r="L306" s="314">
        <f t="shared" si="151"/>
        <v>0</v>
      </c>
      <c r="M306" s="314">
        <f t="shared" si="151"/>
        <v>0</v>
      </c>
      <c r="N306" s="314">
        <f t="shared" si="151"/>
        <v>0</v>
      </c>
      <c r="O306" s="314">
        <f t="shared" si="151"/>
        <v>0</v>
      </c>
      <c r="P306" s="314">
        <f t="shared" si="151"/>
        <v>0</v>
      </c>
      <c r="Q306" s="314">
        <f t="shared" si="151"/>
        <v>0</v>
      </c>
      <c r="R306" s="314">
        <f t="shared" si="151"/>
        <v>0</v>
      </c>
      <c r="S306" s="314">
        <f t="shared" si="151"/>
        <v>0</v>
      </c>
      <c r="T306" s="314">
        <f t="shared" si="151"/>
        <v>0</v>
      </c>
      <c r="U306" s="314">
        <f t="shared" si="151"/>
        <v>0</v>
      </c>
      <c r="V306" s="314">
        <f t="shared" si="151"/>
        <v>0</v>
      </c>
      <c r="W306" s="314">
        <f t="shared" si="151"/>
        <v>0</v>
      </c>
      <c r="X306" s="314">
        <f t="shared" si="151"/>
        <v>0</v>
      </c>
      <c r="Y306" s="314">
        <f t="shared" si="151"/>
        <v>0</v>
      </c>
      <c r="Z306" s="314">
        <f t="shared" si="151"/>
        <v>0</v>
      </c>
      <c r="AA306" s="314">
        <f t="shared" si="151"/>
        <v>0</v>
      </c>
      <c r="AB306" s="314">
        <f t="shared" si="151"/>
        <v>0</v>
      </c>
      <c r="AC306" s="314">
        <f t="shared" si="151"/>
        <v>0</v>
      </c>
      <c r="AD306" s="314">
        <f t="shared" si="151"/>
        <v>0</v>
      </c>
      <c r="AE306" s="314">
        <f t="shared" si="151"/>
        <v>0</v>
      </c>
      <c r="AF306" s="314">
        <f t="shared" si="151"/>
        <v>0</v>
      </c>
      <c r="AG306" s="314"/>
      <c r="AH306" s="313" t="str">
        <f t="shared" si="128"/>
        <v>- Revision</v>
      </c>
      <c r="AI306" s="307" t="str">
        <f>D306</f>
        <v>%</v>
      </c>
      <c r="AJ306" s="307"/>
      <c r="AK306" s="307"/>
      <c r="AL306" s="314">
        <f t="shared" ref="AL306:AX306" si="152" xml:space="preserve"> IFERROR(ROUND( AL304 / AL303,3) - 1, 0)</f>
        <v>0</v>
      </c>
      <c r="AM306" s="314">
        <f t="shared" si="152"/>
        <v>0</v>
      </c>
      <c r="AN306" s="314">
        <f t="shared" si="152"/>
        <v>-1.0000000000000009E-2</v>
      </c>
      <c r="AO306" s="314">
        <f t="shared" si="152"/>
        <v>0</v>
      </c>
      <c r="AP306" s="314">
        <f t="shared" si="152"/>
        <v>1.0089999999999999</v>
      </c>
      <c r="AQ306" s="314">
        <f t="shared" si="152"/>
        <v>0</v>
      </c>
      <c r="AR306" s="314">
        <f t="shared" si="152"/>
        <v>0</v>
      </c>
      <c r="AS306" s="314">
        <f t="shared" si="152"/>
        <v>0</v>
      </c>
      <c r="AT306" s="314">
        <f t="shared" si="152"/>
        <v>0</v>
      </c>
      <c r="AU306" s="314">
        <f t="shared" si="152"/>
        <v>0</v>
      </c>
      <c r="AV306" s="314">
        <f t="shared" si="152"/>
        <v>0</v>
      </c>
      <c r="AW306" s="314">
        <f t="shared" si="152"/>
        <v>0</v>
      </c>
      <c r="AX306" s="314">
        <f t="shared" si="152"/>
        <v>0</v>
      </c>
    </row>
    <row r="307" spans="1:50">
      <c r="B307" s="305" t="s">
        <v>1468</v>
      </c>
      <c r="C307" s="706" t="str">
        <f>_xlfn.TEXTAFTER($B307,$C$280)&amp;" - old"</f>
        <v>EBIT - old</v>
      </c>
      <c r="D307" s="707" t="str" cm="1">
        <f t="array" ref="D307">_xlfn.XLOOKUP($B307,$B$96:$B$176,_xlfn.XLOOKUP(D$181,$D$5:$AX$5,$D$96:$AX$176))</f>
        <v>A$m</v>
      </c>
      <c r="E307" s="307"/>
      <c r="F307" s="307"/>
      <c r="G307" s="708" cm="1">
        <f t="array" ref="G307">_xlfn.XLOOKUP($B307,$B$96:$B$176,_xlfn.XLOOKUP(G$181,$D$5:$AX$5,$D$96:$AX$176))</f>
        <v>-17.899999999999999</v>
      </c>
      <c r="H307" s="708" cm="1">
        <f t="array" ref="H307">_xlfn.XLOOKUP($B307,$B$96:$B$176,_xlfn.XLOOKUP(H$181,$D$5:$AX$5,$D$96:$AX$176))</f>
        <v>19.7</v>
      </c>
      <c r="I307" s="708" cm="1">
        <f t="array" ref="I307">_xlfn.XLOOKUP($B307,$B$96:$B$176,_xlfn.XLOOKUP(I$181,$D$5:$AX$5,$D$96:$AX$176))</f>
        <v>16</v>
      </c>
      <c r="J307" s="708" cm="1">
        <f t="array" ref="J307">_xlfn.XLOOKUP($B307,$B$96:$B$176,_xlfn.XLOOKUP(J$181,$D$5:$AX$5,$D$96:$AX$176))</f>
        <v>18.399999999999999</v>
      </c>
      <c r="K307" s="708" cm="1">
        <f t="array" ref="K307">_xlfn.XLOOKUP($B307,$B$96:$B$176,_xlfn.XLOOKUP(K$181,$D$5:$AX$5,$D$96:$AX$176))</f>
        <v>16.7</v>
      </c>
      <c r="L307" s="708" cm="1">
        <f t="array" ref="L307">_xlfn.XLOOKUP($B307,$B$96:$B$176,_xlfn.XLOOKUP(L$181,$D$5:$AX$5,$D$96:$AX$176))</f>
        <v>10.400000000000002</v>
      </c>
      <c r="M307" s="708" cm="1">
        <f t="array" ref="M307">_xlfn.XLOOKUP($B307,$B$96:$B$176,_xlfn.XLOOKUP(M$181,$D$5:$AX$5,$D$96:$AX$176))</f>
        <v>13.3</v>
      </c>
      <c r="N307" s="708" cm="1">
        <f t="array" ref="N307">_xlfn.XLOOKUP($B307,$B$96:$B$176,_xlfn.XLOOKUP(N$181,$D$5:$AX$5,$D$96:$AX$176))</f>
        <v>7.1999999999999993</v>
      </c>
      <c r="O307" s="708" cm="1">
        <f t="array" ref="O307">_xlfn.XLOOKUP($B307,$B$96:$B$176,_xlfn.XLOOKUP(O$181,$D$5:$AX$5,$D$96:$AX$176))</f>
        <v>14.9</v>
      </c>
      <c r="P307" s="708" cm="1">
        <f t="array" ref="P307">_xlfn.XLOOKUP($B307,$B$96:$B$176,_xlfn.XLOOKUP(P$181,$D$5:$AX$5,$D$96:$AX$176))</f>
        <v>0</v>
      </c>
      <c r="Q307" s="708" cm="1">
        <f t="array" ref="Q307">_xlfn.XLOOKUP($B307,$B$96:$B$176,_xlfn.XLOOKUP(Q$181,$D$5:$AX$5,$D$96:$AX$176))</f>
        <v>0</v>
      </c>
      <c r="R307" s="708" cm="1">
        <f t="array" ref="R307">_xlfn.XLOOKUP($B307,$B$96:$B$176,_xlfn.XLOOKUP(R$181,$D$5:$AX$5,$D$96:$AX$176))</f>
        <v>0</v>
      </c>
      <c r="S307" s="708" cm="1">
        <f t="array" ref="S307">_xlfn.XLOOKUP($B307,$B$96:$B$176,_xlfn.XLOOKUP(S$181,$D$5:$AX$5,$D$96:$AX$176))</f>
        <v>0</v>
      </c>
      <c r="T307" s="708" cm="1">
        <f t="array" ref="T307">_xlfn.XLOOKUP($B307,$B$96:$B$176,_xlfn.XLOOKUP(T$181,$D$5:$AX$5,$D$96:$AX$176))</f>
        <v>0</v>
      </c>
      <c r="U307" s="708" cm="1">
        <f t="array" ref="U307">_xlfn.XLOOKUP($B307,$B$96:$B$176,_xlfn.XLOOKUP(U$181,$D$5:$AX$5,$D$96:$AX$176))</f>
        <v>0</v>
      </c>
      <c r="V307" s="708" cm="1">
        <f t="array" ref="V307">_xlfn.XLOOKUP($B307,$B$96:$B$176,_xlfn.XLOOKUP(V$181,$D$5:$AX$5,$D$96:$AX$176))</f>
        <v>0</v>
      </c>
      <c r="W307" s="708" cm="1">
        <f t="array" ref="W307">_xlfn.XLOOKUP($B307,$B$96:$B$176,_xlfn.XLOOKUP(W$181,$D$5:$AX$5,$D$96:$AX$176))</f>
        <v>0</v>
      </c>
      <c r="X307" s="708" cm="1">
        <f t="array" ref="X307">_xlfn.XLOOKUP($B307,$B$96:$B$176,_xlfn.XLOOKUP(X$181,$D$5:$AX$5,$D$96:$AX$176))</f>
        <v>0</v>
      </c>
      <c r="Y307" s="708" cm="1">
        <f t="array" ref="Y307">_xlfn.XLOOKUP($B307,$B$96:$B$176,_xlfn.XLOOKUP(Y$181,$D$5:$AX$5,$D$96:$AX$176))</f>
        <v>0</v>
      </c>
      <c r="Z307" s="708" cm="1">
        <f t="array" ref="Z307">_xlfn.XLOOKUP($B307,$B$96:$B$176,_xlfn.XLOOKUP(Z$181,$D$5:$AX$5,$D$96:$AX$176))</f>
        <v>0</v>
      </c>
      <c r="AA307" s="708" cm="1">
        <f t="array" ref="AA307">_xlfn.XLOOKUP($B307,$B$96:$B$176,_xlfn.XLOOKUP(AA$181,$D$5:$AX$5,$D$96:$AX$176))</f>
        <v>0</v>
      </c>
      <c r="AB307" s="708" cm="1">
        <f t="array" ref="AB307">_xlfn.XLOOKUP($B307,$B$96:$B$176,_xlfn.XLOOKUP(AB$181,$D$5:$AX$5,$D$96:$AX$176))</f>
        <v>0</v>
      </c>
      <c r="AC307" s="708" cm="1">
        <f t="array" ref="AC307">_xlfn.XLOOKUP($B307,$B$96:$B$176,_xlfn.XLOOKUP(AC$181,$D$5:$AX$5,$D$96:$AX$176))</f>
        <v>0</v>
      </c>
      <c r="AD307" s="708" cm="1">
        <f t="array" ref="AD307">_xlfn.XLOOKUP($B307,$B$96:$B$176,_xlfn.XLOOKUP(AD$181,$D$5:$AX$5,$D$96:$AX$176))</f>
        <v>0</v>
      </c>
      <c r="AE307" s="708" cm="1">
        <f t="array" ref="AE307">_xlfn.XLOOKUP($B307,$B$96:$B$176,_xlfn.XLOOKUP(AE$181,$D$5:$AX$5,$D$96:$AX$176))</f>
        <v>0</v>
      </c>
      <c r="AF307" s="708" cm="1">
        <f t="array" ref="AF307">_xlfn.XLOOKUP($B307,$B$96:$B$176,_xlfn.XLOOKUP(AF$181,$D$5:$AX$5,$D$96:$AX$176))</f>
        <v>0</v>
      </c>
      <c r="AG307" s="309"/>
      <c r="AH307" s="306" t="str">
        <f t="shared" si="128"/>
        <v>EBIT - old</v>
      </c>
      <c r="AI307" s="707" t="str" cm="1">
        <f t="array" ref="AI307">_xlfn.XLOOKUP($B307,$B$96:$B$176,_xlfn.XLOOKUP(AI$181,$D$5:$AX$5,$D$96:$AX$176))</f>
        <v>A$m</v>
      </c>
      <c r="AJ307" s="307"/>
      <c r="AK307" s="307"/>
      <c r="AL307" s="708" cm="1">
        <f t="array" ref="AL307">_xlfn.XLOOKUP($B307,$B$96:$B$176,_xlfn.XLOOKUP(AL$181,$D$5:$AX$5,$D$96:$AX$176))</f>
        <v>1.8000000000000007</v>
      </c>
      <c r="AM307" s="708" cm="1">
        <f t="array" ref="AM307">_xlfn.XLOOKUP($B307,$B$96:$B$176,_xlfn.XLOOKUP(AM$181,$D$5:$AX$5,$D$96:$AX$176))</f>
        <v>34.4</v>
      </c>
      <c r="AN307" s="708" cm="1">
        <f t="array" ref="AN307">_xlfn.XLOOKUP($B307,$B$96:$B$176,_xlfn.XLOOKUP(AN$181,$D$5:$AX$5,$D$96:$AX$176))</f>
        <v>27.1</v>
      </c>
      <c r="AO307" s="708" cm="1">
        <f t="array" ref="AO307">_xlfn.XLOOKUP($B307,$B$96:$B$176,_xlfn.XLOOKUP(AO$181,$D$5:$AX$5,$D$96:$AX$176))</f>
        <v>20.5</v>
      </c>
      <c r="AP307" s="708" cm="1">
        <f t="array" ref="AP307">_xlfn.XLOOKUP($B307,$B$96:$B$176,_xlfn.XLOOKUP(AP$181,$D$5:$AX$5,$D$96:$AX$176))</f>
        <v>14.9</v>
      </c>
      <c r="AQ307" s="708" cm="1">
        <f t="array" ref="AQ307">_xlfn.XLOOKUP($B307,$B$96:$B$176,_xlfn.XLOOKUP(AQ$181,$D$5:$AX$5,$D$96:$AX$176))</f>
        <v>0</v>
      </c>
      <c r="AR307" s="708" cm="1">
        <f t="array" ref="AR307">_xlfn.XLOOKUP($B307,$B$96:$B$176,_xlfn.XLOOKUP(AR$181,$D$5:$AX$5,$D$96:$AX$176))</f>
        <v>0</v>
      </c>
      <c r="AS307" s="708" cm="1">
        <f t="array" ref="AS307">_xlfn.XLOOKUP($B307,$B$96:$B$176,_xlfn.XLOOKUP(AS$181,$D$5:$AX$5,$D$96:$AX$176))</f>
        <v>0</v>
      </c>
      <c r="AT307" s="708" cm="1">
        <f t="array" ref="AT307">_xlfn.XLOOKUP($B307,$B$96:$B$176,_xlfn.XLOOKUP(AT$181,$D$5:$AX$5,$D$96:$AX$176))</f>
        <v>0</v>
      </c>
      <c r="AU307" s="708" cm="1">
        <f t="array" ref="AU307">_xlfn.XLOOKUP($B307,$B$96:$B$176,_xlfn.XLOOKUP(AU$181,$D$5:$AX$5,$D$96:$AX$176))</f>
        <v>0</v>
      </c>
      <c r="AV307" s="708" cm="1">
        <f t="array" ref="AV307">_xlfn.XLOOKUP($B307,$B$96:$B$176,_xlfn.XLOOKUP(AV$181,$D$5:$AX$5,$D$96:$AX$176))</f>
        <v>0</v>
      </c>
      <c r="AW307" s="708" cm="1">
        <f t="array" ref="AW307">_xlfn.XLOOKUP($B307,$B$96:$B$176,_xlfn.XLOOKUP(AW$181,$D$5:$AX$5,$D$96:$AX$176))</f>
        <v>0</v>
      </c>
      <c r="AX307" s="708" cm="1">
        <f t="array" ref="AX307">_xlfn.XLOOKUP($B307,$B$96:$B$176,_xlfn.XLOOKUP(AX$181,$D$5:$AX$5,$D$96:$AX$176))</f>
        <v>0</v>
      </c>
    </row>
    <row r="308" spans="1:50">
      <c r="B308" s="305" t="s">
        <v>1468</v>
      </c>
      <c r="C308" s="318" t="str">
        <f>_xlfn.TEXTAFTER($B308,$C$280)&amp;" - New"</f>
        <v>EBIT - New</v>
      </c>
      <c r="D308" s="311" t="str" cm="1">
        <f t="array" ref="D308">_xlfn.XLOOKUP($B308,$B$11:$B$91,_xlfn.XLOOKUP(D$181,$D$5:$AX$5,$D$11:$AX$91))</f>
        <v>A$m</v>
      </c>
      <c r="E308" s="311"/>
      <c r="F308" s="311"/>
      <c r="G308" s="312" cm="1">
        <f t="array" ref="G308">_xlfn.XLOOKUP($B308,$B$11:$B$91,_xlfn.XLOOKUP(G$181,$D$5:$AX$5,$D$11:$AX$91))</f>
        <v>-17.899999999999999</v>
      </c>
      <c r="H308" s="312" cm="1">
        <f t="array" ref="H308">_xlfn.XLOOKUP($B308,$B$11:$B$91,_xlfn.XLOOKUP(H$181,$D$5:$AX$5,$D$11:$AX$91))</f>
        <v>19.7</v>
      </c>
      <c r="I308" s="312" cm="1">
        <f t="array" ref="I308">_xlfn.XLOOKUP($B308,$B$11:$B$91,_xlfn.XLOOKUP(I$181,$D$5:$AX$5,$D$11:$AX$91))</f>
        <v>16</v>
      </c>
      <c r="J308" s="312" cm="1">
        <f t="array" ref="J308">_xlfn.XLOOKUP($B308,$B$11:$B$91,_xlfn.XLOOKUP(J$181,$D$5:$AX$5,$D$11:$AX$91))</f>
        <v>18.399999999999999</v>
      </c>
      <c r="K308" s="312" cm="1">
        <f t="array" ref="K308">_xlfn.XLOOKUP($B308,$B$11:$B$91,_xlfn.XLOOKUP(K$181,$D$5:$AX$5,$D$11:$AX$91))</f>
        <v>9.6</v>
      </c>
      <c r="L308" s="312" cm="1">
        <f t="array" ref="L308">_xlfn.XLOOKUP($B308,$B$11:$B$91,_xlfn.XLOOKUP(L$181,$D$5:$AX$5,$D$11:$AX$91))</f>
        <v>10.4</v>
      </c>
      <c r="M308" s="312" cm="1">
        <f t="array" ref="M308">_xlfn.XLOOKUP($B308,$B$11:$B$91,_xlfn.XLOOKUP(M$181,$D$5:$AX$5,$D$11:$AX$91))</f>
        <v>13.3</v>
      </c>
      <c r="N308" s="312" cm="1">
        <f t="array" ref="N308">_xlfn.XLOOKUP($B308,$B$11:$B$91,_xlfn.XLOOKUP(N$181,$D$5:$AX$5,$D$11:$AX$91))</f>
        <v>7.1999999999999993</v>
      </c>
      <c r="O308" s="312" cm="1">
        <f t="array" ref="O308">_xlfn.XLOOKUP($B308,$B$11:$B$91,_xlfn.XLOOKUP(O$181,$D$5:$AX$5,$D$11:$AX$91))</f>
        <v>14.9</v>
      </c>
      <c r="P308" s="312" cm="1">
        <f t="array" ref="P308">_xlfn.XLOOKUP($B308,$B$11:$B$91,_xlfn.XLOOKUP(P$181,$D$5:$AX$5,$D$11:$AX$91))</f>
        <v>12.6</v>
      </c>
      <c r="Q308" s="312" cm="1">
        <f t="array" ref="Q308">_xlfn.XLOOKUP($B308,$B$11:$B$91,_xlfn.XLOOKUP(Q$181,$D$5:$AX$5,$D$11:$AX$91))</f>
        <v>0</v>
      </c>
      <c r="R308" s="312" cm="1">
        <f t="array" ref="R308">_xlfn.XLOOKUP($B308,$B$11:$B$91,_xlfn.XLOOKUP(R$181,$D$5:$AX$5,$D$11:$AX$91))</f>
        <v>0</v>
      </c>
      <c r="S308" s="312" cm="1">
        <f t="array" ref="S308">_xlfn.XLOOKUP($B308,$B$11:$B$91,_xlfn.XLOOKUP(S$181,$D$5:$AX$5,$D$11:$AX$91))</f>
        <v>0</v>
      </c>
      <c r="T308" s="312" cm="1">
        <f t="array" ref="T308">_xlfn.XLOOKUP($B308,$B$11:$B$91,_xlfn.XLOOKUP(T$181,$D$5:$AX$5,$D$11:$AX$91))</f>
        <v>0</v>
      </c>
      <c r="U308" s="312" cm="1">
        <f t="array" ref="U308">_xlfn.XLOOKUP($B308,$B$11:$B$91,_xlfn.XLOOKUP(U$181,$D$5:$AX$5,$D$11:$AX$91))</f>
        <v>0</v>
      </c>
      <c r="V308" s="312" cm="1">
        <f t="array" ref="V308">_xlfn.XLOOKUP($B308,$B$11:$B$91,_xlfn.XLOOKUP(V$181,$D$5:$AX$5,$D$11:$AX$91))</f>
        <v>0</v>
      </c>
      <c r="W308" s="312" cm="1">
        <f t="array" ref="W308">_xlfn.XLOOKUP($B308,$B$11:$B$91,_xlfn.XLOOKUP(W$181,$D$5:$AX$5,$D$11:$AX$91))</f>
        <v>0</v>
      </c>
      <c r="X308" s="312" cm="1">
        <f t="array" ref="X308">_xlfn.XLOOKUP($B308,$B$11:$B$91,_xlfn.XLOOKUP(X$181,$D$5:$AX$5,$D$11:$AX$91))</f>
        <v>0</v>
      </c>
      <c r="Y308" s="312" cm="1">
        <f t="array" ref="Y308">_xlfn.XLOOKUP($B308,$B$11:$B$91,_xlfn.XLOOKUP(Y$181,$D$5:$AX$5,$D$11:$AX$91))</f>
        <v>0</v>
      </c>
      <c r="Z308" s="312" cm="1">
        <f t="array" ref="Z308">_xlfn.XLOOKUP($B308,$B$11:$B$91,_xlfn.XLOOKUP(Z$181,$D$5:$AX$5,$D$11:$AX$91))</f>
        <v>0</v>
      </c>
      <c r="AA308" s="312" cm="1">
        <f t="array" ref="AA308">_xlfn.XLOOKUP($B308,$B$11:$B$91,_xlfn.XLOOKUP(AA$181,$D$5:$AX$5,$D$11:$AX$91))</f>
        <v>0</v>
      </c>
      <c r="AB308" s="312" cm="1">
        <f t="array" ref="AB308">_xlfn.XLOOKUP($B308,$B$11:$B$91,_xlfn.XLOOKUP(AB$181,$D$5:$AX$5,$D$11:$AX$91))</f>
        <v>0</v>
      </c>
      <c r="AC308" s="312" cm="1">
        <f t="array" ref="AC308">_xlfn.XLOOKUP($B308,$B$11:$B$91,_xlfn.XLOOKUP(AC$181,$D$5:$AX$5,$D$11:$AX$91))</f>
        <v>0</v>
      </c>
      <c r="AD308" s="312" cm="1">
        <f t="array" ref="AD308">_xlfn.XLOOKUP($B308,$B$11:$B$91,_xlfn.XLOOKUP(AD$181,$D$5:$AX$5,$D$11:$AX$91))</f>
        <v>0</v>
      </c>
      <c r="AE308" s="312" cm="1">
        <f t="array" ref="AE308">_xlfn.XLOOKUP($B308,$B$11:$B$91,_xlfn.XLOOKUP(AE$181,$D$5:$AX$5,$D$11:$AX$91))</f>
        <v>0</v>
      </c>
      <c r="AF308" s="312" cm="1">
        <f t="array" ref="AF308">_xlfn.XLOOKUP($B308,$B$11:$B$91,_xlfn.XLOOKUP(AF$181,$D$5:$AX$5,$D$11:$AX$91))</f>
        <v>0</v>
      </c>
      <c r="AG308" s="312"/>
      <c r="AH308" s="310" t="str">
        <f t="shared" si="128"/>
        <v>EBIT - New</v>
      </c>
      <c r="AI308" s="311" t="str" cm="1">
        <f t="array" ref="AI308">_xlfn.XLOOKUP($B308,$B$11:$B$91,_xlfn.XLOOKUP(AI$181,$D$5:$AX$5,$D$11:$AX$91))</f>
        <v>A$m</v>
      </c>
      <c r="AJ308" s="311"/>
      <c r="AK308" s="311"/>
      <c r="AL308" s="312" cm="1">
        <f t="array" ref="AL308">_xlfn.XLOOKUP($B308,$B$11:$B$91,_xlfn.XLOOKUP(AL$181,$D$5:$AX$5,$D$11:$AX$91))</f>
        <v>1.8000000000000007</v>
      </c>
      <c r="AM308" s="312" cm="1">
        <f t="array" ref="AM308">_xlfn.XLOOKUP($B308,$B$11:$B$91,_xlfn.XLOOKUP(AM$181,$D$5:$AX$5,$D$11:$AX$91))</f>
        <v>34.4</v>
      </c>
      <c r="AN308" s="312" cm="1">
        <f t="array" ref="AN308">_xlfn.XLOOKUP($B308,$B$11:$B$91,_xlfn.XLOOKUP(AN$181,$D$5:$AX$5,$D$11:$AX$91))</f>
        <v>20</v>
      </c>
      <c r="AO308" s="312" cm="1">
        <f t="array" ref="AO308">_xlfn.XLOOKUP($B308,$B$11:$B$91,_xlfn.XLOOKUP(AO$181,$D$5:$AX$5,$D$11:$AX$91))</f>
        <v>20.5</v>
      </c>
      <c r="AP308" s="312" cm="1">
        <f t="array" ref="AP308">_xlfn.XLOOKUP($B308,$B$11:$B$91,_xlfn.XLOOKUP(AP$181,$D$5:$AX$5,$D$11:$AX$91))</f>
        <v>27.5</v>
      </c>
      <c r="AQ308" s="312" cm="1">
        <f t="array" ref="AQ308">_xlfn.XLOOKUP($B308,$B$11:$B$91,_xlfn.XLOOKUP(AQ$181,$D$5:$AX$5,$D$11:$AX$91))</f>
        <v>0</v>
      </c>
      <c r="AR308" s="312" cm="1">
        <f t="array" ref="AR308">_xlfn.XLOOKUP($B308,$B$11:$B$91,_xlfn.XLOOKUP(AR$181,$D$5:$AX$5,$D$11:$AX$91))</f>
        <v>0</v>
      </c>
      <c r="AS308" s="312" cm="1">
        <f t="array" ref="AS308">_xlfn.XLOOKUP($B308,$B$11:$B$91,_xlfn.XLOOKUP(AS$181,$D$5:$AX$5,$D$11:$AX$91))</f>
        <v>0</v>
      </c>
      <c r="AT308" s="312" cm="1">
        <f t="array" ref="AT308">_xlfn.XLOOKUP($B308,$B$11:$B$91,_xlfn.XLOOKUP(AT$181,$D$5:$AX$5,$D$11:$AX$91))</f>
        <v>0</v>
      </c>
      <c r="AU308" s="312" cm="1">
        <f t="array" ref="AU308">_xlfn.XLOOKUP($B308,$B$11:$B$91,_xlfn.XLOOKUP(AU$181,$D$5:$AX$5,$D$11:$AX$91))</f>
        <v>0</v>
      </c>
      <c r="AV308" s="312" cm="1">
        <f t="array" ref="AV308">_xlfn.XLOOKUP($B308,$B$11:$B$91,_xlfn.XLOOKUP(AV$181,$D$5:$AX$5,$D$11:$AX$91))</f>
        <v>0</v>
      </c>
      <c r="AW308" s="312" cm="1">
        <f t="array" ref="AW308">_xlfn.XLOOKUP($B308,$B$11:$B$91,_xlfn.XLOOKUP(AW$181,$D$5:$AX$5,$D$11:$AX$91))</f>
        <v>0</v>
      </c>
      <c r="AX308" s="312" cm="1">
        <f t="array" ref="AX308">_xlfn.XLOOKUP($B308,$B$11:$B$91,_xlfn.XLOOKUP(AX$181,$D$5:$AX$5,$D$11:$AX$91))</f>
        <v>0</v>
      </c>
    </row>
    <row r="309" spans="1:50" hidden="1" outlineLevel="1">
      <c r="C309" s="313" t="s">
        <v>1121</v>
      </c>
      <c r="D309" s="307" t="s">
        <v>842</v>
      </c>
      <c r="E309" s="307"/>
      <c r="F309" s="307"/>
      <c r="G309" s="314" t="s">
        <v>967</v>
      </c>
      <c r="H309" s="314" t="s">
        <v>967</v>
      </c>
      <c r="I309" s="314">
        <f t="shared" ref="I309:AF309" si="153">I308/G308-1</f>
        <v>-1.8938547486033519</v>
      </c>
      <c r="J309" s="314">
        <f t="shared" si="153"/>
        <v>-6.5989847715736127E-2</v>
      </c>
      <c r="K309" s="314">
        <f t="shared" si="153"/>
        <v>-0.4</v>
      </c>
      <c r="L309" s="314">
        <f t="shared" si="153"/>
        <v>-0.43478260869565211</v>
      </c>
      <c r="M309" s="314">
        <f t="shared" si="153"/>
        <v>0.38541666666666674</v>
      </c>
      <c r="N309" s="314">
        <f t="shared" si="153"/>
        <v>-0.30769230769230782</v>
      </c>
      <c r="O309" s="314">
        <f t="shared" si="153"/>
        <v>0.12030075187969924</v>
      </c>
      <c r="P309" s="314">
        <f t="shared" si="153"/>
        <v>0.75000000000000022</v>
      </c>
      <c r="Q309" s="314">
        <f t="shared" si="153"/>
        <v>-1</v>
      </c>
      <c r="R309" s="314">
        <f t="shared" si="153"/>
        <v>-1</v>
      </c>
      <c r="S309" s="314" t="e">
        <f t="shared" si="153"/>
        <v>#DIV/0!</v>
      </c>
      <c r="T309" s="314" t="e">
        <f t="shared" si="153"/>
        <v>#DIV/0!</v>
      </c>
      <c r="U309" s="314" t="e">
        <f t="shared" si="153"/>
        <v>#DIV/0!</v>
      </c>
      <c r="V309" s="314" t="e">
        <f t="shared" si="153"/>
        <v>#DIV/0!</v>
      </c>
      <c r="W309" s="314" t="e">
        <f t="shared" si="153"/>
        <v>#DIV/0!</v>
      </c>
      <c r="X309" s="314" t="e">
        <f t="shared" si="153"/>
        <v>#DIV/0!</v>
      </c>
      <c r="Y309" s="314" t="e">
        <f t="shared" si="153"/>
        <v>#DIV/0!</v>
      </c>
      <c r="Z309" s="314" t="e">
        <f t="shared" si="153"/>
        <v>#DIV/0!</v>
      </c>
      <c r="AA309" s="314" t="e">
        <f t="shared" si="153"/>
        <v>#DIV/0!</v>
      </c>
      <c r="AB309" s="314" t="e">
        <f t="shared" si="153"/>
        <v>#DIV/0!</v>
      </c>
      <c r="AC309" s="314" t="e">
        <f t="shared" si="153"/>
        <v>#DIV/0!</v>
      </c>
      <c r="AD309" s="314" t="e">
        <f t="shared" si="153"/>
        <v>#DIV/0!</v>
      </c>
      <c r="AE309" s="314" t="e">
        <f t="shared" si="153"/>
        <v>#DIV/0!</v>
      </c>
      <c r="AF309" s="314" t="e">
        <f t="shared" si="153"/>
        <v>#DIV/0!</v>
      </c>
      <c r="AG309" s="315"/>
      <c r="AH309" s="313" t="str">
        <f t="shared" si="128"/>
        <v>- Growth</v>
      </c>
      <c r="AI309" s="307" t="str">
        <f>D309</f>
        <v>%</v>
      </c>
      <c r="AJ309" s="307"/>
      <c r="AK309" s="307"/>
      <c r="AL309" s="314" t="s">
        <v>967</v>
      </c>
      <c r="AM309" s="314">
        <f t="shared" ref="AM309:AX309" si="154">AM308/AL308-1</f>
        <v>18.111111111111104</v>
      </c>
      <c r="AN309" s="314">
        <f t="shared" si="154"/>
        <v>-0.41860465116279066</v>
      </c>
      <c r="AO309" s="314">
        <f t="shared" si="154"/>
        <v>2.4999999999999911E-2</v>
      </c>
      <c r="AP309" s="314">
        <f t="shared" si="154"/>
        <v>0.34146341463414642</v>
      </c>
      <c r="AQ309" s="314">
        <f t="shared" si="154"/>
        <v>-1</v>
      </c>
      <c r="AR309" s="314" t="e">
        <f t="shared" si="154"/>
        <v>#DIV/0!</v>
      </c>
      <c r="AS309" s="314" t="e">
        <f t="shared" si="154"/>
        <v>#DIV/0!</v>
      </c>
      <c r="AT309" s="314" t="e">
        <f t="shared" si="154"/>
        <v>#DIV/0!</v>
      </c>
      <c r="AU309" s="314" t="e">
        <f t="shared" si="154"/>
        <v>#DIV/0!</v>
      </c>
      <c r="AV309" s="314" t="e">
        <f t="shared" si="154"/>
        <v>#DIV/0!</v>
      </c>
      <c r="AW309" s="314" t="e">
        <f t="shared" si="154"/>
        <v>#DIV/0!</v>
      </c>
      <c r="AX309" s="314" t="e">
        <f t="shared" si="154"/>
        <v>#DIV/0!</v>
      </c>
    </row>
    <row r="310" spans="1:50" collapsed="1">
      <c r="C310" s="313" t="s">
        <v>1122</v>
      </c>
      <c r="D310" s="307" t="s">
        <v>842</v>
      </c>
      <c r="E310" s="307"/>
      <c r="F310" s="307"/>
      <c r="G310" s="314">
        <f xml:space="preserve"> IFERROR(ROUND( G308 / G307,3) - 1, 0)</f>
        <v>0</v>
      </c>
      <c r="H310" s="314">
        <f t="shared" ref="H310:AF310" si="155" xml:space="preserve"> IFERROR(ROUND( H308 / H307,3) - 1, 0)</f>
        <v>0</v>
      </c>
      <c r="I310" s="314">
        <f t="shared" si="155"/>
        <v>0</v>
      </c>
      <c r="J310" s="314">
        <f t="shared" si="155"/>
        <v>0</v>
      </c>
      <c r="K310" s="314">
        <f t="shared" si="155"/>
        <v>-0.42500000000000004</v>
      </c>
      <c r="L310" s="314">
        <f t="shared" si="155"/>
        <v>0</v>
      </c>
      <c r="M310" s="314">
        <f t="shared" si="155"/>
        <v>0</v>
      </c>
      <c r="N310" s="314">
        <f t="shared" si="155"/>
        <v>0</v>
      </c>
      <c r="O310" s="314">
        <f t="shared" si="155"/>
        <v>0</v>
      </c>
      <c r="P310" s="314">
        <f t="shared" si="155"/>
        <v>0</v>
      </c>
      <c r="Q310" s="314">
        <f t="shared" si="155"/>
        <v>0</v>
      </c>
      <c r="R310" s="314">
        <f t="shared" si="155"/>
        <v>0</v>
      </c>
      <c r="S310" s="314">
        <f t="shared" si="155"/>
        <v>0</v>
      </c>
      <c r="T310" s="314">
        <f t="shared" si="155"/>
        <v>0</v>
      </c>
      <c r="U310" s="314">
        <f t="shared" si="155"/>
        <v>0</v>
      </c>
      <c r="V310" s="314">
        <f t="shared" si="155"/>
        <v>0</v>
      </c>
      <c r="W310" s="314">
        <f t="shared" si="155"/>
        <v>0</v>
      </c>
      <c r="X310" s="314">
        <f t="shared" si="155"/>
        <v>0</v>
      </c>
      <c r="Y310" s="314">
        <f t="shared" si="155"/>
        <v>0</v>
      </c>
      <c r="Z310" s="314">
        <f t="shared" si="155"/>
        <v>0</v>
      </c>
      <c r="AA310" s="314">
        <f t="shared" si="155"/>
        <v>0</v>
      </c>
      <c r="AB310" s="314">
        <f t="shared" si="155"/>
        <v>0</v>
      </c>
      <c r="AC310" s="314">
        <f t="shared" si="155"/>
        <v>0</v>
      </c>
      <c r="AD310" s="314">
        <f t="shared" si="155"/>
        <v>0</v>
      </c>
      <c r="AE310" s="314">
        <f t="shared" si="155"/>
        <v>0</v>
      </c>
      <c r="AF310" s="314">
        <f t="shared" si="155"/>
        <v>0</v>
      </c>
      <c r="AG310" s="314"/>
      <c r="AH310" s="313" t="str">
        <f t="shared" si="128"/>
        <v>- Revision</v>
      </c>
      <c r="AI310" s="307" t="str">
        <f>D310</f>
        <v>%</v>
      </c>
      <c r="AJ310" s="307"/>
      <c r="AK310" s="307"/>
      <c r="AL310" s="314">
        <f t="shared" ref="AL310:AX310" si="156" xml:space="preserve"> IFERROR(ROUND( AL308 / AL307,3) - 1, 0)</f>
        <v>0</v>
      </c>
      <c r="AM310" s="314">
        <f t="shared" si="156"/>
        <v>0</v>
      </c>
      <c r="AN310" s="314">
        <f t="shared" si="156"/>
        <v>-0.26200000000000001</v>
      </c>
      <c r="AO310" s="314">
        <f t="shared" si="156"/>
        <v>0</v>
      </c>
      <c r="AP310" s="314">
        <f t="shared" si="156"/>
        <v>0.84600000000000009</v>
      </c>
      <c r="AQ310" s="314">
        <f t="shared" si="156"/>
        <v>0</v>
      </c>
      <c r="AR310" s="314">
        <f t="shared" si="156"/>
        <v>0</v>
      </c>
      <c r="AS310" s="314">
        <f t="shared" si="156"/>
        <v>0</v>
      </c>
      <c r="AT310" s="314">
        <f t="shared" si="156"/>
        <v>0</v>
      </c>
      <c r="AU310" s="314">
        <f t="shared" si="156"/>
        <v>0</v>
      </c>
      <c r="AV310" s="314">
        <f t="shared" si="156"/>
        <v>0</v>
      </c>
      <c r="AW310" s="314">
        <f t="shared" si="156"/>
        <v>0</v>
      </c>
      <c r="AX310" s="314">
        <f t="shared" si="156"/>
        <v>0</v>
      </c>
    </row>
    <row r="311" spans="1:50">
      <c r="C311" s="313"/>
      <c r="D311" s="307"/>
      <c r="E311" s="307"/>
      <c r="F311" s="307"/>
      <c r="G311" s="314"/>
      <c r="H311" s="314"/>
      <c r="I311" s="314"/>
      <c r="J311" s="314"/>
      <c r="K311" s="314"/>
      <c r="L311" s="314"/>
      <c r="M311" s="314"/>
      <c r="N311" s="314"/>
      <c r="O311" s="314"/>
      <c r="P311" s="314"/>
      <c r="Q311" s="314"/>
      <c r="R311" s="314"/>
      <c r="S311" s="314"/>
      <c r="T311" s="314"/>
      <c r="U311" s="314"/>
      <c r="V311" s="314"/>
      <c r="W311" s="314"/>
      <c r="X311" s="314"/>
      <c r="Y311" s="314"/>
      <c r="Z311" s="314"/>
      <c r="AA311" s="314"/>
      <c r="AB311" s="314"/>
      <c r="AC311" s="314"/>
      <c r="AD311" s="314"/>
      <c r="AE311" s="314"/>
      <c r="AF311" s="314"/>
      <c r="AG311" s="314"/>
      <c r="AH311" s="313"/>
      <c r="AI311" s="307"/>
      <c r="AJ311" s="307"/>
      <c r="AK311" s="307"/>
      <c r="AL311" s="314"/>
      <c r="AM311" s="314"/>
      <c r="AN311" s="314"/>
      <c r="AO311" s="314"/>
      <c r="AP311" s="314"/>
      <c r="AQ311" s="314"/>
      <c r="AR311" s="314"/>
      <c r="AS311" s="314"/>
      <c r="AT311" s="314"/>
      <c r="AU311" s="314"/>
      <c r="AV311" s="314"/>
      <c r="AW311" s="314"/>
      <c r="AX311" s="314"/>
    </row>
    <row r="312" spans="1:50">
      <c r="A312" t="s">
        <v>971</v>
      </c>
      <c r="C312" s="291" t="s">
        <v>1125</v>
      </c>
      <c r="D312" s="292"/>
      <c r="E312" s="292"/>
      <c r="F312" s="292"/>
      <c r="G312" s="292"/>
      <c r="H312" s="292"/>
      <c r="I312" s="292"/>
      <c r="J312" s="292"/>
      <c r="K312" s="292"/>
      <c r="L312" s="292"/>
      <c r="M312" s="292"/>
      <c r="N312" s="292"/>
      <c r="O312" s="292"/>
      <c r="P312" s="293"/>
      <c r="Q312" s="293"/>
      <c r="R312" s="293"/>
      <c r="S312" s="293"/>
      <c r="T312" s="293"/>
      <c r="U312" s="293"/>
      <c r="V312" s="293"/>
      <c r="W312" s="293"/>
      <c r="X312" s="293"/>
      <c r="Y312" s="293"/>
      <c r="Z312" s="293"/>
      <c r="AA312" s="293"/>
      <c r="AB312" s="293"/>
      <c r="AC312" s="293"/>
      <c r="AD312" s="293"/>
      <c r="AE312" s="293"/>
      <c r="AF312" s="293"/>
      <c r="AG312" s="293"/>
      <c r="AH312" s="293"/>
      <c r="AI312" s="293"/>
      <c r="AJ312" s="292"/>
      <c r="AK312" s="292"/>
      <c r="AL312" s="292"/>
      <c r="AM312" s="292"/>
      <c r="AN312" s="292"/>
      <c r="AO312" s="292"/>
      <c r="AP312" s="292"/>
      <c r="AQ312" s="292"/>
      <c r="AR312" s="292"/>
      <c r="AS312" s="292"/>
      <c r="AT312" s="292"/>
      <c r="AU312" s="292"/>
      <c r="AV312" s="292"/>
      <c r="AW312" s="292"/>
      <c r="AX312" s="292"/>
    </row>
    <row r="313" spans="1:50">
      <c r="C313" s="296"/>
      <c r="D313" s="296" t="s">
        <v>960</v>
      </c>
      <c r="E313" s="296"/>
      <c r="F313" s="296" t="str">
        <f>F$5</f>
        <v>VAL</v>
      </c>
      <c r="G313" s="297" t="str">
        <f t="shared" ref="G313:AF313" si="157">G$5</f>
        <v>1H22A</v>
      </c>
      <c r="H313" s="298" t="str">
        <f t="shared" si="157"/>
        <v>2H22A</v>
      </c>
      <c r="I313" s="297" t="str">
        <f t="shared" si="157"/>
        <v>1H23A</v>
      </c>
      <c r="J313" s="298" t="str">
        <f t="shared" si="157"/>
        <v>2H23A</v>
      </c>
      <c r="K313" s="297" t="str">
        <f t="shared" si="157"/>
        <v>1H24E</v>
      </c>
      <c r="L313" s="298" t="str">
        <f t="shared" si="157"/>
        <v>2H24E</v>
      </c>
      <c r="M313" s="297" t="str">
        <f t="shared" si="157"/>
        <v>1H25E</v>
      </c>
      <c r="N313" s="298" t="str">
        <f t="shared" si="157"/>
        <v>2H25E</v>
      </c>
      <c r="O313" s="297" t="str">
        <f t="shared" si="157"/>
        <v>1H26E</v>
      </c>
      <c r="P313" s="298" t="str">
        <f t="shared" si="157"/>
        <v>2H26E</v>
      </c>
      <c r="Q313" s="297" t="str">
        <f t="shared" si="157"/>
        <v>1H27E</v>
      </c>
      <c r="R313" s="298" t="str">
        <f t="shared" si="157"/>
        <v>2H27E</v>
      </c>
      <c r="S313" s="297" t="str">
        <f t="shared" si="157"/>
        <v>1H28E</v>
      </c>
      <c r="T313" s="298" t="str">
        <f t="shared" si="157"/>
        <v>2H28E</v>
      </c>
      <c r="U313" s="297" t="str">
        <f t="shared" si="157"/>
        <v>1H29E</v>
      </c>
      <c r="V313" s="298" t="str">
        <f t="shared" si="157"/>
        <v>2H29E</v>
      </c>
      <c r="W313" s="297" t="str">
        <f t="shared" si="157"/>
        <v>1H30E</v>
      </c>
      <c r="X313" s="298" t="str">
        <f t="shared" si="157"/>
        <v>2H30E</v>
      </c>
      <c r="Y313" s="298" t="str">
        <f t="shared" si="157"/>
        <v>1H31E</v>
      </c>
      <c r="Z313" s="298" t="str">
        <f t="shared" si="157"/>
        <v>2H31E</v>
      </c>
      <c r="AA313" s="298" t="str">
        <f t="shared" si="157"/>
        <v>1H32E</v>
      </c>
      <c r="AB313" s="298" t="str">
        <f t="shared" si="157"/>
        <v>2H32E</v>
      </c>
      <c r="AC313" s="298" t="str">
        <f t="shared" si="157"/>
        <v>1H33E</v>
      </c>
      <c r="AD313" s="298" t="str">
        <f t="shared" si="157"/>
        <v>2H33E</v>
      </c>
      <c r="AE313" s="298" t="str">
        <f t="shared" si="157"/>
        <v>1H34E</v>
      </c>
      <c r="AF313" s="298" t="str">
        <f t="shared" si="157"/>
        <v>2H34E</v>
      </c>
      <c r="AG313" s="299"/>
      <c r="AH313" s="723"/>
      <c r="AI313" s="723" t="s">
        <v>960</v>
      </c>
      <c r="AJ313" s="723"/>
      <c r="AK313" s="723" t="str">
        <f>AK$5</f>
        <v>VAL</v>
      </c>
      <c r="AL313" s="723" t="str">
        <f t="shared" ref="AL313:AX313" si="158">AL$5</f>
        <v>FY22A</v>
      </c>
      <c r="AM313" s="723" t="str">
        <f t="shared" si="158"/>
        <v>FY23A</v>
      </c>
      <c r="AN313" s="723" t="str">
        <f t="shared" si="158"/>
        <v>FY24A</v>
      </c>
      <c r="AO313" s="723" t="str">
        <f t="shared" si="158"/>
        <v>FY25A</v>
      </c>
      <c r="AP313" s="723" t="str">
        <f t="shared" si="158"/>
        <v>FY26A</v>
      </c>
      <c r="AQ313" s="723" t="str">
        <f t="shared" si="158"/>
        <v>FY27A</v>
      </c>
      <c r="AR313" s="723" t="str">
        <f t="shared" si="158"/>
        <v>FY28A</v>
      </c>
      <c r="AS313" s="723" t="str">
        <f t="shared" si="158"/>
        <v>FY29A</v>
      </c>
      <c r="AT313" s="723" t="str">
        <f t="shared" si="158"/>
        <v>FY30A</v>
      </c>
      <c r="AU313" s="723" t="str">
        <f t="shared" si="158"/>
        <v>FY31A</v>
      </c>
      <c r="AV313" s="723" t="str">
        <f t="shared" si="158"/>
        <v>FY32A</v>
      </c>
      <c r="AW313" s="723" t="str">
        <f t="shared" si="158"/>
        <v>FY33A</v>
      </c>
      <c r="AX313" s="723" t="str">
        <f t="shared" si="158"/>
        <v>FY34A</v>
      </c>
    </row>
    <row r="314" spans="1:50">
      <c r="C314" s="300"/>
      <c r="D314" s="300"/>
      <c r="E314" s="300"/>
      <c r="F314" s="300"/>
      <c r="G314" s="301">
        <f t="shared" ref="G314:AF314" si="159">G$6</f>
        <v>44561</v>
      </c>
      <c r="H314" s="302">
        <f t="shared" si="159"/>
        <v>44742</v>
      </c>
      <c r="I314" s="301">
        <f t="shared" si="159"/>
        <v>44926</v>
      </c>
      <c r="J314" s="302">
        <f t="shared" si="159"/>
        <v>45107</v>
      </c>
      <c r="K314" s="301">
        <f t="shared" si="159"/>
        <v>45291</v>
      </c>
      <c r="L314" s="302">
        <f t="shared" si="159"/>
        <v>45473</v>
      </c>
      <c r="M314" s="301">
        <f t="shared" si="159"/>
        <v>45657</v>
      </c>
      <c r="N314" s="302">
        <f t="shared" si="159"/>
        <v>45838</v>
      </c>
      <c r="O314" s="301">
        <f t="shared" si="159"/>
        <v>46022</v>
      </c>
      <c r="P314" s="302">
        <f t="shared" si="159"/>
        <v>46203</v>
      </c>
      <c r="Q314" s="301">
        <f t="shared" si="159"/>
        <v>46387</v>
      </c>
      <c r="R314" s="302">
        <f t="shared" si="159"/>
        <v>46568</v>
      </c>
      <c r="S314" s="301">
        <f t="shared" si="159"/>
        <v>46752</v>
      </c>
      <c r="T314" s="302">
        <f t="shared" si="159"/>
        <v>46934</v>
      </c>
      <c r="U314" s="301">
        <f t="shared" si="159"/>
        <v>47118</v>
      </c>
      <c r="V314" s="302">
        <f t="shared" si="159"/>
        <v>47299</v>
      </c>
      <c r="W314" s="301">
        <f t="shared" si="159"/>
        <v>47483</v>
      </c>
      <c r="X314" s="300">
        <f t="shared" si="159"/>
        <v>47664</v>
      </c>
      <c r="Y314" s="300">
        <f t="shared" si="159"/>
        <v>47848</v>
      </c>
      <c r="Z314" s="300">
        <f t="shared" si="159"/>
        <v>48029</v>
      </c>
      <c r="AA314" s="300">
        <f t="shared" si="159"/>
        <v>48213</v>
      </c>
      <c r="AB314" s="300">
        <f t="shared" si="159"/>
        <v>48395</v>
      </c>
      <c r="AC314" s="300">
        <f t="shared" si="159"/>
        <v>48579</v>
      </c>
      <c r="AD314" s="300">
        <f t="shared" si="159"/>
        <v>48760</v>
      </c>
      <c r="AE314" s="300">
        <f t="shared" si="159"/>
        <v>48944</v>
      </c>
      <c r="AF314" s="300">
        <f t="shared" si="159"/>
        <v>49125</v>
      </c>
      <c r="AG314" s="303"/>
      <c r="AH314" s="724"/>
      <c r="AI314" s="724"/>
      <c r="AJ314" s="724"/>
      <c r="AK314" s="724"/>
      <c r="AL314" s="724">
        <f t="shared" ref="AL314:AX314" si="160">AL$6</f>
        <v>44742</v>
      </c>
      <c r="AM314" s="724">
        <f t="shared" si="160"/>
        <v>45107</v>
      </c>
      <c r="AN314" s="724">
        <f t="shared" si="160"/>
        <v>45473</v>
      </c>
      <c r="AO314" s="724">
        <f t="shared" si="160"/>
        <v>45838</v>
      </c>
      <c r="AP314" s="724">
        <f t="shared" si="160"/>
        <v>46203</v>
      </c>
      <c r="AQ314" s="724">
        <f t="shared" si="160"/>
        <v>46568</v>
      </c>
      <c r="AR314" s="724">
        <f t="shared" si="160"/>
        <v>46934</v>
      </c>
      <c r="AS314" s="724">
        <f t="shared" si="160"/>
        <v>47299</v>
      </c>
      <c r="AT314" s="724">
        <f t="shared" si="160"/>
        <v>47664</v>
      </c>
      <c r="AU314" s="724">
        <f t="shared" si="160"/>
        <v>48029</v>
      </c>
      <c r="AV314" s="724">
        <f t="shared" si="160"/>
        <v>48395</v>
      </c>
      <c r="AW314" s="724">
        <f t="shared" si="160"/>
        <v>48760</v>
      </c>
      <c r="AX314" s="724">
        <f t="shared" si="160"/>
        <v>49125</v>
      </c>
    </row>
    <row r="315" spans="1:50" s="704" customFormat="1">
      <c r="B315" s="705" t="s">
        <v>1442</v>
      </c>
      <c r="C315" s="706" t="str">
        <f>_xlfn.TEXTAFTER($B315,$C$312)&amp;" - old"</f>
        <v>Wagering &amp; Media - old</v>
      </c>
      <c r="D315" s="707" t="str" cm="1">
        <f t="array" ref="D315">_xlfn.XLOOKUP($B315,$B$96:$B$176,_xlfn.XLOOKUP(D$181,$D$5:$AX$5,$D$96:$AX$176))</f>
        <v>A$m</v>
      </c>
      <c r="E315" s="707"/>
      <c r="F315" s="707"/>
      <c r="G315" s="708" cm="1">
        <f t="array" ref="G315">_xlfn.XLOOKUP($B315,$B$96:$B$176,_xlfn.XLOOKUP(G$181,$D$5:$AX$5,$D$96:$AX$176))</f>
        <v>1073.4000000000001</v>
      </c>
      <c r="H315" s="708" cm="1">
        <f t="array" ref="H315">_xlfn.XLOOKUP($B315,$B$96:$B$176,_xlfn.XLOOKUP(H$181,$D$5:$AX$5,$D$96:$AX$176))</f>
        <v>1108.5</v>
      </c>
      <c r="I315" s="708" cm="1">
        <f t="array" ref="I315">_xlfn.XLOOKUP($B315,$B$96:$B$176,_xlfn.XLOOKUP(I$181,$D$5:$AX$5,$D$96:$AX$176))</f>
        <v>1165.7</v>
      </c>
      <c r="J315" s="708" cm="1">
        <f t="array" ref="J315">_xlfn.XLOOKUP($B315,$B$96:$B$176,_xlfn.XLOOKUP(J$181,$D$5:$AX$5,$D$96:$AX$176))</f>
        <v>1065.1000000000001</v>
      </c>
      <c r="K315" s="708" cm="1">
        <f t="array" ref="K315">_xlfn.XLOOKUP($B315,$B$96:$B$176,_xlfn.XLOOKUP(K$181,$D$5:$AX$5,$D$96:$AX$176))</f>
        <v>1116.5999999999999</v>
      </c>
      <c r="L315" s="708" cm="1">
        <f t="array" ref="L315">_xlfn.XLOOKUP($B315,$B$96:$B$176,_xlfn.XLOOKUP(L$181,$D$5:$AX$5,$D$96:$AX$176))</f>
        <v>1046.2000000000003</v>
      </c>
      <c r="M315" s="708" cm="1">
        <f t="array" ref="M315">_xlfn.XLOOKUP($B315,$B$96:$B$176,_xlfn.XLOOKUP(M$181,$D$5:$AX$5,$D$96:$AX$176))</f>
        <v>1243.2</v>
      </c>
      <c r="N315" s="708" cm="1">
        <f t="array" ref="N315">_xlfn.XLOOKUP($B315,$B$96:$B$176,_xlfn.XLOOKUP(N$181,$D$5:$AX$5,$D$96:$AX$176))</f>
        <v>1195.6000000000001</v>
      </c>
      <c r="O315" s="708" cm="1">
        <f t="array" ref="O315">_xlfn.XLOOKUP($B315,$B$96:$B$176,_xlfn.XLOOKUP(O$181,$D$5:$AX$5,$D$96:$AX$176))</f>
        <v>1253.2</v>
      </c>
      <c r="P315" s="708" cm="1">
        <f t="array" ref="P315">_xlfn.XLOOKUP($B315,$B$96:$B$176,_xlfn.XLOOKUP(P$181,$D$5:$AX$5,$D$96:$AX$176))</f>
        <v>1216.792535348</v>
      </c>
      <c r="Q315" s="708" cm="1">
        <f t="array" ref="Q315">_xlfn.XLOOKUP($B315,$B$96:$B$176,_xlfn.XLOOKUP(Q$181,$D$5:$AX$5,$D$96:$AX$176))</f>
        <v>1313.650334465</v>
      </c>
      <c r="R315" s="708" cm="1">
        <f t="array" ref="R315">_xlfn.XLOOKUP($B315,$B$96:$B$176,_xlfn.XLOOKUP(R$181,$D$5:$AX$5,$D$96:$AX$176))</f>
        <v>1242.0994496340002</v>
      </c>
      <c r="S315" s="708" cm="1">
        <f t="array" ref="S315">_xlfn.XLOOKUP($B315,$B$96:$B$176,_xlfn.XLOOKUP(S$181,$D$5:$AX$5,$D$96:$AX$176))</f>
        <v>1340.1458403315003</v>
      </c>
      <c r="T315" s="708" cm="1">
        <f t="array" ref="T315">_xlfn.XLOOKUP($B315,$B$96:$B$176,_xlfn.XLOOKUP(T$181,$D$5:$AX$5,$D$96:$AX$176))</f>
        <v>1269.6815726935401</v>
      </c>
      <c r="U315" s="708" cm="1">
        <f t="array" ref="U315">_xlfn.XLOOKUP($B315,$B$96:$B$176,_xlfn.XLOOKUP(U$181,$D$5:$AX$5,$D$96:$AX$176))</f>
        <v>1369.922578197215</v>
      </c>
      <c r="V315" s="708" cm="1">
        <f t="array" ref="V315">_xlfn.XLOOKUP($B315,$B$96:$B$176,_xlfn.XLOOKUP(V$181,$D$5:$AX$5,$D$96:$AX$176))</f>
        <v>1298.0217408405715</v>
      </c>
      <c r="W315" s="708" cm="1">
        <f t="array" ref="W315">_xlfn.XLOOKUP($B315,$B$96:$B$176,_xlfn.XLOOKUP(W$181,$D$5:$AX$5,$D$96:$AX$176))</f>
        <v>1400.5169016334594</v>
      </c>
      <c r="X315" s="708" cm="1">
        <f t="array" ref="X315">_xlfn.XLOOKUP($B315,$B$96:$B$176,_xlfn.XLOOKUP(X$181,$D$5:$AX$5,$D$96:$AX$176))</f>
        <v>1327.1432426416761</v>
      </c>
      <c r="Y315" s="708" cm="1">
        <f t="array" ref="Y315">_xlfn.XLOOKUP($B315,$B$96:$B$176,_xlfn.XLOOKUP(Y$181,$D$5:$AX$5,$D$96:$AX$176))</f>
        <v>1431.9538751908142</v>
      </c>
      <c r="Z315" s="708" cm="1">
        <f t="array" ref="Z315">_xlfn.XLOOKUP($B315,$B$96:$B$176,_xlfn.XLOOKUP(Z$181,$D$5:$AX$5,$D$96:$AX$176))</f>
        <v>1357.070124324573</v>
      </c>
      <c r="AA315" s="708" cm="1">
        <f t="array" ref="AA315">_xlfn.XLOOKUP($B315,$B$96:$B$176,_xlfn.XLOOKUP(AA$181,$D$5:$AX$5,$D$96:$AX$176))</f>
        <v>1464.2593764873138</v>
      </c>
      <c r="AB315" s="708" cm="1">
        <f t="array" ref="AB315">_xlfn.XLOOKUP($B315,$B$96:$B$176,_xlfn.XLOOKUP(AB$181,$D$5:$AX$5,$D$96:$AX$176))</f>
        <v>1387.8272153167927</v>
      </c>
      <c r="AC315" s="708" cm="1">
        <f t="array" ref="AC315">_xlfn.XLOOKUP($B315,$B$96:$B$176,_xlfn.XLOOKUP(AC$181,$D$5:$AX$5,$D$96:$AX$176))</f>
        <v>1486.4778229945218</v>
      </c>
      <c r="AD315" s="708" cm="1">
        <f t="array" ref="AD315">_xlfn.XLOOKUP($B315,$B$96:$B$176,_xlfn.XLOOKUP(AD$181,$D$5:$AX$5,$D$96:$AX$176))</f>
        <v>1409.1530149885473</v>
      </c>
      <c r="AE315" s="708" cm="1">
        <f t="array" ref="AE315">_xlfn.XLOOKUP($B315,$B$96:$B$176,_xlfn.XLOOKUP(AE$181,$D$5:$AX$5,$D$96:$AX$176))</f>
        <v>1509.6191018766604</v>
      </c>
      <c r="AF315" s="708" cm="1">
        <f t="array" ref="AF315">_xlfn.XLOOKUP($B315,$B$96:$B$176,_xlfn.XLOOKUP(AF$181,$D$5:$AX$5,$D$96:$AX$176))</f>
        <v>1431.3611390329459</v>
      </c>
      <c r="AG315" s="709"/>
      <c r="AH315" s="706" t="str">
        <f t="shared" ref="AH315:AH326" si="161">C315</f>
        <v>Wagering &amp; Media - old</v>
      </c>
      <c r="AI315" s="707" t="str" cm="1">
        <f t="array" ref="AI315">_xlfn.XLOOKUP($B315,$B$96:$B$176,_xlfn.XLOOKUP(AI$181,$D$5:$AX$5,$D$96:$AX$176))</f>
        <v>A$m</v>
      </c>
      <c r="AJ315" s="707"/>
      <c r="AK315" s="707"/>
      <c r="AL315" s="708" cm="1">
        <f t="array" ref="AL315">_xlfn.XLOOKUP($B315,$B$96:$B$176,_xlfn.XLOOKUP(AL$181,$D$5:$AX$5,$D$96:$AX$176))</f>
        <v>2181.9</v>
      </c>
      <c r="AM315" s="708" cm="1">
        <f t="array" ref="AM315">_xlfn.XLOOKUP($B315,$B$96:$B$176,_xlfn.XLOOKUP(AM$181,$D$5:$AX$5,$D$96:$AX$176))</f>
        <v>2230.8000000000002</v>
      </c>
      <c r="AN315" s="708" cm="1">
        <f t="array" ref="AN315">_xlfn.XLOOKUP($B315,$B$96:$B$176,_xlfn.XLOOKUP(AN$181,$D$5:$AX$5,$D$96:$AX$176))</f>
        <v>2162.8000000000002</v>
      </c>
      <c r="AO315" s="708" cm="1">
        <f t="array" ref="AO315">_xlfn.XLOOKUP($B315,$B$96:$B$176,_xlfn.XLOOKUP(AO$181,$D$5:$AX$5,$D$96:$AX$176))</f>
        <v>2438.8000000000002</v>
      </c>
      <c r="AP315" s="708" cm="1">
        <f t="array" ref="AP315">_xlfn.XLOOKUP($B315,$B$96:$B$176,_xlfn.XLOOKUP(AP$181,$D$5:$AX$5,$D$96:$AX$176))</f>
        <v>2469.9925353480003</v>
      </c>
      <c r="AQ315" s="708" cm="1">
        <f t="array" ref="AQ315">_xlfn.XLOOKUP($B315,$B$96:$B$176,_xlfn.XLOOKUP(AQ$181,$D$5:$AX$5,$D$96:$AX$176))</f>
        <v>2555.749784099</v>
      </c>
      <c r="AR315" s="708" cm="1">
        <f t="array" ref="AR315">_xlfn.XLOOKUP($B315,$B$96:$B$176,_xlfn.XLOOKUP(AR$181,$D$5:$AX$5,$D$96:$AX$176))</f>
        <v>2609.8274130250402</v>
      </c>
      <c r="AS315" s="708" cm="1">
        <f t="array" ref="AS315">_xlfn.XLOOKUP($B315,$B$96:$B$176,_xlfn.XLOOKUP(AS$181,$D$5:$AX$5,$D$96:$AX$176))</f>
        <v>2667.9443190377865</v>
      </c>
      <c r="AT315" s="708" cm="1">
        <f t="array" ref="AT315">_xlfn.XLOOKUP($B315,$B$96:$B$176,_xlfn.XLOOKUP(AT$181,$D$5:$AX$5,$D$96:$AX$176))</f>
        <v>2727.6601442751353</v>
      </c>
      <c r="AU315" s="708" cm="1">
        <f t="array" ref="AU315">_xlfn.XLOOKUP($B315,$B$96:$B$176,_xlfn.XLOOKUP(AU$181,$D$5:$AX$5,$D$96:$AX$176))</f>
        <v>2789.023999515387</v>
      </c>
      <c r="AV315" s="708" cm="1">
        <f t="array" ref="AV315">_xlfn.XLOOKUP($B315,$B$96:$B$176,_xlfn.XLOOKUP(AV$181,$D$5:$AX$5,$D$96:$AX$176))</f>
        <v>2852.0865918041063</v>
      </c>
      <c r="AW315" s="708" cm="1">
        <f t="array" ref="AW315">_xlfn.XLOOKUP($B315,$B$96:$B$176,_xlfn.XLOOKUP(AW$181,$D$5:$AX$5,$D$96:$AX$176))</f>
        <v>2895.6308379830689</v>
      </c>
      <c r="AX315" s="708" cm="1">
        <f t="array" ref="AX315">_xlfn.XLOOKUP($B315,$B$96:$B$176,_xlfn.XLOOKUP(AX$181,$D$5:$AX$5,$D$96:$AX$176))</f>
        <v>2940.9802409096064</v>
      </c>
    </row>
    <row r="316" spans="1:50">
      <c r="B316" s="305" t="s">
        <v>1442</v>
      </c>
      <c r="C316" s="318" t="str">
        <f>_xlfn.TEXTAFTER($B316,$C$312)&amp;" - New"</f>
        <v>Wagering &amp; Media - New</v>
      </c>
      <c r="D316" s="311" t="str" cm="1">
        <f t="array" ref="D316">_xlfn.XLOOKUP($B316,$B$11:$B$91,_xlfn.XLOOKUP(D$181,$D$5:$AX$5,$D$11:$AX$91))</f>
        <v>A$m</v>
      </c>
      <c r="E316" s="311"/>
      <c r="F316" s="311"/>
      <c r="G316" s="312" cm="1">
        <f t="array" ref="G316">_xlfn.XLOOKUP($B316,$B$11:$B$91,_xlfn.XLOOKUP(G$181,$D$5:$AX$5,$D$11:$AX$91))</f>
        <v>1073.4000000000001</v>
      </c>
      <c r="H316" s="312" cm="1">
        <f t="array" ref="H316">_xlfn.XLOOKUP($B316,$B$11:$B$91,_xlfn.XLOOKUP(H$181,$D$5:$AX$5,$D$11:$AX$91))</f>
        <v>1108.5</v>
      </c>
      <c r="I316" s="312" cm="1">
        <f t="array" ref="I316">_xlfn.XLOOKUP($B316,$B$11:$B$91,_xlfn.XLOOKUP(I$181,$D$5:$AX$5,$D$11:$AX$91))</f>
        <v>1165.7</v>
      </c>
      <c r="J316" s="312" cm="1">
        <f t="array" ref="J316">_xlfn.XLOOKUP($B316,$B$11:$B$91,_xlfn.XLOOKUP(J$181,$D$5:$AX$5,$D$11:$AX$91))</f>
        <v>1065.1000000000001</v>
      </c>
      <c r="K316" s="312" cm="1">
        <f t="array" ref="K316">_xlfn.XLOOKUP($B316,$B$11:$B$91,_xlfn.XLOOKUP(K$181,$D$5:$AX$5,$D$11:$AX$91))</f>
        <v>1116.5999999999999</v>
      </c>
      <c r="L316" s="312" cm="1">
        <f t="array" ref="L316">_xlfn.XLOOKUP($B316,$B$11:$B$91,_xlfn.XLOOKUP(L$181,$D$5:$AX$5,$D$11:$AX$91))</f>
        <v>1046.2000000000003</v>
      </c>
      <c r="M316" s="312" cm="1">
        <f t="array" ref="M316">_xlfn.XLOOKUP($B316,$B$11:$B$91,_xlfn.XLOOKUP(M$181,$D$5:$AX$5,$D$11:$AX$91))</f>
        <v>1243.2</v>
      </c>
      <c r="N316" s="312" cm="1">
        <f t="array" ref="N316">_xlfn.XLOOKUP($B316,$B$11:$B$91,_xlfn.XLOOKUP(N$181,$D$5:$AX$5,$D$11:$AX$91))</f>
        <v>1195.6000000000001</v>
      </c>
      <c r="O316" s="312" cm="1">
        <f t="array" ref="O316">_xlfn.XLOOKUP($B316,$B$11:$B$91,_xlfn.XLOOKUP(O$181,$D$5:$AX$5,$D$11:$AX$91))</f>
        <v>1253.2</v>
      </c>
      <c r="P316" s="312" cm="1">
        <f t="array" ref="P316">_xlfn.XLOOKUP($B316,$B$11:$B$91,_xlfn.XLOOKUP(P$181,$D$5:$AX$5,$D$11:$AX$91))</f>
        <v>1201.4999999999998</v>
      </c>
      <c r="Q316" s="312" cm="1">
        <f t="array" ref="Q316">_xlfn.XLOOKUP($B316,$B$11:$B$91,_xlfn.XLOOKUP(Q$181,$D$5:$AX$5,$D$11:$AX$91))</f>
        <v>1306.9912626</v>
      </c>
      <c r="R316" s="312" cm="1">
        <f t="array" ref="R316">_xlfn.XLOOKUP($B316,$B$11:$B$91,_xlfn.XLOOKUP(R$181,$D$5:$AX$5,$D$11:$AX$91))</f>
        <v>1228.5870538500001</v>
      </c>
      <c r="S316" s="312" cm="1">
        <f t="array" ref="S316">_xlfn.XLOOKUP($B316,$B$11:$B$91,_xlfn.XLOOKUP(S$181,$D$5:$AX$5,$D$11:$AX$91))</f>
        <v>1311.5464535010001</v>
      </c>
      <c r="T316" s="312" cm="1">
        <f t="array" ref="T316">_xlfn.XLOOKUP($B316,$B$11:$B$91,_xlfn.XLOOKUP(T$181,$D$5:$AX$5,$D$11:$AX$91))</f>
        <v>1242.032782024</v>
      </c>
      <c r="U316" s="312" cm="1">
        <f t="array" ref="U316">_xlfn.XLOOKUP($B316,$B$11:$B$91,_xlfn.XLOOKUP(U$181,$D$5:$AX$5,$D$11:$AX$91))</f>
        <v>1323.7522634282996</v>
      </c>
      <c r="V316" s="312" cm="1">
        <f t="array" ref="V316">_xlfn.XLOOKUP($B316,$B$11:$B$91,_xlfn.XLOOKUP(V$181,$D$5:$AX$5,$D$11:$AX$91))</f>
        <v>1252.1775538494801</v>
      </c>
      <c r="W316" s="312" cm="1">
        <f t="array" ref="W316">_xlfn.XLOOKUP($B316,$B$11:$B$91,_xlfn.XLOOKUP(W$181,$D$5:$AX$5,$D$11:$AX$91))</f>
        <v>1352.9485652203171</v>
      </c>
      <c r="X316" s="312" cm="1">
        <f t="array" ref="X316">_xlfn.XLOOKUP($B316,$B$11:$B$91,_xlfn.XLOOKUP(X$181,$D$5:$AX$5,$D$11:$AX$91))</f>
        <v>1280.1736667176647</v>
      </c>
      <c r="Y316" s="312" cm="1">
        <f t="array" ref="Y316">_xlfn.XLOOKUP($B316,$B$11:$B$91,_xlfn.XLOOKUP(Y$181,$D$5:$AX$5,$D$11:$AX$91))</f>
        <v>1372.4532846330467</v>
      </c>
      <c r="Z316" s="312" cm="1">
        <f t="array" ref="Z316">_xlfn.XLOOKUP($B316,$B$11:$B$91,_xlfn.XLOOKUP(Z$181,$D$5:$AX$5,$D$11:$AX$91))</f>
        <v>1299.4081849496483</v>
      </c>
      <c r="AA316" s="312" cm="1">
        <f t="array" ref="AA316">_xlfn.XLOOKUP($B316,$B$11:$B$91,_xlfn.XLOOKUP(AA$181,$D$5:$AX$5,$D$11:$AX$91))</f>
        <v>1392.752423003597</v>
      </c>
      <c r="AB316" s="312" cm="1">
        <f t="array" ref="AB316">_xlfn.XLOOKUP($B316,$B$11:$B$91,_xlfn.XLOOKUP(AB$181,$D$5:$AX$5,$D$11:$AX$91))</f>
        <v>1319.4098856462872</v>
      </c>
      <c r="AC316" s="312" cm="1">
        <f t="array" ref="AC316">_xlfn.XLOOKUP($B316,$B$11:$B$91,_xlfn.XLOOKUP(AC$181,$D$5:$AX$5,$D$11:$AX$91))</f>
        <v>1413.8677201269479</v>
      </c>
      <c r="AD316" s="312" cm="1">
        <f t="array" ref="AD316">_xlfn.XLOOKUP($B316,$B$11:$B$91,_xlfn.XLOOKUP(AD$181,$D$5:$AX$5,$D$11:$AX$91))</f>
        <v>1340.1998828123442</v>
      </c>
      <c r="AE316" s="312" cm="1">
        <f t="array" ref="AE316">_xlfn.XLOOKUP($B316,$B$11:$B$91,_xlfn.XLOOKUP(AE$181,$D$5:$AX$5,$D$11:$AX$91))</f>
        <v>1435.8215889196676</v>
      </c>
      <c r="AF316" s="312" cm="1">
        <f t="array" ref="AF316">_xlfn.XLOOKUP($B316,$B$11:$B$91,_xlfn.XLOOKUP(AF$181,$D$5:$AX$5,$D$11:$AX$91))</f>
        <v>1361.7999428874157</v>
      </c>
      <c r="AG316" s="312"/>
      <c r="AH316" s="310" t="str">
        <f t="shared" si="161"/>
        <v>Wagering &amp; Media - New</v>
      </c>
      <c r="AI316" s="311" t="str" cm="1">
        <f t="array" ref="AI316">_xlfn.XLOOKUP($B316,$B$11:$B$91,_xlfn.XLOOKUP(AI$181,$D$5:$AX$5,$D$11:$AX$91))</f>
        <v>A$m</v>
      </c>
      <c r="AJ316" s="311"/>
      <c r="AK316" s="311"/>
      <c r="AL316" s="312" cm="1">
        <f t="array" ref="AL316">_xlfn.XLOOKUP($B316,$B$11:$B$91,_xlfn.XLOOKUP(AL$181,$D$5:$AX$5,$D$11:$AX$91))</f>
        <v>2181.9</v>
      </c>
      <c r="AM316" s="312" cm="1">
        <f t="array" ref="AM316">_xlfn.XLOOKUP($B316,$B$11:$B$91,_xlfn.XLOOKUP(AM$181,$D$5:$AX$5,$D$11:$AX$91))</f>
        <v>2230.8000000000002</v>
      </c>
      <c r="AN316" s="312" cm="1">
        <f t="array" ref="AN316">_xlfn.XLOOKUP($B316,$B$11:$B$91,_xlfn.XLOOKUP(AN$181,$D$5:$AX$5,$D$11:$AX$91))</f>
        <v>2162.8000000000002</v>
      </c>
      <c r="AO316" s="312" cm="1">
        <f t="array" ref="AO316">_xlfn.XLOOKUP($B316,$B$11:$B$91,_xlfn.XLOOKUP(AO$181,$D$5:$AX$5,$D$11:$AX$91))</f>
        <v>2438.8000000000002</v>
      </c>
      <c r="AP316" s="312" cm="1">
        <f t="array" ref="AP316">_xlfn.XLOOKUP($B316,$B$11:$B$91,_xlfn.XLOOKUP(AP$181,$D$5:$AX$5,$D$11:$AX$91))</f>
        <v>2454.6999999999998</v>
      </c>
      <c r="AQ316" s="312" cm="1">
        <f t="array" ref="AQ316">_xlfn.XLOOKUP($B316,$B$11:$B$91,_xlfn.XLOOKUP(AQ$181,$D$5:$AX$5,$D$11:$AX$91))</f>
        <v>2535.5783164499999</v>
      </c>
      <c r="AR316" s="312" cm="1">
        <f t="array" ref="AR316">_xlfn.XLOOKUP($B316,$B$11:$B$91,_xlfn.XLOOKUP(AR$181,$D$5:$AX$5,$D$11:$AX$91))</f>
        <v>2553.5792355250001</v>
      </c>
      <c r="AS316" s="312" cm="1">
        <f t="array" ref="AS316">_xlfn.XLOOKUP($B316,$B$11:$B$91,_xlfn.XLOOKUP(AS$181,$D$5:$AX$5,$D$11:$AX$91))</f>
        <v>2575.9298172777799</v>
      </c>
      <c r="AT316" s="312" cm="1">
        <f t="array" ref="AT316">_xlfn.XLOOKUP($B316,$B$11:$B$91,_xlfn.XLOOKUP(AT$181,$D$5:$AX$5,$D$11:$AX$91))</f>
        <v>2633.1222319379817</v>
      </c>
      <c r="AU316" s="312" cm="1">
        <f t="array" ref="AU316">_xlfn.XLOOKUP($B316,$B$11:$B$91,_xlfn.XLOOKUP(AU$181,$D$5:$AX$5,$D$11:$AX$91))</f>
        <v>2671.861469582695</v>
      </c>
      <c r="AV316" s="312" cm="1">
        <f t="array" ref="AV316">_xlfn.XLOOKUP($B316,$B$11:$B$91,_xlfn.XLOOKUP(AV$181,$D$5:$AX$5,$D$11:$AX$91))</f>
        <v>2712.1623086498839</v>
      </c>
      <c r="AW316" s="312" cm="1">
        <f t="array" ref="AW316">_xlfn.XLOOKUP($B316,$B$11:$B$91,_xlfn.XLOOKUP(AW$181,$D$5:$AX$5,$D$11:$AX$91))</f>
        <v>2754.0676029392921</v>
      </c>
      <c r="AX316" s="312" cm="1">
        <f t="array" ref="AX316">_xlfn.XLOOKUP($B316,$B$11:$B$91,_xlfn.XLOOKUP(AX$181,$D$5:$AX$5,$D$11:$AX$91))</f>
        <v>2797.6215318070836</v>
      </c>
    </row>
    <row r="317" spans="1:50" hidden="1" outlineLevel="1">
      <c r="C317" s="313" t="s">
        <v>1121</v>
      </c>
      <c r="D317" s="307" t="s">
        <v>842</v>
      </c>
      <c r="E317" s="307"/>
      <c r="F317" s="307"/>
      <c r="G317" s="314" t="s">
        <v>967</v>
      </c>
      <c r="H317" s="314" t="s">
        <v>967</v>
      </c>
      <c r="I317" s="314">
        <f t="shared" ref="I317:AF317" si="162">I316/G316-1</f>
        <v>8.5988447922489275E-2</v>
      </c>
      <c r="J317" s="314">
        <f t="shared" si="162"/>
        <v>-3.9152007216959772E-2</v>
      </c>
      <c r="K317" s="314">
        <f t="shared" si="162"/>
        <v>-4.212061422321367E-2</v>
      </c>
      <c r="L317" s="314">
        <f t="shared" si="162"/>
        <v>-1.7744812693643697E-2</v>
      </c>
      <c r="M317" s="314">
        <f t="shared" si="162"/>
        <v>0.11337990327780778</v>
      </c>
      <c r="N317" s="314">
        <f t="shared" si="162"/>
        <v>0.1428025234180843</v>
      </c>
      <c r="O317" s="314">
        <f t="shared" si="162"/>
        <v>8.0437580437580092E-3</v>
      </c>
      <c r="P317" s="314">
        <f t="shared" si="162"/>
        <v>4.9347607895613432E-3</v>
      </c>
      <c r="Q317" s="314">
        <f t="shared" si="162"/>
        <v>4.2923126875199502E-2</v>
      </c>
      <c r="R317" s="314">
        <f t="shared" si="162"/>
        <v>2.2544364419475826E-2</v>
      </c>
      <c r="S317" s="314">
        <f t="shared" si="162"/>
        <v>3.4852496962667345E-3</v>
      </c>
      <c r="T317" s="314">
        <f t="shared" si="162"/>
        <v>1.094405816166244E-2</v>
      </c>
      <c r="U317" s="314">
        <f t="shared" si="162"/>
        <v>9.3064259330790655E-3</v>
      </c>
      <c r="V317" s="314">
        <f t="shared" si="162"/>
        <v>8.1678776698215216E-3</v>
      </c>
      <c r="W317" s="314">
        <f t="shared" si="162"/>
        <v>2.205571434975595E-2</v>
      </c>
      <c r="X317" s="314">
        <f t="shared" si="162"/>
        <v>2.2357941796766756E-2</v>
      </c>
      <c r="Y317" s="314">
        <f t="shared" si="162"/>
        <v>1.4416453007992436E-2</v>
      </c>
      <c r="Z317" s="314">
        <f t="shared" si="162"/>
        <v>1.5024928829617812E-2</v>
      </c>
      <c r="AA317" s="314">
        <f t="shared" si="162"/>
        <v>1.4790403868629731E-2</v>
      </c>
      <c r="AB317" s="314">
        <f t="shared" si="162"/>
        <v>1.5392931126883669E-2</v>
      </c>
      <c r="AC317" s="314">
        <f t="shared" si="162"/>
        <v>1.5160840343622528E-2</v>
      </c>
      <c r="AD317" s="314">
        <f t="shared" si="162"/>
        <v>1.5757042138480948E-2</v>
      </c>
      <c r="AE317" s="314">
        <f t="shared" si="162"/>
        <v>1.552752671285873E-2</v>
      </c>
      <c r="AF317" s="314">
        <f t="shared" si="162"/>
        <v>1.6117043697798872E-2</v>
      </c>
      <c r="AG317" s="315"/>
      <c r="AH317" s="313" t="str">
        <f t="shared" si="161"/>
        <v>- Growth</v>
      </c>
      <c r="AI317" s="307" t="str">
        <f>D317</f>
        <v>%</v>
      </c>
      <c r="AJ317" s="307"/>
      <c r="AK317" s="307"/>
      <c r="AL317" s="314" t="s">
        <v>967</v>
      </c>
      <c r="AM317" s="314">
        <f t="shared" ref="AM317:AX317" si="163">AM316/AL316-1</f>
        <v>2.2411659562766362E-2</v>
      </c>
      <c r="AN317" s="314">
        <f t="shared" si="163"/>
        <v>-3.0482338174645851E-2</v>
      </c>
      <c r="AO317" s="314">
        <f t="shared" si="163"/>
        <v>0.12761235435546503</v>
      </c>
      <c r="AP317" s="314">
        <f t="shared" si="163"/>
        <v>6.5195998031817304E-3</v>
      </c>
      <c r="AQ317" s="314">
        <f t="shared" si="163"/>
        <v>3.2948350694586015E-2</v>
      </c>
      <c r="AR317" s="314">
        <f t="shared" si="163"/>
        <v>7.0993346796728307E-3</v>
      </c>
      <c r="AS317" s="314">
        <f t="shared" si="163"/>
        <v>8.7526486125208969E-3</v>
      </c>
      <c r="AT317" s="314">
        <f t="shared" si="163"/>
        <v>2.2202629231817372E-2</v>
      </c>
      <c r="AU317" s="314">
        <f t="shared" si="163"/>
        <v>1.4712282314444991E-2</v>
      </c>
      <c r="AV317" s="314">
        <f t="shared" si="163"/>
        <v>1.5083431355250365E-2</v>
      </c>
      <c r="AW317" s="314">
        <f t="shared" si="163"/>
        <v>1.5450879969742148E-2</v>
      </c>
      <c r="AX317" s="314">
        <f t="shared" si="163"/>
        <v>1.5814400787151461E-2</v>
      </c>
    </row>
    <row r="318" spans="1:50" collapsed="1">
      <c r="C318" s="313" t="s">
        <v>1122</v>
      </c>
      <c r="D318" s="307" t="s">
        <v>842</v>
      </c>
      <c r="E318" s="307"/>
      <c r="F318" s="307"/>
      <c r="G318" s="314">
        <f xml:space="preserve"> IFERROR(ROUND( G316 / G315,3) - 1, 0)</f>
        <v>0</v>
      </c>
      <c r="H318" s="314">
        <f t="shared" ref="H318:AF318" si="164" xml:space="preserve"> IFERROR(ROUND( H316 / H315,3) - 1, 0)</f>
        <v>0</v>
      </c>
      <c r="I318" s="314">
        <f t="shared" si="164"/>
        <v>0</v>
      </c>
      <c r="J318" s="314">
        <f t="shared" si="164"/>
        <v>0</v>
      </c>
      <c r="K318" s="314">
        <f t="shared" si="164"/>
        <v>0</v>
      </c>
      <c r="L318" s="314">
        <f t="shared" si="164"/>
        <v>0</v>
      </c>
      <c r="M318" s="314">
        <f t="shared" si="164"/>
        <v>0</v>
      </c>
      <c r="N318" s="314">
        <f t="shared" si="164"/>
        <v>0</v>
      </c>
      <c r="O318" s="314">
        <f t="shared" si="164"/>
        <v>0</v>
      </c>
      <c r="P318" s="314">
        <f t="shared" si="164"/>
        <v>-1.3000000000000012E-2</v>
      </c>
      <c r="Q318" s="314">
        <f t="shared" si="164"/>
        <v>-5.0000000000000044E-3</v>
      </c>
      <c r="R318" s="314">
        <f t="shared" si="164"/>
        <v>-1.100000000000001E-2</v>
      </c>
      <c r="S318" s="314">
        <f t="shared" si="164"/>
        <v>-2.1000000000000019E-2</v>
      </c>
      <c r="T318" s="314">
        <f t="shared" si="164"/>
        <v>-2.200000000000002E-2</v>
      </c>
      <c r="U318" s="314">
        <f t="shared" si="164"/>
        <v>-3.400000000000003E-2</v>
      </c>
      <c r="V318" s="314">
        <f t="shared" si="164"/>
        <v>-3.5000000000000031E-2</v>
      </c>
      <c r="W318" s="314">
        <f t="shared" si="164"/>
        <v>-3.400000000000003E-2</v>
      </c>
      <c r="X318" s="314">
        <f t="shared" si="164"/>
        <v>-3.5000000000000031E-2</v>
      </c>
      <c r="Y318" s="314">
        <f t="shared" si="164"/>
        <v>-4.2000000000000037E-2</v>
      </c>
      <c r="Z318" s="314">
        <f t="shared" si="164"/>
        <v>-4.2000000000000037E-2</v>
      </c>
      <c r="AA318" s="314">
        <f t="shared" si="164"/>
        <v>-4.9000000000000044E-2</v>
      </c>
      <c r="AB318" s="314">
        <f t="shared" si="164"/>
        <v>-4.9000000000000044E-2</v>
      </c>
      <c r="AC318" s="314">
        <f t="shared" si="164"/>
        <v>-4.9000000000000044E-2</v>
      </c>
      <c r="AD318" s="314">
        <f t="shared" si="164"/>
        <v>-4.9000000000000044E-2</v>
      </c>
      <c r="AE318" s="314">
        <f t="shared" si="164"/>
        <v>-4.9000000000000044E-2</v>
      </c>
      <c r="AF318" s="314">
        <f t="shared" si="164"/>
        <v>-4.9000000000000044E-2</v>
      </c>
      <c r="AG318" s="314"/>
      <c r="AH318" s="313" t="str">
        <f t="shared" si="161"/>
        <v>- Revision</v>
      </c>
      <c r="AI318" s="307" t="str">
        <f>D318</f>
        <v>%</v>
      </c>
      <c r="AJ318" s="307"/>
      <c r="AK318" s="307"/>
      <c r="AL318" s="314">
        <f t="shared" ref="AL318:AX318" si="165" xml:space="preserve"> IFERROR(ROUND( AL316 / AL315,3) - 1, 0)</f>
        <v>0</v>
      </c>
      <c r="AM318" s="314">
        <f t="shared" si="165"/>
        <v>0</v>
      </c>
      <c r="AN318" s="314">
        <f t="shared" si="165"/>
        <v>0</v>
      </c>
      <c r="AO318" s="314">
        <f t="shared" si="165"/>
        <v>0</v>
      </c>
      <c r="AP318" s="314">
        <f t="shared" si="165"/>
        <v>-6.0000000000000053E-3</v>
      </c>
      <c r="AQ318" s="314">
        <f t="shared" si="165"/>
        <v>-8.0000000000000071E-3</v>
      </c>
      <c r="AR318" s="314">
        <f t="shared" si="165"/>
        <v>-2.200000000000002E-2</v>
      </c>
      <c r="AS318" s="314">
        <f t="shared" si="165"/>
        <v>-3.400000000000003E-2</v>
      </c>
      <c r="AT318" s="314">
        <f t="shared" si="165"/>
        <v>-3.5000000000000031E-2</v>
      </c>
      <c r="AU318" s="314">
        <f t="shared" si="165"/>
        <v>-4.2000000000000037E-2</v>
      </c>
      <c r="AV318" s="314">
        <f t="shared" si="165"/>
        <v>-4.9000000000000044E-2</v>
      </c>
      <c r="AW318" s="314">
        <f t="shared" si="165"/>
        <v>-4.9000000000000044E-2</v>
      </c>
      <c r="AX318" s="314">
        <f t="shared" si="165"/>
        <v>-4.9000000000000044E-2</v>
      </c>
    </row>
    <row r="319" spans="1:50">
      <c r="B319" s="305" t="s">
        <v>1443</v>
      </c>
      <c r="C319" s="706" t="str">
        <f>_xlfn.TEXTAFTER($B319,$C$312)&amp;" - old"</f>
        <v>Gaming Services - old</v>
      </c>
      <c r="D319" s="707" t="str" cm="1">
        <f t="array" ref="D319">_xlfn.XLOOKUP($B319,$B$96:$B$176,_xlfn.XLOOKUP(D$181,$D$5:$AX$5,$D$96:$AX$176))</f>
        <v>A$m</v>
      </c>
      <c r="E319" s="307"/>
      <c r="F319" s="307"/>
      <c r="G319" s="708" cm="1">
        <f t="array" ref="G319">_xlfn.XLOOKUP($B319,$B$96:$B$176,_xlfn.XLOOKUP(G$181,$D$5:$AX$5,$D$96:$AX$176))</f>
        <v>79.599999999999994</v>
      </c>
      <c r="H319" s="708" cm="1">
        <f t="array" ref="H319">_xlfn.XLOOKUP($B319,$B$96:$B$176,_xlfn.XLOOKUP(H$181,$D$5:$AX$5,$D$96:$AX$176))</f>
        <v>117.30000000000001</v>
      </c>
      <c r="I319" s="708" cm="1">
        <f t="array" ref="I319">_xlfn.XLOOKUP($B319,$B$96:$B$176,_xlfn.XLOOKUP(I$181,$D$5:$AX$5,$D$96:$AX$176))</f>
        <v>108.8</v>
      </c>
      <c r="J319" s="708" cm="1">
        <f t="array" ref="J319">_xlfn.XLOOKUP($B319,$B$96:$B$176,_xlfn.XLOOKUP(J$181,$D$5:$AX$5,$D$96:$AX$176))</f>
        <v>94.8</v>
      </c>
      <c r="K319" s="708" cm="1">
        <f t="array" ref="K319">_xlfn.XLOOKUP($B319,$B$96:$B$176,_xlfn.XLOOKUP(K$181,$D$5:$AX$5,$D$96:$AX$176))</f>
        <v>93</v>
      </c>
      <c r="L319" s="708" cm="1">
        <f t="array" ref="L319">_xlfn.XLOOKUP($B319,$B$96:$B$176,_xlfn.XLOOKUP(L$181,$D$5:$AX$5,$D$96:$AX$176))</f>
        <v>83.1</v>
      </c>
      <c r="M319" s="708" cm="1">
        <f t="array" ref="M319">_xlfn.XLOOKUP($B319,$B$96:$B$176,_xlfn.XLOOKUP(M$181,$D$5:$AX$5,$D$96:$AX$176))</f>
        <v>88.1</v>
      </c>
      <c r="N319" s="708" cm="1">
        <f t="array" ref="N319">_xlfn.XLOOKUP($B319,$B$96:$B$176,_xlfn.XLOOKUP(N$181,$D$5:$AX$5,$D$96:$AX$176))</f>
        <v>87.700000000000017</v>
      </c>
      <c r="O319" s="708" cm="1">
        <f t="array" ref="O319">_xlfn.XLOOKUP($B319,$B$96:$B$176,_xlfn.XLOOKUP(O$181,$D$5:$AX$5,$D$96:$AX$176))</f>
        <v>91.7</v>
      </c>
      <c r="P319" s="708" cm="1">
        <f t="array" ref="P319">_xlfn.XLOOKUP($B319,$B$96:$B$176,_xlfn.XLOOKUP(P$181,$D$5:$AX$5,$D$96:$AX$176))</f>
        <v>91.032600000000016</v>
      </c>
      <c r="Q319" s="708" cm="1">
        <f t="array" ref="Q319">_xlfn.XLOOKUP($B319,$B$96:$B$176,_xlfn.XLOOKUP(Q$181,$D$5:$AX$5,$D$96:$AX$176))</f>
        <v>94.451000000000008</v>
      </c>
      <c r="R319" s="708" cm="1">
        <f t="array" ref="R319">_xlfn.XLOOKUP($B319,$B$96:$B$176,_xlfn.XLOOKUP(R$181,$D$5:$AX$5,$D$96:$AX$176))</f>
        <v>93.763578000000024</v>
      </c>
      <c r="S319" s="708" cm="1">
        <f t="array" ref="S319">_xlfn.XLOOKUP($B319,$B$96:$B$176,_xlfn.XLOOKUP(S$181,$D$5:$AX$5,$D$96:$AX$176))</f>
        <v>97.284530000000004</v>
      </c>
      <c r="T319" s="708" cm="1">
        <f t="array" ref="T319">_xlfn.XLOOKUP($B319,$B$96:$B$176,_xlfn.XLOOKUP(T$181,$D$5:$AX$5,$D$96:$AX$176))</f>
        <v>96.576485340000033</v>
      </c>
      <c r="U319" s="708" cm="1">
        <f t="array" ref="U319">_xlfn.XLOOKUP($B319,$B$96:$B$176,_xlfn.XLOOKUP(U$181,$D$5:$AX$5,$D$96:$AX$176))</f>
        <v>100.20306590000001</v>
      </c>
      <c r="V319" s="708" cm="1">
        <f t="array" ref="V319">_xlfn.XLOOKUP($B319,$B$96:$B$176,_xlfn.XLOOKUP(V$181,$D$5:$AX$5,$D$96:$AX$176))</f>
        <v>99.473779900200043</v>
      </c>
      <c r="W319" s="708" cm="1">
        <f t="array" ref="W319">_xlfn.XLOOKUP($B319,$B$96:$B$176,_xlfn.XLOOKUP(W$181,$D$5:$AX$5,$D$96:$AX$176))</f>
        <v>103.20915787700001</v>
      </c>
      <c r="X319" s="708" cm="1">
        <f t="array" ref="X319">_xlfn.XLOOKUP($B319,$B$96:$B$176,_xlfn.XLOOKUP(X$181,$D$5:$AX$5,$D$96:$AX$176))</f>
        <v>102.45799329720604</v>
      </c>
      <c r="Y319" s="708" cm="1">
        <f t="array" ref="Y319">_xlfn.XLOOKUP($B319,$B$96:$B$176,_xlfn.XLOOKUP(Y$181,$D$5:$AX$5,$D$96:$AX$176))</f>
        <v>106.30543261331002</v>
      </c>
      <c r="Z319" s="708" cm="1">
        <f t="array" ref="Z319">_xlfn.XLOOKUP($B319,$B$96:$B$176,_xlfn.XLOOKUP(Z$181,$D$5:$AX$5,$D$96:$AX$176))</f>
        <v>105.53173309612222</v>
      </c>
      <c r="AA319" s="708" cm="1">
        <f t="array" ref="AA319">_xlfn.XLOOKUP($B319,$B$96:$B$176,_xlfn.XLOOKUP(AA$181,$D$5:$AX$5,$D$96:$AX$176))</f>
        <v>109.49459559170933</v>
      </c>
      <c r="AB319" s="708" cm="1">
        <f t="array" ref="AB319">_xlfn.XLOOKUP($B319,$B$96:$B$176,_xlfn.XLOOKUP(AB$181,$D$5:$AX$5,$D$96:$AX$176))</f>
        <v>108.69768508900589</v>
      </c>
      <c r="AC319" s="708" cm="1">
        <f t="array" ref="AC319">_xlfn.XLOOKUP($B319,$B$96:$B$176,_xlfn.XLOOKUP(AC$181,$D$5:$AX$5,$D$96:$AX$176))</f>
        <v>112.77943345946061</v>
      </c>
      <c r="AD319" s="708" cm="1">
        <f t="array" ref="AD319">_xlfn.XLOOKUP($B319,$B$96:$B$176,_xlfn.XLOOKUP(AD$181,$D$5:$AX$5,$D$96:$AX$176))</f>
        <v>111.95861564167606</v>
      </c>
      <c r="AE319" s="708" cm="1">
        <f t="array" ref="AE319">_xlfn.XLOOKUP($B319,$B$96:$B$176,_xlfn.XLOOKUP(AE$181,$D$5:$AX$5,$D$96:$AX$176))</f>
        <v>116.16281646324443</v>
      </c>
      <c r="AF319" s="708" cm="1">
        <f t="array" ref="AF319">_xlfn.XLOOKUP($B319,$B$96:$B$176,_xlfn.XLOOKUP(AF$181,$D$5:$AX$5,$D$96:$AX$176))</f>
        <v>115.31737411092635</v>
      </c>
      <c r="AG319" s="309"/>
      <c r="AH319" s="306" t="str">
        <f t="shared" si="161"/>
        <v>Gaming Services - old</v>
      </c>
      <c r="AI319" s="707" t="str" cm="1">
        <f t="array" ref="AI319">_xlfn.XLOOKUP($B319,$B$96:$B$176,_xlfn.XLOOKUP(AI$181,$D$5:$AX$5,$D$96:$AX$176))</f>
        <v>A$m</v>
      </c>
      <c r="AJ319" s="307"/>
      <c r="AK319" s="307"/>
      <c r="AL319" s="708" cm="1">
        <f t="array" ref="AL319">_xlfn.XLOOKUP($B319,$B$96:$B$176,_xlfn.XLOOKUP(AL$181,$D$5:$AX$5,$D$96:$AX$176))</f>
        <v>196.9</v>
      </c>
      <c r="AM319" s="708" cm="1">
        <f t="array" ref="AM319">_xlfn.XLOOKUP($B319,$B$96:$B$176,_xlfn.XLOOKUP(AM$181,$D$5:$AX$5,$D$96:$AX$176))</f>
        <v>203.6</v>
      </c>
      <c r="AN319" s="708" cm="1">
        <f t="array" ref="AN319">_xlfn.XLOOKUP($B319,$B$96:$B$176,_xlfn.XLOOKUP(AN$181,$D$5:$AX$5,$D$96:$AX$176))</f>
        <v>176.1</v>
      </c>
      <c r="AO319" s="708" cm="1">
        <f t="array" ref="AO319">_xlfn.XLOOKUP($B319,$B$96:$B$176,_xlfn.XLOOKUP(AO$181,$D$5:$AX$5,$D$96:$AX$176))</f>
        <v>175.8</v>
      </c>
      <c r="AP319" s="708" cm="1">
        <f t="array" ref="AP319">_xlfn.XLOOKUP($B319,$B$96:$B$176,_xlfn.XLOOKUP(AP$181,$D$5:$AX$5,$D$96:$AX$176))</f>
        <v>182.73260000000002</v>
      </c>
      <c r="AQ319" s="708" cm="1">
        <f t="array" ref="AQ319">_xlfn.XLOOKUP($B319,$B$96:$B$176,_xlfn.XLOOKUP(AQ$181,$D$5:$AX$5,$D$96:$AX$176))</f>
        <v>188.21457800000002</v>
      </c>
      <c r="AR319" s="708" cm="1">
        <f t="array" ref="AR319">_xlfn.XLOOKUP($B319,$B$96:$B$176,_xlfn.XLOOKUP(AR$181,$D$5:$AX$5,$D$96:$AX$176))</f>
        <v>193.86101534000005</v>
      </c>
      <c r="AS319" s="708" cm="1">
        <f t="array" ref="AS319">_xlfn.XLOOKUP($B319,$B$96:$B$176,_xlfn.XLOOKUP(AS$181,$D$5:$AX$5,$D$96:$AX$176))</f>
        <v>199.67684580020006</v>
      </c>
      <c r="AT319" s="708" cm="1">
        <f t="array" ref="AT319">_xlfn.XLOOKUP($B319,$B$96:$B$176,_xlfn.XLOOKUP(AT$181,$D$5:$AX$5,$D$96:$AX$176))</f>
        <v>205.66715117420605</v>
      </c>
      <c r="AU319" s="708" cm="1">
        <f t="array" ref="AU319">_xlfn.XLOOKUP($B319,$B$96:$B$176,_xlfn.XLOOKUP(AU$181,$D$5:$AX$5,$D$96:$AX$176))</f>
        <v>211.83716570943224</v>
      </c>
      <c r="AV319" s="708" cm="1">
        <f t="array" ref="AV319">_xlfn.XLOOKUP($B319,$B$96:$B$176,_xlfn.XLOOKUP(AV$181,$D$5:$AX$5,$D$96:$AX$176))</f>
        <v>218.19228068071521</v>
      </c>
      <c r="AW319" s="708" cm="1">
        <f t="array" ref="AW319">_xlfn.XLOOKUP($B319,$B$96:$B$176,_xlfn.XLOOKUP(AW$181,$D$5:$AX$5,$D$96:$AX$176))</f>
        <v>224.73804910113665</v>
      </c>
      <c r="AX319" s="708" cm="1">
        <f t="array" ref="AX319">_xlfn.XLOOKUP($B319,$B$96:$B$176,_xlfn.XLOOKUP(AX$181,$D$5:$AX$5,$D$96:$AX$176))</f>
        <v>231.48019057417076</v>
      </c>
    </row>
    <row r="320" spans="1:50">
      <c r="B320" s="305" t="s">
        <v>1443</v>
      </c>
      <c r="C320" s="318" t="str">
        <f>_xlfn.TEXTAFTER($B320,$C$312)&amp;" - New"</f>
        <v>Gaming Services - New</v>
      </c>
      <c r="D320" s="311" t="str" cm="1">
        <f t="array" ref="D320">_xlfn.XLOOKUP($B320,$B$11:$B$91,_xlfn.XLOOKUP(D$181,$D$5:$AX$5,$D$11:$AX$91))</f>
        <v>A$m</v>
      </c>
      <c r="E320" s="311"/>
      <c r="F320" s="311"/>
      <c r="G320" s="312" cm="1">
        <f t="array" ref="G320">_xlfn.XLOOKUP($B320,$B$11:$B$91,_xlfn.XLOOKUP(G$181,$D$5:$AX$5,$D$11:$AX$91))</f>
        <v>79.599999999999994</v>
      </c>
      <c r="H320" s="312" cm="1">
        <f t="array" ref="H320">_xlfn.XLOOKUP($B320,$B$11:$B$91,_xlfn.XLOOKUP(H$181,$D$5:$AX$5,$D$11:$AX$91))</f>
        <v>117.30000000000001</v>
      </c>
      <c r="I320" s="312" cm="1">
        <f t="array" ref="I320">_xlfn.XLOOKUP($B320,$B$11:$B$91,_xlfn.XLOOKUP(I$181,$D$5:$AX$5,$D$11:$AX$91))</f>
        <v>108.8</v>
      </c>
      <c r="J320" s="312" cm="1">
        <f t="array" ref="J320">_xlfn.XLOOKUP($B320,$B$11:$B$91,_xlfn.XLOOKUP(J$181,$D$5:$AX$5,$D$11:$AX$91))</f>
        <v>94.8</v>
      </c>
      <c r="K320" s="312" cm="1">
        <f t="array" ref="K320">_xlfn.XLOOKUP($B320,$B$11:$B$91,_xlfn.XLOOKUP(K$181,$D$5:$AX$5,$D$11:$AX$91))</f>
        <v>80.3</v>
      </c>
      <c r="L320" s="312" cm="1">
        <f t="array" ref="L320">_xlfn.XLOOKUP($B320,$B$11:$B$91,_xlfn.XLOOKUP(L$181,$D$5:$AX$5,$D$11:$AX$91))</f>
        <v>83.100000000000009</v>
      </c>
      <c r="M320" s="312" cm="1">
        <f t="array" ref="M320">_xlfn.XLOOKUP($B320,$B$11:$B$91,_xlfn.XLOOKUP(M$181,$D$5:$AX$5,$D$11:$AX$91))</f>
        <v>88.1</v>
      </c>
      <c r="N320" s="312" cm="1">
        <f t="array" ref="N320">_xlfn.XLOOKUP($B320,$B$11:$B$91,_xlfn.XLOOKUP(N$181,$D$5:$AX$5,$D$11:$AX$91))</f>
        <v>87.700000000000017</v>
      </c>
      <c r="O320" s="312" cm="1">
        <f t="array" ref="O320">_xlfn.XLOOKUP($B320,$B$11:$B$91,_xlfn.XLOOKUP(O$181,$D$5:$AX$5,$D$11:$AX$91))</f>
        <v>91.7</v>
      </c>
      <c r="P320" s="312" cm="1">
        <f t="array" ref="P320">_xlfn.XLOOKUP($B320,$B$11:$B$91,_xlfn.XLOOKUP(P$181,$D$5:$AX$5,$D$11:$AX$91))</f>
        <v>89.899999999999991</v>
      </c>
      <c r="Q320" s="312" cm="1">
        <f t="array" ref="Q320">_xlfn.XLOOKUP($B320,$B$11:$B$91,_xlfn.XLOOKUP(Q$181,$D$5:$AX$5,$D$11:$AX$91))</f>
        <v>93.992499999999993</v>
      </c>
      <c r="R320" s="312" cm="1">
        <f t="array" ref="R320">_xlfn.XLOOKUP($B320,$B$11:$B$91,_xlfn.XLOOKUP(R$181,$D$5:$AX$5,$D$11:$AX$91))</f>
        <v>92.14749999999998</v>
      </c>
      <c r="S320" s="312" cm="1">
        <f t="array" ref="S320">_xlfn.XLOOKUP($B320,$B$11:$B$91,_xlfn.XLOOKUP(S$181,$D$5:$AX$5,$D$11:$AX$91))</f>
        <v>96.342312499999977</v>
      </c>
      <c r="T320" s="312" cm="1">
        <f t="array" ref="T320">_xlfn.XLOOKUP($B320,$B$11:$B$91,_xlfn.XLOOKUP(T$181,$D$5:$AX$5,$D$11:$AX$91))</f>
        <v>94.451187499999975</v>
      </c>
      <c r="U320" s="312" cm="1">
        <f t="array" ref="U320">_xlfn.XLOOKUP($B320,$B$11:$B$91,_xlfn.XLOOKUP(U$181,$D$5:$AX$5,$D$11:$AX$91))</f>
        <v>99.23258187499998</v>
      </c>
      <c r="V320" s="312" cm="1">
        <f t="array" ref="V320">_xlfn.XLOOKUP($B320,$B$11:$B$91,_xlfn.XLOOKUP(V$181,$D$5:$AX$5,$D$11:$AX$91))</f>
        <v>97.284723124999971</v>
      </c>
      <c r="W320" s="312" cm="1">
        <f t="array" ref="W320">_xlfn.XLOOKUP($B320,$B$11:$B$91,_xlfn.XLOOKUP(W$181,$D$5:$AX$5,$D$11:$AX$91))</f>
        <v>102.20955933124998</v>
      </c>
      <c r="X320" s="312" cm="1">
        <f t="array" ref="X320">_xlfn.XLOOKUP($B320,$B$11:$B$91,_xlfn.XLOOKUP(X$181,$D$5:$AX$5,$D$11:$AX$91))</f>
        <v>100.20326481874997</v>
      </c>
      <c r="Y320" s="312" cm="1">
        <f t="array" ref="Y320">_xlfn.XLOOKUP($B320,$B$11:$B$91,_xlfn.XLOOKUP(Y$181,$D$5:$AX$5,$D$11:$AX$91))</f>
        <v>105.27584611118748</v>
      </c>
      <c r="Z320" s="312" cm="1">
        <f t="array" ref="Z320">_xlfn.XLOOKUP($B320,$B$11:$B$91,_xlfn.XLOOKUP(Z$181,$D$5:$AX$5,$D$11:$AX$91))</f>
        <v>103.20936276331247</v>
      </c>
      <c r="AA320" s="312" cm="1">
        <f t="array" ref="AA320">_xlfn.XLOOKUP($B320,$B$11:$B$91,_xlfn.XLOOKUP(AA$181,$D$5:$AX$5,$D$11:$AX$91))</f>
        <v>108.4341214945231</v>
      </c>
      <c r="AB320" s="312" cm="1">
        <f t="array" ref="AB320">_xlfn.XLOOKUP($B320,$B$11:$B$91,_xlfn.XLOOKUP(AB$181,$D$5:$AX$5,$D$11:$AX$91))</f>
        <v>106.30564364621185</v>
      </c>
      <c r="AC320" s="312" cm="1">
        <f t="array" ref="AC320">_xlfn.XLOOKUP($B320,$B$11:$B$91,_xlfn.XLOOKUP(AC$181,$D$5:$AX$5,$D$11:$AX$91))</f>
        <v>111.68714513935879</v>
      </c>
      <c r="AD320" s="312" cm="1">
        <f t="array" ref="AD320">_xlfn.XLOOKUP($B320,$B$11:$B$91,_xlfn.XLOOKUP(AD$181,$D$5:$AX$5,$D$11:$AX$91))</f>
        <v>109.49481295559821</v>
      </c>
      <c r="AE320" s="312" cm="1">
        <f t="array" ref="AE320">_xlfn.XLOOKUP($B320,$B$11:$B$91,_xlfn.XLOOKUP(AE$181,$D$5:$AX$5,$D$11:$AX$91))</f>
        <v>115.03775949353955</v>
      </c>
      <c r="AF320" s="312" cm="1">
        <f t="array" ref="AF320">_xlfn.XLOOKUP($B320,$B$11:$B$91,_xlfn.XLOOKUP(AF$181,$D$5:$AX$5,$D$11:$AX$91))</f>
        <v>112.77965734426616</v>
      </c>
      <c r="AG320" s="312"/>
      <c r="AH320" s="310" t="str">
        <f t="shared" si="161"/>
        <v>Gaming Services - New</v>
      </c>
      <c r="AI320" s="311" t="str" cm="1">
        <f t="array" ref="AI320">_xlfn.XLOOKUP($B320,$B$11:$B$91,_xlfn.XLOOKUP(AI$181,$D$5:$AX$5,$D$11:$AX$91))</f>
        <v>A$m</v>
      </c>
      <c r="AJ320" s="311"/>
      <c r="AK320" s="311"/>
      <c r="AL320" s="312" cm="1">
        <f t="array" ref="AL320">_xlfn.XLOOKUP($B320,$B$11:$B$91,_xlfn.XLOOKUP(AL$181,$D$5:$AX$5,$D$11:$AX$91))</f>
        <v>196.9</v>
      </c>
      <c r="AM320" s="312" cm="1">
        <f t="array" ref="AM320">_xlfn.XLOOKUP($B320,$B$11:$B$91,_xlfn.XLOOKUP(AM$181,$D$5:$AX$5,$D$11:$AX$91))</f>
        <v>203.6</v>
      </c>
      <c r="AN320" s="312" cm="1">
        <f t="array" ref="AN320">_xlfn.XLOOKUP($B320,$B$11:$B$91,_xlfn.XLOOKUP(AN$181,$D$5:$AX$5,$D$11:$AX$91))</f>
        <v>163.4</v>
      </c>
      <c r="AO320" s="312" cm="1">
        <f t="array" ref="AO320">_xlfn.XLOOKUP($B320,$B$11:$B$91,_xlfn.XLOOKUP(AO$181,$D$5:$AX$5,$D$11:$AX$91))</f>
        <v>175.8</v>
      </c>
      <c r="AP320" s="312" cm="1">
        <f t="array" ref="AP320">_xlfn.XLOOKUP($B320,$B$11:$B$91,_xlfn.XLOOKUP(AP$181,$D$5:$AX$5,$D$11:$AX$91))</f>
        <v>181.6</v>
      </c>
      <c r="AQ320" s="312" cm="1">
        <f t="array" ref="AQ320">_xlfn.XLOOKUP($B320,$B$11:$B$91,_xlfn.XLOOKUP(AQ$181,$D$5:$AX$5,$D$11:$AX$91))</f>
        <v>186.14</v>
      </c>
      <c r="AR320" s="312" cm="1">
        <f t="array" ref="AR320">_xlfn.XLOOKUP($B320,$B$11:$B$91,_xlfn.XLOOKUP(AR$181,$D$5:$AX$5,$D$11:$AX$91))</f>
        <v>190.79349999999994</v>
      </c>
      <c r="AS320" s="312" cm="1">
        <f t="array" ref="AS320">_xlfn.XLOOKUP($B320,$B$11:$B$91,_xlfn.XLOOKUP(AS$181,$D$5:$AX$5,$D$11:$AX$91))</f>
        <v>196.51730499999996</v>
      </c>
      <c r="AT320" s="312" cm="1">
        <f t="array" ref="AT320">_xlfn.XLOOKUP($B320,$B$11:$B$91,_xlfn.XLOOKUP(AT$181,$D$5:$AX$5,$D$11:$AX$91))</f>
        <v>202.41282414999995</v>
      </c>
      <c r="AU320" s="312" cm="1">
        <f t="array" ref="AU320">_xlfn.XLOOKUP($B320,$B$11:$B$91,_xlfn.XLOOKUP(AU$181,$D$5:$AX$5,$D$11:$AX$91))</f>
        <v>208.48520887449996</v>
      </c>
      <c r="AV320" s="312" cm="1">
        <f t="array" ref="AV320">_xlfn.XLOOKUP($B320,$B$11:$B$91,_xlfn.XLOOKUP(AV$181,$D$5:$AX$5,$D$11:$AX$91))</f>
        <v>214.73976514073496</v>
      </c>
      <c r="AW320" s="312" cm="1">
        <f t="array" ref="AW320">_xlfn.XLOOKUP($B320,$B$11:$B$91,_xlfn.XLOOKUP(AW$181,$D$5:$AX$5,$D$11:$AX$91))</f>
        <v>221.181958094957</v>
      </c>
      <c r="AX320" s="312" cm="1">
        <f t="array" ref="AX320">_xlfn.XLOOKUP($B320,$B$11:$B$91,_xlfn.XLOOKUP(AX$181,$D$5:$AX$5,$D$11:$AX$91))</f>
        <v>227.81741683780569</v>
      </c>
    </row>
    <row r="321" spans="1:50" hidden="1" outlineLevel="1">
      <c r="C321" s="313" t="s">
        <v>1121</v>
      </c>
      <c r="D321" s="307" t="s">
        <v>842</v>
      </c>
      <c r="E321" s="307"/>
      <c r="F321" s="307"/>
      <c r="G321" s="314" t="s">
        <v>967</v>
      </c>
      <c r="H321" s="314" t="s">
        <v>967</v>
      </c>
      <c r="I321" s="314">
        <f t="shared" ref="I321:AF321" si="166">I320/G320-1</f>
        <v>0.3668341708542715</v>
      </c>
      <c r="J321" s="314">
        <f t="shared" si="166"/>
        <v>-0.19181585677749369</v>
      </c>
      <c r="K321" s="314">
        <f t="shared" si="166"/>
        <v>-0.26194852941176472</v>
      </c>
      <c r="L321" s="314">
        <f t="shared" si="166"/>
        <v>-0.12341772151898722</v>
      </c>
      <c r="M321" s="314">
        <f t="shared" si="166"/>
        <v>9.7135740971357354E-2</v>
      </c>
      <c r="N321" s="314">
        <f t="shared" si="166"/>
        <v>5.5354993983153022E-2</v>
      </c>
      <c r="O321" s="314">
        <f t="shared" si="166"/>
        <v>4.0862656072644832E-2</v>
      </c>
      <c r="P321" s="314">
        <f t="shared" si="166"/>
        <v>2.5085518814138785E-2</v>
      </c>
      <c r="Q321" s="314">
        <f t="shared" si="166"/>
        <v>2.4999999999999911E-2</v>
      </c>
      <c r="R321" s="314">
        <f t="shared" si="166"/>
        <v>2.4999999999999911E-2</v>
      </c>
      <c r="S321" s="314">
        <f t="shared" si="166"/>
        <v>2.4999999999999911E-2</v>
      </c>
      <c r="T321" s="314">
        <f t="shared" si="166"/>
        <v>2.4999999999999911E-2</v>
      </c>
      <c r="U321" s="314">
        <f t="shared" si="166"/>
        <v>3.0000000000000027E-2</v>
      </c>
      <c r="V321" s="314">
        <f t="shared" si="166"/>
        <v>3.0000000000000027E-2</v>
      </c>
      <c r="W321" s="314">
        <f t="shared" si="166"/>
        <v>3.0000000000000027E-2</v>
      </c>
      <c r="X321" s="314">
        <f t="shared" si="166"/>
        <v>3.0000000000000027E-2</v>
      </c>
      <c r="Y321" s="314">
        <f t="shared" si="166"/>
        <v>3.0000000000000027E-2</v>
      </c>
      <c r="Z321" s="314">
        <f t="shared" si="166"/>
        <v>3.0000000000000027E-2</v>
      </c>
      <c r="AA321" s="314">
        <f t="shared" si="166"/>
        <v>3.0000000000000027E-2</v>
      </c>
      <c r="AB321" s="314">
        <f t="shared" si="166"/>
        <v>3.0000000000000027E-2</v>
      </c>
      <c r="AC321" s="314">
        <f t="shared" si="166"/>
        <v>3.0000000000000027E-2</v>
      </c>
      <c r="AD321" s="314">
        <f t="shared" si="166"/>
        <v>3.0000000000000027E-2</v>
      </c>
      <c r="AE321" s="314">
        <f t="shared" si="166"/>
        <v>3.0000000000000027E-2</v>
      </c>
      <c r="AF321" s="314">
        <f t="shared" si="166"/>
        <v>3.0000000000000027E-2</v>
      </c>
      <c r="AG321" s="315"/>
      <c r="AH321" s="313" t="str">
        <f t="shared" si="161"/>
        <v>- Growth</v>
      </c>
      <c r="AI321" s="307" t="str">
        <f>D321</f>
        <v>%</v>
      </c>
      <c r="AJ321" s="307"/>
      <c r="AK321" s="307"/>
      <c r="AL321" s="314" t="s">
        <v>967</v>
      </c>
      <c r="AM321" s="314">
        <f t="shared" ref="AM321:AX321" si="167">AM320/AL320-1</f>
        <v>3.4027425088877461E-2</v>
      </c>
      <c r="AN321" s="314">
        <f t="shared" si="167"/>
        <v>-0.19744597249508833</v>
      </c>
      <c r="AO321" s="314">
        <f t="shared" si="167"/>
        <v>7.5887392900856776E-2</v>
      </c>
      <c r="AP321" s="314">
        <f t="shared" si="167"/>
        <v>3.2992036405005587E-2</v>
      </c>
      <c r="AQ321" s="314">
        <f t="shared" si="167"/>
        <v>2.4999999999999911E-2</v>
      </c>
      <c r="AR321" s="314">
        <f t="shared" si="167"/>
        <v>2.4999999999999689E-2</v>
      </c>
      <c r="AS321" s="314">
        <f t="shared" si="167"/>
        <v>3.0000000000000249E-2</v>
      </c>
      <c r="AT321" s="314">
        <f t="shared" si="167"/>
        <v>3.0000000000000027E-2</v>
      </c>
      <c r="AU321" s="314">
        <f t="shared" si="167"/>
        <v>3.0000000000000027E-2</v>
      </c>
      <c r="AV321" s="314">
        <f t="shared" si="167"/>
        <v>3.0000000000000027E-2</v>
      </c>
      <c r="AW321" s="314">
        <f t="shared" si="167"/>
        <v>3.0000000000000027E-2</v>
      </c>
      <c r="AX321" s="314">
        <f t="shared" si="167"/>
        <v>3.0000000000000027E-2</v>
      </c>
    </row>
    <row r="322" spans="1:50" collapsed="1">
      <c r="C322" s="313" t="s">
        <v>1122</v>
      </c>
      <c r="D322" s="307" t="s">
        <v>842</v>
      </c>
      <c r="E322" s="307"/>
      <c r="F322" s="307"/>
      <c r="G322" s="314">
        <f xml:space="preserve"> IFERROR(ROUND( G320 / G319,3) - 1, 0)</f>
        <v>0</v>
      </c>
      <c r="H322" s="314">
        <f t="shared" ref="H322:AF322" si="168" xml:space="preserve"> IFERROR(ROUND( H320 / H319,3) - 1, 0)</f>
        <v>0</v>
      </c>
      <c r="I322" s="314">
        <f t="shared" si="168"/>
        <v>0</v>
      </c>
      <c r="J322" s="314">
        <f t="shared" si="168"/>
        <v>0</v>
      </c>
      <c r="K322" s="314">
        <f t="shared" si="168"/>
        <v>-0.13700000000000001</v>
      </c>
      <c r="L322" s="314">
        <f t="shared" si="168"/>
        <v>0</v>
      </c>
      <c r="M322" s="314">
        <f t="shared" si="168"/>
        <v>0</v>
      </c>
      <c r="N322" s="314">
        <f t="shared" si="168"/>
        <v>0</v>
      </c>
      <c r="O322" s="314">
        <f t="shared" si="168"/>
        <v>0</v>
      </c>
      <c r="P322" s="314">
        <f t="shared" si="168"/>
        <v>-1.2000000000000011E-2</v>
      </c>
      <c r="Q322" s="314">
        <f t="shared" si="168"/>
        <v>-5.0000000000000044E-3</v>
      </c>
      <c r="R322" s="314">
        <f t="shared" si="168"/>
        <v>-1.7000000000000015E-2</v>
      </c>
      <c r="S322" s="314">
        <f t="shared" si="168"/>
        <v>-1.0000000000000009E-2</v>
      </c>
      <c r="T322" s="314">
        <f t="shared" si="168"/>
        <v>-2.200000000000002E-2</v>
      </c>
      <c r="U322" s="314">
        <f t="shared" si="168"/>
        <v>-1.0000000000000009E-2</v>
      </c>
      <c r="V322" s="314">
        <f t="shared" si="168"/>
        <v>-2.200000000000002E-2</v>
      </c>
      <c r="W322" s="314">
        <f t="shared" si="168"/>
        <v>-1.0000000000000009E-2</v>
      </c>
      <c r="X322" s="314">
        <f t="shared" si="168"/>
        <v>-2.200000000000002E-2</v>
      </c>
      <c r="Y322" s="314">
        <f t="shared" si="168"/>
        <v>-1.0000000000000009E-2</v>
      </c>
      <c r="Z322" s="314">
        <f t="shared" si="168"/>
        <v>-2.200000000000002E-2</v>
      </c>
      <c r="AA322" s="314">
        <f t="shared" si="168"/>
        <v>-1.0000000000000009E-2</v>
      </c>
      <c r="AB322" s="314">
        <f t="shared" si="168"/>
        <v>-2.200000000000002E-2</v>
      </c>
      <c r="AC322" s="314">
        <f t="shared" si="168"/>
        <v>-1.0000000000000009E-2</v>
      </c>
      <c r="AD322" s="314">
        <f t="shared" si="168"/>
        <v>-2.200000000000002E-2</v>
      </c>
      <c r="AE322" s="314">
        <f t="shared" si="168"/>
        <v>-1.0000000000000009E-2</v>
      </c>
      <c r="AF322" s="314">
        <f t="shared" si="168"/>
        <v>-2.200000000000002E-2</v>
      </c>
      <c r="AG322" s="314"/>
      <c r="AH322" s="313" t="str">
        <f t="shared" si="161"/>
        <v>- Revision</v>
      </c>
      <c r="AI322" s="307" t="str">
        <f>D322</f>
        <v>%</v>
      </c>
      <c r="AJ322" s="307"/>
      <c r="AK322" s="307"/>
      <c r="AL322" s="314">
        <f t="shared" ref="AL322:AX322" si="169" xml:space="preserve"> IFERROR(ROUND( AL320 / AL319,3) - 1, 0)</f>
        <v>0</v>
      </c>
      <c r="AM322" s="314">
        <f t="shared" si="169"/>
        <v>0</v>
      </c>
      <c r="AN322" s="314">
        <f t="shared" si="169"/>
        <v>-7.1999999999999953E-2</v>
      </c>
      <c r="AO322" s="314">
        <f t="shared" si="169"/>
        <v>0</v>
      </c>
      <c r="AP322" s="314">
        <f t="shared" si="169"/>
        <v>-6.0000000000000053E-3</v>
      </c>
      <c r="AQ322" s="314">
        <f t="shared" si="169"/>
        <v>-1.100000000000001E-2</v>
      </c>
      <c r="AR322" s="314">
        <f t="shared" si="169"/>
        <v>-1.6000000000000014E-2</v>
      </c>
      <c r="AS322" s="314">
        <f t="shared" si="169"/>
        <v>-1.6000000000000014E-2</v>
      </c>
      <c r="AT322" s="314">
        <f t="shared" si="169"/>
        <v>-1.6000000000000014E-2</v>
      </c>
      <c r="AU322" s="314">
        <f t="shared" si="169"/>
        <v>-1.6000000000000014E-2</v>
      </c>
      <c r="AV322" s="314">
        <f t="shared" si="169"/>
        <v>-1.6000000000000014E-2</v>
      </c>
      <c r="AW322" s="314">
        <f t="shared" si="169"/>
        <v>-1.6000000000000014E-2</v>
      </c>
      <c r="AX322" s="314">
        <f t="shared" si="169"/>
        <v>-1.6000000000000014E-2</v>
      </c>
    </row>
    <row r="323" spans="1:50">
      <c r="B323" s="305" t="s">
        <v>1444</v>
      </c>
      <c r="C323" s="706" t="str">
        <f>_xlfn.TEXTAFTER($B323,$C$312)&amp;" - old"</f>
        <v>Total - old</v>
      </c>
      <c r="D323" s="707" t="str" cm="1">
        <f t="array" ref="D323">_xlfn.XLOOKUP($B323,$B$96:$B$176,_xlfn.XLOOKUP(D$181,$D$5:$AX$5,$D$96:$AX$176))</f>
        <v>A$m</v>
      </c>
      <c r="E323" s="307"/>
      <c r="F323" s="307"/>
      <c r="G323" s="708" cm="1">
        <f t="array" ref="G323">_xlfn.XLOOKUP($B323,$B$96:$B$176,_xlfn.XLOOKUP(G$181,$D$5:$AX$5,$D$96:$AX$176))</f>
        <v>1152.3</v>
      </c>
      <c r="H323" s="708" cm="1">
        <f t="array" ref="H323">_xlfn.XLOOKUP($B323,$B$96:$B$176,_xlfn.XLOOKUP(H$181,$D$5:$AX$5,$D$96:$AX$176))</f>
        <v>1225.0000000000002</v>
      </c>
      <c r="I323" s="708" cm="1">
        <f t="array" ref="I323">_xlfn.XLOOKUP($B323,$B$96:$B$176,_xlfn.XLOOKUP(I$181,$D$5:$AX$5,$D$96:$AX$176))</f>
        <v>1274.5</v>
      </c>
      <c r="J323" s="708" cm="1">
        <f t="array" ref="J323">_xlfn.XLOOKUP($B323,$B$96:$B$176,_xlfn.XLOOKUP(J$181,$D$5:$AX$5,$D$96:$AX$176))</f>
        <v>1159.9000000000001</v>
      </c>
      <c r="K323" s="708" cm="1">
        <f t="array" ref="K323">_xlfn.XLOOKUP($B323,$B$96:$B$176,_xlfn.XLOOKUP(K$181,$D$5:$AX$5,$D$96:$AX$176))</f>
        <v>1209.5999999999999</v>
      </c>
      <c r="L323" s="708" cm="1">
        <f t="array" ref="L323">_xlfn.XLOOKUP($B323,$B$96:$B$176,_xlfn.XLOOKUP(L$181,$D$5:$AX$5,$D$96:$AX$176))</f>
        <v>1129.3000000000002</v>
      </c>
      <c r="M323" s="708" cm="1">
        <f t="array" ref="M323">_xlfn.XLOOKUP($B323,$B$96:$B$176,_xlfn.XLOOKUP(M$181,$D$5:$AX$5,$D$96:$AX$176))</f>
        <v>1331.3</v>
      </c>
      <c r="N323" s="708" cm="1">
        <f t="array" ref="N323">_xlfn.XLOOKUP($B323,$B$96:$B$176,_xlfn.XLOOKUP(N$181,$D$5:$AX$5,$D$96:$AX$176))</f>
        <v>1283.3</v>
      </c>
      <c r="O323" s="708" cm="1">
        <f t="array" ref="O323">_xlfn.XLOOKUP($B323,$B$96:$B$176,_xlfn.XLOOKUP(O$181,$D$5:$AX$5,$D$96:$AX$176))</f>
        <v>1344.9</v>
      </c>
      <c r="P323" s="708" cm="1">
        <f t="array" ref="P323">_xlfn.XLOOKUP($B323,$B$96:$B$176,_xlfn.XLOOKUP(P$181,$D$5:$AX$5,$D$96:$AX$176))</f>
        <v>1307.825135348</v>
      </c>
      <c r="Q323" s="708" cm="1">
        <f t="array" ref="Q323">_xlfn.XLOOKUP($B323,$B$96:$B$176,_xlfn.XLOOKUP(Q$181,$D$5:$AX$5,$D$96:$AX$176))</f>
        <v>1408.101334465</v>
      </c>
      <c r="R323" s="708" cm="1">
        <f t="array" ref="R323">_xlfn.XLOOKUP($B323,$B$96:$B$176,_xlfn.XLOOKUP(R$181,$D$5:$AX$5,$D$96:$AX$176))</f>
        <v>1335.8630276340002</v>
      </c>
      <c r="S323" s="708" cm="1">
        <f t="array" ref="S323">_xlfn.XLOOKUP($B323,$B$96:$B$176,_xlfn.XLOOKUP(S$181,$D$5:$AX$5,$D$96:$AX$176))</f>
        <v>1437.4303703315002</v>
      </c>
      <c r="T323" s="708" cm="1">
        <f t="array" ref="T323">_xlfn.XLOOKUP($B323,$B$96:$B$176,_xlfn.XLOOKUP(T$181,$D$5:$AX$5,$D$96:$AX$176))</f>
        <v>1366.2580580335402</v>
      </c>
      <c r="U323" s="708" cm="1">
        <f t="array" ref="U323">_xlfn.XLOOKUP($B323,$B$96:$B$176,_xlfn.XLOOKUP(U$181,$D$5:$AX$5,$D$96:$AX$176))</f>
        <v>1470.1256440972149</v>
      </c>
      <c r="V323" s="708" cm="1">
        <f t="array" ref="V323">_xlfn.XLOOKUP($B323,$B$96:$B$176,_xlfn.XLOOKUP(V$181,$D$5:$AX$5,$D$96:$AX$176))</f>
        <v>1397.4955207407716</v>
      </c>
      <c r="W323" s="708" cm="1">
        <f t="array" ref="W323">_xlfn.XLOOKUP($B323,$B$96:$B$176,_xlfn.XLOOKUP(W$181,$D$5:$AX$5,$D$96:$AX$176))</f>
        <v>1503.7260595104594</v>
      </c>
      <c r="X323" s="708" cm="1">
        <f t="array" ref="X323">_xlfn.XLOOKUP($B323,$B$96:$B$176,_xlfn.XLOOKUP(X$181,$D$5:$AX$5,$D$96:$AX$176))</f>
        <v>1429.6012359388822</v>
      </c>
      <c r="Y323" s="708" cm="1">
        <f t="array" ref="Y323">_xlfn.XLOOKUP($B323,$B$96:$B$176,_xlfn.XLOOKUP(Y$181,$D$5:$AX$5,$D$96:$AX$176))</f>
        <v>1538.2593078041241</v>
      </c>
      <c r="Z323" s="708" cm="1">
        <f t="array" ref="Z323">_xlfn.XLOOKUP($B323,$B$96:$B$176,_xlfn.XLOOKUP(Z$181,$D$5:$AX$5,$D$96:$AX$176))</f>
        <v>1462.6018574206953</v>
      </c>
      <c r="AA323" s="708" cm="1">
        <f t="array" ref="AA323">_xlfn.XLOOKUP($B323,$B$96:$B$176,_xlfn.XLOOKUP(AA$181,$D$5:$AX$5,$D$96:$AX$176))</f>
        <v>1573.7539720790232</v>
      </c>
      <c r="AB323" s="708" cm="1">
        <f t="array" ref="AB323">_xlfn.XLOOKUP($B323,$B$96:$B$176,_xlfn.XLOOKUP(AB$181,$D$5:$AX$5,$D$96:$AX$176))</f>
        <v>1496.5249004057987</v>
      </c>
      <c r="AC323" s="708" cm="1">
        <f t="array" ref="AC323">_xlfn.XLOOKUP($B323,$B$96:$B$176,_xlfn.XLOOKUP(AC$181,$D$5:$AX$5,$D$96:$AX$176))</f>
        <v>1599.2572564539823</v>
      </c>
      <c r="AD323" s="708" cm="1">
        <f t="array" ref="AD323">_xlfn.XLOOKUP($B323,$B$96:$B$176,_xlfn.XLOOKUP(AD$181,$D$5:$AX$5,$D$96:$AX$176))</f>
        <v>1521.1116306302233</v>
      </c>
      <c r="AE323" s="708" cm="1">
        <f t="array" ref="AE323">_xlfn.XLOOKUP($B323,$B$96:$B$176,_xlfn.XLOOKUP(AE$181,$D$5:$AX$5,$D$96:$AX$176))</f>
        <v>1625.7819183399047</v>
      </c>
      <c r="AF323" s="708" cm="1">
        <f t="array" ref="AF323">_xlfn.XLOOKUP($B323,$B$96:$B$176,_xlfn.XLOOKUP(AF$181,$D$5:$AX$5,$D$96:$AX$176))</f>
        <v>1546.6785131438721</v>
      </c>
      <c r="AG323" s="309"/>
      <c r="AH323" s="306" t="str">
        <f t="shared" si="161"/>
        <v>Total - old</v>
      </c>
      <c r="AI323" s="707" t="str" cm="1">
        <f t="array" ref="AI323">_xlfn.XLOOKUP($B323,$B$96:$B$176,_xlfn.XLOOKUP(AI$181,$D$5:$AX$5,$D$96:$AX$176))</f>
        <v>A$m</v>
      </c>
      <c r="AJ323" s="307"/>
      <c r="AK323" s="307"/>
      <c r="AL323" s="708" cm="1">
        <f t="array" ref="AL323">_xlfn.XLOOKUP($B323,$B$96:$B$176,_xlfn.XLOOKUP(AL$181,$D$5:$AX$5,$D$96:$AX$176))</f>
        <v>2377.3000000000002</v>
      </c>
      <c r="AM323" s="708" cm="1">
        <f t="array" ref="AM323">_xlfn.XLOOKUP($B323,$B$96:$B$176,_xlfn.XLOOKUP(AM$181,$D$5:$AX$5,$D$96:$AX$176))</f>
        <v>2434.4</v>
      </c>
      <c r="AN323" s="708" cm="1">
        <f t="array" ref="AN323">_xlfn.XLOOKUP($B323,$B$96:$B$176,_xlfn.XLOOKUP(AN$181,$D$5:$AX$5,$D$96:$AX$176))</f>
        <v>2338.9</v>
      </c>
      <c r="AO323" s="708" cm="1">
        <f t="array" ref="AO323">_xlfn.XLOOKUP($B323,$B$96:$B$176,_xlfn.XLOOKUP(AO$181,$D$5:$AX$5,$D$96:$AX$176))</f>
        <v>2614.6</v>
      </c>
      <c r="AP323" s="708" cm="1">
        <f t="array" ref="AP323">_xlfn.XLOOKUP($B323,$B$96:$B$176,_xlfn.XLOOKUP(AP$181,$D$5:$AX$5,$D$96:$AX$176))</f>
        <v>2652.7251353480001</v>
      </c>
      <c r="AQ323" s="708" cm="1">
        <f t="array" ref="AQ323">_xlfn.XLOOKUP($B323,$B$96:$B$176,_xlfn.XLOOKUP(AQ$181,$D$5:$AX$5,$D$96:$AX$176))</f>
        <v>2743.964362099</v>
      </c>
      <c r="AR323" s="708" cm="1">
        <f t="array" ref="AR323">_xlfn.XLOOKUP($B323,$B$96:$B$176,_xlfn.XLOOKUP(AR$181,$D$5:$AX$5,$D$96:$AX$176))</f>
        <v>2803.6884283650406</v>
      </c>
      <c r="AS323" s="708" cm="1">
        <f t="array" ref="AS323">_xlfn.XLOOKUP($B323,$B$96:$B$176,_xlfn.XLOOKUP(AS$181,$D$5:$AX$5,$D$96:$AX$176))</f>
        <v>2867.6211648379867</v>
      </c>
      <c r="AT323" s="708" cm="1">
        <f t="array" ref="AT323">_xlfn.XLOOKUP($B323,$B$96:$B$176,_xlfn.XLOOKUP(AT$181,$D$5:$AX$5,$D$96:$AX$176))</f>
        <v>2933.3272954493414</v>
      </c>
      <c r="AU323" s="708" cm="1">
        <f t="array" ref="AU323">_xlfn.XLOOKUP($B323,$B$96:$B$176,_xlfn.XLOOKUP(AU$181,$D$5:$AX$5,$D$96:$AX$176))</f>
        <v>3000.8611652248192</v>
      </c>
      <c r="AV323" s="708" cm="1">
        <f t="array" ref="AV323">_xlfn.XLOOKUP($B323,$B$96:$B$176,_xlfn.XLOOKUP(AV$181,$D$5:$AX$5,$D$96:$AX$176))</f>
        <v>3070.2788724848219</v>
      </c>
      <c r="AW323" s="708" cm="1">
        <f t="array" ref="AW323">_xlfn.XLOOKUP($B323,$B$96:$B$176,_xlfn.XLOOKUP(AW$181,$D$5:$AX$5,$D$96:$AX$176))</f>
        <v>3120.3688870842057</v>
      </c>
      <c r="AX323" s="708" cm="1">
        <f t="array" ref="AX323">_xlfn.XLOOKUP($B323,$B$96:$B$176,_xlfn.XLOOKUP(AX$181,$D$5:$AX$5,$D$96:$AX$176))</f>
        <v>3172.460431483777</v>
      </c>
    </row>
    <row r="324" spans="1:50">
      <c r="B324" s="305" t="s">
        <v>1444</v>
      </c>
      <c r="C324" s="318" t="str">
        <f>_xlfn.TEXTAFTER($B324,$C$312)&amp;" - New"</f>
        <v>Total - New</v>
      </c>
      <c r="D324" s="311" t="str" cm="1">
        <f t="array" ref="D324">_xlfn.XLOOKUP($B324,$B$11:$B$91,_xlfn.XLOOKUP(D$181,$D$5:$AX$5,$D$11:$AX$91))</f>
        <v>A$m</v>
      </c>
      <c r="E324" s="311"/>
      <c r="F324" s="311"/>
      <c r="G324" s="312" cm="1">
        <f t="array" ref="G324">_xlfn.XLOOKUP($B324,$B$11:$B$91,_xlfn.XLOOKUP(G$181,$D$5:$AX$5,$D$11:$AX$91))</f>
        <v>1152.3</v>
      </c>
      <c r="H324" s="312" cm="1">
        <f t="array" ref="H324">_xlfn.XLOOKUP($B324,$B$11:$B$91,_xlfn.XLOOKUP(H$181,$D$5:$AX$5,$D$11:$AX$91))</f>
        <v>1225.0000000000002</v>
      </c>
      <c r="I324" s="312" cm="1">
        <f t="array" ref="I324">_xlfn.XLOOKUP($B324,$B$11:$B$91,_xlfn.XLOOKUP(I$181,$D$5:$AX$5,$D$11:$AX$91))</f>
        <v>1274.5</v>
      </c>
      <c r="J324" s="312" cm="1">
        <f t="array" ref="J324">_xlfn.XLOOKUP($B324,$B$11:$B$91,_xlfn.XLOOKUP(J$181,$D$5:$AX$5,$D$11:$AX$91))</f>
        <v>1159.9000000000001</v>
      </c>
      <c r="K324" s="312" cm="1">
        <f t="array" ref="K324">_xlfn.XLOOKUP($B324,$B$11:$B$91,_xlfn.XLOOKUP(K$181,$D$5:$AX$5,$D$11:$AX$91))</f>
        <v>1209.5999999999999</v>
      </c>
      <c r="L324" s="312" cm="1">
        <f t="array" ref="L324">_xlfn.XLOOKUP($B324,$B$11:$B$91,_xlfn.XLOOKUP(L$181,$D$5:$AX$5,$D$11:$AX$91))</f>
        <v>1129.3000000000002</v>
      </c>
      <c r="M324" s="312" cm="1">
        <f t="array" ref="M324">_xlfn.XLOOKUP($B324,$B$11:$B$91,_xlfn.XLOOKUP(M$181,$D$5:$AX$5,$D$11:$AX$91))</f>
        <v>1331.3</v>
      </c>
      <c r="N324" s="312" cm="1">
        <f t="array" ref="N324">_xlfn.XLOOKUP($B324,$B$11:$B$91,_xlfn.XLOOKUP(N$181,$D$5:$AX$5,$D$11:$AX$91))</f>
        <v>1283.3</v>
      </c>
      <c r="O324" s="312" cm="1">
        <f t="array" ref="O324">_xlfn.XLOOKUP($B324,$B$11:$B$91,_xlfn.XLOOKUP(O$181,$D$5:$AX$5,$D$11:$AX$91))</f>
        <v>1344.9</v>
      </c>
      <c r="P324" s="312" cm="1">
        <f t="array" ref="P324">_xlfn.XLOOKUP($B324,$B$11:$B$91,_xlfn.XLOOKUP(P$181,$D$5:$AX$5,$D$11:$AX$91))</f>
        <v>1291.4000000000001</v>
      </c>
      <c r="Q324" s="312" cm="1">
        <f t="array" ref="Q324">_xlfn.XLOOKUP($B324,$B$11:$B$91,_xlfn.XLOOKUP(Q$181,$D$5:$AX$5,$D$11:$AX$91))</f>
        <v>1400.9837626000001</v>
      </c>
      <c r="R324" s="312" cm="1">
        <f t="array" ref="R324">_xlfn.XLOOKUP($B324,$B$11:$B$91,_xlfn.XLOOKUP(R$181,$D$5:$AX$5,$D$11:$AX$91))</f>
        <v>1345.9845538500001</v>
      </c>
      <c r="S324" s="312" cm="1">
        <f t="array" ref="S324">_xlfn.XLOOKUP($B324,$B$11:$B$91,_xlfn.XLOOKUP(S$181,$D$5:$AX$5,$D$11:$AX$91))</f>
        <v>1458.358766001</v>
      </c>
      <c r="T324" s="312" cm="1">
        <f t="array" ref="T324">_xlfn.XLOOKUP($B324,$B$11:$B$91,_xlfn.XLOOKUP(T$181,$D$5:$AX$5,$D$11:$AX$91))</f>
        <v>1388.4989695240001</v>
      </c>
      <c r="U324" s="312" cm="1">
        <f t="array" ref="U324">_xlfn.XLOOKUP($B324,$B$11:$B$91,_xlfn.XLOOKUP(U$181,$D$5:$AX$5,$D$11:$AX$91))</f>
        <v>1474.9689453032995</v>
      </c>
      <c r="V324" s="312" cm="1">
        <f t="array" ref="V324">_xlfn.XLOOKUP($B324,$B$11:$B$91,_xlfn.XLOOKUP(V$181,$D$5:$AX$5,$D$11:$AX$91))</f>
        <v>1403.0377269744802</v>
      </c>
      <c r="W324" s="312" cm="1">
        <f t="array" ref="W324">_xlfn.XLOOKUP($B324,$B$11:$B$91,_xlfn.XLOOKUP(W$181,$D$5:$AX$5,$D$11:$AX$91))</f>
        <v>1508.701747551567</v>
      </c>
      <c r="X324" s="312" cm="1">
        <f t="array" ref="X324">_xlfn.XLOOKUP($B324,$B$11:$B$91,_xlfn.XLOOKUP(X$181,$D$5:$AX$5,$D$11:$AX$91))</f>
        <v>1435.5596450364148</v>
      </c>
      <c r="Y324" s="312" cm="1">
        <f t="array" ref="Y324">_xlfn.XLOOKUP($B324,$B$11:$B$91,_xlfn.XLOOKUP(Y$181,$D$5:$AX$5,$D$11:$AX$91))</f>
        <v>1532.8790624342341</v>
      </c>
      <c r="Z324" s="312" cm="1">
        <f t="array" ref="Z324">_xlfn.XLOOKUP($B324,$B$11:$B$91,_xlfn.XLOOKUP(Z$181,$D$5:$AX$5,$D$11:$AX$91))</f>
        <v>1459.4557426179608</v>
      </c>
      <c r="AA324" s="312" cm="1">
        <f t="array" ref="AA324">_xlfn.XLOOKUP($B324,$B$11:$B$91,_xlfn.XLOOKUP(AA$181,$D$5:$AX$5,$D$11:$AX$91))</f>
        <v>1557.9909741388201</v>
      </c>
      <c r="AB324" s="312" cm="1">
        <f t="array" ref="AB324">_xlfn.XLOOKUP($B324,$B$11:$B$91,_xlfn.XLOOKUP(AB$181,$D$5:$AX$5,$D$11:$AX$91))</f>
        <v>1484.258870044649</v>
      </c>
      <c r="AC324" s="312" cm="1">
        <f t="array" ref="AC324">_xlfn.XLOOKUP($B324,$B$11:$B$91,_xlfn.XLOOKUP(AC$181,$D$5:$AX$5,$D$11:$AX$91))</f>
        <v>1584.0634277962276</v>
      </c>
      <c r="AD324" s="312" cm="1">
        <f t="array" ref="AD324">_xlfn.XLOOKUP($B324,$B$11:$B$91,_xlfn.XLOOKUP(AD$181,$D$5:$AX$5,$D$11:$AX$91))</f>
        <v>1509.994336742657</v>
      </c>
      <c r="AE324" s="312" cm="1">
        <f t="array" ref="AE324">_xlfn.XLOOKUP($B324,$B$11:$B$91,_xlfn.XLOOKUP(AE$181,$D$5:$AX$5,$D$11:$AX$91))</f>
        <v>1611.1231678190259</v>
      </c>
      <c r="AF324" s="312" cm="1">
        <f t="array" ref="AF324">_xlfn.XLOOKUP($B324,$B$11:$B$91,_xlfn.XLOOKUP(AF$181,$D$5:$AX$5,$D$11:$AX$91))</f>
        <v>1536.6882304356377</v>
      </c>
      <c r="AG324" s="312"/>
      <c r="AH324" s="310" t="str">
        <f t="shared" si="161"/>
        <v>Total - New</v>
      </c>
      <c r="AI324" s="311" t="str" cm="1">
        <f t="array" ref="AI324">_xlfn.XLOOKUP($B324,$B$11:$B$91,_xlfn.XLOOKUP(AI$181,$D$5:$AX$5,$D$11:$AX$91))</f>
        <v>A$m</v>
      </c>
      <c r="AJ324" s="311"/>
      <c r="AK324" s="311"/>
      <c r="AL324" s="312" cm="1">
        <f t="array" ref="AL324">_xlfn.XLOOKUP($B324,$B$11:$B$91,_xlfn.XLOOKUP(AL$181,$D$5:$AX$5,$D$11:$AX$91))</f>
        <v>2377.3000000000002</v>
      </c>
      <c r="AM324" s="312" cm="1">
        <f t="array" ref="AM324">_xlfn.XLOOKUP($B324,$B$11:$B$91,_xlfn.XLOOKUP(AM$181,$D$5:$AX$5,$D$11:$AX$91))</f>
        <v>2434.4</v>
      </c>
      <c r="AN324" s="312" cm="1">
        <f t="array" ref="AN324">_xlfn.XLOOKUP($B324,$B$11:$B$91,_xlfn.XLOOKUP(AN$181,$D$5:$AX$5,$D$11:$AX$91))</f>
        <v>2338.9</v>
      </c>
      <c r="AO324" s="312" cm="1">
        <f t="array" ref="AO324">_xlfn.XLOOKUP($B324,$B$11:$B$91,_xlfn.XLOOKUP(AO$181,$D$5:$AX$5,$D$11:$AX$91))</f>
        <v>2614.6</v>
      </c>
      <c r="AP324" s="312" cm="1">
        <f t="array" ref="AP324">_xlfn.XLOOKUP($B324,$B$11:$B$91,_xlfn.XLOOKUP(AP$181,$D$5:$AX$5,$D$11:$AX$91))</f>
        <v>2636.3</v>
      </c>
      <c r="AQ324" s="312" cm="1">
        <f t="array" ref="AQ324">_xlfn.XLOOKUP($B324,$B$11:$B$91,_xlfn.XLOOKUP(AQ$181,$D$5:$AX$5,$D$11:$AX$91))</f>
        <v>2746.9683164500002</v>
      </c>
      <c r="AR324" s="312" cm="1">
        <f t="array" ref="AR324">_xlfn.XLOOKUP($B324,$B$11:$B$91,_xlfn.XLOOKUP(AR$181,$D$5:$AX$5,$D$11:$AX$91))</f>
        <v>2846.857735525</v>
      </c>
      <c r="AS324" s="312" cm="1">
        <f t="array" ref="AS324">_xlfn.XLOOKUP($B324,$B$11:$B$91,_xlfn.XLOOKUP(AS$181,$D$5:$AX$5,$D$11:$AX$91))</f>
        <v>2878.0066722777797</v>
      </c>
      <c r="AT324" s="312" cm="1">
        <f t="array" ref="AT324">_xlfn.XLOOKUP($B324,$B$11:$B$91,_xlfn.XLOOKUP(AT$181,$D$5:$AX$5,$D$11:$AX$91))</f>
        <v>2944.2613925879818</v>
      </c>
      <c r="AU324" s="312" cm="1">
        <f t="array" ref="AU324">_xlfn.XLOOKUP($B324,$B$11:$B$91,_xlfn.XLOOKUP(AU$181,$D$5:$AX$5,$D$11:$AX$91))</f>
        <v>2992.334805052195</v>
      </c>
      <c r="AV324" s="312" cm="1">
        <f t="array" ref="AV324">_xlfn.XLOOKUP($B324,$B$11:$B$91,_xlfn.XLOOKUP(AV$181,$D$5:$AX$5,$D$11:$AX$91))</f>
        <v>3042.2498441834691</v>
      </c>
      <c r="AW324" s="312" cm="1">
        <f t="array" ref="AW324">_xlfn.XLOOKUP($B324,$B$11:$B$91,_xlfn.XLOOKUP(AW$181,$D$5:$AX$5,$D$11:$AX$91))</f>
        <v>3094.0577645388848</v>
      </c>
      <c r="AX324" s="312" cm="1">
        <f t="array" ref="AX324">_xlfn.XLOOKUP($B324,$B$11:$B$91,_xlfn.XLOOKUP(AX$181,$D$5:$AX$5,$D$11:$AX$91))</f>
        <v>3147.8113982546638</v>
      </c>
    </row>
    <row r="325" spans="1:50" hidden="1" outlineLevel="1">
      <c r="B325" s="305"/>
      <c r="C325" s="313" t="s">
        <v>1121</v>
      </c>
      <c r="D325" s="307" t="s">
        <v>842</v>
      </c>
      <c r="E325" s="307"/>
      <c r="F325" s="307"/>
      <c r="G325" s="314" t="s">
        <v>967</v>
      </c>
      <c r="H325" s="314" t="s">
        <v>967</v>
      </c>
      <c r="I325" s="314">
        <f t="shared" ref="I325:AF325" si="170">I324/G324-1</f>
        <v>0.10604877202117513</v>
      </c>
      <c r="J325" s="314">
        <f t="shared" si="170"/>
        <v>-5.3142857142857269E-2</v>
      </c>
      <c r="K325" s="314">
        <f t="shared" si="170"/>
        <v>-5.092193016869373E-2</v>
      </c>
      <c r="L325" s="314">
        <f t="shared" si="170"/>
        <v>-2.6381584619363685E-2</v>
      </c>
      <c r="M325" s="314">
        <f t="shared" si="170"/>
        <v>0.10061177248677255</v>
      </c>
      <c r="N325" s="314">
        <f t="shared" si="170"/>
        <v>0.13636766138315748</v>
      </c>
      <c r="O325" s="314">
        <f t="shared" si="170"/>
        <v>1.0215578757605481E-2</v>
      </c>
      <c r="P325" s="314">
        <f t="shared" si="170"/>
        <v>6.3118522559029167E-3</v>
      </c>
      <c r="Q325" s="314">
        <f t="shared" si="170"/>
        <v>4.1701065209309274E-2</v>
      </c>
      <c r="R325" s="314">
        <f t="shared" si="170"/>
        <v>4.2267735674461848E-2</v>
      </c>
      <c r="S325" s="314">
        <f t="shared" si="170"/>
        <v>4.0953367863822532E-2</v>
      </c>
      <c r="T325" s="314">
        <f t="shared" si="170"/>
        <v>3.1586109626885017E-2</v>
      </c>
      <c r="U325" s="314">
        <f t="shared" si="170"/>
        <v>1.1389638605764141E-2</v>
      </c>
      <c r="V325" s="314">
        <f t="shared" si="170"/>
        <v>1.0470844969704407E-2</v>
      </c>
      <c r="W325" s="314">
        <f t="shared" si="170"/>
        <v>2.2870177948953962E-2</v>
      </c>
      <c r="X325" s="314">
        <f t="shared" si="170"/>
        <v>2.3179646161094469E-2</v>
      </c>
      <c r="Y325" s="314">
        <f t="shared" si="170"/>
        <v>1.6025244831792573E-2</v>
      </c>
      <c r="Z325" s="314">
        <f t="shared" si="170"/>
        <v>1.6645840989031102E-2</v>
      </c>
      <c r="AA325" s="314">
        <f t="shared" si="170"/>
        <v>1.638218716661699E-2</v>
      </c>
      <c r="AB325" s="314">
        <f t="shared" si="170"/>
        <v>1.6994778740050398E-2</v>
      </c>
      <c r="AC325" s="314">
        <f t="shared" si="170"/>
        <v>1.6734662838351344E-2</v>
      </c>
      <c r="AD325" s="314">
        <f t="shared" si="170"/>
        <v>1.7338934075046941E-2</v>
      </c>
      <c r="AE325" s="314">
        <f t="shared" si="170"/>
        <v>1.7082485175763606E-2</v>
      </c>
      <c r="AF325" s="314">
        <f t="shared" si="170"/>
        <v>1.7678141595262264E-2</v>
      </c>
      <c r="AG325" s="315"/>
      <c r="AH325" s="313" t="str">
        <f t="shared" si="161"/>
        <v>- Growth</v>
      </c>
      <c r="AI325" s="307" t="str">
        <f>D325</f>
        <v>%</v>
      </c>
      <c r="AJ325" s="307"/>
      <c r="AK325" s="307"/>
      <c r="AL325" s="314" t="s">
        <v>967</v>
      </c>
      <c r="AM325" s="314">
        <f t="shared" ref="AM325:AX325" si="171">AM324/AL324-1</f>
        <v>2.4018844908088921E-2</v>
      </c>
      <c r="AN325" s="314">
        <f t="shared" si="171"/>
        <v>-3.922937890239897E-2</v>
      </c>
      <c r="AO325" s="314">
        <f t="shared" si="171"/>
        <v>0.11787592457993057</v>
      </c>
      <c r="AP325" s="314">
        <f t="shared" si="171"/>
        <v>8.2995486881358715E-3</v>
      </c>
      <c r="AQ325" s="314">
        <f t="shared" si="171"/>
        <v>4.1978650551909968E-2</v>
      </c>
      <c r="AR325" s="314">
        <f t="shared" si="171"/>
        <v>3.6363513360099464E-2</v>
      </c>
      <c r="AS325" s="314">
        <f t="shared" si="171"/>
        <v>1.0941515048006334E-2</v>
      </c>
      <c r="AT325" s="314">
        <f t="shared" si="171"/>
        <v>2.3021044721124762E-2</v>
      </c>
      <c r="AU325" s="314">
        <f t="shared" si="171"/>
        <v>1.6327834405340358E-2</v>
      </c>
      <c r="AV325" s="314">
        <f t="shared" si="171"/>
        <v>1.6680967332598939E-2</v>
      </c>
      <c r="AW325" s="314">
        <f t="shared" si="171"/>
        <v>1.7029475884259959E-2</v>
      </c>
      <c r="AX325" s="314">
        <f t="shared" si="171"/>
        <v>1.7373183633431655E-2</v>
      </c>
    </row>
    <row r="326" spans="1:50" collapsed="1">
      <c r="B326" s="305"/>
      <c r="C326" s="313" t="s">
        <v>1122</v>
      </c>
      <c r="D326" s="307" t="s">
        <v>842</v>
      </c>
      <c r="E326" s="307"/>
      <c r="F326" s="307"/>
      <c r="G326" s="314">
        <f xml:space="preserve"> IFERROR(ROUND( G324 / G323,3) - 1, 0)</f>
        <v>0</v>
      </c>
      <c r="H326" s="314">
        <f t="shared" ref="H326:AF326" si="172" xml:space="preserve"> IFERROR(ROUND( H324 / H323,3) - 1, 0)</f>
        <v>0</v>
      </c>
      <c r="I326" s="314">
        <f t="shared" si="172"/>
        <v>0</v>
      </c>
      <c r="J326" s="314">
        <f t="shared" si="172"/>
        <v>0</v>
      </c>
      <c r="K326" s="314">
        <f t="shared" si="172"/>
        <v>0</v>
      </c>
      <c r="L326" s="314">
        <f t="shared" si="172"/>
        <v>0</v>
      </c>
      <c r="M326" s="314">
        <f t="shared" si="172"/>
        <v>0</v>
      </c>
      <c r="N326" s="314">
        <f t="shared" si="172"/>
        <v>0</v>
      </c>
      <c r="O326" s="314">
        <f t="shared" si="172"/>
        <v>0</v>
      </c>
      <c r="P326" s="314">
        <f t="shared" si="172"/>
        <v>-1.3000000000000012E-2</v>
      </c>
      <c r="Q326" s="314">
        <f t="shared" si="172"/>
        <v>-5.0000000000000044E-3</v>
      </c>
      <c r="R326" s="314">
        <f t="shared" si="172"/>
        <v>8.0000000000000071E-3</v>
      </c>
      <c r="S326" s="314">
        <f t="shared" si="172"/>
        <v>1.4999999999999902E-2</v>
      </c>
      <c r="T326" s="314">
        <f t="shared" si="172"/>
        <v>1.6000000000000014E-2</v>
      </c>
      <c r="U326" s="314">
        <f t="shared" si="172"/>
        <v>2.9999999999998916E-3</v>
      </c>
      <c r="V326" s="314">
        <f t="shared" si="172"/>
        <v>4.0000000000000036E-3</v>
      </c>
      <c r="W326" s="314">
        <f t="shared" si="172"/>
        <v>2.9999999999998916E-3</v>
      </c>
      <c r="X326" s="314">
        <f t="shared" si="172"/>
        <v>4.0000000000000036E-3</v>
      </c>
      <c r="Y326" s="314">
        <f t="shared" si="172"/>
        <v>-3.0000000000000027E-3</v>
      </c>
      <c r="Z326" s="314">
        <f t="shared" si="172"/>
        <v>-2.0000000000000018E-3</v>
      </c>
      <c r="AA326" s="314">
        <f t="shared" si="172"/>
        <v>-1.0000000000000009E-2</v>
      </c>
      <c r="AB326" s="314">
        <f t="shared" si="172"/>
        <v>-8.0000000000000071E-3</v>
      </c>
      <c r="AC326" s="314">
        <f t="shared" si="172"/>
        <v>-1.0000000000000009E-2</v>
      </c>
      <c r="AD326" s="314">
        <f t="shared" si="172"/>
        <v>-7.0000000000000062E-3</v>
      </c>
      <c r="AE326" s="314">
        <f t="shared" si="172"/>
        <v>-9.000000000000008E-3</v>
      </c>
      <c r="AF326" s="314">
        <f t="shared" si="172"/>
        <v>-6.0000000000000053E-3</v>
      </c>
      <c r="AG326" s="314"/>
      <c r="AH326" s="313" t="str">
        <f t="shared" si="161"/>
        <v>- Revision</v>
      </c>
      <c r="AI326" s="307" t="str">
        <f>D326</f>
        <v>%</v>
      </c>
      <c r="AJ326" s="307"/>
      <c r="AK326" s="307"/>
      <c r="AL326" s="314">
        <f t="shared" ref="AL326:AX326" si="173" xml:space="preserve"> IFERROR(ROUND( AL324 / AL323,3) - 1, 0)</f>
        <v>0</v>
      </c>
      <c r="AM326" s="314">
        <f t="shared" si="173"/>
        <v>0</v>
      </c>
      <c r="AN326" s="314">
        <f t="shared" si="173"/>
        <v>0</v>
      </c>
      <c r="AO326" s="314">
        <f t="shared" si="173"/>
        <v>0</v>
      </c>
      <c r="AP326" s="314">
        <f t="shared" si="173"/>
        <v>-6.0000000000000053E-3</v>
      </c>
      <c r="AQ326" s="314">
        <f t="shared" si="173"/>
        <v>9.9999999999988987E-4</v>
      </c>
      <c r="AR326" s="314">
        <f t="shared" si="173"/>
        <v>1.4999999999999902E-2</v>
      </c>
      <c r="AS326" s="314">
        <f t="shared" si="173"/>
        <v>4.0000000000000036E-3</v>
      </c>
      <c r="AT326" s="314">
        <f t="shared" si="173"/>
        <v>4.0000000000000036E-3</v>
      </c>
      <c r="AU326" s="314">
        <f t="shared" si="173"/>
        <v>-3.0000000000000027E-3</v>
      </c>
      <c r="AV326" s="314">
        <f t="shared" si="173"/>
        <v>-9.000000000000008E-3</v>
      </c>
      <c r="AW326" s="314">
        <f t="shared" si="173"/>
        <v>-8.0000000000000071E-3</v>
      </c>
      <c r="AX326" s="314">
        <f t="shared" si="173"/>
        <v>-8.0000000000000071E-3</v>
      </c>
    </row>
    <row r="327" spans="1:50">
      <c r="C327" s="313"/>
      <c r="D327" s="307"/>
      <c r="E327" s="307"/>
      <c r="F327" s="307"/>
      <c r="G327" s="314"/>
      <c r="H327" s="314"/>
      <c r="I327" s="314"/>
      <c r="J327" s="314"/>
      <c r="K327" s="314"/>
      <c r="L327" s="314"/>
      <c r="M327" s="314"/>
      <c r="N327" s="314"/>
      <c r="O327" s="314"/>
      <c r="P327" s="314"/>
      <c r="Q327" s="314"/>
      <c r="R327" s="314"/>
      <c r="S327" s="314"/>
      <c r="T327" s="314"/>
      <c r="U327" s="314"/>
      <c r="V327" s="314"/>
      <c r="W327" s="314"/>
      <c r="X327" s="314"/>
      <c r="Y327" s="314"/>
      <c r="Z327" s="314"/>
      <c r="AA327" s="314"/>
      <c r="AB327" s="314"/>
      <c r="AC327" s="314"/>
      <c r="AD327" s="314"/>
      <c r="AE327" s="314"/>
      <c r="AF327" s="314"/>
      <c r="AG327" s="314"/>
      <c r="AH327" s="313"/>
      <c r="AI327" s="307"/>
      <c r="AJ327" s="307"/>
      <c r="AK327" s="307"/>
      <c r="AL327" s="314"/>
      <c r="AM327" s="314"/>
      <c r="AN327" s="314"/>
      <c r="AO327" s="314"/>
      <c r="AP327" s="314"/>
      <c r="AQ327" s="314"/>
      <c r="AR327" s="314"/>
      <c r="AS327" s="314"/>
      <c r="AT327" s="314"/>
      <c r="AU327" s="314"/>
      <c r="AV327" s="314"/>
      <c r="AW327" s="314"/>
      <c r="AX327" s="314"/>
    </row>
    <row r="328" spans="1:50">
      <c r="A328" t="s">
        <v>971</v>
      </c>
      <c r="C328" s="291" t="s">
        <v>1126</v>
      </c>
      <c r="D328" s="292"/>
      <c r="E328" s="292"/>
      <c r="F328" s="292"/>
      <c r="G328" s="292"/>
      <c r="H328" s="292"/>
      <c r="I328" s="292"/>
      <c r="J328" s="292"/>
      <c r="K328" s="292"/>
      <c r="L328" s="292"/>
      <c r="M328" s="292"/>
      <c r="N328" s="292"/>
      <c r="O328" s="292"/>
      <c r="P328" s="293"/>
      <c r="Q328" s="293"/>
      <c r="R328" s="293"/>
      <c r="S328" s="293"/>
      <c r="T328" s="293"/>
      <c r="U328" s="293"/>
      <c r="V328" s="293"/>
      <c r="W328" s="293"/>
      <c r="X328" s="293"/>
      <c r="Y328" s="293"/>
      <c r="Z328" s="293"/>
      <c r="AA328" s="293"/>
      <c r="AB328" s="293"/>
      <c r="AC328" s="293"/>
      <c r="AD328" s="293"/>
      <c r="AE328" s="293"/>
      <c r="AF328" s="293"/>
      <c r="AG328" s="293"/>
      <c r="AH328" s="293"/>
      <c r="AI328" s="293"/>
      <c r="AJ328" s="292"/>
      <c r="AK328" s="292"/>
      <c r="AL328" s="292"/>
      <c r="AM328" s="292"/>
      <c r="AN328" s="292"/>
      <c r="AO328" s="292"/>
      <c r="AP328" s="292"/>
      <c r="AQ328" s="292"/>
      <c r="AR328" s="292"/>
      <c r="AS328" s="292"/>
      <c r="AT328" s="292"/>
      <c r="AU328" s="292"/>
      <c r="AV328" s="292"/>
      <c r="AW328" s="292"/>
      <c r="AX328" s="292"/>
    </row>
    <row r="329" spans="1:50">
      <c r="C329" s="296"/>
      <c r="D329" s="296" t="s">
        <v>960</v>
      </c>
      <c r="E329" s="296"/>
      <c r="F329" s="296" t="str">
        <f>F$5</f>
        <v>VAL</v>
      </c>
      <c r="G329" s="297" t="str">
        <f t="shared" ref="G329:AF329" si="174">G$5</f>
        <v>1H22A</v>
      </c>
      <c r="H329" s="298" t="str">
        <f t="shared" si="174"/>
        <v>2H22A</v>
      </c>
      <c r="I329" s="297" t="str">
        <f t="shared" si="174"/>
        <v>1H23A</v>
      </c>
      <c r="J329" s="298" t="str">
        <f t="shared" si="174"/>
        <v>2H23A</v>
      </c>
      <c r="K329" s="297" t="str">
        <f t="shared" si="174"/>
        <v>1H24E</v>
      </c>
      <c r="L329" s="298" t="str">
        <f t="shared" si="174"/>
        <v>2H24E</v>
      </c>
      <c r="M329" s="297" t="str">
        <f t="shared" si="174"/>
        <v>1H25E</v>
      </c>
      <c r="N329" s="298" t="str">
        <f t="shared" si="174"/>
        <v>2H25E</v>
      </c>
      <c r="O329" s="297" t="str">
        <f t="shared" si="174"/>
        <v>1H26E</v>
      </c>
      <c r="P329" s="298" t="str">
        <f t="shared" si="174"/>
        <v>2H26E</v>
      </c>
      <c r="Q329" s="297" t="str">
        <f t="shared" si="174"/>
        <v>1H27E</v>
      </c>
      <c r="R329" s="298" t="str">
        <f t="shared" si="174"/>
        <v>2H27E</v>
      </c>
      <c r="S329" s="297" t="str">
        <f t="shared" si="174"/>
        <v>1H28E</v>
      </c>
      <c r="T329" s="298" t="str">
        <f t="shared" si="174"/>
        <v>2H28E</v>
      </c>
      <c r="U329" s="297" t="str">
        <f t="shared" si="174"/>
        <v>1H29E</v>
      </c>
      <c r="V329" s="298" t="str">
        <f t="shared" si="174"/>
        <v>2H29E</v>
      </c>
      <c r="W329" s="297" t="str">
        <f t="shared" si="174"/>
        <v>1H30E</v>
      </c>
      <c r="X329" s="298" t="str">
        <f t="shared" si="174"/>
        <v>2H30E</v>
      </c>
      <c r="Y329" s="298" t="str">
        <f t="shared" si="174"/>
        <v>1H31E</v>
      </c>
      <c r="Z329" s="298" t="str">
        <f t="shared" si="174"/>
        <v>2H31E</v>
      </c>
      <c r="AA329" s="298" t="str">
        <f t="shared" si="174"/>
        <v>1H32E</v>
      </c>
      <c r="AB329" s="298" t="str">
        <f t="shared" si="174"/>
        <v>2H32E</v>
      </c>
      <c r="AC329" s="298" t="str">
        <f t="shared" si="174"/>
        <v>1H33E</v>
      </c>
      <c r="AD329" s="298" t="str">
        <f t="shared" si="174"/>
        <v>2H33E</v>
      </c>
      <c r="AE329" s="298" t="str">
        <f t="shared" si="174"/>
        <v>1H34E</v>
      </c>
      <c r="AF329" s="298" t="str">
        <f t="shared" si="174"/>
        <v>2H34E</v>
      </c>
      <c r="AG329" s="299"/>
      <c r="AH329" s="723"/>
      <c r="AI329" s="723" t="s">
        <v>960</v>
      </c>
      <c r="AJ329" s="723"/>
      <c r="AK329" s="723" t="str">
        <f>AK$5</f>
        <v>VAL</v>
      </c>
      <c r="AL329" s="723" t="str">
        <f t="shared" ref="AL329:AX329" si="175">AL$5</f>
        <v>FY22A</v>
      </c>
      <c r="AM329" s="723" t="str">
        <f t="shared" si="175"/>
        <v>FY23A</v>
      </c>
      <c r="AN329" s="723" t="str">
        <f t="shared" si="175"/>
        <v>FY24A</v>
      </c>
      <c r="AO329" s="723" t="str">
        <f t="shared" si="175"/>
        <v>FY25A</v>
      </c>
      <c r="AP329" s="723" t="str">
        <f t="shared" si="175"/>
        <v>FY26A</v>
      </c>
      <c r="AQ329" s="723" t="str">
        <f t="shared" si="175"/>
        <v>FY27A</v>
      </c>
      <c r="AR329" s="723" t="str">
        <f t="shared" si="175"/>
        <v>FY28A</v>
      </c>
      <c r="AS329" s="723" t="str">
        <f t="shared" si="175"/>
        <v>FY29A</v>
      </c>
      <c r="AT329" s="723" t="str">
        <f t="shared" si="175"/>
        <v>FY30A</v>
      </c>
      <c r="AU329" s="723" t="str">
        <f t="shared" si="175"/>
        <v>FY31A</v>
      </c>
      <c r="AV329" s="723" t="str">
        <f t="shared" si="175"/>
        <v>FY32A</v>
      </c>
      <c r="AW329" s="723" t="str">
        <f t="shared" si="175"/>
        <v>FY33A</v>
      </c>
      <c r="AX329" s="723" t="str">
        <f t="shared" si="175"/>
        <v>FY34A</v>
      </c>
    </row>
    <row r="330" spans="1:50">
      <c r="C330" s="300"/>
      <c r="D330" s="300"/>
      <c r="E330" s="300"/>
      <c r="F330" s="300"/>
      <c r="G330" s="301">
        <f t="shared" ref="G330:AF330" si="176">G$6</f>
        <v>44561</v>
      </c>
      <c r="H330" s="302">
        <f t="shared" si="176"/>
        <v>44742</v>
      </c>
      <c r="I330" s="301">
        <f t="shared" si="176"/>
        <v>44926</v>
      </c>
      <c r="J330" s="302">
        <f t="shared" si="176"/>
        <v>45107</v>
      </c>
      <c r="K330" s="301">
        <f t="shared" si="176"/>
        <v>45291</v>
      </c>
      <c r="L330" s="302">
        <f t="shared" si="176"/>
        <v>45473</v>
      </c>
      <c r="M330" s="301">
        <f t="shared" si="176"/>
        <v>45657</v>
      </c>
      <c r="N330" s="302">
        <f t="shared" si="176"/>
        <v>45838</v>
      </c>
      <c r="O330" s="301">
        <f t="shared" si="176"/>
        <v>46022</v>
      </c>
      <c r="P330" s="302">
        <f t="shared" si="176"/>
        <v>46203</v>
      </c>
      <c r="Q330" s="301">
        <f t="shared" si="176"/>
        <v>46387</v>
      </c>
      <c r="R330" s="302">
        <f t="shared" si="176"/>
        <v>46568</v>
      </c>
      <c r="S330" s="301">
        <f t="shared" si="176"/>
        <v>46752</v>
      </c>
      <c r="T330" s="302">
        <f t="shared" si="176"/>
        <v>46934</v>
      </c>
      <c r="U330" s="301">
        <f t="shared" si="176"/>
        <v>47118</v>
      </c>
      <c r="V330" s="302">
        <f t="shared" si="176"/>
        <v>47299</v>
      </c>
      <c r="W330" s="301">
        <f t="shared" si="176"/>
        <v>47483</v>
      </c>
      <c r="X330" s="300">
        <f t="shared" si="176"/>
        <v>47664</v>
      </c>
      <c r="Y330" s="300">
        <f t="shared" si="176"/>
        <v>47848</v>
      </c>
      <c r="Z330" s="300">
        <f t="shared" si="176"/>
        <v>48029</v>
      </c>
      <c r="AA330" s="300">
        <f t="shared" si="176"/>
        <v>48213</v>
      </c>
      <c r="AB330" s="300">
        <f t="shared" si="176"/>
        <v>48395</v>
      </c>
      <c r="AC330" s="300">
        <f t="shared" si="176"/>
        <v>48579</v>
      </c>
      <c r="AD330" s="300">
        <f t="shared" si="176"/>
        <v>48760</v>
      </c>
      <c r="AE330" s="300">
        <f t="shared" si="176"/>
        <v>48944</v>
      </c>
      <c r="AF330" s="300">
        <f t="shared" si="176"/>
        <v>49125</v>
      </c>
      <c r="AG330" s="303"/>
      <c r="AH330" s="724"/>
      <c r="AI330" s="724"/>
      <c r="AJ330" s="724"/>
      <c r="AK330" s="724"/>
      <c r="AL330" s="724">
        <f t="shared" ref="AL330:AX330" si="177">AL$6</f>
        <v>44742</v>
      </c>
      <c r="AM330" s="724">
        <f t="shared" si="177"/>
        <v>45107</v>
      </c>
      <c r="AN330" s="724">
        <f t="shared" si="177"/>
        <v>45473</v>
      </c>
      <c r="AO330" s="724">
        <f t="shared" si="177"/>
        <v>45838</v>
      </c>
      <c r="AP330" s="724">
        <f t="shared" si="177"/>
        <v>46203</v>
      </c>
      <c r="AQ330" s="724">
        <f t="shared" si="177"/>
        <v>46568</v>
      </c>
      <c r="AR330" s="724">
        <f t="shared" si="177"/>
        <v>46934</v>
      </c>
      <c r="AS330" s="724">
        <f t="shared" si="177"/>
        <v>47299</v>
      </c>
      <c r="AT330" s="724">
        <f t="shared" si="177"/>
        <v>47664</v>
      </c>
      <c r="AU330" s="724">
        <f t="shared" si="177"/>
        <v>48029</v>
      </c>
      <c r="AV330" s="724">
        <f t="shared" si="177"/>
        <v>48395</v>
      </c>
      <c r="AW330" s="724">
        <f t="shared" si="177"/>
        <v>48760</v>
      </c>
      <c r="AX330" s="724">
        <f t="shared" si="177"/>
        <v>49125</v>
      </c>
    </row>
    <row r="331" spans="1:50" s="704" customFormat="1">
      <c r="B331" s="705" t="s">
        <v>1445</v>
      </c>
      <c r="C331" s="706" t="str">
        <f>_xlfn.TEXTAFTER($B331,$C$328)&amp;" - old"</f>
        <v>Wagering &amp; Media - old</v>
      </c>
      <c r="D331" s="707" t="str" cm="1">
        <f t="array" ref="D331">_xlfn.XLOOKUP($B331,$B$96:$B$176,_xlfn.XLOOKUP(D$181,$D$5:$AX$5,$D$96:$AX$176))</f>
        <v>A$m</v>
      </c>
      <c r="E331" s="707"/>
      <c r="F331" s="707"/>
      <c r="G331" s="708" cm="1">
        <f t="array" ref="G331">_xlfn.XLOOKUP($B331,$B$96:$B$176,_xlfn.XLOOKUP(G$181,$D$5:$AX$5,$D$96:$AX$176))</f>
        <v>137.9</v>
      </c>
      <c r="H331" s="708" cm="1">
        <f t="array" ref="H331">_xlfn.XLOOKUP($B331,$B$96:$B$176,_xlfn.XLOOKUP(H$181,$D$5:$AX$5,$D$96:$AX$176))</f>
        <v>149.1</v>
      </c>
      <c r="I331" s="708" cm="1">
        <f t="array" ref="I331">_xlfn.XLOOKUP($B331,$B$96:$B$176,_xlfn.XLOOKUP(I$181,$D$5:$AX$5,$D$96:$AX$176))</f>
        <v>154.4</v>
      </c>
      <c r="J331" s="708" cm="1">
        <f t="array" ref="J331">_xlfn.XLOOKUP($B331,$B$96:$B$176,_xlfn.XLOOKUP(J$181,$D$5:$AX$5,$D$96:$AX$176))</f>
        <v>153.6</v>
      </c>
      <c r="K331" s="708" cm="1">
        <f t="array" ref="K331">_xlfn.XLOOKUP($B331,$B$96:$B$176,_xlfn.XLOOKUP(K$181,$D$5:$AX$5,$D$96:$AX$176))</f>
        <v>134</v>
      </c>
      <c r="L331" s="708" cm="1">
        <f t="array" ref="L331">_xlfn.XLOOKUP($B331,$B$96:$B$176,_xlfn.XLOOKUP(L$181,$D$5:$AX$5,$D$96:$AX$176))</f>
        <v>117.19999999999999</v>
      </c>
      <c r="M331" s="708" cm="1">
        <f t="array" ref="M331">_xlfn.XLOOKUP($B331,$B$96:$B$176,_xlfn.XLOOKUP(M$181,$D$5:$AX$5,$D$96:$AX$176))</f>
        <v>156.69999999999999</v>
      </c>
      <c r="N331" s="708" cm="1">
        <f t="array" ref="N331">_xlfn.XLOOKUP($B331,$B$96:$B$176,_xlfn.XLOOKUP(N$181,$D$5:$AX$5,$D$96:$AX$176))</f>
        <v>172.40000000000003</v>
      </c>
      <c r="O331" s="708" cm="1">
        <f t="array" ref="O331">_xlfn.XLOOKUP($B331,$B$96:$B$176,_xlfn.XLOOKUP(O$181,$D$5:$AX$5,$D$96:$AX$176))</f>
        <v>181.4</v>
      </c>
      <c r="P331" s="708" cm="1">
        <f t="array" ref="P331">_xlfn.XLOOKUP($B331,$B$96:$B$176,_xlfn.XLOOKUP(P$181,$D$5:$AX$5,$D$96:$AX$176))</f>
        <v>177.92792610898005</v>
      </c>
      <c r="Q331" s="708" cm="1">
        <f t="array" ref="Q331">_xlfn.XLOOKUP($B331,$B$96:$B$176,_xlfn.XLOOKUP(Q$181,$D$5:$AX$5,$D$96:$AX$176))</f>
        <v>209.81163044135002</v>
      </c>
      <c r="R331" s="708" cm="1">
        <f t="array" ref="R331">_xlfn.XLOOKUP($B331,$B$96:$B$176,_xlfn.XLOOKUP(R$181,$D$5:$AX$5,$D$96:$AX$176))</f>
        <v>189.10235425652814</v>
      </c>
      <c r="S331" s="708" cm="1">
        <f t="array" ref="S331">_xlfn.XLOOKUP($B331,$B$96:$B$176,_xlfn.XLOOKUP(S$181,$D$5:$AX$5,$D$96:$AX$176))</f>
        <v>215.26236940994818</v>
      </c>
      <c r="T331" s="708" cm="1">
        <f t="array" ref="T331">_xlfn.XLOOKUP($B331,$B$96:$B$176,_xlfn.XLOOKUP(T$181,$D$5:$AX$5,$D$96:$AX$176))</f>
        <v>192.46953074586781</v>
      </c>
      <c r="U331" s="708" cm="1">
        <f t="array" ref="U331">_xlfn.XLOOKUP($B331,$B$96:$B$176,_xlfn.XLOOKUP(U$181,$D$5:$AX$5,$D$96:$AX$176))</f>
        <v>219.18298065330833</v>
      </c>
      <c r="V331" s="708" cm="1">
        <f t="array" ref="V331">_xlfn.XLOOKUP($B331,$B$96:$B$176,_xlfn.XLOOKUP(V$181,$D$5:$AX$5,$D$96:$AX$176))</f>
        <v>195.94773551575412</v>
      </c>
      <c r="W331" s="708" cm="1">
        <f t="array" ref="W331">_xlfn.XLOOKUP($B331,$B$96:$B$176,_xlfn.XLOOKUP(W$181,$D$5:$AX$5,$D$96:$AX$176))</f>
        <v>223.23028869031617</v>
      </c>
      <c r="X331" s="708" cm="1">
        <f t="array" ref="X331">_xlfn.XLOOKUP($B331,$B$96:$B$176,_xlfn.XLOOKUP(X$181,$D$5:$AX$5,$D$96:$AX$176))</f>
        <v>199.54144454944344</v>
      </c>
      <c r="Y331" s="708" cm="1">
        <f t="array" ref="Y331">_xlfn.XLOOKUP($B331,$B$96:$B$176,_xlfn.XLOOKUP(Y$181,$D$5:$AX$5,$D$96:$AX$176))</f>
        <v>227.40927390604929</v>
      </c>
      <c r="Z331" s="708" cm="1">
        <f t="array" ref="Z331">_xlfn.XLOOKUP($B331,$B$96:$B$176,_xlfn.XLOOKUP(Z$181,$D$5:$AX$5,$D$96:$AX$176))</f>
        <v>203.25531450498676</v>
      </c>
      <c r="AA331" s="708" cm="1">
        <f t="array" ref="AA331">_xlfn.XLOOKUP($B331,$B$96:$B$176,_xlfn.XLOOKUP(AA$181,$D$5:$AX$5,$D$96:$AX$176))</f>
        <v>231.7251142850584</v>
      </c>
      <c r="AB331" s="708" cm="1">
        <f t="array" ref="AB331">_xlfn.XLOOKUP($B331,$B$96:$B$176,_xlfn.XLOOKUP(AB$181,$D$5:$AX$5,$D$96:$AX$176))</f>
        <v>207.09418981818072</v>
      </c>
      <c r="AC331" s="708" cm="1">
        <f t="array" ref="AC331">_xlfn.XLOOKUP($B331,$B$96:$B$176,_xlfn.XLOOKUP(AC$181,$D$5:$AX$5,$D$96:$AX$176))</f>
        <v>231.87813128343475</v>
      </c>
      <c r="AD331" s="708" cm="1">
        <f t="array" ref="AD331">_xlfn.XLOOKUP($B331,$B$96:$B$176,_xlfn.XLOOKUP(AD$181,$D$5:$AX$5,$D$96:$AX$176))</f>
        <v>207.03055132485855</v>
      </c>
      <c r="AE331" s="708" cm="1">
        <f t="array" ref="AE331">_xlfn.XLOOKUP($B331,$B$96:$B$176,_xlfn.XLOOKUP(AE$181,$D$5:$AX$5,$D$96:$AX$176))</f>
        <v>232.17898322197266</v>
      </c>
      <c r="AF331" s="708" cm="1">
        <f t="array" ref="AF331">_xlfn.XLOOKUP($B331,$B$96:$B$176,_xlfn.XLOOKUP(AF$181,$D$5:$AX$5,$D$96:$AX$176))</f>
        <v>207.10220018649647</v>
      </c>
      <c r="AG331" s="709"/>
      <c r="AH331" s="706" t="str">
        <f t="shared" ref="AH331:AH342" si="178">C331</f>
        <v>Wagering &amp; Media - old</v>
      </c>
      <c r="AI331" s="707" t="str" cm="1">
        <f t="array" ref="AI331">_xlfn.XLOOKUP($B331,$B$96:$B$176,_xlfn.XLOOKUP(AI$181,$D$5:$AX$5,$D$96:$AX$176))</f>
        <v>A$m</v>
      </c>
      <c r="AJ331" s="707"/>
      <c r="AK331" s="707"/>
      <c r="AL331" s="708" cm="1">
        <f t="array" ref="AL331">_xlfn.XLOOKUP($B331,$B$96:$B$176,_xlfn.XLOOKUP(AL$181,$D$5:$AX$5,$D$96:$AX$176))</f>
        <v>287</v>
      </c>
      <c r="AM331" s="708" cm="1">
        <f t="array" ref="AM331">_xlfn.XLOOKUP($B331,$B$96:$B$176,_xlfn.XLOOKUP(AM$181,$D$5:$AX$5,$D$96:$AX$176))</f>
        <v>308</v>
      </c>
      <c r="AN331" s="708" cm="1">
        <f t="array" ref="AN331">_xlfn.XLOOKUP($B331,$B$96:$B$176,_xlfn.XLOOKUP(AN$181,$D$5:$AX$5,$D$96:$AX$176))</f>
        <v>251.2</v>
      </c>
      <c r="AO331" s="708" cm="1">
        <f t="array" ref="AO331">_xlfn.XLOOKUP($B331,$B$96:$B$176,_xlfn.XLOOKUP(AO$181,$D$5:$AX$5,$D$96:$AX$176))</f>
        <v>329.1</v>
      </c>
      <c r="AP331" s="708" cm="1">
        <f t="array" ref="AP331">_xlfn.XLOOKUP($B331,$B$96:$B$176,_xlfn.XLOOKUP(AP$181,$D$5:$AX$5,$D$96:$AX$176))</f>
        <v>359.32792610898002</v>
      </c>
      <c r="AQ331" s="708" cm="1">
        <f t="array" ref="AQ331">_xlfn.XLOOKUP($B331,$B$96:$B$176,_xlfn.XLOOKUP(AQ$181,$D$5:$AX$5,$D$96:$AX$176))</f>
        <v>398.91398469787816</v>
      </c>
      <c r="AR331" s="708" cm="1">
        <f t="array" ref="AR331">_xlfn.XLOOKUP($B331,$B$96:$B$176,_xlfn.XLOOKUP(AR$181,$D$5:$AX$5,$D$96:$AX$176))</f>
        <v>407.73190015581599</v>
      </c>
      <c r="AS331" s="708" cm="1">
        <f t="array" ref="AS331">_xlfn.XLOOKUP($B331,$B$96:$B$176,_xlfn.XLOOKUP(AS$181,$D$5:$AX$5,$D$96:$AX$176))</f>
        <v>415.13071616906245</v>
      </c>
      <c r="AT331" s="708" cm="1">
        <f t="array" ref="AT331">_xlfn.XLOOKUP($B331,$B$96:$B$176,_xlfn.XLOOKUP(AT$181,$D$5:$AX$5,$D$96:$AX$176))</f>
        <v>422.77173323975961</v>
      </c>
      <c r="AU331" s="708" cm="1">
        <f t="array" ref="AU331">_xlfn.XLOOKUP($B331,$B$96:$B$176,_xlfn.XLOOKUP(AU$181,$D$5:$AX$5,$D$96:$AX$176))</f>
        <v>430.66458841103605</v>
      </c>
      <c r="AV331" s="708" cm="1">
        <f t="array" ref="AV331">_xlfn.XLOOKUP($B331,$B$96:$B$176,_xlfn.XLOOKUP(AV$181,$D$5:$AX$5,$D$96:$AX$176))</f>
        <v>438.81930410323912</v>
      </c>
      <c r="AW331" s="708" cm="1">
        <f t="array" ref="AW331">_xlfn.XLOOKUP($B331,$B$96:$B$176,_xlfn.XLOOKUP(AW$181,$D$5:$AX$5,$D$96:$AX$176))</f>
        <v>438.9086826082933</v>
      </c>
      <c r="AX331" s="708" cm="1">
        <f t="array" ref="AX331">_xlfn.XLOOKUP($B331,$B$96:$B$176,_xlfn.XLOOKUP(AX$181,$D$5:$AX$5,$D$96:$AX$176))</f>
        <v>439.28118340846913</v>
      </c>
    </row>
    <row r="332" spans="1:50">
      <c r="B332" s="305" t="s">
        <v>1445</v>
      </c>
      <c r="C332" s="318" t="str">
        <f>_xlfn.TEXTAFTER($B332,$C$328)&amp;" - New"</f>
        <v>Wagering &amp; Media - New</v>
      </c>
      <c r="D332" s="311" t="str" cm="1">
        <f t="array" ref="D332">_xlfn.XLOOKUP($B332,$B$11:$B$91,_xlfn.XLOOKUP(D$181,$D$5:$AX$5,$D$11:$AX$91))</f>
        <v>A$m</v>
      </c>
      <c r="E332" s="311"/>
      <c r="F332" s="311"/>
      <c r="G332" s="312" cm="1">
        <f t="array" ref="G332">_xlfn.XLOOKUP($B332,$B$11:$B$91,_xlfn.XLOOKUP(G$181,$D$5:$AX$5,$D$11:$AX$91))</f>
        <v>137.9</v>
      </c>
      <c r="H332" s="312" cm="1">
        <f t="array" ref="H332">_xlfn.XLOOKUP($B332,$B$11:$B$91,_xlfn.XLOOKUP(H$181,$D$5:$AX$5,$D$11:$AX$91))</f>
        <v>149.1</v>
      </c>
      <c r="I332" s="312" cm="1">
        <f t="array" ref="I332">_xlfn.XLOOKUP($B332,$B$11:$B$91,_xlfn.XLOOKUP(I$181,$D$5:$AX$5,$D$11:$AX$91))</f>
        <v>154.4</v>
      </c>
      <c r="J332" s="312" cm="1">
        <f t="array" ref="J332">_xlfn.XLOOKUP($B332,$B$11:$B$91,_xlfn.XLOOKUP(J$181,$D$5:$AX$5,$D$11:$AX$91))</f>
        <v>153.6</v>
      </c>
      <c r="K332" s="312" cm="1">
        <f t="array" ref="K332">_xlfn.XLOOKUP($B332,$B$11:$B$91,_xlfn.XLOOKUP(K$181,$D$5:$AX$5,$D$11:$AX$91))</f>
        <v>134</v>
      </c>
      <c r="L332" s="312" cm="1">
        <f t="array" ref="L332">_xlfn.XLOOKUP($B332,$B$11:$B$91,_xlfn.XLOOKUP(L$181,$D$5:$AX$5,$D$11:$AX$91))</f>
        <v>117.19999999999999</v>
      </c>
      <c r="M332" s="312" cm="1">
        <f t="array" ref="M332">_xlfn.XLOOKUP($B332,$B$11:$B$91,_xlfn.XLOOKUP(M$181,$D$5:$AX$5,$D$11:$AX$91))</f>
        <v>156.69999999999999</v>
      </c>
      <c r="N332" s="312" cm="1">
        <f t="array" ref="N332">_xlfn.XLOOKUP($B332,$B$11:$B$91,_xlfn.XLOOKUP(N$181,$D$5:$AX$5,$D$11:$AX$91))</f>
        <v>172.40000000000003</v>
      </c>
      <c r="O332" s="312" cm="1">
        <f t="array" ref="O332">_xlfn.XLOOKUP($B332,$B$11:$B$91,_xlfn.XLOOKUP(O$181,$D$5:$AX$5,$D$11:$AX$91))</f>
        <v>181.4</v>
      </c>
      <c r="P332" s="312" cm="1">
        <f t="array" ref="P332">_xlfn.XLOOKUP($B332,$B$11:$B$91,_xlfn.XLOOKUP(P$181,$D$5:$AX$5,$D$11:$AX$91))</f>
        <v>180.4</v>
      </c>
      <c r="Q332" s="312" cm="1">
        <f t="array" ref="Q332">_xlfn.XLOOKUP($B332,$B$11:$B$91,_xlfn.XLOOKUP(Q$181,$D$5:$AX$5,$D$11:$AX$91))</f>
        <v>210.19754872699997</v>
      </c>
      <c r="R332" s="312" cm="1">
        <f t="array" ref="R332">_xlfn.XLOOKUP($B332,$B$11:$B$91,_xlfn.XLOOKUP(R$181,$D$5:$AX$5,$D$11:$AX$91))</f>
        <v>180.29138627075008</v>
      </c>
      <c r="S332" s="312" cm="1">
        <f t="array" ref="S332">_xlfn.XLOOKUP($B332,$B$11:$B$91,_xlfn.XLOOKUP(S$181,$D$5:$AX$5,$D$11:$AX$91))</f>
        <v>202.81492913289509</v>
      </c>
      <c r="T332" s="312" cm="1">
        <f t="array" ref="T332">_xlfn.XLOOKUP($B332,$B$11:$B$91,_xlfn.XLOOKUP(T$181,$D$5:$AX$5,$D$11:$AX$91))</f>
        <v>176.45243389948001</v>
      </c>
      <c r="U332" s="312" cm="1">
        <f t="array" ref="U332">_xlfn.XLOOKUP($B332,$B$11:$B$91,_xlfn.XLOOKUP(U$181,$D$5:$AX$5,$D$11:$AX$91))</f>
        <v>198.17884645417826</v>
      </c>
      <c r="V332" s="312" cm="1">
        <f t="array" ref="V332">_xlfn.XLOOKUP($B332,$B$11:$B$91,_xlfn.XLOOKUP(V$181,$D$5:$AX$5,$D$11:$AX$91))</f>
        <v>171.03510332054469</v>
      </c>
      <c r="W332" s="312" cm="1">
        <f t="array" ref="W332">_xlfn.XLOOKUP($B332,$B$11:$B$91,_xlfn.XLOOKUP(W$181,$D$5:$AX$5,$D$11:$AX$91))</f>
        <v>199.97028673402525</v>
      </c>
      <c r="X332" s="312" cm="1">
        <f t="array" ref="X332">_xlfn.XLOOKUP($B332,$B$11:$B$91,_xlfn.XLOOKUP(X$181,$D$5:$AX$5,$D$11:$AX$91))</f>
        <v>172.38631698997762</v>
      </c>
      <c r="Y332" s="312" cm="1">
        <f t="array" ref="Y332">_xlfn.XLOOKUP($B332,$B$11:$B$91,_xlfn.XLOOKUP(Y$181,$D$5:$AX$5,$D$11:$AX$91))</f>
        <v>200.98576297149344</v>
      </c>
      <c r="Z332" s="312" cm="1">
        <f t="array" ref="Z332">_xlfn.XLOOKUP($B332,$B$11:$B$91,_xlfn.XLOOKUP(Z$181,$D$5:$AX$5,$D$11:$AX$91))</f>
        <v>173.31830606434113</v>
      </c>
      <c r="AA332" s="312" cm="1">
        <f t="array" ref="AA332">_xlfn.XLOOKUP($B332,$B$11:$B$91,_xlfn.XLOOKUP(AA$181,$D$5:$AX$5,$D$11:$AX$91))</f>
        <v>202.18125693868961</v>
      </c>
      <c r="AB332" s="312" cm="1">
        <f t="array" ref="AB332">_xlfn.XLOOKUP($B332,$B$11:$B$91,_xlfn.XLOOKUP(AB$181,$D$5:$AX$5,$D$11:$AX$91))</f>
        <v>174.42001929969803</v>
      </c>
      <c r="AC332" s="312" cm="1">
        <f t="array" ref="AC332">_xlfn.XLOOKUP($B332,$B$11:$B$91,_xlfn.XLOOKUP(AC$181,$D$5:$AX$5,$D$11:$AX$91))</f>
        <v>203.56268029945852</v>
      </c>
      <c r="AD332" s="312" cm="1">
        <f t="array" ref="AD332">_xlfn.XLOOKUP($B332,$B$11:$B$91,_xlfn.XLOOKUP(AD$181,$D$5:$AX$5,$D$11:$AX$91))</f>
        <v>175.69713046967883</v>
      </c>
      <c r="AE332" s="312" cm="1">
        <f t="array" ref="AE332">_xlfn.XLOOKUP($B332,$B$11:$B$91,_xlfn.XLOOKUP(AE$181,$D$5:$AX$5,$D$11:$AX$91))</f>
        <v>205.13615708956917</v>
      </c>
      <c r="AF332" s="312" cm="1">
        <f t="array" ref="AF332">_xlfn.XLOOKUP($B332,$B$11:$B$91,_xlfn.XLOOKUP(AF$181,$D$5:$AX$5,$D$11:$AX$91))</f>
        <v>177.15551773450812</v>
      </c>
      <c r="AG332" s="312"/>
      <c r="AH332" s="310" t="str">
        <f t="shared" si="178"/>
        <v>Wagering &amp; Media - New</v>
      </c>
      <c r="AI332" s="311" t="str" cm="1">
        <f t="array" ref="AI332">_xlfn.XLOOKUP($B332,$B$11:$B$91,_xlfn.XLOOKUP(AI$181,$D$5:$AX$5,$D$11:$AX$91))</f>
        <v>A$m</v>
      </c>
      <c r="AJ332" s="311"/>
      <c r="AK332" s="311"/>
      <c r="AL332" s="312" cm="1">
        <f t="array" ref="AL332">_xlfn.XLOOKUP($B332,$B$11:$B$91,_xlfn.XLOOKUP(AL$181,$D$5:$AX$5,$D$11:$AX$91))</f>
        <v>287</v>
      </c>
      <c r="AM332" s="312" cm="1">
        <f t="array" ref="AM332">_xlfn.XLOOKUP($B332,$B$11:$B$91,_xlfn.XLOOKUP(AM$181,$D$5:$AX$5,$D$11:$AX$91))</f>
        <v>308</v>
      </c>
      <c r="AN332" s="312" cm="1">
        <f t="array" ref="AN332">_xlfn.XLOOKUP($B332,$B$11:$B$91,_xlfn.XLOOKUP(AN$181,$D$5:$AX$5,$D$11:$AX$91))</f>
        <v>251.2</v>
      </c>
      <c r="AO332" s="312" cm="1">
        <f t="array" ref="AO332">_xlfn.XLOOKUP($B332,$B$11:$B$91,_xlfn.XLOOKUP(AO$181,$D$5:$AX$5,$D$11:$AX$91))</f>
        <v>329.1</v>
      </c>
      <c r="AP332" s="312" cm="1">
        <f t="array" ref="AP332">_xlfn.XLOOKUP($B332,$B$11:$B$91,_xlfn.XLOOKUP(AP$181,$D$5:$AX$5,$D$11:$AX$91))</f>
        <v>361.8</v>
      </c>
      <c r="AQ332" s="312" cm="1">
        <f t="array" ref="AQ332">_xlfn.XLOOKUP($B332,$B$11:$B$91,_xlfn.XLOOKUP(AQ$181,$D$5:$AX$5,$D$11:$AX$91))</f>
        <v>390.48893499775005</v>
      </c>
      <c r="AR332" s="312" cm="1">
        <f t="array" ref="AR332">_xlfn.XLOOKUP($B332,$B$11:$B$91,_xlfn.XLOOKUP(AR$181,$D$5:$AX$5,$D$11:$AX$91))</f>
        <v>379.2673630323751</v>
      </c>
      <c r="AS332" s="312" cm="1">
        <f t="array" ref="AS332">_xlfn.XLOOKUP($B332,$B$11:$B$91,_xlfn.XLOOKUP(AS$181,$D$5:$AX$5,$D$11:$AX$91))</f>
        <v>369.21394977472295</v>
      </c>
      <c r="AT332" s="312" cm="1">
        <f t="array" ref="AT332">_xlfn.XLOOKUP($B332,$B$11:$B$91,_xlfn.XLOOKUP(AT$181,$D$5:$AX$5,$D$11:$AX$91))</f>
        <v>372.35660372400287</v>
      </c>
      <c r="AU332" s="312" cm="1">
        <f t="array" ref="AU332">_xlfn.XLOOKUP($B332,$B$11:$B$91,_xlfn.XLOOKUP(AU$181,$D$5:$AX$5,$D$11:$AX$91))</f>
        <v>374.30406903583457</v>
      </c>
      <c r="AV332" s="312" cm="1">
        <f t="array" ref="AV332">_xlfn.XLOOKUP($B332,$B$11:$B$91,_xlfn.XLOOKUP(AV$181,$D$5:$AX$5,$D$11:$AX$91))</f>
        <v>376.60127623838764</v>
      </c>
      <c r="AW332" s="312" cm="1">
        <f t="array" ref="AW332">_xlfn.XLOOKUP($B332,$B$11:$B$91,_xlfn.XLOOKUP(AW$181,$D$5:$AX$5,$D$11:$AX$91))</f>
        <v>379.25981076913735</v>
      </c>
      <c r="AX332" s="312" cm="1">
        <f t="array" ref="AX332">_xlfn.XLOOKUP($B332,$B$11:$B$91,_xlfn.XLOOKUP(AX$181,$D$5:$AX$5,$D$11:$AX$91))</f>
        <v>382.29167482407729</v>
      </c>
    </row>
    <row r="333" spans="1:50" hidden="1" outlineLevel="1">
      <c r="C333" s="313" t="s">
        <v>1121</v>
      </c>
      <c r="D333" s="307" t="s">
        <v>842</v>
      </c>
      <c r="E333" s="307"/>
      <c r="F333" s="307"/>
      <c r="G333" s="314" t="s">
        <v>967</v>
      </c>
      <c r="H333" s="314" t="s">
        <v>967</v>
      </c>
      <c r="I333" s="314">
        <f t="shared" ref="I333:AF333" si="179">I332/G332-1</f>
        <v>0.11965192168237859</v>
      </c>
      <c r="J333" s="314">
        <f t="shared" si="179"/>
        <v>3.0181086519114775E-2</v>
      </c>
      <c r="K333" s="314">
        <f t="shared" si="179"/>
        <v>-0.13212435233160624</v>
      </c>
      <c r="L333" s="314">
        <f t="shared" si="179"/>
        <v>-0.23697916666666674</v>
      </c>
      <c r="M333" s="314">
        <f t="shared" si="179"/>
        <v>0.16940298507462681</v>
      </c>
      <c r="N333" s="314">
        <f t="shared" si="179"/>
        <v>0.47098976109215052</v>
      </c>
      <c r="O333" s="314">
        <f t="shared" si="179"/>
        <v>0.1576260370134015</v>
      </c>
      <c r="P333" s="314">
        <f t="shared" si="179"/>
        <v>4.640371229698359E-2</v>
      </c>
      <c r="Q333" s="314">
        <f t="shared" si="179"/>
        <v>0.15875164678610787</v>
      </c>
      <c r="R333" s="314">
        <f t="shared" si="179"/>
        <v>-6.0207166989978411E-4</v>
      </c>
      <c r="S333" s="314">
        <f t="shared" si="179"/>
        <v>-3.5122291571978659E-2</v>
      </c>
      <c r="T333" s="314">
        <f t="shared" si="179"/>
        <v>-2.1293043725921446E-2</v>
      </c>
      <c r="U333" s="314">
        <f t="shared" si="179"/>
        <v>-2.2858685494887898E-2</v>
      </c>
      <c r="V333" s="314">
        <f t="shared" si="179"/>
        <v>-3.0701365003678149E-2</v>
      </c>
      <c r="W333" s="314">
        <f t="shared" si="179"/>
        <v>9.0395131059621825E-3</v>
      </c>
      <c r="X333" s="314">
        <f t="shared" si="179"/>
        <v>7.9002125481839602E-3</v>
      </c>
      <c r="Y333" s="314">
        <f t="shared" si="179"/>
        <v>5.0781356273137401E-3</v>
      </c>
      <c r="Z333" s="314">
        <f t="shared" si="179"/>
        <v>5.4063982028091928E-3</v>
      </c>
      <c r="AA333" s="314">
        <f t="shared" si="179"/>
        <v>5.9481524935960373E-3</v>
      </c>
      <c r="AB333" s="314">
        <f t="shared" si="179"/>
        <v>6.3565889857468694E-3</v>
      </c>
      <c r="AC333" s="314">
        <f t="shared" si="179"/>
        <v>6.8325985389823263E-3</v>
      </c>
      <c r="AD333" s="314">
        <f t="shared" si="179"/>
        <v>7.3220446546700124E-3</v>
      </c>
      <c r="AE333" s="314">
        <f t="shared" si="179"/>
        <v>7.7296918462457231E-3</v>
      </c>
      <c r="AF333" s="314">
        <f t="shared" si="179"/>
        <v>8.3005753191909282E-3</v>
      </c>
      <c r="AG333" s="315"/>
      <c r="AH333" s="313" t="str">
        <f t="shared" si="178"/>
        <v>- Growth</v>
      </c>
      <c r="AI333" s="307" t="str">
        <f>D333</f>
        <v>%</v>
      </c>
      <c r="AJ333" s="307"/>
      <c r="AK333" s="307"/>
      <c r="AL333" s="314" t="s">
        <v>967</v>
      </c>
      <c r="AM333" s="314">
        <f t="shared" ref="AM333:AX333" si="180">AM332/AL332-1</f>
        <v>7.3170731707317138E-2</v>
      </c>
      <c r="AN333" s="314">
        <f t="shared" si="180"/>
        <v>-0.18441558441558448</v>
      </c>
      <c r="AO333" s="314">
        <f t="shared" si="180"/>
        <v>0.31011146496815312</v>
      </c>
      <c r="AP333" s="314">
        <f t="shared" si="180"/>
        <v>9.9361896080218726E-2</v>
      </c>
      <c r="AQ333" s="314">
        <f t="shared" si="180"/>
        <v>7.9295011049613118E-2</v>
      </c>
      <c r="AR333" s="314">
        <f t="shared" si="180"/>
        <v>-2.8737234168849435E-2</v>
      </c>
      <c r="AS333" s="314">
        <f t="shared" si="180"/>
        <v>-2.6507456843298138E-2</v>
      </c>
      <c r="AT333" s="314">
        <f t="shared" si="180"/>
        <v>8.5117421787486158E-3</v>
      </c>
      <c r="AU333" s="314">
        <f t="shared" si="180"/>
        <v>5.2301081607113442E-3</v>
      </c>
      <c r="AV333" s="314">
        <f t="shared" si="180"/>
        <v>6.1372755270077128E-3</v>
      </c>
      <c r="AW333" s="314">
        <f t="shared" si="180"/>
        <v>7.0592817881660608E-3</v>
      </c>
      <c r="AX333" s="314">
        <f t="shared" si="180"/>
        <v>7.9941611761904507E-3</v>
      </c>
    </row>
    <row r="334" spans="1:50" collapsed="1">
      <c r="C334" s="313" t="s">
        <v>1122</v>
      </c>
      <c r="D334" s="307" t="s">
        <v>842</v>
      </c>
      <c r="E334" s="307"/>
      <c r="F334" s="307"/>
      <c r="G334" s="314">
        <f xml:space="preserve"> IFERROR(ROUND( G332 / G331,3) - 1, 0)</f>
        <v>0</v>
      </c>
      <c r="H334" s="314">
        <f t="shared" ref="H334:AF334" si="181" xml:space="preserve"> IFERROR(ROUND( H332 / H331,3) - 1, 0)</f>
        <v>0</v>
      </c>
      <c r="I334" s="314">
        <f t="shared" si="181"/>
        <v>0</v>
      </c>
      <c r="J334" s="314">
        <f t="shared" si="181"/>
        <v>0</v>
      </c>
      <c r="K334" s="314">
        <f t="shared" si="181"/>
        <v>0</v>
      </c>
      <c r="L334" s="314">
        <f t="shared" si="181"/>
        <v>0</v>
      </c>
      <c r="M334" s="314">
        <f t="shared" si="181"/>
        <v>0</v>
      </c>
      <c r="N334" s="314">
        <f t="shared" si="181"/>
        <v>0</v>
      </c>
      <c r="O334" s="314">
        <f t="shared" si="181"/>
        <v>0</v>
      </c>
      <c r="P334" s="314">
        <f t="shared" si="181"/>
        <v>1.4000000000000012E-2</v>
      </c>
      <c r="Q334" s="314">
        <f t="shared" si="181"/>
        <v>2.0000000000000018E-3</v>
      </c>
      <c r="R334" s="314">
        <f t="shared" si="181"/>
        <v>-4.7000000000000042E-2</v>
      </c>
      <c r="S334" s="314">
        <f t="shared" si="181"/>
        <v>-5.8000000000000052E-2</v>
      </c>
      <c r="T334" s="314">
        <f t="shared" si="181"/>
        <v>-8.2999999999999963E-2</v>
      </c>
      <c r="U334" s="314">
        <f t="shared" si="181"/>
        <v>-9.5999999999999974E-2</v>
      </c>
      <c r="V334" s="314">
        <f t="shared" si="181"/>
        <v>-0.127</v>
      </c>
      <c r="W334" s="314">
        <f t="shared" si="181"/>
        <v>-0.10399999999999998</v>
      </c>
      <c r="X334" s="314">
        <f t="shared" si="181"/>
        <v>-0.13600000000000001</v>
      </c>
      <c r="Y334" s="314">
        <f t="shared" si="181"/>
        <v>-0.11599999999999999</v>
      </c>
      <c r="Z334" s="314">
        <f t="shared" si="181"/>
        <v>-0.14700000000000002</v>
      </c>
      <c r="AA334" s="314">
        <f t="shared" si="181"/>
        <v>-0.127</v>
      </c>
      <c r="AB334" s="314">
        <f t="shared" si="181"/>
        <v>-0.15800000000000003</v>
      </c>
      <c r="AC334" s="314">
        <f t="shared" si="181"/>
        <v>-0.122</v>
      </c>
      <c r="AD334" s="314">
        <f t="shared" si="181"/>
        <v>-0.15100000000000002</v>
      </c>
      <c r="AE334" s="314">
        <f t="shared" si="181"/>
        <v>-0.11599999999999999</v>
      </c>
      <c r="AF334" s="314">
        <f t="shared" si="181"/>
        <v>-0.14500000000000002</v>
      </c>
      <c r="AG334" s="314"/>
      <c r="AH334" s="313" t="str">
        <f t="shared" si="178"/>
        <v>- Revision</v>
      </c>
      <c r="AI334" s="307" t="str">
        <f>D334</f>
        <v>%</v>
      </c>
      <c r="AJ334" s="307"/>
      <c r="AK334" s="307"/>
      <c r="AL334" s="314">
        <f t="shared" ref="AL334:AX334" si="182" xml:space="preserve"> IFERROR(ROUND( AL332 / AL331,3) - 1, 0)</f>
        <v>0</v>
      </c>
      <c r="AM334" s="314">
        <f t="shared" si="182"/>
        <v>0</v>
      </c>
      <c r="AN334" s="314">
        <f t="shared" si="182"/>
        <v>0</v>
      </c>
      <c r="AO334" s="314">
        <f t="shared" si="182"/>
        <v>0</v>
      </c>
      <c r="AP334" s="314">
        <f t="shared" si="182"/>
        <v>6.9999999999998952E-3</v>
      </c>
      <c r="AQ334" s="314">
        <f t="shared" si="182"/>
        <v>-2.1000000000000019E-2</v>
      </c>
      <c r="AR334" s="314">
        <f t="shared" si="182"/>
        <v>-6.9999999999999951E-2</v>
      </c>
      <c r="AS334" s="314">
        <f t="shared" si="182"/>
        <v>-0.11099999999999999</v>
      </c>
      <c r="AT334" s="314">
        <f t="shared" si="182"/>
        <v>-0.11899999999999999</v>
      </c>
      <c r="AU334" s="314">
        <f t="shared" si="182"/>
        <v>-0.13100000000000001</v>
      </c>
      <c r="AV334" s="314">
        <f t="shared" si="182"/>
        <v>-0.14200000000000002</v>
      </c>
      <c r="AW334" s="314">
        <f t="shared" si="182"/>
        <v>-0.13600000000000001</v>
      </c>
      <c r="AX334" s="314">
        <f t="shared" si="182"/>
        <v>-0.13</v>
      </c>
    </row>
    <row r="335" spans="1:50">
      <c r="B335" s="305" t="s">
        <v>1446</v>
      </c>
      <c r="C335" s="706" t="str">
        <f>_xlfn.TEXTAFTER($B335,$C$328)&amp;" - old"</f>
        <v>Gaming Services - old</v>
      </c>
      <c r="D335" s="707" t="str" cm="1">
        <f t="array" ref="D335">_xlfn.XLOOKUP($B335,$B$96:$B$176,_xlfn.XLOOKUP(D$181,$D$5:$AX$5,$D$96:$AX$176))</f>
        <v>A$m</v>
      </c>
      <c r="E335" s="307"/>
      <c r="F335" s="307"/>
      <c r="G335" s="708" cm="1">
        <f t="array" ref="G335">_xlfn.XLOOKUP($B335,$B$96:$B$176,_xlfn.XLOOKUP(G$181,$D$5:$AX$5,$D$96:$AX$176))</f>
        <v>19.600000000000001</v>
      </c>
      <c r="H335" s="708" cm="1">
        <f t="array" ref="H335">_xlfn.XLOOKUP($B335,$B$96:$B$176,_xlfn.XLOOKUP(H$181,$D$5:$AX$5,$D$96:$AX$176))</f>
        <v>53.6</v>
      </c>
      <c r="I335" s="708" cm="1">
        <f t="array" ref="I335">_xlfn.XLOOKUP($B335,$B$96:$B$176,_xlfn.XLOOKUP(I$181,$D$5:$AX$5,$D$96:$AX$176))</f>
        <v>42.9</v>
      </c>
      <c r="J335" s="708" cm="1">
        <f t="array" ref="J335">_xlfn.XLOOKUP($B335,$B$96:$B$176,_xlfn.XLOOKUP(J$181,$D$5:$AX$5,$D$96:$AX$176))</f>
        <v>40.199999999999996</v>
      </c>
      <c r="K335" s="708" cm="1">
        <f t="array" ref="K335">_xlfn.XLOOKUP($B335,$B$96:$B$176,_xlfn.XLOOKUP(K$181,$D$5:$AX$5,$D$96:$AX$176))</f>
        <v>35.799999999999997</v>
      </c>
      <c r="L335" s="708" cm="1">
        <f t="array" ref="L335">_xlfn.XLOOKUP($B335,$B$96:$B$176,_xlfn.XLOOKUP(L$181,$D$5:$AX$5,$D$96:$AX$176))</f>
        <v>30.700000000000003</v>
      </c>
      <c r="M335" s="708" cm="1">
        <f t="array" ref="M335">_xlfn.XLOOKUP($B335,$B$96:$B$176,_xlfn.XLOOKUP(M$181,$D$5:$AX$5,$D$96:$AX$176))</f>
        <v>33.5</v>
      </c>
      <c r="N335" s="708" cm="1">
        <f t="array" ref="N335">_xlfn.XLOOKUP($B335,$B$96:$B$176,_xlfn.XLOOKUP(N$181,$D$5:$AX$5,$D$96:$AX$176))</f>
        <v>28.9</v>
      </c>
      <c r="O335" s="708" cm="1">
        <f t="array" ref="O335">_xlfn.XLOOKUP($B335,$B$96:$B$176,_xlfn.XLOOKUP(O$181,$D$5:$AX$5,$D$96:$AX$176))</f>
        <v>36</v>
      </c>
      <c r="P335" s="708" cm="1">
        <f t="array" ref="P335">_xlfn.XLOOKUP($B335,$B$96:$B$176,_xlfn.XLOOKUP(P$181,$D$5:$AX$5,$D$96:$AX$176))</f>
        <v>33.103305121046894</v>
      </c>
      <c r="Q335" s="708" cm="1">
        <f t="array" ref="Q335">_xlfn.XLOOKUP($B335,$B$96:$B$176,_xlfn.XLOOKUP(Q$181,$D$5:$AX$5,$D$96:$AX$176))</f>
        <v>37.08</v>
      </c>
      <c r="R335" s="708" cm="1">
        <f t="array" ref="R335">_xlfn.XLOOKUP($B335,$B$96:$B$176,_xlfn.XLOOKUP(R$181,$D$5:$AX$5,$D$96:$AX$176))</f>
        <v>36.81012876772084</v>
      </c>
      <c r="S335" s="708" cm="1">
        <f t="array" ref="S335">_xlfn.XLOOKUP($B335,$B$96:$B$176,_xlfn.XLOOKUP(S$181,$D$5:$AX$5,$D$96:$AX$176))</f>
        <v>38.192399999999992</v>
      </c>
      <c r="T335" s="708" cm="1">
        <f t="array" ref="T335">_xlfn.XLOOKUP($B335,$B$96:$B$176,_xlfn.XLOOKUP(T$181,$D$5:$AX$5,$D$96:$AX$176))</f>
        <v>37.914432630752458</v>
      </c>
      <c r="U335" s="708" cm="1">
        <f t="array" ref="U335">_xlfn.XLOOKUP($B335,$B$96:$B$176,_xlfn.XLOOKUP(U$181,$D$5:$AX$5,$D$96:$AX$176))</f>
        <v>39.338172000000007</v>
      </c>
      <c r="V335" s="708" cm="1">
        <f t="array" ref="V335">_xlfn.XLOOKUP($B335,$B$96:$B$176,_xlfn.XLOOKUP(V$181,$D$5:$AX$5,$D$96:$AX$176))</f>
        <v>39.051865609675041</v>
      </c>
      <c r="W335" s="708" cm="1">
        <f t="array" ref="W335">_xlfn.XLOOKUP($B335,$B$96:$B$176,_xlfn.XLOOKUP(W$181,$D$5:$AX$5,$D$96:$AX$176))</f>
        <v>40.518317159999995</v>
      </c>
      <c r="X335" s="708" cm="1">
        <f t="array" ref="X335">_xlfn.XLOOKUP($B335,$B$96:$B$176,_xlfn.XLOOKUP(X$181,$D$5:$AX$5,$D$96:$AX$176))</f>
        <v>40.22342157796529</v>
      </c>
      <c r="Y335" s="708" cm="1">
        <f t="array" ref="Y335">_xlfn.XLOOKUP($B335,$B$96:$B$176,_xlfn.XLOOKUP(Y$181,$D$5:$AX$5,$D$96:$AX$176))</f>
        <v>41.733866674800005</v>
      </c>
      <c r="Z335" s="708" cm="1">
        <f t="array" ref="Z335">_xlfn.XLOOKUP($B335,$B$96:$B$176,_xlfn.XLOOKUP(Z$181,$D$5:$AX$5,$D$96:$AX$176))</f>
        <v>41.430124225304255</v>
      </c>
      <c r="AA335" s="708" cm="1">
        <f t="array" ref="AA335">_xlfn.XLOOKUP($B335,$B$96:$B$176,_xlfn.XLOOKUP(AA$181,$D$5:$AX$5,$D$96:$AX$176))</f>
        <v>42.98588267504401</v>
      </c>
      <c r="AB335" s="708" cm="1">
        <f t="array" ref="AB335">_xlfn.XLOOKUP($B335,$B$96:$B$176,_xlfn.XLOOKUP(AB$181,$D$5:$AX$5,$D$96:$AX$176))</f>
        <v>42.673027952063364</v>
      </c>
      <c r="AC335" s="708" cm="1">
        <f t="array" ref="AC335">_xlfn.XLOOKUP($B335,$B$96:$B$176,_xlfn.XLOOKUP(AC$181,$D$5:$AX$5,$D$96:$AX$176))</f>
        <v>44.275459155295323</v>
      </c>
      <c r="AD335" s="708" cm="1">
        <f t="array" ref="AD335">_xlfn.XLOOKUP($B335,$B$96:$B$176,_xlfn.XLOOKUP(AD$181,$D$5:$AX$5,$D$96:$AX$176))</f>
        <v>43.953218790625272</v>
      </c>
      <c r="AE335" s="708" cm="1">
        <f t="array" ref="AE335">_xlfn.XLOOKUP($B335,$B$96:$B$176,_xlfn.XLOOKUP(AE$181,$D$5:$AX$5,$D$96:$AX$176))</f>
        <v>45.603722929954188</v>
      </c>
      <c r="AF335" s="708" cm="1">
        <f t="array" ref="AF335">_xlfn.XLOOKUP($B335,$B$96:$B$176,_xlfn.XLOOKUP(AF$181,$D$5:$AX$5,$D$96:$AX$176))</f>
        <v>45.271815354344028</v>
      </c>
      <c r="AG335" s="309"/>
      <c r="AH335" s="306" t="str">
        <f t="shared" si="178"/>
        <v>Gaming Services - old</v>
      </c>
      <c r="AI335" s="707" t="str" cm="1">
        <f t="array" ref="AI335">_xlfn.XLOOKUP($B335,$B$96:$B$176,_xlfn.XLOOKUP(AI$181,$D$5:$AX$5,$D$96:$AX$176))</f>
        <v>A$m</v>
      </c>
      <c r="AJ335" s="307"/>
      <c r="AK335" s="307"/>
      <c r="AL335" s="708" cm="1">
        <f t="array" ref="AL335">_xlfn.XLOOKUP($B335,$B$96:$B$176,_xlfn.XLOOKUP(AL$181,$D$5:$AX$5,$D$96:$AX$176))</f>
        <v>73.2</v>
      </c>
      <c r="AM335" s="708" cm="1">
        <f t="array" ref="AM335">_xlfn.XLOOKUP($B335,$B$96:$B$176,_xlfn.XLOOKUP(AM$181,$D$5:$AX$5,$D$96:$AX$176))</f>
        <v>83.1</v>
      </c>
      <c r="AN335" s="708" cm="1">
        <f t="array" ref="AN335">_xlfn.XLOOKUP($B335,$B$96:$B$176,_xlfn.XLOOKUP(AN$181,$D$5:$AX$5,$D$96:$AX$176))</f>
        <v>66.5</v>
      </c>
      <c r="AO335" s="708" cm="1">
        <f t="array" ref="AO335">_xlfn.XLOOKUP($B335,$B$96:$B$176,_xlfn.XLOOKUP(AO$181,$D$5:$AX$5,$D$96:$AX$176))</f>
        <v>62.4</v>
      </c>
      <c r="AP335" s="708" cm="1">
        <f t="array" ref="AP335">_xlfn.XLOOKUP($B335,$B$96:$B$176,_xlfn.XLOOKUP(AP$181,$D$5:$AX$5,$D$96:$AX$176))</f>
        <v>69.103305121046901</v>
      </c>
      <c r="AQ335" s="708" cm="1">
        <f t="array" ref="AQ335">_xlfn.XLOOKUP($B335,$B$96:$B$176,_xlfn.XLOOKUP(AQ$181,$D$5:$AX$5,$D$96:$AX$176))</f>
        <v>73.890128767720839</v>
      </c>
      <c r="AR335" s="708" cm="1">
        <f t="array" ref="AR335">_xlfn.XLOOKUP($B335,$B$96:$B$176,_xlfn.XLOOKUP(AR$181,$D$5:$AX$5,$D$96:$AX$176))</f>
        <v>76.10683263075245</v>
      </c>
      <c r="AS335" s="708" cm="1">
        <f t="array" ref="AS335">_xlfn.XLOOKUP($B335,$B$96:$B$176,_xlfn.XLOOKUP(AS$181,$D$5:$AX$5,$D$96:$AX$176))</f>
        <v>78.390037609675048</v>
      </c>
      <c r="AT335" s="708" cm="1">
        <f t="array" ref="AT335">_xlfn.XLOOKUP($B335,$B$96:$B$176,_xlfn.XLOOKUP(AT$181,$D$5:$AX$5,$D$96:$AX$176))</f>
        <v>80.741738737965278</v>
      </c>
      <c r="AU335" s="708" cm="1">
        <f t="array" ref="AU335">_xlfn.XLOOKUP($B335,$B$96:$B$176,_xlfn.XLOOKUP(AU$181,$D$5:$AX$5,$D$96:$AX$176))</f>
        <v>83.163990900104267</v>
      </c>
      <c r="AV335" s="708" cm="1">
        <f t="array" ref="AV335">_xlfn.XLOOKUP($B335,$B$96:$B$176,_xlfn.XLOOKUP(AV$181,$D$5:$AX$5,$D$96:$AX$176))</f>
        <v>85.658910627107375</v>
      </c>
      <c r="AW335" s="708" cm="1">
        <f t="array" ref="AW335">_xlfn.XLOOKUP($B335,$B$96:$B$176,_xlfn.XLOOKUP(AW$181,$D$5:$AX$5,$D$96:$AX$176))</f>
        <v>88.228677945920595</v>
      </c>
      <c r="AX335" s="708" cm="1">
        <f t="array" ref="AX335">_xlfn.XLOOKUP($B335,$B$96:$B$176,_xlfn.XLOOKUP(AX$181,$D$5:$AX$5,$D$96:$AX$176))</f>
        <v>90.875538284298216</v>
      </c>
    </row>
    <row r="336" spans="1:50">
      <c r="B336" s="305" t="s">
        <v>1446</v>
      </c>
      <c r="C336" s="318" t="str">
        <f>_xlfn.TEXTAFTER($B336,$C$328)&amp;" - New"</f>
        <v>Gaming Services - New</v>
      </c>
      <c r="D336" s="311" t="str" cm="1">
        <f t="array" ref="D336">_xlfn.XLOOKUP($B336,$B$11:$B$91,_xlfn.XLOOKUP(D$181,$D$5:$AX$5,$D$11:$AX$91))</f>
        <v>A$m</v>
      </c>
      <c r="E336" s="311"/>
      <c r="F336" s="311"/>
      <c r="G336" s="312" cm="1">
        <f t="array" ref="G336">_xlfn.XLOOKUP($B336,$B$11:$B$91,_xlfn.XLOOKUP(G$181,$D$5:$AX$5,$D$11:$AX$91))</f>
        <v>19.600000000000001</v>
      </c>
      <c r="H336" s="312" cm="1">
        <f t="array" ref="H336">_xlfn.XLOOKUP($B336,$B$11:$B$91,_xlfn.XLOOKUP(H$181,$D$5:$AX$5,$D$11:$AX$91))</f>
        <v>53.6</v>
      </c>
      <c r="I336" s="312" cm="1">
        <f t="array" ref="I336">_xlfn.XLOOKUP($B336,$B$11:$B$91,_xlfn.XLOOKUP(I$181,$D$5:$AX$5,$D$11:$AX$91))</f>
        <v>42.9</v>
      </c>
      <c r="J336" s="312" cm="1">
        <f t="array" ref="J336">_xlfn.XLOOKUP($B336,$B$11:$B$91,_xlfn.XLOOKUP(J$181,$D$5:$AX$5,$D$11:$AX$91))</f>
        <v>40.199999999999996</v>
      </c>
      <c r="K336" s="312" cm="1">
        <f t="array" ref="K336">_xlfn.XLOOKUP($B336,$B$11:$B$91,_xlfn.XLOOKUP(K$181,$D$5:$AX$5,$D$11:$AX$91))</f>
        <v>28.3</v>
      </c>
      <c r="L336" s="312" cm="1">
        <f t="array" ref="L336">_xlfn.XLOOKUP($B336,$B$11:$B$91,_xlfn.XLOOKUP(L$181,$D$5:$AX$5,$D$11:$AX$91))</f>
        <v>30.7</v>
      </c>
      <c r="M336" s="312" cm="1">
        <f t="array" ref="M336">_xlfn.XLOOKUP($B336,$B$11:$B$91,_xlfn.XLOOKUP(M$181,$D$5:$AX$5,$D$11:$AX$91))</f>
        <v>33.5</v>
      </c>
      <c r="N336" s="312" cm="1">
        <f t="array" ref="N336">_xlfn.XLOOKUP($B336,$B$11:$B$91,_xlfn.XLOOKUP(N$181,$D$5:$AX$5,$D$11:$AX$91))</f>
        <v>28.9</v>
      </c>
      <c r="O336" s="312" cm="1">
        <f t="array" ref="O336">_xlfn.XLOOKUP($B336,$B$11:$B$91,_xlfn.XLOOKUP(O$181,$D$5:$AX$5,$D$11:$AX$91))</f>
        <v>36</v>
      </c>
      <c r="P336" s="312" cm="1">
        <f t="array" ref="P336">_xlfn.XLOOKUP($B336,$B$11:$B$91,_xlfn.XLOOKUP(P$181,$D$5:$AX$5,$D$11:$AX$91))</f>
        <v>33.900000000000006</v>
      </c>
      <c r="Q336" s="312" cm="1">
        <f t="array" ref="Q336">_xlfn.XLOOKUP($B336,$B$11:$B$91,_xlfn.XLOOKUP(Q$181,$D$5:$AX$5,$D$11:$AX$91))</f>
        <v>35.716104477196872</v>
      </c>
      <c r="R336" s="312" cm="1">
        <f t="array" ref="R336">_xlfn.XLOOKUP($B336,$B$11:$B$91,_xlfn.XLOOKUP(R$181,$D$5:$AX$5,$D$11:$AX$91))</f>
        <v>35.015024999999994</v>
      </c>
      <c r="S336" s="312" cm="1">
        <f t="array" ref="S336">_xlfn.XLOOKUP($B336,$B$11:$B$91,_xlfn.XLOOKUP(S$181,$D$5:$AX$5,$D$11:$AX$91))</f>
        <v>36.609007089126791</v>
      </c>
      <c r="T336" s="312" cm="1">
        <f t="array" ref="T336">_xlfn.XLOOKUP($B336,$B$11:$B$91,_xlfn.XLOOKUP(T$181,$D$5:$AX$5,$D$11:$AX$91))</f>
        <v>35.890400624999984</v>
      </c>
      <c r="U336" s="312" cm="1">
        <f t="array" ref="U336">_xlfn.XLOOKUP($B336,$B$11:$B$91,_xlfn.XLOOKUP(U$181,$D$5:$AX$5,$D$11:$AX$91))</f>
        <v>37.707277301800602</v>
      </c>
      <c r="V336" s="312" cm="1">
        <f t="array" ref="V336">_xlfn.XLOOKUP($B336,$B$11:$B$91,_xlfn.XLOOKUP(V$181,$D$5:$AX$5,$D$11:$AX$91))</f>
        <v>36.967112643749978</v>
      </c>
      <c r="W336" s="312" cm="1">
        <f t="array" ref="W336">_xlfn.XLOOKUP($B336,$B$11:$B$91,_xlfn.XLOOKUP(W$181,$D$5:$AX$5,$D$11:$AX$91))</f>
        <v>38.838495620854616</v>
      </c>
      <c r="X336" s="312" cm="1">
        <f t="array" ref="X336">_xlfn.XLOOKUP($B336,$B$11:$B$91,_xlfn.XLOOKUP(X$181,$D$5:$AX$5,$D$11:$AX$91))</f>
        <v>38.076126023062486</v>
      </c>
      <c r="Y336" s="312" cm="1">
        <f t="array" ref="Y336">_xlfn.XLOOKUP($B336,$B$11:$B$91,_xlfn.XLOOKUP(Y$181,$D$5:$AX$5,$D$11:$AX$91))</f>
        <v>40.00365048948025</v>
      </c>
      <c r="Z336" s="312" cm="1">
        <f t="array" ref="Z336">_xlfn.XLOOKUP($B336,$B$11:$B$91,_xlfn.XLOOKUP(Z$181,$D$5:$AX$5,$D$11:$AX$91))</f>
        <v>39.218409803754355</v>
      </c>
      <c r="AA336" s="312" cm="1">
        <f t="array" ref="AA336">_xlfn.XLOOKUP($B336,$B$11:$B$91,_xlfn.XLOOKUP(AA$181,$D$5:$AX$5,$D$11:$AX$91))</f>
        <v>41.203760004164664</v>
      </c>
      <c r="AB336" s="312" cm="1">
        <f t="array" ref="AB336">_xlfn.XLOOKUP($B336,$B$11:$B$91,_xlfn.XLOOKUP(AB$181,$D$5:$AX$5,$D$11:$AX$91))</f>
        <v>40.394962097866994</v>
      </c>
      <c r="AC336" s="312" cm="1">
        <f t="array" ref="AC336">_xlfn.XLOOKUP($B336,$B$11:$B$91,_xlfn.XLOOKUP(AC$181,$D$5:$AX$5,$D$11:$AX$91))</f>
        <v>42.439872804289607</v>
      </c>
      <c r="AD336" s="312" cm="1">
        <f t="array" ref="AD336">_xlfn.XLOOKUP($B336,$B$11:$B$91,_xlfn.XLOOKUP(AD$181,$D$5:$AX$5,$D$11:$AX$91))</f>
        <v>41.606810960803003</v>
      </c>
      <c r="AE336" s="312" cm="1">
        <f t="array" ref="AE336">_xlfn.XLOOKUP($B336,$B$11:$B$91,_xlfn.XLOOKUP(AE$181,$D$5:$AX$5,$D$11:$AX$91))</f>
        <v>43.713068988418286</v>
      </c>
      <c r="AF336" s="312" cm="1">
        <f t="array" ref="AF336">_xlfn.XLOOKUP($B336,$B$11:$B$91,_xlfn.XLOOKUP(AF$181,$D$5:$AX$5,$D$11:$AX$91))</f>
        <v>42.85501528962709</v>
      </c>
      <c r="AG336" s="312"/>
      <c r="AH336" s="310" t="str">
        <f t="shared" si="178"/>
        <v>Gaming Services - New</v>
      </c>
      <c r="AI336" s="311" t="str" cm="1">
        <f t="array" ref="AI336">_xlfn.XLOOKUP($B336,$B$11:$B$91,_xlfn.XLOOKUP(AI$181,$D$5:$AX$5,$D$11:$AX$91))</f>
        <v>A$m</v>
      </c>
      <c r="AJ336" s="311"/>
      <c r="AK336" s="311"/>
      <c r="AL336" s="312" cm="1">
        <f t="array" ref="AL336">_xlfn.XLOOKUP($B336,$B$11:$B$91,_xlfn.XLOOKUP(AL$181,$D$5:$AX$5,$D$11:$AX$91))</f>
        <v>73.2</v>
      </c>
      <c r="AM336" s="312" cm="1">
        <f t="array" ref="AM336">_xlfn.XLOOKUP($B336,$B$11:$B$91,_xlfn.XLOOKUP(AM$181,$D$5:$AX$5,$D$11:$AX$91))</f>
        <v>83.1</v>
      </c>
      <c r="AN336" s="312" cm="1">
        <f t="array" ref="AN336">_xlfn.XLOOKUP($B336,$B$11:$B$91,_xlfn.XLOOKUP(AN$181,$D$5:$AX$5,$D$11:$AX$91))</f>
        <v>59</v>
      </c>
      <c r="AO336" s="312" cm="1">
        <f t="array" ref="AO336">_xlfn.XLOOKUP($B336,$B$11:$B$91,_xlfn.XLOOKUP(AO$181,$D$5:$AX$5,$D$11:$AX$91))</f>
        <v>62.4</v>
      </c>
      <c r="AP336" s="312" cm="1">
        <f t="array" ref="AP336">_xlfn.XLOOKUP($B336,$B$11:$B$91,_xlfn.XLOOKUP(AP$181,$D$5:$AX$5,$D$11:$AX$91))</f>
        <v>69.900000000000006</v>
      </c>
      <c r="AQ336" s="312" cm="1">
        <f t="array" ref="AQ336">_xlfn.XLOOKUP($B336,$B$11:$B$91,_xlfn.XLOOKUP(AQ$181,$D$5:$AX$5,$D$11:$AX$91))</f>
        <v>70.731129477196873</v>
      </c>
      <c r="AR336" s="312" cm="1">
        <f t="array" ref="AR336">_xlfn.XLOOKUP($B336,$B$11:$B$91,_xlfn.XLOOKUP(AR$181,$D$5:$AX$5,$D$11:$AX$91))</f>
        <v>72.499407714126775</v>
      </c>
      <c r="AS336" s="312" cm="1">
        <f t="array" ref="AS336">_xlfn.XLOOKUP($B336,$B$11:$B$91,_xlfn.XLOOKUP(AS$181,$D$5:$AX$5,$D$11:$AX$91))</f>
        <v>74.674389945550587</v>
      </c>
      <c r="AT336" s="312" cm="1">
        <f t="array" ref="AT336">_xlfn.XLOOKUP($B336,$B$11:$B$91,_xlfn.XLOOKUP(AT$181,$D$5:$AX$5,$D$11:$AX$91))</f>
        <v>76.914621643917101</v>
      </c>
      <c r="AU336" s="312" cm="1">
        <f t="array" ref="AU336">_xlfn.XLOOKUP($B336,$B$11:$B$91,_xlfn.XLOOKUP(AU$181,$D$5:$AX$5,$D$11:$AX$91))</f>
        <v>79.222060293234605</v>
      </c>
      <c r="AV336" s="312" cm="1">
        <f t="array" ref="AV336">_xlfn.XLOOKUP($B336,$B$11:$B$91,_xlfn.XLOOKUP(AV$181,$D$5:$AX$5,$D$11:$AX$91))</f>
        <v>81.598722102031658</v>
      </c>
      <c r="AW336" s="312" cm="1">
        <f t="array" ref="AW336">_xlfn.XLOOKUP($B336,$B$11:$B$91,_xlfn.XLOOKUP(AW$181,$D$5:$AX$5,$D$11:$AX$91))</f>
        <v>84.04668376509261</v>
      </c>
      <c r="AX336" s="312" cm="1">
        <f t="array" ref="AX336">_xlfn.XLOOKUP($B336,$B$11:$B$91,_xlfn.XLOOKUP(AX$181,$D$5:$AX$5,$D$11:$AX$91))</f>
        <v>86.568084278045376</v>
      </c>
    </row>
    <row r="337" spans="1:50" hidden="1" outlineLevel="1">
      <c r="C337" s="313" t="s">
        <v>1121</v>
      </c>
      <c r="D337" s="307" t="s">
        <v>842</v>
      </c>
      <c r="E337" s="307"/>
      <c r="F337" s="307"/>
      <c r="G337" s="314" t="s">
        <v>967</v>
      </c>
      <c r="H337" s="314" t="s">
        <v>967</v>
      </c>
      <c r="I337" s="314">
        <f t="shared" ref="I337:AF337" si="183">I336/G336-1</f>
        <v>1.1887755102040813</v>
      </c>
      <c r="J337" s="314">
        <f t="shared" si="183"/>
        <v>-0.25000000000000011</v>
      </c>
      <c r="K337" s="314">
        <f t="shared" si="183"/>
        <v>-0.34032634032634024</v>
      </c>
      <c r="L337" s="314">
        <f t="shared" si="183"/>
        <v>-0.23631840796019898</v>
      </c>
      <c r="M337" s="314">
        <f t="shared" si="183"/>
        <v>0.18374558303886923</v>
      </c>
      <c r="N337" s="314">
        <f t="shared" si="183"/>
        <v>-5.8631921824104261E-2</v>
      </c>
      <c r="O337" s="314">
        <f t="shared" si="183"/>
        <v>7.4626865671641784E-2</v>
      </c>
      <c r="P337" s="314">
        <f t="shared" si="183"/>
        <v>0.17301038062283758</v>
      </c>
      <c r="Q337" s="314">
        <f t="shared" si="183"/>
        <v>-7.885986744531337E-3</v>
      </c>
      <c r="R337" s="314">
        <f t="shared" si="183"/>
        <v>3.2891592920353707E-2</v>
      </c>
      <c r="S337" s="314">
        <f t="shared" si="183"/>
        <v>2.4999999999999911E-2</v>
      </c>
      <c r="T337" s="314">
        <f t="shared" si="183"/>
        <v>2.4999999999999689E-2</v>
      </c>
      <c r="U337" s="314">
        <f t="shared" si="183"/>
        <v>3.0000000000000249E-2</v>
      </c>
      <c r="V337" s="314">
        <f t="shared" si="183"/>
        <v>2.9999999999999805E-2</v>
      </c>
      <c r="W337" s="314">
        <f t="shared" si="183"/>
        <v>2.9999999999999805E-2</v>
      </c>
      <c r="X337" s="314">
        <f t="shared" si="183"/>
        <v>3.0000000000000249E-2</v>
      </c>
      <c r="Y337" s="314">
        <f t="shared" si="183"/>
        <v>2.9999999999999805E-2</v>
      </c>
      <c r="Z337" s="314">
        <f t="shared" si="183"/>
        <v>2.9999999999999805E-2</v>
      </c>
      <c r="AA337" s="314">
        <f t="shared" si="183"/>
        <v>3.0000000000000249E-2</v>
      </c>
      <c r="AB337" s="314">
        <f t="shared" si="183"/>
        <v>3.0000000000000249E-2</v>
      </c>
      <c r="AC337" s="314">
        <f t="shared" si="183"/>
        <v>3.0000000000000027E-2</v>
      </c>
      <c r="AD337" s="314">
        <f t="shared" si="183"/>
        <v>3.0000000000000027E-2</v>
      </c>
      <c r="AE337" s="314">
        <f t="shared" si="183"/>
        <v>2.9999999999999805E-2</v>
      </c>
      <c r="AF337" s="314">
        <f t="shared" si="183"/>
        <v>3.0000000000000027E-2</v>
      </c>
      <c r="AG337" s="315"/>
      <c r="AH337" s="313" t="str">
        <f t="shared" si="178"/>
        <v>- Growth</v>
      </c>
      <c r="AI337" s="307" t="str">
        <f>D337</f>
        <v>%</v>
      </c>
      <c r="AJ337" s="307"/>
      <c r="AK337" s="307"/>
      <c r="AL337" s="314" t="s">
        <v>967</v>
      </c>
      <c r="AM337" s="314">
        <f t="shared" ref="AM337:AX337" si="184">AM336/AL336-1</f>
        <v>0.13524590163934413</v>
      </c>
      <c r="AN337" s="314">
        <f t="shared" si="184"/>
        <v>-0.29001203369434414</v>
      </c>
      <c r="AO337" s="314">
        <f t="shared" si="184"/>
        <v>5.7627118644067776E-2</v>
      </c>
      <c r="AP337" s="314">
        <f t="shared" si="184"/>
        <v>0.12019230769230771</v>
      </c>
      <c r="AQ337" s="314">
        <f t="shared" si="184"/>
        <v>1.1890264337580447E-2</v>
      </c>
      <c r="AR337" s="314">
        <f t="shared" si="184"/>
        <v>2.4999999999999689E-2</v>
      </c>
      <c r="AS337" s="314">
        <f t="shared" si="184"/>
        <v>3.0000000000000027E-2</v>
      </c>
      <c r="AT337" s="314">
        <f t="shared" si="184"/>
        <v>3.0000000000000027E-2</v>
      </c>
      <c r="AU337" s="314">
        <f t="shared" si="184"/>
        <v>2.9999999999999805E-2</v>
      </c>
      <c r="AV337" s="314">
        <f t="shared" si="184"/>
        <v>3.0000000000000249E-2</v>
      </c>
      <c r="AW337" s="314">
        <f t="shared" si="184"/>
        <v>3.0000000000000027E-2</v>
      </c>
      <c r="AX337" s="314">
        <f t="shared" si="184"/>
        <v>2.9999999999999805E-2</v>
      </c>
    </row>
    <row r="338" spans="1:50" collapsed="1">
      <c r="C338" s="313" t="s">
        <v>1122</v>
      </c>
      <c r="D338" s="307" t="s">
        <v>842</v>
      </c>
      <c r="E338" s="307"/>
      <c r="F338" s="307"/>
      <c r="G338" s="314">
        <f xml:space="preserve"> IFERROR(ROUND( G336 / G335,3) - 1, 0)</f>
        <v>0</v>
      </c>
      <c r="H338" s="314">
        <f t="shared" ref="H338:AF338" si="185" xml:space="preserve"> IFERROR(ROUND( H336 / H335,3) - 1, 0)</f>
        <v>0</v>
      </c>
      <c r="I338" s="314">
        <f t="shared" si="185"/>
        <v>0</v>
      </c>
      <c r="J338" s="314">
        <f t="shared" si="185"/>
        <v>0</v>
      </c>
      <c r="K338" s="314">
        <f t="shared" si="185"/>
        <v>-0.20899999999999996</v>
      </c>
      <c r="L338" s="314">
        <f t="shared" si="185"/>
        <v>0</v>
      </c>
      <c r="M338" s="314">
        <f t="shared" si="185"/>
        <v>0</v>
      </c>
      <c r="N338" s="314">
        <f t="shared" si="185"/>
        <v>0</v>
      </c>
      <c r="O338" s="314">
        <f t="shared" si="185"/>
        <v>0</v>
      </c>
      <c r="P338" s="314">
        <f t="shared" si="185"/>
        <v>2.4000000000000021E-2</v>
      </c>
      <c r="Q338" s="314">
        <f t="shared" si="185"/>
        <v>-3.7000000000000033E-2</v>
      </c>
      <c r="R338" s="314">
        <f t="shared" si="185"/>
        <v>-4.9000000000000044E-2</v>
      </c>
      <c r="S338" s="314">
        <f t="shared" si="185"/>
        <v>-4.1000000000000036E-2</v>
      </c>
      <c r="T338" s="314">
        <f t="shared" si="185"/>
        <v>-5.3000000000000047E-2</v>
      </c>
      <c r="U338" s="314">
        <f t="shared" si="185"/>
        <v>-4.1000000000000036E-2</v>
      </c>
      <c r="V338" s="314">
        <f t="shared" si="185"/>
        <v>-5.3000000000000047E-2</v>
      </c>
      <c r="W338" s="314">
        <f t="shared" si="185"/>
        <v>-4.1000000000000036E-2</v>
      </c>
      <c r="X338" s="314">
        <f t="shared" si="185"/>
        <v>-5.3000000000000047E-2</v>
      </c>
      <c r="Y338" s="314">
        <f t="shared" si="185"/>
        <v>-4.1000000000000036E-2</v>
      </c>
      <c r="Z338" s="314">
        <f t="shared" si="185"/>
        <v>-5.3000000000000047E-2</v>
      </c>
      <c r="AA338" s="314">
        <f t="shared" si="185"/>
        <v>-4.1000000000000036E-2</v>
      </c>
      <c r="AB338" s="314">
        <f t="shared" si="185"/>
        <v>-5.3000000000000047E-2</v>
      </c>
      <c r="AC338" s="314">
        <f t="shared" si="185"/>
        <v>-4.1000000000000036E-2</v>
      </c>
      <c r="AD338" s="314">
        <f t="shared" si="185"/>
        <v>-5.3000000000000047E-2</v>
      </c>
      <c r="AE338" s="314">
        <f t="shared" si="185"/>
        <v>-4.1000000000000036E-2</v>
      </c>
      <c r="AF338" s="314">
        <f t="shared" si="185"/>
        <v>-5.3000000000000047E-2</v>
      </c>
      <c r="AG338" s="314"/>
      <c r="AH338" s="313" t="str">
        <f t="shared" si="178"/>
        <v>- Revision</v>
      </c>
      <c r="AI338" s="307" t="str">
        <f>D338</f>
        <v>%</v>
      </c>
      <c r="AJ338" s="307"/>
      <c r="AK338" s="307"/>
      <c r="AL338" s="314">
        <f t="shared" ref="AL338:AX338" si="186" xml:space="preserve"> IFERROR(ROUND( AL336 / AL335,3) - 1, 0)</f>
        <v>0</v>
      </c>
      <c r="AM338" s="314">
        <f t="shared" si="186"/>
        <v>0</v>
      </c>
      <c r="AN338" s="314">
        <f t="shared" si="186"/>
        <v>-0.11299999999999999</v>
      </c>
      <c r="AO338" s="314">
        <f t="shared" si="186"/>
        <v>0</v>
      </c>
      <c r="AP338" s="314">
        <f t="shared" si="186"/>
        <v>1.2000000000000011E-2</v>
      </c>
      <c r="AQ338" s="314">
        <f t="shared" si="186"/>
        <v>-4.3000000000000038E-2</v>
      </c>
      <c r="AR338" s="314">
        <f t="shared" si="186"/>
        <v>-4.7000000000000042E-2</v>
      </c>
      <c r="AS338" s="314">
        <f t="shared" si="186"/>
        <v>-4.7000000000000042E-2</v>
      </c>
      <c r="AT338" s="314">
        <f t="shared" si="186"/>
        <v>-4.7000000000000042E-2</v>
      </c>
      <c r="AU338" s="314">
        <f t="shared" si="186"/>
        <v>-4.7000000000000042E-2</v>
      </c>
      <c r="AV338" s="314">
        <f t="shared" si="186"/>
        <v>-4.7000000000000042E-2</v>
      </c>
      <c r="AW338" s="314">
        <f t="shared" si="186"/>
        <v>-4.7000000000000042E-2</v>
      </c>
      <c r="AX338" s="314">
        <f t="shared" si="186"/>
        <v>-4.7000000000000042E-2</v>
      </c>
    </row>
    <row r="339" spans="1:50">
      <c r="B339" s="305" t="s">
        <v>1447</v>
      </c>
      <c r="C339" s="706" t="str">
        <f>_xlfn.TEXTAFTER($B339,$C$328)&amp;" - old"</f>
        <v>Total - old</v>
      </c>
      <c r="D339" s="707" t="str" cm="1">
        <f t="array" ref="D339">_xlfn.XLOOKUP($B339,$B$96:$B$176,_xlfn.XLOOKUP(D$181,$D$5:$AX$5,$D$96:$AX$176))</f>
        <v>A$m</v>
      </c>
      <c r="E339" s="307"/>
      <c r="F339" s="307"/>
      <c r="G339" s="708" cm="1">
        <f t="array" ref="G339">_xlfn.XLOOKUP($B339,$B$96:$B$176,_xlfn.XLOOKUP(G$181,$D$5:$AX$5,$D$96:$AX$176))</f>
        <v>159</v>
      </c>
      <c r="H339" s="708" cm="1">
        <f t="array" ref="H339">_xlfn.XLOOKUP($B339,$B$96:$B$176,_xlfn.XLOOKUP(H$181,$D$5:$AX$5,$D$96:$AX$176))</f>
        <v>201.60000000000002</v>
      </c>
      <c r="I339" s="708" cm="1">
        <f t="array" ref="I339">_xlfn.XLOOKUP($B339,$B$96:$B$176,_xlfn.XLOOKUP(I$181,$D$5:$AX$5,$D$96:$AX$176))</f>
        <v>196.6</v>
      </c>
      <c r="J339" s="708" cm="1">
        <f t="array" ref="J339">_xlfn.XLOOKUP($B339,$B$96:$B$176,_xlfn.XLOOKUP(J$181,$D$5:$AX$5,$D$96:$AX$176))</f>
        <v>194.4</v>
      </c>
      <c r="K339" s="708" cm="1">
        <f t="array" ref="K339">_xlfn.XLOOKUP($B339,$B$96:$B$176,_xlfn.XLOOKUP(K$181,$D$5:$AX$5,$D$96:$AX$176))</f>
        <v>169.8</v>
      </c>
      <c r="L339" s="708" cm="1">
        <f t="array" ref="L339">_xlfn.XLOOKUP($B339,$B$96:$B$176,_xlfn.XLOOKUP(L$181,$D$5:$AX$5,$D$96:$AX$176))</f>
        <v>147.89999999999998</v>
      </c>
      <c r="M339" s="708" cm="1">
        <f t="array" ref="M339">_xlfn.XLOOKUP($B339,$B$96:$B$176,_xlfn.XLOOKUP(M$181,$D$5:$AX$5,$D$96:$AX$176))</f>
        <v>190.2</v>
      </c>
      <c r="N339" s="708" cm="1">
        <f t="array" ref="N339">_xlfn.XLOOKUP($B339,$B$96:$B$176,_xlfn.XLOOKUP(N$181,$D$5:$AX$5,$D$96:$AX$176))</f>
        <v>201.3</v>
      </c>
      <c r="O339" s="708" cm="1">
        <f t="array" ref="O339">_xlfn.XLOOKUP($B339,$B$96:$B$176,_xlfn.XLOOKUP(O$181,$D$5:$AX$5,$D$96:$AX$176))</f>
        <v>217.4</v>
      </c>
      <c r="P339" s="708" cm="1">
        <f t="array" ref="P339">_xlfn.XLOOKUP($B339,$B$96:$B$176,_xlfn.XLOOKUP(P$181,$D$5:$AX$5,$D$96:$AX$176))</f>
        <v>211.03123123002695</v>
      </c>
      <c r="Q339" s="708" cm="1">
        <f t="array" ref="Q339">_xlfn.XLOOKUP($B339,$B$96:$B$176,_xlfn.XLOOKUP(Q$181,$D$5:$AX$5,$D$96:$AX$176))</f>
        <v>246.89163044135</v>
      </c>
      <c r="R339" s="708" cm="1">
        <f t="array" ref="R339">_xlfn.XLOOKUP($B339,$B$96:$B$176,_xlfn.XLOOKUP(R$181,$D$5:$AX$5,$D$96:$AX$176))</f>
        <v>225.91248302424898</v>
      </c>
      <c r="S339" s="708" cm="1">
        <f t="array" ref="S339">_xlfn.XLOOKUP($B339,$B$96:$B$176,_xlfn.XLOOKUP(S$181,$D$5:$AX$5,$D$96:$AX$176))</f>
        <v>253.45476940994817</v>
      </c>
      <c r="T339" s="708" cm="1">
        <f t="array" ref="T339">_xlfn.XLOOKUP($B339,$B$96:$B$176,_xlfn.XLOOKUP(T$181,$D$5:$AX$5,$D$96:$AX$176))</f>
        <v>230.38396337662027</v>
      </c>
      <c r="U339" s="708" cm="1">
        <f t="array" ref="U339">_xlfn.XLOOKUP($B339,$B$96:$B$176,_xlfn.XLOOKUP(U$181,$D$5:$AX$5,$D$96:$AX$176))</f>
        <v>258.52115265330832</v>
      </c>
      <c r="V339" s="708" cm="1">
        <f t="array" ref="V339">_xlfn.XLOOKUP($B339,$B$96:$B$176,_xlfn.XLOOKUP(V$181,$D$5:$AX$5,$D$96:$AX$176))</f>
        <v>234.99960112542917</v>
      </c>
      <c r="W339" s="708" cm="1">
        <f t="array" ref="W339">_xlfn.XLOOKUP($B339,$B$96:$B$176,_xlfn.XLOOKUP(W$181,$D$5:$AX$5,$D$96:$AX$176))</f>
        <v>263.74860585031615</v>
      </c>
      <c r="X339" s="708" cm="1">
        <f t="array" ref="X339">_xlfn.XLOOKUP($B339,$B$96:$B$176,_xlfn.XLOOKUP(X$181,$D$5:$AX$5,$D$96:$AX$176))</f>
        <v>239.76486612740874</v>
      </c>
      <c r="Y339" s="708" cm="1">
        <f t="array" ref="Y339">_xlfn.XLOOKUP($B339,$B$96:$B$176,_xlfn.XLOOKUP(Y$181,$D$5:$AX$5,$D$96:$AX$176))</f>
        <v>269.14314058084932</v>
      </c>
      <c r="Z339" s="708" cm="1">
        <f t="array" ref="Z339">_xlfn.XLOOKUP($B339,$B$96:$B$176,_xlfn.XLOOKUP(Z$181,$D$5:$AX$5,$D$96:$AX$176))</f>
        <v>244.68543873029103</v>
      </c>
      <c r="AA339" s="708" cm="1">
        <f t="array" ref="AA339">_xlfn.XLOOKUP($B339,$B$96:$B$176,_xlfn.XLOOKUP(AA$181,$D$5:$AX$5,$D$96:$AX$176))</f>
        <v>274.71099696010242</v>
      </c>
      <c r="AB339" s="708" cm="1">
        <f t="array" ref="AB339">_xlfn.XLOOKUP($B339,$B$96:$B$176,_xlfn.XLOOKUP(AB$181,$D$5:$AX$5,$D$96:$AX$176))</f>
        <v>249.76721777024409</v>
      </c>
      <c r="AC339" s="708" cm="1">
        <f t="array" ref="AC339">_xlfn.XLOOKUP($B339,$B$96:$B$176,_xlfn.XLOOKUP(AC$181,$D$5:$AX$5,$D$96:$AX$176))</f>
        <v>276.15359043873008</v>
      </c>
      <c r="AD339" s="708" cm="1">
        <f t="array" ref="AD339">_xlfn.XLOOKUP($B339,$B$96:$B$176,_xlfn.XLOOKUP(AD$181,$D$5:$AX$5,$D$96:$AX$176))</f>
        <v>250.98377011548382</v>
      </c>
      <c r="AE339" s="708" cm="1">
        <f t="array" ref="AE339">_xlfn.XLOOKUP($B339,$B$96:$B$176,_xlfn.XLOOKUP(AE$181,$D$5:$AX$5,$D$96:$AX$176))</f>
        <v>277.78270615192685</v>
      </c>
      <c r="AF339" s="708" cm="1">
        <f t="array" ref="AF339">_xlfn.XLOOKUP($B339,$B$96:$B$176,_xlfn.XLOOKUP(AF$181,$D$5:$AX$5,$D$96:$AX$176))</f>
        <v>252.3740155408405</v>
      </c>
      <c r="AG339" s="309"/>
      <c r="AH339" s="306" t="str">
        <f t="shared" si="178"/>
        <v>Total - old</v>
      </c>
      <c r="AI339" s="707" t="str" cm="1">
        <f t="array" ref="AI339">_xlfn.XLOOKUP($B339,$B$96:$B$176,_xlfn.XLOOKUP(AI$181,$D$5:$AX$5,$D$96:$AX$176))</f>
        <v>A$m</v>
      </c>
      <c r="AJ339" s="307"/>
      <c r="AK339" s="307"/>
      <c r="AL339" s="708" cm="1">
        <f t="array" ref="AL339">_xlfn.XLOOKUP($B339,$B$96:$B$176,_xlfn.XLOOKUP(AL$181,$D$5:$AX$5,$D$96:$AX$176))</f>
        <v>360.6</v>
      </c>
      <c r="AM339" s="708" cm="1">
        <f t="array" ref="AM339">_xlfn.XLOOKUP($B339,$B$96:$B$176,_xlfn.XLOOKUP(AM$181,$D$5:$AX$5,$D$96:$AX$176))</f>
        <v>391</v>
      </c>
      <c r="AN339" s="708" cm="1">
        <f t="array" ref="AN339">_xlfn.XLOOKUP($B339,$B$96:$B$176,_xlfn.XLOOKUP(AN$181,$D$5:$AX$5,$D$96:$AX$176))</f>
        <v>317.7</v>
      </c>
      <c r="AO339" s="708" cm="1">
        <f t="array" ref="AO339">_xlfn.XLOOKUP($B339,$B$96:$B$176,_xlfn.XLOOKUP(AO$181,$D$5:$AX$5,$D$96:$AX$176))</f>
        <v>391.5</v>
      </c>
      <c r="AP339" s="708" cm="1">
        <f t="array" ref="AP339">_xlfn.XLOOKUP($B339,$B$96:$B$176,_xlfn.XLOOKUP(AP$181,$D$5:$AX$5,$D$96:$AX$176))</f>
        <v>428.43123123002692</v>
      </c>
      <c r="AQ339" s="708" cm="1">
        <f t="array" ref="AQ339">_xlfn.XLOOKUP($B339,$B$96:$B$176,_xlfn.XLOOKUP(AQ$181,$D$5:$AX$5,$D$96:$AX$176))</f>
        <v>472.80411346559902</v>
      </c>
      <c r="AR339" s="708" cm="1">
        <f t="array" ref="AR339">_xlfn.XLOOKUP($B339,$B$96:$B$176,_xlfn.XLOOKUP(AR$181,$D$5:$AX$5,$D$96:$AX$176))</f>
        <v>483.83873278656847</v>
      </c>
      <c r="AS339" s="708" cm="1">
        <f t="array" ref="AS339">_xlfn.XLOOKUP($B339,$B$96:$B$176,_xlfn.XLOOKUP(AS$181,$D$5:$AX$5,$D$96:$AX$176))</f>
        <v>493.52075377873746</v>
      </c>
      <c r="AT339" s="708" cm="1">
        <f t="array" ref="AT339">_xlfn.XLOOKUP($B339,$B$96:$B$176,_xlfn.XLOOKUP(AT$181,$D$5:$AX$5,$D$96:$AX$176))</f>
        <v>503.51347197772486</v>
      </c>
      <c r="AU339" s="708" cm="1">
        <f t="array" ref="AU339">_xlfn.XLOOKUP($B339,$B$96:$B$176,_xlfn.XLOOKUP(AU$181,$D$5:$AX$5,$D$96:$AX$176))</f>
        <v>513.8285793111404</v>
      </c>
      <c r="AV339" s="708" cm="1">
        <f t="array" ref="AV339">_xlfn.XLOOKUP($B339,$B$96:$B$176,_xlfn.XLOOKUP(AV$181,$D$5:$AX$5,$D$96:$AX$176))</f>
        <v>524.47821473034651</v>
      </c>
      <c r="AW339" s="708" cm="1">
        <f t="array" ref="AW339">_xlfn.XLOOKUP($B339,$B$96:$B$176,_xlfn.XLOOKUP(AW$181,$D$5:$AX$5,$D$96:$AX$176))</f>
        <v>527.13736055421396</v>
      </c>
      <c r="AX339" s="708" cm="1">
        <f t="array" ref="AX339">_xlfn.XLOOKUP($B339,$B$96:$B$176,_xlfn.XLOOKUP(AX$181,$D$5:$AX$5,$D$96:$AX$176))</f>
        <v>530.15672169276741</v>
      </c>
    </row>
    <row r="340" spans="1:50">
      <c r="B340" s="305" t="s">
        <v>1447</v>
      </c>
      <c r="C340" s="318" t="str">
        <f>_xlfn.TEXTAFTER($B340,$C$328)&amp;" - New"</f>
        <v>Total - New</v>
      </c>
      <c r="D340" s="311" t="str" cm="1">
        <f t="array" ref="D340">_xlfn.XLOOKUP($B340,$B$11:$B$91,_xlfn.XLOOKUP(D$181,$D$5:$AX$5,$D$11:$AX$91))</f>
        <v>A$m</v>
      </c>
      <c r="E340" s="311"/>
      <c r="F340" s="311"/>
      <c r="G340" s="312" cm="1">
        <f t="array" ref="G340">_xlfn.XLOOKUP($B340,$B$11:$B$91,_xlfn.XLOOKUP(G$181,$D$5:$AX$5,$D$11:$AX$91))</f>
        <v>159</v>
      </c>
      <c r="H340" s="312" cm="1">
        <f t="array" ref="H340">_xlfn.XLOOKUP($B340,$B$11:$B$91,_xlfn.XLOOKUP(H$181,$D$5:$AX$5,$D$11:$AX$91))</f>
        <v>201.60000000000002</v>
      </c>
      <c r="I340" s="312" cm="1">
        <f t="array" ref="I340">_xlfn.XLOOKUP($B340,$B$11:$B$91,_xlfn.XLOOKUP(I$181,$D$5:$AX$5,$D$11:$AX$91))</f>
        <v>196.6</v>
      </c>
      <c r="J340" s="312" cm="1">
        <f t="array" ref="J340">_xlfn.XLOOKUP($B340,$B$11:$B$91,_xlfn.XLOOKUP(J$181,$D$5:$AX$5,$D$11:$AX$91))</f>
        <v>194.4</v>
      </c>
      <c r="K340" s="312" cm="1">
        <f t="array" ref="K340">_xlfn.XLOOKUP($B340,$B$11:$B$91,_xlfn.XLOOKUP(K$181,$D$5:$AX$5,$D$11:$AX$91))</f>
        <v>169.8</v>
      </c>
      <c r="L340" s="312" cm="1">
        <f t="array" ref="L340">_xlfn.XLOOKUP($B340,$B$11:$B$91,_xlfn.XLOOKUP(L$181,$D$5:$AX$5,$D$11:$AX$91))</f>
        <v>147.89999999999998</v>
      </c>
      <c r="M340" s="312" cm="1">
        <f t="array" ref="M340">_xlfn.XLOOKUP($B340,$B$11:$B$91,_xlfn.XLOOKUP(M$181,$D$5:$AX$5,$D$11:$AX$91))</f>
        <v>190.2</v>
      </c>
      <c r="N340" s="312" cm="1">
        <f t="array" ref="N340">_xlfn.XLOOKUP($B340,$B$11:$B$91,_xlfn.XLOOKUP(N$181,$D$5:$AX$5,$D$11:$AX$91))</f>
        <v>201.3</v>
      </c>
      <c r="O340" s="312" cm="1">
        <f t="array" ref="O340">_xlfn.XLOOKUP($B340,$B$11:$B$91,_xlfn.XLOOKUP(O$181,$D$5:$AX$5,$D$11:$AX$91))</f>
        <v>217.4</v>
      </c>
      <c r="P340" s="312" cm="1">
        <f t="array" ref="P340">_xlfn.XLOOKUP($B340,$B$11:$B$91,_xlfn.XLOOKUP(P$181,$D$5:$AX$5,$D$11:$AX$91))</f>
        <v>214.29999999999998</v>
      </c>
      <c r="Q340" s="312" cm="1">
        <f t="array" ref="Q340">_xlfn.XLOOKUP($B340,$B$11:$B$91,_xlfn.XLOOKUP(Q$181,$D$5:$AX$5,$D$11:$AX$91))</f>
        <v>245.91365320419683</v>
      </c>
      <c r="R340" s="312" cm="1">
        <f t="array" ref="R340">_xlfn.XLOOKUP($B340,$B$11:$B$91,_xlfn.XLOOKUP(R$181,$D$5:$AX$5,$D$11:$AX$91))</f>
        <v>220.50641127075005</v>
      </c>
      <c r="S340" s="312" cm="1">
        <f t="array" ref="S340">_xlfn.XLOOKUP($B340,$B$11:$B$91,_xlfn.XLOOKUP(S$181,$D$5:$AX$5,$D$11:$AX$91))</f>
        <v>252.5909362220219</v>
      </c>
      <c r="T340" s="312" cm="1">
        <f t="array" ref="T340">_xlfn.XLOOKUP($B340,$B$11:$B$91,_xlfn.XLOOKUP(T$181,$D$5:$AX$5,$D$11:$AX$91))</f>
        <v>233.05483452447999</v>
      </c>
      <c r="U340" s="312" cm="1">
        <f t="array" ref="U340">_xlfn.XLOOKUP($B340,$B$11:$B$91,_xlfn.XLOOKUP(U$181,$D$5:$AX$5,$D$11:$AX$91))</f>
        <v>260.32813375597885</v>
      </c>
      <c r="V340" s="312" cm="1">
        <f t="array" ref="V340">_xlfn.XLOOKUP($B340,$B$11:$B$91,_xlfn.XLOOKUP(V$181,$D$5:$AX$5,$D$11:$AX$91))</f>
        <v>234.03557596429465</v>
      </c>
      <c r="W340" s="312" cm="1">
        <f t="array" ref="W340">_xlfn.XLOOKUP($B340,$B$11:$B$91,_xlfn.XLOOKUP(W$181,$D$5:$AX$5,$D$11:$AX$91))</f>
        <v>263.98405265487986</v>
      </c>
      <c r="X340" s="312" cm="1">
        <f t="array" ref="X340">_xlfn.XLOOKUP($B340,$B$11:$B$91,_xlfn.XLOOKUP(X$181,$D$5:$AX$5,$D$11:$AX$91))</f>
        <v>237.27680381304012</v>
      </c>
      <c r="Y340" s="312" cm="1">
        <f t="array" ref="Y340">_xlfn.XLOOKUP($B340,$B$11:$B$91,_xlfn.XLOOKUP(Y$181,$D$5:$AX$5,$D$11:$AX$91))</f>
        <v>266.91994186997368</v>
      </c>
      <c r="Z340" s="312" cm="1">
        <f t="array" ref="Z340">_xlfn.XLOOKUP($B340,$B$11:$B$91,_xlfn.XLOOKUP(Z$181,$D$5:$AX$5,$D$11:$AX$91))</f>
        <v>240.1555074920955</v>
      </c>
      <c r="AA340" s="312" cm="1">
        <f t="array" ref="AA340">_xlfn.XLOOKUP($B340,$B$11:$B$91,_xlfn.XLOOKUP(AA$181,$D$5:$AX$5,$D$11:$AX$91))</f>
        <v>270.09346120412431</v>
      </c>
      <c r="AB340" s="312" cm="1">
        <f t="array" ref="AB340">_xlfn.XLOOKUP($B340,$B$11:$B$91,_xlfn.XLOOKUP(AB$181,$D$5:$AX$5,$D$11:$AX$91))</f>
        <v>243.26233677028503</v>
      </c>
      <c r="AC340" s="312" cm="1">
        <f t="array" ref="AC340">_xlfn.XLOOKUP($B340,$B$11:$B$91,_xlfn.XLOOKUP(AC$181,$D$5:$AX$5,$D$11:$AX$91))</f>
        <v>273.51225069285624</v>
      </c>
      <c r="AD340" s="312" cm="1">
        <f t="array" ref="AD340">_xlfn.XLOOKUP($B340,$B$11:$B$91,_xlfn.XLOOKUP(AD$181,$D$5:$AX$5,$D$11:$AX$91))</f>
        <v>246.60471746438341</v>
      </c>
      <c r="AE340" s="312" cm="1">
        <f t="array" ref="AE340">_xlfn.XLOOKUP($B340,$B$11:$B$91,_xlfn.XLOOKUP(AE$181,$D$5:$AX$5,$D$11:$AX$91))</f>
        <v>277.18421459476878</v>
      </c>
      <c r="AF340" s="312" cm="1">
        <f t="array" ref="AF340">_xlfn.XLOOKUP($B340,$B$11:$B$91,_xlfn.XLOOKUP(AF$181,$D$5:$AX$5,$D$11:$AX$91))</f>
        <v>250.19033233905387</v>
      </c>
      <c r="AG340" s="312"/>
      <c r="AH340" s="310" t="str">
        <f t="shared" si="178"/>
        <v>Total - New</v>
      </c>
      <c r="AI340" s="311" t="str" cm="1">
        <f t="array" ref="AI340">_xlfn.XLOOKUP($B340,$B$11:$B$91,_xlfn.XLOOKUP(AI$181,$D$5:$AX$5,$D$11:$AX$91))</f>
        <v>A$m</v>
      </c>
      <c r="AJ340" s="311"/>
      <c r="AK340" s="311"/>
      <c r="AL340" s="312" cm="1">
        <f t="array" ref="AL340">_xlfn.XLOOKUP($B340,$B$11:$B$91,_xlfn.XLOOKUP(AL$181,$D$5:$AX$5,$D$11:$AX$91))</f>
        <v>360.6</v>
      </c>
      <c r="AM340" s="312" cm="1">
        <f t="array" ref="AM340">_xlfn.XLOOKUP($B340,$B$11:$B$91,_xlfn.XLOOKUP(AM$181,$D$5:$AX$5,$D$11:$AX$91))</f>
        <v>391</v>
      </c>
      <c r="AN340" s="312" cm="1">
        <f t="array" ref="AN340">_xlfn.XLOOKUP($B340,$B$11:$B$91,_xlfn.XLOOKUP(AN$181,$D$5:$AX$5,$D$11:$AX$91))</f>
        <v>317.7</v>
      </c>
      <c r="AO340" s="312" cm="1">
        <f t="array" ref="AO340">_xlfn.XLOOKUP($B340,$B$11:$B$91,_xlfn.XLOOKUP(AO$181,$D$5:$AX$5,$D$11:$AX$91))</f>
        <v>391.5</v>
      </c>
      <c r="AP340" s="312" cm="1">
        <f t="array" ref="AP340">_xlfn.XLOOKUP($B340,$B$11:$B$91,_xlfn.XLOOKUP(AP$181,$D$5:$AX$5,$D$11:$AX$91))</f>
        <v>431.7</v>
      </c>
      <c r="AQ340" s="312" cm="1">
        <f t="array" ref="AQ340">_xlfn.XLOOKUP($B340,$B$11:$B$91,_xlfn.XLOOKUP(AQ$181,$D$5:$AX$5,$D$11:$AX$91))</f>
        <v>466.42006447494691</v>
      </c>
      <c r="AR340" s="312" cm="1">
        <f t="array" ref="AR340">_xlfn.XLOOKUP($B340,$B$11:$B$91,_xlfn.XLOOKUP(AR$181,$D$5:$AX$5,$D$11:$AX$91))</f>
        <v>485.64577074650185</v>
      </c>
      <c r="AS340" s="312" cm="1">
        <f t="array" ref="AS340">_xlfn.XLOOKUP($B340,$B$11:$B$91,_xlfn.XLOOKUP(AS$181,$D$5:$AX$5,$D$11:$AX$91))</f>
        <v>494.3637097202735</v>
      </c>
      <c r="AT340" s="312" cm="1">
        <f t="array" ref="AT340">_xlfn.XLOOKUP($B340,$B$11:$B$91,_xlfn.XLOOKUP(AT$181,$D$5:$AX$5,$D$11:$AX$91))</f>
        <v>501.26085646792001</v>
      </c>
      <c r="AU340" s="312" cm="1">
        <f t="array" ref="AU340">_xlfn.XLOOKUP($B340,$B$11:$B$91,_xlfn.XLOOKUP(AU$181,$D$5:$AX$5,$D$11:$AX$91))</f>
        <v>507.07544936206921</v>
      </c>
      <c r="AV340" s="312" cm="1">
        <f t="array" ref="AV340">_xlfn.XLOOKUP($B340,$B$11:$B$91,_xlfn.XLOOKUP(AV$181,$D$5:$AX$5,$D$11:$AX$91))</f>
        <v>513.35579797440937</v>
      </c>
      <c r="AW340" s="312" cm="1">
        <f t="array" ref="AW340">_xlfn.XLOOKUP($B340,$B$11:$B$91,_xlfn.XLOOKUP(AW$181,$D$5:$AX$5,$D$11:$AX$91))</f>
        <v>520.11696815723963</v>
      </c>
      <c r="AX340" s="312" cm="1">
        <f t="array" ref="AX340">_xlfn.XLOOKUP($B340,$B$11:$B$91,_xlfn.XLOOKUP(AX$181,$D$5:$AX$5,$D$11:$AX$91))</f>
        <v>527.37454693382267</v>
      </c>
    </row>
    <row r="341" spans="1:50" hidden="1" outlineLevel="1">
      <c r="B341" s="305"/>
      <c r="C341" s="313" t="s">
        <v>1121</v>
      </c>
      <c r="D341" s="307" t="s">
        <v>842</v>
      </c>
      <c r="E341" s="307"/>
      <c r="F341" s="307"/>
      <c r="G341" s="314" t="s">
        <v>967</v>
      </c>
      <c r="H341" s="314" t="s">
        <v>967</v>
      </c>
      <c r="I341" s="314">
        <f t="shared" ref="I341:AF341" si="187">I340/G340-1</f>
        <v>0.2364779874213836</v>
      </c>
      <c r="J341" s="314">
        <f t="shared" si="187"/>
        <v>-3.5714285714285809E-2</v>
      </c>
      <c r="K341" s="314">
        <f t="shared" si="187"/>
        <v>-0.13631739572736512</v>
      </c>
      <c r="L341" s="314">
        <f t="shared" si="187"/>
        <v>-0.2391975308641977</v>
      </c>
      <c r="M341" s="314">
        <f t="shared" si="187"/>
        <v>0.12014134275618371</v>
      </c>
      <c r="N341" s="314">
        <f t="shared" si="187"/>
        <v>0.36105476673428027</v>
      </c>
      <c r="O341" s="314">
        <f t="shared" si="187"/>
        <v>0.14300736067297581</v>
      </c>
      <c r="P341" s="314">
        <f t="shared" si="187"/>
        <v>6.4580228514654614E-2</v>
      </c>
      <c r="Q341" s="314">
        <f t="shared" si="187"/>
        <v>0.13115755843696797</v>
      </c>
      <c r="R341" s="314">
        <f t="shared" si="187"/>
        <v>2.8961321842044141E-2</v>
      </c>
      <c r="S341" s="314">
        <f t="shared" si="187"/>
        <v>2.7152957677711864E-2</v>
      </c>
      <c r="T341" s="314">
        <f t="shared" si="187"/>
        <v>5.6907294356726368E-2</v>
      </c>
      <c r="U341" s="314">
        <f t="shared" si="187"/>
        <v>3.0631334796416221E-2</v>
      </c>
      <c r="V341" s="314">
        <f t="shared" si="187"/>
        <v>4.2082003654451139E-3</v>
      </c>
      <c r="W341" s="314">
        <f t="shared" si="187"/>
        <v>1.4043502890578541E-2</v>
      </c>
      <c r="X341" s="314">
        <f t="shared" si="187"/>
        <v>1.384929549873215E-2</v>
      </c>
      <c r="Y341" s="314">
        <f t="shared" si="187"/>
        <v>1.1121464291375505E-2</v>
      </c>
      <c r="Z341" s="314">
        <f t="shared" si="187"/>
        <v>1.2132259170700932E-2</v>
      </c>
      <c r="AA341" s="314">
        <f t="shared" si="187"/>
        <v>1.1889405159905886E-2</v>
      </c>
      <c r="AB341" s="314">
        <f t="shared" si="187"/>
        <v>1.293673965937181E-2</v>
      </c>
      <c r="AC341" s="314">
        <f t="shared" si="187"/>
        <v>1.2657801760510567E-2</v>
      </c>
      <c r="AD341" s="314">
        <f t="shared" si="187"/>
        <v>1.3739819893511251E-2</v>
      </c>
      <c r="AE341" s="314">
        <f t="shared" si="187"/>
        <v>1.3425226448214866E-2</v>
      </c>
      <c r="AF341" s="314">
        <f t="shared" si="187"/>
        <v>1.4539928155219872E-2</v>
      </c>
      <c r="AG341" s="315"/>
      <c r="AH341" s="313" t="str">
        <f t="shared" si="178"/>
        <v>- Growth</v>
      </c>
      <c r="AI341" s="307" t="str">
        <f>D341</f>
        <v>%</v>
      </c>
      <c r="AJ341" s="307"/>
      <c r="AK341" s="307"/>
      <c r="AL341" s="314" t="s">
        <v>967</v>
      </c>
      <c r="AM341" s="314">
        <f t="shared" ref="AM341:AX341" si="188">AM340/AL340-1</f>
        <v>8.4303937881308855E-2</v>
      </c>
      <c r="AN341" s="314">
        <f t="shared" si="188"/>
        <v>-0.18746803069053708</v>
      </c>
      <c r="AO341" s="314">
        <f t="shared" si="188"/>
        <v>0.23229461756373948</v>
      </c>
      <c r="AP341" s="314">
        <f t="shared" si="188"/>
        <v>0.10268199233716468</v>
      </c>
      <c r="AQ341" s="314">
        <f t="shared" si="188"/>
        <v>8.0426371264644247E-2</v>
      </c>
      <c r="AR341" s="314">
        <f t="shared" si="188"/>
        <v>4.1219723883871628E-2</v>
      </c>
      <c r="AS341" s="314">
        <f t="shared" si="188"/>
        <v>1.7951230091782788E-2</v>
      </c>
      <c r="AT341" s="314">
        <f t="shared" si="188"/>
        <v>1.395156362013128E-2</v>
      </c>
      <c r="AU341" s="314">
        <f t="shared" si="188"/>
        <v>1.1599934084462804E-2</v>
      </c>
      <c r="AV341" s="314">
        <f t="shared" si="188"/>
        <v>1.2385432227573157E-2</v>
      </c>
      <c r="AW341" s="314">
        <f t="shared" si="188"/>
        <v>1.3170534373057263E-2</v>
      </c>
      <c r="AX341" s="314">
        <f t="shared" si="188"/>
        <v>1.3953743524839135E-2</v>
      </c>
    </row>
    <row r="342" spans="1:50" collapsed="1">
      <c r="B342" s="305"/>
      <c r="C342" s="313" t="s">
        <v>1122</v>
      </c>
      <c r="D342" s="307" t="s">
        <v>842</v>
      </c>
      <c r="E342" s="307"/>
      <c r="F342" s="307"/>
      <c r="G342" s="314">
        <f xml:space="preserve"> IFERROR(ROUND( G340 / G339,3) - 1, 0)</f>
        <v>0</v>
      </c>
      <c r="H342" s="314">
        <f t="shared" ref="H342:AF342" si="189" xml:space="preserve"> IFERROR(ROUND( H340 / H339,3) - 1, 0)</f>
        <v>0</v>
      </c>
      <c r="I342" s="314">
        <f t="shared" si="189"/>
        <v>0</v>
      </c>
      <c r="J342" s="314">
        <f t="shared" si="189"/>
        <v>0</v>
      </c>
      <c r="K342" s="314">
        <f t="shared" si="189"/>
        <v>0</v>
      </c>
      <c r="L342" s="314">
        <f t="shared" si="189"/>
        <v>0</v>
      </c>
      <c r="M342" s="314">
        <f t="shared" si="189"/>
        <v>0</v>
      </c>
      <c r="N342" s="314">
        <f t="shared" si="189"/>
        <v>0</v>
      </c>
      <c r="O342" s="314">
        <f t="shared" si="189"/>
        <v>0</v>
      </c>
      <c r="P342" s="314">
        <f t="shared" si="189"/>
        <v>1.4999999999999902E-2</v>
      </c>
      <c r="Q342" s="314">
        <f t="shared" si="189"/>
        <v>-4.0000000000000036E-3</v>
      </c>
      <c r="R342" s="314">
        <f t="shared" si="189"/>
        <v>-2.4000000000000021E-2</v>
      </c>
      <c r="S342" s="314">
        <f t="shared" si="189"/>
        <v>-3.0000000000000027E-3</v>
      </c>
      <c r="T342" s="314">
        <f t="shared" si="189"/>
        <v>1.2000000000000011E-2</v>
      </c>
      <c r="U342" s="314">
        <f t="shared" si="189"/>
        <v>6.9999999999998952E-3</v>
      </c>
      <c r="V342" s="314">
        <f t="shared" si="189"/>
        <v>-4.0000000000000036E-3</v>
      </c>
      <c r="W342" s="314">
        <f t="shared" si="189"/>
        <v>9.9999999999988987E-4</v>
      </c>
      <c r="X342" s="314">
        <f t="shared" si="189"/>
        <v>-1.0000000000000009E-2</v>
      </c>
      <c r="Y342" s="314">
        <f t="shared" si="189"/>
        <v>-8.0000000000000071E-3</v>
      </c>
      <c r="Z342" s="314">
        <f t="shared" si="189"/>
        <v>-1.9000000000000017E-2</v>
      </c>
      <c r="AA342" s="314">
        <f t="shared" si="189"/>
        <v>-1.7000000000000015E-2</v>
      </c>
      <c r="AB342" s="314">
        <f t="shared" si="189"/>
        <v>-2.6000000000000023E-2</v>
      </c>
      <c r="AC342" s="314">
        <f t="shared" si="189"/>
        <v>-1.0000000000000009E-2</v>
      </c>
      <c r="AD342" s="314">
        <f t="shared" si="189"/>
        <v>-1.7000000000000015E-2</v>
      </c>
      <c r="AE342" s="314">
        <f t="shared" si="189"/>
        <v>-2.0000000000000018E-3</v>
      </c>
      <c r="AF342" s="314">
        <f t="shared" si="189"/>
        <v>-9.000000000000008E-3</v>
      </c>
      <c r="AG342" s="314"/>
      <c r="AH342" s="313" t="str">
        <f t="shared" si="178"/>
        <v>- Revision</v>
      </c>
      <c r="AI342" s="307" t="str">
        <f>D342</f>
        <v>%</v>
      </c>
      <c r="AJ342" s="307"/>
      <c r="AK342" s="307"/>
      <c r="AL342" s="314">
        <f t="shared" ref="AL342:AX342" si="190" xml:space="preserve"> IFERROR(ROUND( AL340 / AL339,3) - 1, 0)</f>
        <v>0</v>
      </c>
      <c r="AM342" s="314">
        <f t="shared" si="190"/>
        <v>0</v>
      </c>
      <c r="AN342" s="314">
        <f t="shared" si="190"/>
        <v>0</v>
      </c>
      <c r="AO342" s="314">
        <f t="shared" si="190"/>
        <v>0</v>
      </c>
      <c r="AP342" s="314">
        <f t="shared" si="190"/>
        <v>8.0000000000000071E-3</v>
      </c>
      <c r="AQ342" s="314">
        <f t="shared" si="190"/>
        <v>-1.4000000000000012E-2</v>
      </c>
      <c r="AR342" s="314">
        <f t="shared" si="190"/>
        <v>4.0000000000000036E-3</v>
      </c>
      <c r="AS342" s="314">
        <f t="shared" si="190"/>
        <v>2.0000000000000018E-3</v>
      </c>
      <c r="AT342" s="314">
        <f t="shared" si="190"/>
        <v>-4.0000000000000036E-3</v>
      </c>
      <c r="AU342" s="314">
        <f t="shared" si="190"/>
        <v>-1.3000000000000012E-2</v>
      </c>
      <c r="AV342" s="314">
        <f t="shared" si="190"/>
        <v>-2.1000000000000019E-2</v>
      </c>
      <c r="AW342" s="314">
        <f t="shared" si="190"/>
        <v>-1.3000000000000012E-2</v>
      </c>
      <c r="AX342" s="314">
        <f t="shared" si="190"/>
        <v>-5.0000000000000044E-3</v>
      </c>
    </row>
    <row r="343" spans="1:50">
      <c r="C343" s="313"/>
      <c r="D343" s="307"/>
      <c r="E343" s="307"/>
      <c r="F343" s="307"/>
      <c r="G343" s="314"/>
      <c r="H343" s="314"/>
      <c r="I343" s="314"/>
      <c r="J343" s="314"/>
      <c r="K343" s="314"/>
      <c r="L343" s="314"/>
      <c r="M343" s="314"/>
      <c r="N343" s="314"/>
      <c r="O343" s="314"/>
      <c r="P343" s="314"/>
      <c r="Q343" s="314"/>
      <c r="R343" s="314"/>
      <c r="S343" s="314"/>
      <c r="T343" s="314"/>
      <c r="U343" s="314"/>
      <c r="V343" s="314"/>
      <c r="W343" s="314"/>
      <c r="X343" s="314"/>
      <c r="Y343" s="314"/>
      <c r="Z343" s="314"/>
      <c r="AA343" s="314"/>
      <c r="AB343" s="314"/>
      <c r="AC343" s="314"/>
      <c r="AD343" s="314"/>
      <c r="AE343" s="314"/>
      <c r="AF343" s="314"/>
      <c r="AG343" s="314"/>
      <c r="AH343" s="313"/>
      <c r="AI343" s="307"/>
      <c r="AJ343" s="307"/>
      <c r="AK343" s="307"/>
      <c r="AL343" s="314"/>
      <c r="AM343" s="314"/>
      <c r="AN343" s="314"/>
      <c r="AO343" s="314"/>
      <c r="AP343" s="314"/>
      <c r="AQ343" s="314"/>
      <c r="AR343" s="314"/>
      <c r="AS343" s="314"/>
      <c r="AT343" s="314"/>
      <c r="AU343" s="314"/>
      <c r="AV343" s="314"/>
      <c r="AW343" s="314"/>
      <c r="AX343" s="314"/>
    </row>
    <row r="344" spans="1:50">
      <c r="A344" t="s">
        <v>971</v>
      </c>
      <c r="C344" s="291" t="s">
        <v>998</v>
      </c>
      <c r="D344" s="292"/>
      <c r="E344" s="292"/>
      <c r="F344" s="292"/>
      <c r="G344" s="292"/>
      <c r="H344" s="292"/>
      <c r="I344" s="292"/>
      <c r="J344" s="292"/>
      <c r="K344" s="292"/>
      <c r="L344" s="292"/>
      <c r="M344" s="292"/>
      <c r="N344" s="292"/>
      <c r="O344" s="292"/>
      <c r="P344" s="293"/>
      <c r="Q344" s="293"/>
      <c r="R344" s="293"/>
      <c r="S344" s="293"/>
      <c r="T344" s="293"/>
      <c r="U344" s="293"/>
      <c r="V344" s="293"/>
      <c r="W344" s="293"/>
      <c r="X344" s="293"/>
      <c r="Y344" s="293"/>
      <c r="Z344" s="293"/>
      <c r="AA344" s="293"/>
      <c r="AB344" s="293"/>
      <c r="AC344" s="293"/>
      <c r="AD344" s="293"/>
      <c r="AE344" s="293"/>
      <c r="AF344" s="293"/>
      <c r="AG344" s="293"/>
      <c r="AH344" s="293"/>
      <c r="AI344" s="293"/>
      <c r="AJ344" s="292"/>
      <c r="AK344" s="292"/>
      <c r="AL344" s="292"/>
      <c r="AM344" s="292"/>
      <c r="AN344" s="292"/>
      <c r="AO344" s="292"/>
      <c r="AP344" s="292"/>
      <c r="AQ344" s="292"/>
      <c r="AR344" s="292"/>
      <c r="AS344" s="292"/>
      <c r="AT344" s="292"/>
      <c r="AU344" s="292"/>
      <c r="AV344" s="292"/>
      <c r="AW344" s="292"/>
      <c r="AX344" s="292"/>
    </row>
    <row r="345" spans="1:50">
      <c r="C345" s="296"/>
      <c r="D345" s="296" t="s">
        <v>960</v>
      </c>
      <c r="E345" s="296"/>
      <c r="F345" s="296" t="str">
        <f>F$5</f>
        <v>VAL</v>
      </c>
      <c r="G345" s="297" t="str">
        <f t="shared" ref="G345:AF345" si="191">G$5</f>
        <v>1H22A</v>
      </c>
      <c r="H345" s="298" t="str">
        <f t="shared" si="191"/>
        <v>2H22A</v>
      </c>
      <c r="I345" s="297" t="str">
        <f t="shared" si="191"/>
        <v>1H23A</v>
      </c>
      <c r="J345" s="298" t="str">
        <f t="shared" si="191"/>
        <v>2H23A</v>
      </c>
      <c r="K345" s="297" t="str">
        <f t="shared" si="191"/>
        <v>1H24E</v>
      </c>
      <c r="L345" s="298" t="str">
        <f t="shared" si="191"/>
        <v>2H24E</v>
      </c>
      <c r="M345" s="297" t="str">
        <f t="shared" si="191"/>
        <v>1H25E</v>
      </c>
      <c r="N345" s="298" t="str">
        <f t="shared" si="191"/>
        <v>2H25E</v>
      </c>
      <c r="O345" s="297" t="str">
        <f t="shared" si="191"/>
        <v>1H26E</v>
      </c>
      <c r="P345" s="298" t="str">
        <f t="shared" si="191"/>
        <v>2H26E</v>
      </c>
      <c r="Q345" s="297" t="str">
        <f t="shared" si="191"/>
        <v>1H27E</v>
      </c>
      <c r="R345" s="298" t="str">
        <f t="shared" si="191"/>
        <v>2H27E</v>
      </c>
      <c r="S345" s="297" t="str">
        <f t="shared" si="191"/>
        <v>1H28E</v>
      </c>
      <c r="T345" s="298" t="str">
        <f t="shared" si="191"/>
        <v>2H28E</v>
      </c>
      <c r="U345" s="297" t="str">
        <f t="shared" si="191"/>
        <v>1H29E</v>
      </c>
      <c r="V345" s="298" t="str">
        <f t="shared" si="191"/>
        <v>2H29E</v>
      </c>
      <c r="W345" s="297" t="str">
        <f t="shared" si="191"/>
        <v>1H30E</v>
      </c>
      <c r="X345" s="298" t="str">
        <f t="shared" si="191"/>
        <v>2H30E</v>
      </c>
      <c r="Y345" s="298" t="str">
        <f t="shared" si="191"/>
        <v>1H31E</v>
      </c>
      <c r="Z345" s="298" t="str">
        <f t="shared" si="191"/>
        <v>2H31E</v>
      </c>
      <c r="AA345" s="298" t="str">
        <f t="shared" si="191"/>
        <v>1H32E</v>
      </c>
      <c r="AB345" s="298" t="str">
        <f t="shared" si="191"/>
        <v>2H32E</v>
      </c>
      <c r="AC345" s="298" t="str">
        <f t="shared" si="191"/>
        <v>1H33E</v>
      </c>
      <c r="AD345" s="298" t="str">
        <f t="shared" si="191"/>
        <v>2H33E</v>
      </c>
      <c r="AE345" s="298" t="str">
        <f t="shared" si="191"/>
        <v>1H34E</v>
      </c>
      <c r="AF345" s="298" t="str">
        <f t="shared" si="191"/>
        <v>2H34E</v>
      </c>
      <c r="AG345" s="299"/>
      <c r="AH345" s="723"/>
      <c r="AI345" s="723" t="s">
        <v>960</v>
      </c>
      <c r="AJ345" s="723"/>
      <c r="AK345" s="723" t="str">
        <f>AK$5</f>
        <v>VAL</v>
      </c>
      <c r="AL345" s="723" t="str">
        <f t="shared" ref="AL345:AX345" si="192">AL$5</f>
        <v>FY22A</v>
      </c>
      <c r="AM345" s="723" t="str">
        <f t="shared" si="192"/>
        <v>FY23A</v>
      </c>
      <c r="AN345" s="723" t="str">
        <f t="shared" si="192"/>
        <v>FY24A</v>
      </c>
      <c r="AO345" s="723" t="str">
        <f t="shared" si="192"/>
        <v>FY25A</v>
      </c>
      <c r="AP345" s="723" t="str">
        <f t="shared" si="192"/>
        <v>FY26A</v>
      </c>
      <c r="AQ345" s="723" t="str">
        <f t="shared" si="192"/>
        <v>FY27A</v>
      </c>
      <c r="AR345" s="723" t="str">
        <f t="shared" si="192"/>
        <v>FY28A</v>
      </c>
      <c r="AS345" s="723" t="str">
        <f t="shared" si="192"/>
        <v>FY29A</v>
      </c>
      <c r="AT345" s="723" t="str">
        <f t="shared" si="192"/>
        <v>FY30A</v>
      </c>
      <c r="AU345" s="723" t="str">
        <f t="shared" si="192"/>
        <v>FY31A</v>
      </c>
      <c r="AV345" s="723" t="str">
        <f t="shared" si="192"/>
        <v>FY32A</v>
      </c>
      <c r="AW345" s="723" t="str">
        <f t="shared" si="192"/>
        <v>FY33A</v>
      </c>
      <c r="AX345" s="723" t="str">
        <f t="shared" si="192"/>
        <v>FY34A</v>
      </c>
    </row>
    <row r="346" spans="1:50">
      <c r="C346" s="300"/>
      <c r="D346" s="300"/>
      <c r="E346" s="300"/>
      <c r="F346" s="300"/>
      <c r="G346" s="301">
        <f t="shared" ref="G346:AF346" si="193">G$6</f>
        <v>44561</v>
      </c>
      <c r="H346" s="302">
        <f t="shared" si="193"/>
        <v>44742</v>
      </c>
      <c r="I346" s="301">
        <f t="shared" si="193"/>
        <v>44926</v>
      </c>
      <c r="J346" s="302">
        <f t="shared" si="193"/>
        <v>45107</v>
      </c>
      <c r="K346" s="301">
        <f t="shared" si="193"/>
        <v>45291</v>
      </c>
      <c r="L346" s="302">
        <f t="shared" si="193"/>
        <v>45473</v>
      </c>
      <c r="M346" s="301">
        <f t="shared" si="193"/>
        <v>45657</v>
      </c>
      <c r="N346" s="302">
        <f t="shared" si="193"/>
        <v>45838</v>
      </c>
      <c r="O346" s="301">
        <f t="shared" si="193"/>
        <v>46022</v>
      </c>
      <c r="P346" s="302">
        <f t="shared" si="193"/>
        <v>46203</v>
      </c>
      <c r="Q346" s="301">
        <f t="shared" si="193"/>
        <v>46387</v>
      </c>
      <c r="R346" s="302">
        <f t="shared" si="193"/>
        <v>46568</v>
      </c>
      <c r="S346" s="301">
        <f t="shared" si="193"/>
        <v>46752</v>
      </c>
      <c r="T346" s="302">
        <f t="shared" si="193"/>
        <v>46934</v>
      </c>
      <c r="U346" s="301">
        <f t="shared" si="193"/>
        <v>47118</v>
      </c>
      <c r="V346" s="302">
        <f t="shared" si="193"/>
        <v>47299</v>
      </c>
      <c r="W346" s="301">
        <f t="shared" si="193"/>
        <v>47483</v>
      </c>
      <c r="X346" s="300">
        <f t="shared" si="193"/>
        <v>47664</v>
      </c>
      <c r="Y346" s="300">
        <f t="shared" si="193"/>
        <v>47848</v>
      </c>
      <c r="Z346" s="300">
        <f t="shared" si="193"/>
        <v>48029</v>
      </c>
      <c r="AA346" s="300">
        <f t="shared" si="193"/>
        <v>48213</v>
      </c>
      <c r="AB346" s="300">
        <f t="shared" si="193"/>
        <v>48395</v>
      </c>
      <c r="AC346" s="300">
        <f t="shared" si="193"/>
        <v>48579</v>
      </c>
      <c r="AD346" s="300">
        <f t="shared" si="193"/>
        <v>48760</v>
      </c>
      <c r="AE346" s="300">
        <f t="shared" si="193"/>
        <v>48944</v>
      </c>
      <c r="AF346" s="300">
        <f t="shared" si="193"/>
        <v>49125</v>
      </c>
      <c r="AG346" s="303"/>
      <c r="AH346" s="724"/>
      <c r="AI346" s="724"/>
      <c r="AJ346" s="724"/>
      <c r="AK346" s="724"/>
      <c r="AL346" s="724">
        <f t="shared" ref="AL346:AX346" si="194">AL$6</f>
        <v>44742</v>
      </c>
      <c r="AM346" s="724">
        <f t="shared" si="194"/>
        <v>45107</v>
      </c>
      <c r="AN346" s="724">
        <f t="shared" si="194"/>
        <v>45473</v>
      </c>
      <c r="AO346" s="724">
        <f t="shared" si="194"/>
        <v>45838</v>
      </c>
      <c r="AP346" s="724">
        <f t="shared" si="194"/>
        <v>46203</v>
      </c>
      <c r="AQ346" s="724">
        <f t="shared" si="194"/>
        <v>46568</v>
      </c>
      <c r="AR346" s="724">
        <f t="shared" si="194"/>
        <v>46934</v>
      </c>
      <c r="AS346" s="724">
        <f t="shared" si="194"/>
        <v>47299</v>
      </c>
      <c r="AT346" s="724">
        <f t="shared" si="194"/>
        <v>47664</v>
      </c>
      <c r="AU346" s="724">
        <f t="shared" si="194"/>
        <v>48029</v>
      </c>
      <c r="AV346" s="724">
        <f t="shared" si="194"/>
        <v>48395</v>
      </c>
      <c r="AW346" s="724">
        <f t="shared" si="194"/>
        <v>48760</v>
      </c>
      <c r="AX346" s="724">
        <f t="shared" si="194"/>
        <v>49125</v>
      </c>
    </row>
    <row r="347" spans="1:50" s="704" customFormat="1">
      <c r="B347" s="705" t="s">
        <v>1448</v>
      </c>
      <c r="C347" s="706" t="str">
        <f>_xlfn.TEXTAFTER($B347,$C$344)&amp;" - old"</f>
        <v>Revenue - old</v>
      </c>
      <c r="D347" s="707" t="str" cm="1">
        <f t="array" ref="D347">_xlfn.XLOOKUP($B347,$B$96:$B$176,_xlfn.XLOOKUP(D$181,$D$5:$AX$5,$D$96:$AX$176))</f>
        <v>A$m</v>
      </c>
      <c r="E347" s="707"/>
      <c r="F347" s="707"/>
      <c r="G347" s="708"/>
      <c r="H347" s="708"/>
      <c r="I347" s="708" cm="1">
        <f t="array" ref="I347">_xlfn.XLOOKUP($B347,$B$96:$B$176,_xlfn.XLOOKUP(I$181,$D$5:$AX$5,$D$96:$AX$176))</f>
        <v>1274.5</v>
      </c>
      <c r="J347" s="708" cm="1">
        <f t="array" ref="J347">_xlfn.XLOOKUP($B347,$B$96:$B$176,_xlfn.XLOOKUP(J$181,$D$5:$AX$5,$D$96:$AX$176))</f>
        <v>1159.9000000000001</v>
      </c>
      <c r="K347" s="708" cm="1">
        <f t="array" ref="K347">_xlfn.XLOOKUP($B347,$B$96:$B$176,_xlfn.XLOOKUP(K$181,$D$5:$AX$5,$D$96:$AX$176))</f>
        <v>1209.5999999999999</v>
      </c>
      <c r="L347" s="708" cm="1">
        <f t="array" ref="L347">_xlfn.XLOOKUP($B347,$B$96:$B$176,_xlfn.XLOOKUP(L$181,$D$5:$AX$5,$D$96:$AX$176))</f>
        <v>1129.3000000000002</v>
      </c>
      <c r="M347" s="708" cm="1">
        <f t="array" ref="M347">_xlfn.XLOOKUP($B347,$B$96:$B$176,_xlfn.XLOOKUP(M$181,$D$5:$AX$5,$D$96:$AX$176))</f>
        <v>1331.3</v>
      </c>
      <c r="N347" s="708" cm="1">
        <f t="array" ref="N347">_xlfn.XLOOKUP($B347,$B$96:$B$176,_xlfn.XLOOKUP(N$181,$D$5:$AX$5,$D$96:$AX$176))</f>
        <v>1283.3</v>
      </c>
      <c r="O347" s="708" cm="1">
        <f t="array" ref="O347">_xlfn.XLOOKUP($B347,$B$96:$B$176,_xlfn.XLOOKUP(O$181,$D$5:$AX$5,$D$96:$AX$176))</f>
        <v>1344.9</v>
      </c>
      <c r="P347" s="708" cm="1">
        <f t="array" ref="P347">_xlfn.XLOOKUP($B347,$B$96:$B$176,_xlfn.XLOOKUP(P$181,$D$5:$AX$5,$D$96:$AX$176))</f>
        <v>1307.825135348</v>
      </c>
      <c r="Q347" s="708" cm="1">
        <f t="array" ref="Q347">_xlfn.XLOOKUP($B347,$B$96:$B$176,_xlfn.XLOOKUP(Q$181,$D$5:$AX$5,$D$96:$AX$176))</f>
        <v>1408.101334465</v>
      </c>
      <c r="R347" s="708" cm="1">
        <f t="array" ref="R347">_xlfn.XLOOKUP($B347,$B$96:$B$176,_xlfn.XLOOKUP(R$181,$D$5:$AX$5,$D$96:$AX$176))</f>
        <v>1335.8630276340002</v>
      </c>
      <c r="S347" s="708" cm="1">
        <f t="array" ref="S347">_xlfn.XLOOKUP($B347,$B$96:$B$176,_xlfn.XLOOKUP(S$181,$D$5:$AX$5,$D$96:$AX$176))</f>
        <v>1437.4303703315002</v>
      </c>
      <c r="T347" s="708" cm="1">
        <f t="array" ref="T347">_xlfn.XLOOKUP($B347,$B$96:$B$176,_xlfn.XLOOKUP(T$181,$D$5:$AX$5,$D$96:$AX$176))</f>
        <v>1366.2580580335402</v>
      </c>
      <c r="U347" s="708" cm="1">
        <f t="array" ref="U347">_xlfn.XLOOKUP($B347,$B$96:$B$176,_xlfn.XLOOKUP(U$181,$D$5:$AX$5,$D$96:$AX$176))</f>
        <v>1470.1256440972149</v>
      </c>
      <c r="V347" s="708" cm="1">
        <f t="array" ref="V347">_xlfn.XLOOKUP($B347,$B$96:$B$176,_xlfn.XLOOKUP(V$181,$D$5:$AX$5,$D$96:$AX$176))</f>
        <v>1397.4955207407716</v>
      </c>
      <c r="W347" s="708" cm="1">
        <f t="array" ref="W347">_xlfn.XLOOKUP($B347,$B$96:$B$176,_xlfn.XLOOKUP(W$181,$D$5:$AX$5,$D$96:$AX$176))</f>
        <v>1503.7260595104594</v>
      </c>
      <c r="X347" s="708" cm="1">
        <f t="array" ref="X347">_xlfn.XLOOKUP($B347,$B$96:$B$176,_xlfn.XLOOKUP(X$181,$D$5:$AX$5,$D$96:$AX$176))</f>
        <v>1429.6012359388822</v>
      </c>
      <c r="Y347" s="708" cm="1">
        <f t="array" ref="Y347">_xlfn.XLOOKUP($B347,$B$96:$B$176,_xlfn.XLOOKUP(Y$181,$D$5:$AX$5,$D$96:$AX$176))</f>
        <v>1538.2593078041241</v>
      </c>
      <c r="Z347" s="708" cm="1">
        <f t="array" ref="Z347">_xlfn.XLOOKUP($B347,$B$96:$B$176,_xlfn.XLOOKUP(Z$181,$D$5:$AX$5,$D$96:$AX$176))</f>
        <v>1462.6018574206953</v>
      </c>
      <c r="AA347" s="708" cm="1">
        <f t="array" ref="AA347">_xlfn.XLOOKUP($B347,$B$96:$B$176,_xlfn.XLOOKUP(AA$181,$D$5:$AX$5,$D$96:$AX$176))</f>
        <v>1573.7539720790232</v>
      </c>
      <c r="AB347" s="708" cm="1">
        <f t="array" ref="AB347">_xlfn.XLOOKUP($B347,$B$96:$B$176,_xlfn.XLOOKUP(AB$181,$D$5:$AX$5,$D$96:$AX$176))</f>
        <v>1496.5249004057987</v>
      </c>
      <c r="AC347" s="708" cm="1">
        <f t="array" ref="AC347">_xlfn.XLOOKUP($B347,$B$96:$B$176,_xlfn.XLOOKUP(AC$181,$D$5:$AX$5,$D$96:$AX$176))</f>
        <v>1599.2572564539823</v>
      </c>
      <c r="AD347" s="708" cm="1">
        <f t="array" ref="AD347">_xlfn.XLOOKUP($B347,$B$96:$B$176,_xlfn.XLOOKUP(AD$181,$D$5:$AX$5,$D$96:$AX$176))</f>
        <v>1521.1116306302233</v>
      </c>
      <c r="AE347" s="708" cm="1">
        <f t="array" ref="AE347">_xlfn.XLOOKUP($B347,$B$96:$B$176,_xlfn.XLOOKUP(AE$181,$D$5:$AX$5,$D$96:$AX$176))</f>
        <v>1625.7819183399047</v>
      </c>
      <c r="AF347" s="708" cm="1">
        <f t="array" ref="AF347">_xlfn.XLOOKUP($B347,$B$96:$B$176,_xlfn.XLOOKUP(AF$181,$D$5:$AX$5,$D$96:$AX$176))</f>
        <v>1546.6785131438721</v>
      </c>
      <c r="AG347" s="709"/>
      <c r="AH347" s="706" t="str">
        <f t="shared" ref="AH347:AH378" si="195">C347</f>
        <v>Revenue - old</v>
      </c>
      <c r="AI347" s="707" t="str" cm="1">
        <f t="array" ref="AI347">_xlfn.XLOOKUP($B347,$B$96:$B$176,_xlfn.XLOOKUP(AI$181,$D$5:$AX$5,$D$96:$AX$176))</f>
        <v>A$m</v>
      </c>
      <c r="AJ347" s="707"/>
      <c r="AK347" s="707"/>
      <c r="AL347" s="708" cm="1">
        <f t="array" ref="AL347">_xlfn.XLOOKUP($B347,$B$96:$B$176,_xlfn.XLOOKUP(AL$181,$D$5:$AX$5,$D$96:$AX$176))</f>
        <v>0</v>
      </c>
      <c r="AM347" s="708" cm="1">
        <f t="array" ref="AM347">_xlfn.XLOOKUP($B347,$B$96:$B$176,_xlfn.XLOOKUP(AM$181,$D$5:$AX$5,$D$96:$AX$176))</f>
        <v>2434.4</v>
      </c>
      <c r="AN347" s="708" cm="1">
        <f t="array" ref="AN347">_xlfn.XLOOKUP($B347,$B$96:$B$176,_xlfn.XLOOKUP(AN$181,$D$5:$AX$5,$D$96:$AX$176))</f>
        <v>2338.9</v>
      </c>
      <c r="AO347" s="708" cm="1">
        <f t="array" ref="AO347">_xlfn.XLOOKUP($B347,$B$96:$B$176,_xlfn.XLOOKUP(AO$181,$D$5:$AX$5,$D$96:$AX$176))</f>
        <v>2614.6</v>
      </c>
      <c r="AP347" s="708" cm="1">
        <f t="array" ref="AP347">_xlfn.XLOOKUP($B347,$B$96:$B$176,_xlfn.XLOOKUP(AP$181,$D$5:$AX$5,$D$96:$AX$176))</f>
        <v>2652.7251353480001</v>
      </c>
      <c r="AQ347" s="708" cm="1">
        <f t="array" ref="AQ347">_xlfn.XLOOKUP($B347,$B$96:$B$176,_xlfn.XLOOKUP(AQ$181,$D$5:$AX$5,$D$96:$AX$176))</f>
        <v>2743.964362099</v>
      </c>
      <c r="AR347" s="708" cm="1">
        <f t="array" ref="AR347">_xlfn.XLOOKUP($B347,$B$96:$B$176,_xlfn.XLOOKUP(AR$181,$D$5:$AX$5,$D$96:$AX$176))</f>
        <v>2803.6884283650406</v>
      </c>
      <c r="AS347" s="708" cm="1">
        <f t="array" ref="AS347">_xlfn.XLOOKUP($B347,$B$96:$B$176,_xlfn.XLOOKUP(AS$181,$D$5:$AX$5,$D$96:$AX$176))</f>
        <v>2867.6211648379867</v>
      </c>
      <c r="AT347" s="708" cm="1">
        <f t="array" ref="AT347">_xlfn.XLOOKUP($B347,$B$96:$B$176,_xlfn.XLOOKUP(AT$181,$D$5:$AX$5,$D$96:$AX$176))</f>
        <v>2933.3272954493414</v>
      </c>
      <c r="AU347" s="708" cm="1">
        <f t="array" ref="AU347">_xlfn.XLOOKUP($B347,$B$96:$B$176,_xlfn.XLOOKUP(AU$181,$D$5:$AX$5,$D$96:$AX$176))</f>
        <v>3000.8611652248192</v>
      </c>
      <c r="AV347" s="708" cm="1">
        <f t="array" ref="AV347">_xlfn.XLOOKUP($B347,$B$96:$B$176,_xlfn.XLOOKUP(AV$181,$D$5:$AX$5,$D$96:$AX$176))</f>
        <v>3070.2788724848219</v>
      </c>
      <c r="AW347" s="708" cm="1">
        <f t="array" ref="AW347">_xlfn.XLOOKUP($B347,$B$96:$B$176,_xlfn.XLOOKUP(AW$181,$D$5:$AX$5,$D$96:$AX$176))</f>
        <v>3120.3688870842057</v>
      </c>
      <c r="AX347" s="708" cm="1">
        <f t="array" ref="AX347">_xlfn.XLOOKUP($B347,$B$96:$B$176,_xlfn.XLOOKUP(AX$181,$D$5:$AX$5,$D$96:$AX$176))</f>
        <v>3172.460431483777</v>
      </c>
    </row>
    <row r="348" spans="1:50">
      <c r="B348" s="305" t="s">
        <v>1448</v>
      </c>
      <c r="C348" s="318" t="str">
        <f>_xlfn.TEXTAFTER($B348,$C$344)&amp;" - New"</f>
        <v>Revenue - New</v>
      </c>
      <c r="D348" s="311" t="str" cm="1">
        <f t="array" ref="D348">_xlfn.XLOOKUP($B348,$B$11:$B$91,_xlfn.XLOOKUP(D$181,$D$5:$AX$5,$D$11:$AX$91))</f>
        <v>A$m</v>
      </c>
      <c r="E348" s="311"/>
      <c r="F348" s="311"/>
      <c r="G348" s="312"/>
      <c r="H348" s="312"/>
      <c r="I348" s="312" cm="1">
        <f t="array" ref="I348">_xlfn.XLOOKUP($B348,$B$11:$B$91,_xlfn.XLOOKUP(I$181,$D$5:$AX$5,$D$11:$AX$91))</f>
        <v>1274.5</v>
      </c>
      <c r="J348" s="312" cm="1">
        <f t="array" ref="J348">_xlfn.XLOOKUP($B348,$B$11:$B$91,_xlfn.XLOOKUP(J$181,$D$5:$AX$5,$D$11:$AX$91))</f>
        <v>1159.9000000000001</v>
      </c>
      <c r="K348" s="312" cm="1">
        <f t="array" ref="K348">_xlfn.XLOOKUP($B348,$B$11:$B$91,_xlfn.XLOOKUP(K$181,$D$5:$AX$5,$D$11:$AX$91))</f>
        <v>1209.5999999999999</v>
      </c>
      <c r="L348" s="312" cm="1">
        <f t="array" ref="L348">_xlfn.XLOOKUP($B348,$B$11:$B$91,_xlfn.XLOOKUP(L$181,$D$5:$AX$5,$D$11:$AX$91))</f>
        <v>1129.3000000000002</v>
      </c>
      <c r="M348" s="312" cm="1">
        <f t="array" ref="M348">_xlfn.XLOOKUP($B348,$B$11:$B$91,_xlfn.XLOOKUP(M$181,$D$5:$AX$5,$D$11:$AX$91))</f>
        <v>1331.3</v>
      </c>
      <c r="N348" s="312" cm="1">
        <f t="array" ref="N348">_xlfn.XLOOKUP($B348,$B$11:$B$91,_xlfn.XLOOKUP(N$181,$D$5:$AX$5,$D$11:$AX$91))</f>
        <v>1283.3</v>
      </c>
      <c r="O348" s="312" cm="1">
        <f t="array" ref="O348">_xlfn.XLOOKUP($B348,$B$11:$B$91,_xlfn.XLOOKUP(O$181,$D$5:$AX$5,$D$11:$AX$91))</f>
        <v>1344.9</v>
      </c>
      <c r="P348" s="312" cm="1">
        <f t="array" ref="P348">_xlfn.XLOOKUP($B348,$B$11:$B$91,_xlfn.XLOOKUP(P$181,$D$5:$AX$5,$D$11:$AX$91))</f>
        <v>1291.4000000000001</v>
      </c>
      <c r="Q348" s="312" cm="1">
        <f t="array" ref="Q348">_xlfn.XLOOKUP($B348,$B$11:$B$91,_xlfn.XLOOKUP(Q$181,$D$5:$AX$5,$D$11:$AX$91))</f>
        <v>1400.9837626000001</v>
      </c>
      <c r="R348" s="312" cm="1">
        <f t="array" ref="R348">_xlfn.XLOOKUP($B348,$B$11:$B$91,_xlfn.XLOOKUP(R$181,$D$5:$AX$5,$D$11:$AX$91))</f>
        <v>1345.9845538500001</v>
      </c>
      <c r="S348" s="312" cm="1">
        <f t="array" ref="S348">_xlfn.XLOOKUP($B348,$B$11:$B$91,_xlfn.XLOOKUP(S$181,$D$5:$AX$5,$D$11:$AX$91))</f>
        <v>1458.358766001</v>
      </c>
      <c r="T348" s="312" cm="1">
        <f t="array" ref="T348">_xlfn.XLOOKUP($B348,$B$11:$B$91,_xlfn.XLOOKUP(T$181,$D$5:$AX$5,$D$11:$AX$91))</f>
        <v>1388.4989695240001</v>
      </c>
      <c r="U348" s="312" cm="1">
        <f t="array" ref="U348">_xlfn.XLOOKUP($B348,$B$11:$B$91,_xlfn.XLOOKUP(U$181,$D$5:$AX$5,$D$11:$AX$91))</f>
        <v>1474.9689453032995</v>
      </c>
      <c r="V348" s="312" cm="1">
        <f t="array" ref="V348">_xlfn.XLOOKUP($B348,$B$11:$B$91,_xlfn.XLOOKUP(V$181,$D$5:$AX$5,$D$11:$AX$91))</f>
        <v>1403.0377269744802</v>
      </c>
      <c r="W348" s="312" cm="1">
        <f t="array" ref="W348">_xlfn.XLOOKUP($B348,$B$11:$B$91,_xlfn.XLOOKUP(W$181,$D$5:$AX$5,$D$11:$AX$91))</f>
        <v>1508.701747551567</v>
      </c>
      <c r="X348" s="312" cm="1">
        <f t="array" ref="X348">_xlfn.XLOOKUP($B348,$B$11:$B$91,_xlfn.XLOOKUP(X$181,$D$5:$AX$5,$D$11:$AX$91))</f>
        <v>1435.5596450364148</v>
      </c>
      <c r="Y348" s="312" cm="1">
        <f t="array" ref="Y348">_xlfn.XLOOKUP($B348,$B$11:$B$91,_xlfn.XLOOKUP(Y$181,$D$5:$AX$5,$D$11:$AX$91))</f>
        <v>1532.8790624342341</v>
      </c>
      <c r="Z348" s="312" cm="1">
        <f t="array" ref="Z348">_xlfn.XLOOKUP($B348,$B$11:$B$91,_xlfn.XLOOKUP(Z$181,$D$5:$AX$5,$D$11:$AX$91))</f>
        <v>1459.4557426179608</v>
      </c>
      <c r="AA348" s="312" cm="1">
        <f t="array" ref="AA348">_xlfn.XLOOKUP($B348,$B$11:$B$91,_xlfn.XLOOKUP(AA$181,$D$5:$AX$5,$D$11:$AX$91))</f>
        <v>1557.9909741388201</v>
      </c>
      <c r="AB348" s="312" cm="1">
        <f t="array" ref="AB348">_xlfn.XLOOKUP($B348,$B$11:$B$91,_xlfn.XLOOKUP(AB$181,$D$5:$AX$5,$D$11:$AX$91))</f>
        <v>1484.258870044649</v>
      </c>
      <c r="AC348" s="312" cm="1">
        <f t="array" ref="AC348">_xlfn.XLOOKUP($B348,$B$11:$B$91,_xlfn.XLOOKUP(AC$181,$D$5:$AX$5,$D$11:$AX$91))</f>
        <v>1584.0634277962276</v>
      </c>
      <c r="AD348" s="312" cm="1">
        <f t="array" ref="AD348">_xlfn.XLOOKUP($B348,$B$11:$B$91,_xlfn.XLOOKUP(AD$181,$D$5:$AX$5,$D$11:$AX$91))</f>
        <v>1509.994336742657</v>
      </c>
      <c r="AE348" s="312" cm="1">
        <f t="array" ref="AE348">_xlfn.XLOOKUP($B348,$B$11:$B$91,_xlfn.XLOOKUP(AE$181,$D$5:$AX$5,$D$11:$AX$91))</f>
        <v>1611.1231678190259</v>
      </c>
      <c r="AF348" s="312" cm="1">
        <f t="array" ref="AF348">_xlfn.XLOOKUP($B348,$B$11:$B$91,_xlfn.XLOOKUP(AF$181,$D$5:$AX$5,$D$11:$AX$91))</f>
        <v>1536.6882304356377</v>
      </c>
      <c r="AG348" s="312"/>
      <c r="AH348" s="310" t="str">
        <f t="shared" si="195"/>
        <v>Revenue - New</v>
      </c>
      <c r="AI348" s="311" t="str" cm="1">
        <f t="array" ref="AI348">_xlfn.XLOOKUP($B348,$B$11:$B$91,_xlfn.XLOOKUP(AI$181,$D$5:$AX$5,$D$11:$AX$91))</f>
        <v>A$m</v>
      </c>
      <c r="AJ348" s="311"/>
      <c r="AK348" s="311"/>
      <c r="AL348" s="312" cm="1">
        <f t="array" ref="AL348">_xlfn.XLOOKUP($B348,$B$11:$B$91,_xlfn.XLOOKUP(AL$181,$D$5:$AX$5,$D$11:$AX$91))</f>
        <v>0</v>
      </c>
      <c r="AM348" s="312" cm="1">
        <f t="array" ref="AM348">_xlfn.XLOOKUP($B348,$B$11:$B$91,_xlfn.XLOOKUP(AM$181,$D$5:$AX$5,$D$11:$AX$91))</f>
        <v>2434.4</v>
      </c>
      <c r="AN348" s="312" cm="1">
        <f t="array" ref="AN348">_xlfn.XLOOKUP($B348,$B$11:$B$91,_xlfn.XLOOKUP(AN$181,$D$5:$AX$5,$D$11:$AX$91))</f>
        <v>2338.9</v>
      </c>
      <c r="AO348" s="312" cm="1">
        <f t="array" ref="AO348">_xlfn.XLOOKUP($B348,$B$11:$B$91,_xlfn.XLOOKUP(AO$181,$D$5:$AX$5,$D$11:$AX$91))</f>
        <v>2614.6</v>
      </c>
      <c r="AP348" s="312" cm="1">
        <f t="array" ref="AP348">_xlfn.XLOOKUP($B348,$B$11:$B$91,_xlfn.XLOOKUP(AP$181,$D$5:$AX$5,$D$11:$AX$91))</f>
        <v>2636.3</v>
      </c>
      <c r="AQ348" s="312" cm="1">
        <f t="array" ref="AQ348">_xlfn.XLOOKUP($B348,$B$11:$B$91,_xlfn.XLOOKUP(AQ$181,$D$5:$AX$5,$D$11:$AX$91))</f>
        <v>2746.9683164500002</v>
      </c>
      <c r="AR348" s="312" cm="1">
        <f t="array" ref="AR348">_xlfn.XLOOKUP($B348,$B$11:$B$91,_xlfn.XLOOKUP(AR$181,$D$5:$AX$5,$D$11:$AX$91))</f>
        <v>2846.857735525</v>
      </c>
      <c r="AS348" s="312" cm="1">
        <f t="array" ref="AS348">_xlfn.XLOOKUP($B348,$B$11:$B$91,_xlfn.XLOOKUP(AS$181,$D$5:$AX$5,$D$11:$AX$91))</f>
        <v>2878.0066722777797</v>
      </c>
      <c r="AT348" s="312" cm="1">
        <f t="array" ref="AT348">_xlfn.XLOOKUP($B348,$B$11:$B$91,_xlfn.XLOOKUP(AT$181,$D$5:$AX$5,$D$11:$AX$91))</f>
        <v>2944.2613925879818</v>
      </c>
      <c r="AU348" s="312" cm="1">
        <f t="array" ref="AU348">_xlfn.XLOOKUP($B348,$B$11:$B$91,_xlfn.XLOOKUP(AU$181,$D$5:$AX$5,$D$11:$AX$91))</f>
        <v>2992.334805052195</v>
      </c>
      <c r="AV348" s="312" cm="1">
        <f t="array" ref="AV348">_xlfn.XLOOKUP($B348,$B$11:$B$91,_xlfn.XLOOKUP(AV$181,$D$5:$AX$5,$D$11:$AX$91))</f>
        <v>3042.2498441834691</v>
      </c>
      <c r="AW348" s="312" cm="1">
        <f t="array" ref="AW348">_xlfn.XLOOKUP($B348,$B$11:$B$91,_xlfn.XLOOKUP(AW$181,$D$5:$AX$5,$D$11:$AX$91))</f>
        <v>3094.0577645388848</v>
      </c>
      <c r="AX348" s="312" cm="1">
        <f t="array" ref="AX348">_xlfn.XLOOKUP($B348,$B$11:$B$91,_xlfn.XLOOKUP(AX$181,$D$5:$AX$5,$D$11:$AX$91))</f>
        <v>3147.8113982546638</v>
      </c>
    </row>
    <row r="349" spans="1:50" hidden="1" outlineLevel="1">
      <c r="C349" s="313" t="s">
        <v>1121</v>
      </c>
      <c r="D349" s="307" t="s">
        <v>842</v>
      </c>
      <c r="E349" s="307"/>
      <c r="F349" s="307"/>
      <c r="G349" s="314"/>
      <c r="H349" s="314"/>
      <c r="I349" s="314" t="s">
        <v>967</v>
      </c>
      <c r="J349" s="314" t="s">
        <v>967</v>
      </c>
      <c r="K349" s="314">
        <f t="shared" ref="K349:AF349" si="196">K348/I348-1</f>
        <v>-5.092193016869373E-2</v>
      </c>
      <c r="L349" s="314">
        <f t="shared" si="196"/>
        <v>-2.6381584619363685E-2</v>
      </c>
      <c r="M349" s="314">
        <f t="shared" si="196"/>
        <v>0.10061177248677255</v>
      </c>
      <c r="N349" s="314">
        <f t="shared" si="196"/>
        <v>0.13636766138315748</v>
      </c>
      <c r="O349" s="314">
        <f t="shared" si="196"/>
        <v>1.0215578757605481E-2</v>
      </c>
      <c r="P349" s="314">
        <f t="shared" si="196"/>
        <v>6.3118522559029167E-3</v>
      </c>
      <c r="Q349" s="314">
        <f t="shared" si="196"/>
        <v>4.1701065209309274E-2</v>
      </c>
      <c r="R349" s="314">
        <f t="shared" si="196"/>
        <v>4.2267735674461848E-2</v>
      </c>
      <c r="S349" s="314">
        <f t="shared" si="196"/>
        <v>4.0953367863822532E-2</v>
      </c>
      <c r="T349" s="314">
        <f t="shared" si="196"/>
        <v>3.1586109626885017E-2</v>
      </c>
      <c r="U349" s="314">
        <f t="shared" si="196"/>
        <v>1.1389638605764141E-2</v>
      </c>
      <c r="V349" s="314">
        <f t="shared" si="196"/>
        <v>1.0470844969704407E-2</v>
      </c>
      <c r="W349" s="314">
        <f t="shared" si="196"/>
        <v>2.2870177948953962E-2</v>
      </c>
      <c r="X349" s="314">
        <f t="shared" si="196"/>
        <v>2.3179646161094469E-2</v>
      </c>
      <c r="Y349" s="314">
        <f t="shared" si="196"/>
        <v>1.6025244831792573E-2</v>
      </c>
      <c r="Z349" s="314">
        <f t="shared" si="196"/>
        <v>1.6645840989031102E-2</v>
      </c>
      <c r="AA349" s="314">
        <f t="shared" si="196"/>
        <v>1.638218716661699E-2</v>
      </c>
      <c r="AB349" s="314">
        <f t="shared" si="196"/>
        <v>1.6994778740050398E-2</v>
      </c>
      <c r="AC349" s="314">
        <f t="shared" si="196"/>
        <v>1.6734662838351344E-2</v>
      </c>
      <c r="AD349" s="314">
        <f t="shared" si="196"/>
        <v>1.7338934075046941E-2</v>
      </c>
      <c r="AE349" s="314">
        <f t="shared" si="196"/>
        <v>1.7082485175763606E-2</v>
      </c>
      <c r="AF349" s="314">
        <f t="shared" si="196"/>
        <v>1.7678141595262264E-2</v>
      </c>
      <c r="AG349" s="315"/>
      <c r="AH349" s="313" t="str">
        <f t="shared" si="195"/>
        <v>- Growth</v>
      </c>
      <c r="AI349" s="307" t="str">
        <f>D349</f>
        <v>%</v>
      </c>
      <c r="AJ349" s="307"/>
      <c r="AK349" s="307"/>
      <c r="AL349" s="314" t="s">
        <v>967</v>
      </c>
      <c r="AM349" s="314" t="s">
        <v>967</v>
      </c>
      <c r="AN349" s="314">
        <f t="shared" ref="AN349:AX349" si="197">AN348/AM348-1</f>
        <v>-3.922937890239897E-2</v>
      </c>
      <c r="AO349" s="314">
        <f t="shared" si="197"/>
        <v>0.11787592457993057</v>
      </c>
      <c r="AP349" s="314">
        <f t="shared" si="197"/>
        <v>8.2995486881358715E-3</v>
      </c>
      <c r="AQ349" s="314">
        <f t="shared" si="197"/>
        <v>4.1978650551909968E-2</v>
      </c>
      <c r="AR349" s="314">
        <f t="shared" si="197"/>
        <v>3.6363513360099464E-2</v>
      </c>
      <c r="AS349" s="314">
        <f t="shared" si="197"/>
        <v>1.0941515048006334E-2</v>
      </c>
      <c r="AT349" s="314">
        <f t="shared" si="197"/>
        <v>2.3021044721124762E-2</v>
      </c>
      <c r="AU349" s="314">
        <f t="shared" si="197"/>
        <v>1.6327834405340358E-2</v>
      </c>
      <c r="AV349" s="314">
        <f t="shared" si="197"/>
        <v>1.6680967332598939E-2</v>
      </c>
      <c r="AW349" s="314">
        <f t="shared" si="197"/>
        <v>1.7029475884259959E-2</v>
      </c>
      <c r="AX349" s="314">
        <f t="shared" si="197"/>
        <v>1.7373183633431655E-2</v>
      </c>
    </row>
    <row r="350" spans="1:50" collapsed="1">
      <c r="C350" s="313" t="s">
        <v>1122</v>
      </c>
      <c r="D350" s="307" t="s">
        <v>842</v>
      </c>
      <c r="E350" s="307"/>
      <c r="F350" s="307"/>
      <c r="G350" s="314"/>
      <c r="H350" s="314"/>
      <c r="I350" s="314">
        <f t="shared" ref="I350:AF350" si="198" xml:space="preserve"> IFERROR(ROUND( I348 / I347,3) - 1, 0)</f>
        <v>0</v>
      </c>
      <c r="J350" s="314">
        <f t="shared" si="198"/>
        <v>0</v>
      </c>
      <c r="K350" s="314">
        <f t="shared" si="198"/>
        <v>0</v>
      </c>
      <c r="L350" s="314">
        <f t="shared" si="198"/>
        <v>0</v>
      </c>
      <c r="M350" s="314">
        <f t="shared" si="198"/>
        <v>0</v>
      </c>
      <c r="N350" s="314">
        <f t="shared" si="198"/>
        <v>0</v>
      </c>
      <c r="O350" s="314">
        <f t="shared" si="198"/>
        <v>0</v>
      </c>
      <c r="P350" s="314">
        <f t="shared" si="198"/>
        <v>-1.3000000000000012E-2</v>
      </c>
      <c r="Q350" s="314">
        <f t="shared" si="198"/>
        <v>-5.0000000000000044E-3</v>
      </c>
      <c r="R350" s="314">
        <f t="shared" si="198"/>
        <v>8.0000000000000071E-3</v>
      </c>
      <c r="S350" s="314">
        <f t="shared" si="198"/>
        <v>1.4999999999999902E-2</v>
      </c>
      <c r="T350" s="314">
        <f t="shared" si="198"/>
        <v>1.6000000000000014E-2</v>
      </c>
      <c r="U350" s="314">
        <f t="shared" si="198"/>
        <v>2.9999999999998916E-3</v>
      </c>
      <c r="V350" s="314">
        <f t="shared" si="198"/>
        <v>4.0000000000000036E-3</v>
      </c>
      <c r="W350" s="314">
        <f t="shared" si="198"/>
        <v>2.9999999999998916E-3</v>
      </c>
      <c r="X350" s="314">
        <f t="shared" si="198"/>
        <v>4.0000000000000036E-3</v>
      </c>
      <c r="Y350" s="314">
        <f t="shared" si="198"/>
        <v>-3.0000000000000027E-3</v>
      </c>
      <c r="Z350" s="314">
        <f t="shared" si="198"/>
        <v>-2.0000000000000018E-3</v>
      </c>
      <c r="AA350" s="314">
        <f t="shared" si="198"/>
        <v>-1.0000000000000009E-2</v>
      </c>
      <c r="AB350" s="314">
        <f t="shared" si="198"/>
        <v>-8.0000000000000071E-3</v>
      </c>
      <c r="AC350" s="314">
        <f t="shared" si="198"/>
        <v>-1.0000000000000009E-2</v>
      </c>
      <c r="AD350" s="314">
        <f t="shared" si="198"/>
        <v>-7.0000000000000062E-3</v>
      </c>
      <c r="AE350" s="314">
        <f t="shared" si="198"/>
        <v>-9.000000000000008E-3</v>
      </c>
      <c r="AF350" s="314">
        <f t="shared" si="198"/>
        <v>-6.0000000000000053E-3</v>
      </c>
      <c r="AG350" s="314"/>
      <c r="AH350" s="313" t="str">
        <f t="shared" si="195"/>
        <v>- Revision</v>
      </c>
      <c r="AI350" s="307" t="str">
        <f>D350</f>
        <v>%</v>
      </c>
      <c r="AJ350" s="307"/>
      <c r="AK350" s="307"/>
      <c r="AL350" s="314">
        <f t="shared" ref="AL350:AX350" si="199" xml:space="preserve"> IFERROR(ROUND( AL348 / AL347,3) - 1, 0)</f>
        <v>0</v>
      </c>
      <c r="AM350" s="314">
        <f t="shared" si="199"/>
        <v>0</v>
      </c>
      <c r="AN350" s="314">
        <f t="shared" si="199"/>
        <v>0</v>
      </c>
      <c r="AO350" s="314">
        <f t="shared" si="199"/>
        <v>0</v>
      </c>
      <c r="AP350" s="314">
        <f t="shared" si="199"/>
        <v>-6.0000000000000053E-3</v>
      </c>
      <c r="AQ350" s="314">
        <f t="shared" si="199"/>
        <v>9.9999999999988987E-4</v>
      </c>
      <c r="AR350" s="314">
        <f t="shared" si="199"/>
        <v>1.4999999999999902E-2</v>
      </c>
      <c r="AS350" s="314">
        <f t="shared" si="199"/>
        <v>4.0000000000000036E-3</v>
      </c>
      <c r="AT350" s="314">
        <f t="shared" si="199"/>
        <v>4.0000000000000036E-3</v>
      </c>
      <c r="AU350" s="314">
        <f t="shared" si="199"/>
        <v>-3.0000000000000027E-3</v>
      </c>
      <c r="AV350" s="314">
        <f t="shared" si="199"/>
        <v>-9.000000000000008E-3</v>
      </c>
      <c r="AW350" s="314">
        <f t="shared" si="199"/>
        <v>-8.0000000000000071E-3</v>
      </c>
      <c r="AX350" s="314">
        <f t="shared" si="199"/>
        <v>-8.0000000000000071E-3</v>
      </c>
    </row>
    <row r="351" spans="1:50">
      <c r="B351" s="305" t="s">
        <v>1449</v>
      </c>
      <c r="C351" s="706" t="str">
        <f>_xlfn.TEXTAFTER($B351,$C$344)&amp;" - old"</f>
        <v>Taxes &amp; Commissions - old</v>
      </c>
      <c r="D351" s="707" t="str" cm="1">
        <f t="array" ref="D351">_xlfn.XLOOKUP($B351,$B$96:$B$176,_xlfn.XLOOKUP(D$181,$D$5:$AX$5,$D$96:$AX$176))</f>
        <v>A$m</v>
      </c>
      <c r="E351" s="307"/>
      <c r="F351" s="307"/>
      <c r="G351" s="708"/>
      <c r="H351" s="708"/>
      <c r="I351" s="708" cm="1">
        <f t="array" ref="I351">_xlfn.XLOOKUP($B351,$B$96:$B$176,_xlfn.XLOOKUP(I$181,$D$5:$AX$5,$D$96:$AX$176))</f>
        <v>-774.80000000000007</v>
      </c>
      <c r="J351" s="708" cm="1">
        <f t="array" ref="J351">_xlfn.XLOOKUP($B351,$B$96:$B$176,_xlfn.XLOOKUP(J$181,$D$5:$AX$5,$D$96:$AX$176))</f>
        <v>-691.40000000000009</v>
      </c>
      <c r="K351" s="708" cm="1">
        <f t="array" ref="K351">_xlfn.XLOOKUP($B351,$B$96:$B$176,_xlfn.XLOOKUP(K$181,$D$5:$AX$5,$D$96:$AX$176))</f>
        <v>-723.99999999999989</v>
      </c>
      <c r="L351" s="708" cm="1">
        <f t="array" ref="L351">_xlfn.XLOOKUP($B351,$B$96:$B$176,_xlfn.XLOOKUP(L$181,$D$5:$AX$5,$D$96:$AX$176))</f>
        <v>-683.20000000000016</v>
      </c>
      <c r="M351" s="708" cm="1">
        <f t="array" ref="M351">_xlfn.XLOOKUP($B351,$B$96:$B$176,_xlfn.XLOOKUP(M$181,$D$5:$AX$5,$D$96:$AX$176))</f>
        <v>-786.9</v>
      </c>
      <c r="N351" s="708" cm="1">
        <f t="array" ref="N351">_xlfn.XLOOKUP($B351,$B$96:$B$176,_xlfn.XLOOKUP(N$181,$D$5:$AX$5,$D$96:$AX$176))</f>
        <v>-739.00000000000023</v>
      </c>
      <c r="O351" s="708" cm="1">
        <f t="array" ref="O351">_xlfn.XLOOKUP($B351,$B$96:$B$176,_xlfn.XLOOKUP(O$181,$D$5:$AX$5,$D$96:$AX$176))</f>
        <v>-777.30000000000007</v>
      </c>
      <c r="P351" s="708" cm="1">
        <f t="array" ref="P351">_xlfn.XLOOKUP($B351,$B$96:$B$176,_xlfn.XLOOKUP(P$181,$D$5:$AX$5,$D$96:$AX$176))</f>
        <v>-749.8164921179731</v>
      </c>
      <c r="Q351" s="708" cm="1">
        <f t="array" ref="Q351">_xlfn.XLOOKUP($B351,$B$96:$B$176,_xlfn.XLOOKUP(Q$181,$D$5:$AX$5,$D$96:$AX$176))</f>
        <v>-802.87170402364995</v>
      </c>
      <c r="R351" s="708" cm="1">
        <f t="array" ref="R351">_xlfn.XLOOKUP($B351,$B$96:$B$176,_xlfn.XLOOKUP(R$181,$D$5:$AX$5,$D$96:$AX$176))</f>
        <v>-756.73022074279379</v>
      </c>
      <c r="S351" s="708" cm="1">
        <f t="array" ref="S351">_xlfn.XLOOKUP($B351,$B$96:$B$176,_xlfn.XLOOKUP(S$181,$D$5:$AX$5,$D$96:$AX$176))</f>
        <v>-816.40002092155214</v>
      </c>
      <c r="T351" s="708" cm="1">
        <f t="array" ref="T351">_xlfn.XLOOKUP($B351,$B$96:$B$176,_xlfn.XLOOKUP(T$181,$D$5:$AX$5,$D$96:$AX$176))</f>
        <v>-773.54616422395372</v>
      </c>
      <c r="U351" s="708" cm="1">
        <f t="array" ref="U351">_xlfn.XLOOKUP($B351,$B$96:$B$176,_xlfn.XLOOKUP(U$181,$D$5:$AX$5,$D$96:$AX$176))</f>
        <v>-834.55201804390663</v>
      </c>
      <c r="V351" s="708" cm="1">
        <f t="array" ref="V351">_xlfn.XLOOKUP($B351,$B$96:$B$176,_xlfn.XLOOKUP(V$181,$D$5:$AX$5,$D$96:$AX$176))</f>
        <v>-790.82437949813732</v>
      </c>
      <c r="W351" s="708" cm="1">
        <f t="array" ref="W351">_xlfn.XLOOKUP($B351,$B$96:$B$176,_xlfn.XLOOKUP(W$181,$D$5:$AX$5,$D$96:$AX$176))</f>
        <v>-853.20253940814325</v>
      </c>
      <c r="X351" s="708" cm="1">
        <f t="array" ref="X351">_xlfn.XLOOKUP($B351,$B$96:$B$176,_xlfn.XLOOKUP(X$181,$D$5:$AX$5,$D$96:$AX$176))</f>
        <v>-808.57906742522096</v>
      </c>
      <c r="Y351" s="708" cm="1">
        <f t="array" ref="Y351">_xlfn.XLOOKUP($B351,$B$96:$B$176,_xlfn.XLOOKUP(Y$181,$D$5:$AX$5,$D$96:$AX$176))</f>
        <v>-872.36686722746492</v>
      </c>
      <c r="Z351" s="708" cm="1">
        <f t="array" ref="Z351">_xlfn.XLOOKUP($B351,$B$96:$B$176,_xlfn.XLOOKUP(Z$181,$D$5:$AX$5,$D$96:$AX$176))</f>
        <v>-826.82489076539468</v>
      </c>
      <c r="AA351" s="708" cm="1">
        <f t="array" ref="AA351">_xlfn.XLOOKUP($B351,$B$96:$B$176,_xlfn.XLOOKUP(AA$181,$D$5:$AX$5,$D$96:$AX$176))</f>
        <v>-892.06077934908024</v>
      </c>
      <c r="AB351" s="708" cm="1">
        <f t="array" ref="AB351">_xlfn.XLOOKUP($B351,$B$96:$B$176,_xlfn.XLOOKUP(AB$181,$D$5:$AX$5,$D$96:$AX$176))</f>
        <v>-845.57698974394589</v>
      </c>
      <c r="AC351" s="708" cm="1">
        <f t="array" ref="AC351">_xlfn.XLOOKUP($B351,$B$96:$B$176,_xlfn.XLOOKUP(AC$181,$D$5:$AX$5,$D$96:$AX$176))</f>
        <v>-905.62332717880656</v>
      </c>
      <c r="AD351" s="708" cm="1">
        <f t="array" ref="AD351">_xlfn.XLOOKUP($B351,$B$96:$B$176,_xlfn.XLOOKUP(AD$181,$D$5:$AX$5,$D$96:$AX$176))</f>
        <v>-858.59641722931269</v>
      </c>
      <c r="AE351" s="708" cm="1">
        <f t="array" ref="AE351">_xlfn.XLOOKUP($B351,$B$96:$B$176,_xlfn.XLOOKUP(AE$181,$D$5:$AX$5,$D$96:$AX$176))</f>
        <v>-919.74856906309083</v>
      </c>
      <c r="AF351" s="708" cm="1">
        <f t="array" ref="AF351">_xlfn.XLOOKUP($B351,$B$96:$B$176,_xlfn.XLOOKUP(AF$181,$D$5:$AX$5,$D$96:$AX$176))</f>
        <v>-872.15389817179539</v>
      </c>
      <c r="AG351" s="309"/>
      <c r="AH351" s="306" t="str">
        <f t="shared" si="195"/>
        <v>Taxes &amp; Commissions - old</v>
      </c>
      <c r="AI351" s="707" t="str" cm="1">
        <f t="array" ref="AI351">_xlfn.XLOOKUP($B351,$B$96:$B$176,_xlfn.XLOOKUP(AI$181,$D$5:$AX$5,$D$96:$AX$176))</f>
        <v>A$m</v>
      </c>
      <c r="AJ351" s="307"/>
      <c r="AK351" s="307"/>
      <c r="AL351" s="708" cm="1">
        <f t="array" ref="AL351">_xlfn.XLOOKUP($B351,$B$96:$B$176,_xlfn.XLOOKUP(AL$181,$D$5:$AX$5,$D$96:$AX$176))</f>
        <v>0</v>
      </c>
      <c r="AM351" s="708" cm="1">
        <f t="array" ref="AM351">_xlfn.XLOOKUP($B351,$B$96:$B$176,_xlfn.XLOOKUP(AM$181,$D$5:$AX$5,$D$96:$AX$176))</f>
        <v>-1466.2000000000003</v>
      </c>
      <c r="AN351" s="708" cm="1">
        <f t="array" ref="AN351">_xlfn.XLOOKUP($B351,$B$96:$B$176,_xlfn.XLOOKUP(AN$181,$D$5:$AX$5,$D$96:$AX$176))</f>
        <v>-1407.2</v>
      </c>
      <c r="AO351" s="708" cm="1">
        <f t="array" ref="AO351">_xlfn.XLOOKUP($B351,$B$96:$B$176,_xlfn.XLOOKUP(AO$181,$D$5:$AX$5,$D$96:$AX$176))</f>
        <v>-1525.9</v>
      </c>
      <c r="AP351" s="708" cm="1">
        <f t="array" ref="AP351">_xlfn.XLOOKUP($B351,$B$96:$B$176,_xlfn.XLOOKUP(AP$181,$D$5:$AX$5,$D$96:$AX$176))</f>
        <v>-1527.1164921179732</v>
      </c>
      <c r="AQ351" s="708" cm="1">
        <f t="array" ref="AQ351">_xlfn.XLOOKUP($B351,$B$96:$B$176,_xlfn.XLOOKUP(AQ$181,$D$5:$AX$5,$D$96:$AX$176))</f>
        <v>-1559.6019247664437</v>
      </c>
      <c r="AR351" s="708" cm="1">
        <f t="array" ref="AR351">_xlfn.XLOOKUP($B351,$B$96:$B$176,_xlfn.XLOOKUP(AR$181,$D$5:$AX$5,$D$96:$AX$176))</f>
        <v>-1589.9461851455058</v>
      </c>
      <c r="AS351" s="708" cm="1">
        <f t="array" ref="AS351">_xlfn.XLOOKUP($B351,$B$96:$B$176,_xlfn.XLOOKUP(AS$181,$D$5:$AX$5,$D$96:$AX$176))</f>
        <v>-1625.3763975420438</v>
      </c>
      <c r="AT351" s="708" cm="1">
        <f t="array" ref="AT351">_xlfn.XLOOKUP($B351,$B$96:$B$176,_xlfn.XLOOKUP(AT$181,$D$5:$AX$5,$D$96:$AX$176))</f>
        <v>-1661.7816068333641</v>
      </c>
      <c r="AU351" s="708" cm="1">
        <f t="array" ref="AU351">_xlfn.XLOOKUP($B351,$B$96:$B$176,_xlfn.XLOOKUP(AU$181,$D$5:$AX$5,$D$96:$AX$176))</f>
        <v>-1699.1917579928595</v>
      </c>
      <c r="AV351" s="708" cm="1">
        <f t="array" ref="AV351">_xlfn.XLOOKUP($B351,$B$96:$B$176,_xlfn.XLOOKUP(AV$181,$D$5:$AX$5,$D$96:$AX$176))</f>
        <v>-1737.6377690930262</v>
      </c>
      <c r="AW351" s="708" cm="1">
        <f t="array" ref="AW351">_xlfn.XLOOKUP($B351,$B$96:$B$176,_xlfn.XLOOKUP(AW$181,$D$5:$AX$5,$D$96:$AX$176))</f>
        <v>-1764.2197444081194</v>
      </c>
      <c r="AX351" s="708" cm="1">
        <f t="array" ref="AX351">_xlfn.XLOOKUP($B351,$B$96:$B$176,_xlfn.XLOOKUP(AX$181,$D$5:$AX$5,$D$96:$AX$176))</f>
        <v>-1791.9024672348862</v>
      </c>
    </row>
    <row r="352" spans="1:50">
      <c r="B352" s="305" t="s">
        <v>1449</v>
      </c>
      <c r="C352" s="318" t="str">
        <f>_xlfn.TEXTAFTER($B352,$C$344)&amp;" - New"</f>
        <v>Taxes &amp; Commissions - New</v>
      </c>
      <c r="D352" s="311" t="str" cm="1">
        <f t="array" ref="D352">_xlfn.XLOOKUP($B352,$B$11:$B$91,_xlfn.XLOOKUP(D$181,$D$5:$AX$5,$D$11:$AX$91))</f>
        <v>A$m</v>
      </c>
      <c r="E352" s="311"/>
      <c r="F352" s="311"/>
      <c r="G352" s="312"/>
      <c r="H352" s="312"/>
      <c r="I352" s="312" cm="1">
        <f t="array" ref="I352">_xlfn.XLOOKUP($B352,$B$11:$B$91,_xlfn.XLOOKUP(I$181,$D$5:$AX$5,$D$11:$AX$91))</f>
        <v>-774.80000000000007</v>
      </c>
      <c r="J352" s="312" cm="1">
        <f t="array" ref="J352">_xlfn.XLOOKUP($B352,$B$11:$B$91,_xlfn.XLOOKUP(J$181,$D$5:$AX$5,$D$11:$AX$91))</f>
        <v>-691.40000000000009</v>
      </c>
      <c r="K352" s="312" cm="1">
        <f t="array" ref="K352">_xlfn.XLOOKUP($B352,$B$11:$B$91,_xlfn.XLOOKUP(K$181,$D$5:$AX$5,$D$11:$AX$91))</f>
        <v>-723.09999999999991</v>
      </c>
      <c r="L352" s="312" cm="1">
        <f t="array" ref="L352">_xlfn.XLOOKUP($B352,$B$11:$B$91,_xlfn.XLOOKUP(L$181,$D$5:$AX$5,$D$11:$AX$91))</f>
        <v>-683.20000000000027</v>
      </c>
      <c r="M352" s="312" cm="1">
        <f t="array" ref="M352">_xlfn.XLOOKUP($B352,$B$11:$B$91,_xlfn.XLOOKUP(M$181,$D$5:$AX$5,$D$11:$AX$91))</f>
        <v>-786.9</v>
      </c>
      <c r="N352" s="312" cm="1">
        <f t="array" ref="N352">_xlfn.XLOOKUP($B352,$B$11:$B$91,_xlfn.XLOOKUP(N$181,$D$5:$AX$5,$D$11:$AX$91))</f>
        <v>-739.00000000000023</v>
      </c>
      <c r="O352" s="312" cm="1">
        <f t="array" ref="O352">_xlfn.XLOOKUP($B352,$B$11:$B$91,_xlfn.XLOOKUP(O$181,$D$5:$AX$5,$D$11:$AX$91))</f>
        <v>-777.30000000000007</v>
      </c>
      <c r="P352" s="312" cm="1">
        <f t="array" ref="P352">_xlfn.XLOOKUP($B352,$B$11:$B$91,_xlfn.XLOOKUP(P$181,$D$5:$AX$5,$D$11:$AX$91))</f>
        <v>-726.59999999999968</v>
      </c>
      <c r="Q352" s="312" cm="1">
        <f t="array" ref="Q352">_xlfn.XLOOKUP($B352,$B$11:$B$91,_xlfn.XLOOKUP(Q$181,$D$5:$AX$5,$D$11:$AX$91))</f>
        <v>-791.67068439580316</v>
      </c>
      <c r="R352" s="312" cm="1">
        <f t="array" ref="R352">_xlfn.XLOOKUP($B352,$B$11:$B$91,_xlfn.XLOOKUP(R$181,$D$5:$AX$5,$D$11:$AX$91))</f>
        <v>-752.56766757925004</v>
      </c>
      <c r="S352" s="312" cm="1">
        <f t="array" ref="S352">_xlfn.XLOOKUP($B352,$B$11:$B$91,_xlfn.XLOOKUP(S$181,$D$5:$AX$5,$D$11:$AX$91))</f>
        <v>-809.65109915397818</v>
      </c>
      <c r="T352" s="312" cm="1">
        <f t="array" ref="T352">_xlfn.XLOOKUP($B352,$B$11:$B$91,_xlfn.XLOOKUP(T$181,$D$5:$AX$5,$D$11:$AX$91))</f>
        <v>-764.57639562452005</v>
      </c>
      <c r="U352" s="312" cm="1">
        <f t="array" ref="U352">_xlfn.XLOOKUP($B352,$B$11:$B$91,_xlfn.XLOOKUP(U$181,$D$5:$AX$5,$D$11:$AX$91))</f>
        <v>-812.08057900357062</v>
      </c>
      <c r="V352" s="312" cm="1">
        <f t="array" ref="V352">_xlfn.XLOOKUP($B352,$B$11:$B$91,_xlfn.XLOOKUP(V$181,$D$5:$AX$5,$D$11:$AX$91))</f>
        <v>-768.75837945393539</v>
      </c>
      <c r="W352" s="312" cm="1">
        <f t="array" ref="W352">_xlfn.XLOOKUP($B352,$B$11:$B$91,_xlfn.XLOOKUP(W$181,$D$5:$AX$5,$D$11:$AX$91))</f>
        <v>-830.08065537662469</v>
      </c>
      <c r="X352" s="312" cm="1">
        <f t="array" ref="X352">_xlfn.XLOOKUP($B352,$B$11:$B$91,_xlfn.XLOOKUP(X$181,$D$5:$AX$5,$D$11:$AX$91))</f>
        <v>-786.03175652043706</v>
      </c>
      <c r="Y352" s="312" cm="1">
        <f t="array" ref="Y352">_xlfn.XLOOKUP($B352,$B$11:$B$91,_xlfn.XLOOKUP(Y$181,$D$5:$AX$5,$D$11:$AX$91))</f>
        <v>-842.22741382387608</v>
      </c>
      <c r="Z352" s="312" cm="1">
        <f t="array" ref="Z352">_xlfn.XLOOKUP($B352,$B$11:$B$91,_xlfn.XLOOKUP(Z$181,$D$5:$AX$5,$D$11:$AX$91))</f>
        <v>-798.01444069547472</v>
      </c>
      <c r="AA352" s="312" cm="1">
        <f t="array" ref="AA352">_xlfn.XLOOKUP($B352,$B$11:$B$91,_xlfn.XLOOKUP(AA$181,$D$5:$AX$5,$D$11:$AX$91))</f>
        <v>-854.86518783668555</v>
      </c>
      <c r="AB352" s="312" cm="1">
        <f t="array" ref="AB352">_xlfn.XLOOKUP($B352,$B$11:$B$91,_xlfn.XLOOKUP(AB$181,$D$5:$AX$5,$D$11:$AX$91))</f>
        <v>-810.47164428096937</v>
      </c>
      <c r="AC352" s="312" cm="1">
        <f t="array" ref="AC352">_xlfn.XLOOKUP($B352,$B$11:$B$91,_xlfn.XLOOKUP(AC$181,$D$5:$AX$5,$D$11:$AX$91))</f>
        <v>-868.00744175389809</v>
      </c>
      <c r="AD352" s="312" cm="1">
        <f t="array" ref="AD352">_xlfn.XLOOKUP($B352,$B$11:$B$91,_xlfn.XLOOKUP(AD$181,$D$5:$AX$5,$D$11:$AX$91))</f>
        <v>-823.41645247038275</v>
      </c>
      <c r="AE352" s="312" cm="1">
        <f t="array" ref="AE352">_xlfn.XLOOKUP($B352,$B$11:$B$91,_xlfn.XLOOKUP(AE$181,$D$5:$AX$5,$D$11:$AX$91))</f>
        <v>-881.66805650580625</v>
      </c>
      <c r="AF352" s="312" cm="1">
        <f t="array" ref="AF352">_xlfn.XLOOKUP($B352,$B$11:$B$91,_xlfn.XLOOKUP(AF$181,$D$5:$AX$5,$D$11:$AX$91))</f>
        <v>-836.86235451686844</v>
      </c>
      <c r="AG352" s="312"/>
      <c r="AH352" s="310" t="str">
        <f t="shared" si="195"/>
        <v>Taxes &amp; Commissions - New</v>
      </c>
      <c r="AI352" s="311" t="str" cm="1">
        <f t="array" ref="AI352">_xlfn.XLOOKUP($B352,$B$11:$B$91,_xlfn.XLOOKUP(AI$181,$D$5:$AX$5,$D$11:$AX$91))</f>
        <v>A$m</v>
      </c>
      <c r="AJ352" s="311"/>
      <c r="AK352" s="311"/>
      <c r="AL352" s="312" cm="1">
        <f t="array" ref="AL352">_xlfn.XLOOKUP($B352,$B$11:$B$91,_xlfn.XLOOKUP(AL$181,$D$5:$AX$5,$D$11:$AX$91))</f>
        <v>0</v>
      </c>
      <c r="AM352" s="312" cm="1">
        <f t="array" ref="AM352">_xlfn.XLOOKUP($B352,$B$11:$B$91,_xlfn.XLOOKUP(AM$181,$D$5:$AX$5,$D$11:$AX$91))</f>
        <v>-1466.2000000000003</v>
      </c>
      <c r="AN352" s="312" cm="1">
        <f t="array" ref="AN352">_xlfn.XLOOKUP($B352,$B$11:$B$91,_xlfn.XLOOKUP(AN$181,$D$5:$AX$5,$D$11:$AX$91))</f>
        <v>-1406.3000000000002</v>
      </c>
      <c r="AO352" s="312" cm="1">
        <f t="array" ref="AO352">_xlfn.XLOOKUP($B352,$B$11:$B$91,_xlfn.XLOOKUP(AO$181,$D$5:$AX$5,$D$11:$AX$91))</f>
        <v>-1525.9</v>
      </c>
      <c r="AP352" s="312" cm="1">
        <f t="array" ref="AP352">_xlfn.XLOOKUP($B352,$B$11:$B$91,_xlfn.XLOOKUP(AP$181,$D$5:$AX$5,$D$11:$AX$91))</f>
        <v>-1503.8999999999996</v>
      </c>
      <c r="AQ352" s="312" cm="1">
        <f t="array" ref="AQ352">_xlfn.XLOOKUP($B352,$B$11:$B$91,_xlfn.XLOOKUP(AQ$181,$D$5:$AX$5,$D$11:$AX$91))</f>
        <v>-1544.2383519750533</v>
      </c>
      <c r="AR352" s="312" cm="1">
        <f t="array" ref="AR352">_xlfn.XLOOKUP($B352,$B$11:$B$91,_xlfn.XLOOKUP(AR$181,$D$5:$AX$5,$D$11:$AX$91))</f>
        <v>-1574.2274947784981</v>
      </c>
      <c r="AS352" s="312" cm="1">
        <f t="array" ref="AS352">_xlfn.XLOOKUP($B352,$B$11:$B$91,_xlfn.XLOOKUP(AS$181,$D$5:$AX$5,$D$11:$AX$91))</f>
        <v>-1580.8389584575061</v>
      </c>
      <c r="AT352" s="312" cm="1">
        <f t="array" ref="AT352">_xlfn.XLOOKUP($B352,$B$11:$B$91,_xlfn.XLOOKUP(AT$181,$D$5:$AX$5,$D$11:$AX$91))</f>
        <v>-1616.1124118970617</v>
      </c>
      <c r="AU352" s="312" cm="1">
        <f t="array" ref="AU352">_xlfn.XLOOKUP($B352,$B$11:$B$91,_xlfn.XLOOKUP(AU$181,$D$5:$AX$5,$D$11:$AX$91))</f>
        <v>-1640.2418545193509</v>
      </c>
      <c r="AV352" s="312" cm="1">
        <f t="array" ref="AV352">_xlfn.XLOOKUP($B352,$B$11:$B$91,_xlfn.XLOOKUP(AV$181,$D$5:$AX$5,$D$11:$AX$91))</f>
        <v>-1665.3368321176549</v>
      </c>
      <c r="AW352" s="312" cm="1">
        <f t="array" ref="AW352">_xlfn.XLOOKUP($B352,$B$11:$B$91,_xlfn.XLOOKUP(AW$181,$D$5:$AX$5,$D$11:$AX$91))</f>
        <v>-1691.423894224281</v>
      </c>
      <c r="AX352" s="312" cm="1">
        <f t="array" ref="AX352">_xlfn.XLOOKUP($B352,$B$11:$B$91,_xlfn.XLOOKUP(AX$181,$D$5:$AX$5,$D$11:$AX$91))</f>
        <v>-1718.5304110226748</v>
      </c>
    </row>
    <row r="353" spans="2:50" hidden="1" outlineLevel="1">
      <c r="C353" s="313" t="s">
        <v>1121</v>
      </c>
      <c r="D353" s="307" t="s">
        <v>842</v>
      </c>
      <c r="E353" s="307"/>
      <c r="F353" s="307"/>
      <c r="G353" s="314"/>
      <c r="H353" s="314"/>
      <c r="I353" s="314" t="s">
        <v>967</v>
      </c>
      <c r="J353" s="314" t="s">
        <v>967</v>
      </c>
      <c r="K353" s="314">
        <f t="shared" ref="K353:AF353" si="200">K352/I352-1</f>
        <v>-6.6726897263810203E-2</v>
      </c>
      <c r="L353" s="314">
        <f t="shared" si="200"/>
        <v>-1.1859994214636682E-2</v>
      </c>
      <c r="M353" s="314">
        <f t="shared" si="200"/>
        <v>8.8231226662979001E-2</v>
      </c>
      <c r="N353" s="314">
        <f t="shared" si="200"/>
        <v>8.1674473067915532E-2</v>
      </c>
      <c r="O353" s="314">
        <f t="shared" si="200"/>
        <v>-1.2199771254288838E-2</v>
      </c>
      <c r="P353" s="314">
        <f t="shared" si="200"/>
        <v>-1.6779431664412092E-2</v>
      </c>
      <c r="Q353" s="314">
        <f t="shared" si="200"/>
        <v>1.8487951107427181E-2</v>
      </c>
      <c r="R353" s="314">
        <f t="shared" si="200"/>
        <v>3.5738601127512259E-2</v>
      </c>
      <c r="S353" s="314">
        <f t="shared" si="200"/>
        <v>2.2711987588497795E-2</v>
      </c>
      <c r="T353" s="314">
        <f t="shared" si="200"/>
        <v>1.5957007672011692E-2</v>
      </c>
      <c r="U353" s="314">
        <f t="shared" si="200"/>
        <v>3.000650344489264E-3</v>
      </c>
      <c r="V353" s="314">
        <f t="shared" si="200"/>
        <v>5.469674257991386E-3</v>
      </c>
      <c r="W353" s="314">
        <f t="shared" si="200"/>
        <v>2.2165382153505497E-2</v>
      </c>
      <c r="X353" s="314">
        <f t="shared" si="200"/>
        <v>2.246918866597758E-2</v>
      </c>
      <c r="Y353" s="314">
        <f t="shared" si="200"/>
        <v>1.4633226745586647E-2</v>
      </c>
      <c r="Z353" s="314">
        <f t="shared" si="200"/>
        <v>1.5244529340750823E-2</v>
      </c>
      <c r="AA353" s="314">
        <f t="shared" si="200"/>
        <v>1.5005180080082559E-2</v>
      </c>
      <c r="AB353" s="314">
        <f t="shared" si="200"/>
        <v>1.5610248324125608E-2</v>
      </c>
      <c r="AC353" s="314">
        <f t="shared" si="200"/>
        <v>1.5373481227455521E-2</v>
      </c>
      <c r="AD353" s="314">
        <f t="shared" si="200"/>
        <v>1.5971944584067144E-2</v>
      </c>
      <c r="AE353" s="314">
        <f t="shared" si="200"/>
        <v>1.5737900500375268E-2</v>
      </c>
      <c r="AF353" s="314">
        <f t="shared" si="200"/>
        <v>1.6329406591458984E-2</v>
      </c>
      <c r="AG353" s="315"/>
      <c r="AH353" s="313" t="str">
        <f t="shared" si="195"/>
        <v>- Growth</v>
      </c>
      <c r="AI353" s="307" t="str">
        <f>D353</f>
        <v>%</v>
      </c>
      <c r="AJ353" s="307"/>
      <c r="AK353" s="307"/>
      <c r="AL353" s="314" t="s">
        <v>967</v>
      </c>
      <c r="AM353" s="314" t="s">
        <v>967</v>
      </c>
      <c r="AN353" s="314">
        <f t="shared" ref="AN353:AX353" si="201">AN352/AM352-1</f>
        <v>-4.0853908061656008E-2</v>
      </c>
      <c r="AO353" s="314">
        <f t="shared" si="201"/>
        <v>8.5045865035909829E-2</v>
      </c>
      <c r="AP353" s="314">
        <f t="shared" si="201"/>
        <v>-1.4417720689429481E-2</v>
      </c>
      <c r="AQ353" s="314">
        <f t="shared" si="201"/>
        <v>2.6822496160019638E-2</v>
      </c>
      <c r="AR353" s="314">
        <f t="shared" si="201"/>
        <v>1.9420022022564876E-2</v>
      </c>
      <c r="AS353" s="314">
        <f t="shared" si="201"/>
        <v>4.1998146398392056E-3</v>
      </c>
      <c r="AT353" s="314">
        <f t="shared" si="201"/>
        <v>2.2313122567509058E-2</v>
      </c>
      <c r="AU353" s="314">
        <f t="shared" si="201"/>
        <v>1.4930547185121323E-2</v>
      </c>
      <c r="AV353" s="314">
        <f t="shared" si="201"/>
        <v>1.5299559348006975E-2</v>
      </c>
      <c r="AW353" s="314">
        <f t="shared" si="201"/>
        <v>1.566473616839037E-2</v>
      </c>
      <c r="AX353" s="314">
        <f t="shared" si="201"/>
        <v>1.6025856611671774E-2</v>
      </c>
    </row>
    <row r="354" spans="2:50" collapsed="1">
      <c r="C354" s="313" t="s">
        <v>1122</v>
      </c>
      <c r="D354" s="307" t="s">
        <v>842</v>
      </c>
      <c r="E354" s="307"/>
      <c r="F354" s="307"/>
      <c r="G354" s="314"/>
      <c r="H354" s="314"/>
      <c r="I354" s="314">
        <f t="shared" ref="I354:AF354" si="202" xml:space="preserve"> IFERROR(ROUND( I352 / I351,3) - 1, 0)</f>
        <v>0</v>
      </c>
      <c r="J354" s="314">
        <f t="shared" si="202"/>
        <v>0</v>
      </c>
      <c r="K354" s="314">
        <f t="shared" si="202"/>
        <v>-1.0000000000000009E-3</v>
      </c>
      <c r="L354" s="314">
        <f t="shared" si="202"/>
        <v>0</v>
      </c>
      <c r="M354" s="314">
        <f t="shared" si="202"/>
        <v>0</v>
      </c>
      <c r="N354" s="314">
        <f t="shared" si="202"/>
        <v>0</v>
      </c>
      <c r="O354" s="314">
        <f t="shared" si="202"/>
        <v>0</v>
      </c>
      <c r="P354" s="314">
        <f t="shared" si="202"/>
        <v>-3.1000000000000028E-2</v>
      </c>
      <c r="Q354" s="314">
        <f t="shared" si="202"/>
        <v>-1.4000000000000012E-2</v>
      </c>
      <c r="R354" s="314">
        <f t="shared" si="202"/>
        <v>-6.0000000000000053E-3</v>
      </c>
      <c r="S354" s="314">
        <f t="shared" si="202"/>
        <v>-8.0000000000000071E-3</v>
      </c>
      <c r="T354" s="314">
        <f t="shared" si="202"/>
        <v>-1.2000000000000011E-2</v>
      </c>
      <c r="U354" s="314">
        <f t="shared" si="202"/>
        <v>-2.7000000000000024E-2</v>
      </c>
      <c r="V354" s="314">
        <f t="shared" si="202"/>
        <v>-2.8000000000000025E-2</v>
      </c>
      <c r="W354" s="314">
        <f t="shared" si="202"/>
        <v>-2.7000000000000024E-2</v>
      </c>
      <c r="X354" s="314">
        <f t="shared" si="202"/>
        <v>-2.8000000000000025E-2</v>
      </c>
      <c r="Y354" s="314">
        <f t="shared" si="202"/>
        <v>-3.5000000000000031E-2</v>
      </c>
      <c r="Z354" s="314">
        <f t="shared" si="202"/>
        <v>-3.5000000000000031E-2</v>
      </c>
      <c r="AA354" s="314">
        <f t="shared" si="202"/>
        <v>-4.2000000000000037E-2</v>
      </c>
      <c r="AB354" s="314">
        <f t="shared" si="202"/>
        <v>-4.2000000000000037E-2</v>
      </c>
      <c r="AC354" s="314">
        <f t="shared" si="202"/>
        <v>-4.2000000000000037E-2</v>
      </c>
      <c r="AD354" s="314">
        <f t="shared" si="202"/>
        <v>-4.1000000000000036E-2</v>
      </c>
      <c r="AE354" s="314">
        <f t="shared" si="202"/>
        <v>-4.1000000000000036E-2</v>
      </c>
      <c r="AF354" s="314">
        <f t="shared" si="202"/>
        <v>-4.0000000000000036E-2</v>
      </c>
      <c r="AG354" s="314"/>
      <c r="AH354" s="313" t="str">
        <f t="shared" si="195"/>
        <v>- Revision</v>
      </c>
      <c r="AI354" s="307" t="str">
        <f>D354</f>
        <v>%</v>
      </c>
      <c r="AJ354" s="307"/>
      <c r="AK354" s="307"/>
      <c r="AL354" s="314">
        <f t="shared" ref="AL354:AX354" si="203" xml:space="preserve"> IFERROR(ROUND( AL352 / AL351,3) - 1, 0)</f>
        <v>0</v>
      </c>
      <c r="AM354" s="314">
        <f t="shared" si="203"/>
        <v>0</v>
      </c>
      <c r="AN354" s="314">
        <f t="shared" si="203"/>
        <v>-1.0000000000000009E-3</v>
      </c>
      <c r="AO354" s="314">
        <f t="shared" si="203"/>
        <v>0</v>
      </c>
      <c r="AP354" s="314">
        <f t="shared" si="203"/>
        <v>-1.5000000000000013E-2</v>
      </c>
      <c r="AQ354" s="314">
        <f t="shared" si="203"/>
        <v>-1.0000000000000009E-2</v>
      </c>
      <c r="AR354" s="314">
        <f t="shared" si="203"/>
        <v>-1.0000000000000009E-2</v>
      </c>
      <c r="AS354" s="314">
        <f t="shared" si="203"/>
        <v>-2.7000000000000024E-2</v>
      </c>
      <c r="AT354" s="314">
        <f t="shared" si="203"/>
        <v>-2.7000000000000024E-2</v>
      </c>
      <c r="AU354" s="314">
        <f t="shared" si="203"/>
        <v>-3.5000000000000031E-2</v>
      </c>
      <c r="AV354" s="314">
        <f t="shared" si="203"/>
        <v>-4.2000000000000037E-2</v>
      </c>
      <c r="AW354" s="314">
        <f t="shared" si="203"/>
        <v>-4.1000000000000036E-2</v>
      </c>
      <c r="AX354" s="314">
        <f t="shared" si="203"/>
        <v>-4.1000000000000036E-2</v>
      </c>
    </row>
    <row r="355" spans="2:50">
      <c r="B355" s="305" t="s">
        <v>1450</v>
      </c>
      <c r="C355" s="706" t="str">
        <f>_xlfn.TEXTAFTER($B355,$C$344)&amp;" - old"</f>
        <v>Variable Contribution - old</v>
      </c>
      <c r="D355" s="707" t="str" cm="1">
        <f t="array" ref="D355">_xlfn.XLOOKUP($B355,$B$96:$B$176,_xlfn.XLOOKUP(D$181,$D$5:$AX$5,$D$96:$AX$176))</f>
        <v>A$m</v>
      </c>
      <c r="E355" s="307"/>
      <c r="F355" s="307"/>
      <c r="G355" s="708"/>
      <c r="H355" s="708"/>
      <c r="I355" s="708" cm="1">
        <f t="array" ref="I355">_xlfn.XLOOKUP($B355,$B$96:$B$176,_xlfn.XLOOKUP(I$181,$D$5:$AX$5,$D$96:$AX$176))</f>
        <v>499.7</v>
      </c>
      <c r="J355" s="708" cm="1">
        <f t="array" ref="J355">_xlfn.XLOOKUP($B355,$B$96:$B$176,_xlfn.XLOOKUP(J$181,$D$5:$AX$5,$D$96:$AX$176))</f>
        <v>468.7</v>
      </c>
      <c r="K355" s="708" cm="1">
        <f t="array" ref="K355">_xlfn.XLOOKUP($B355,$B$96:$B$176,_xlfn.XLOOKUP(K$181,$D$5:$AX$5,$D$96:$AX$176))</f>
        <v>485.6</v>
      </c>
      <c r="L355" s="708" cm="1">
        <f t="array" ref="L355">_xlfn.XLOOKUP($B355,$B$96:$B$176,_xlfn.XLOOKUP(L$181,$D$5:$AX$5,$D$96:$AX$176))</f>
        <v>446.1</v>
      </c>
      <c r="M355" s="708" cm="1">
        <f t="array" ref="M355">_xlfn.XLOOKUP($B355,$B$96:$B$176,_xlfn.XLOOKUP(M$181,$D$5:$AX$5,$D$96:$AX$176))</f>
        <v>544.4</v>
      </c>
      <c r="N355" s="708" cm="1">
        <f t="array" ref="N355">_xlfn.XLOOKUP($B355,$B$96:$B$176,_xlfn.XLOOKUP(N$181,$D$5:$AX$5,$D$96:$AX$176))</f>
        <v>544.30000000000007</v>
      </c>
      <c r="O355" s="708" cm="1">
        <f t="array" ref="O355">_xlfn.XLOOKUP($B355,$B$96:$B$176,_xlfn.XLOOKUP(O$181,$D$5:$AX$5,$D$96:$AX$176))</f>
        <v>567.6</v>
      </c>
      <c r="P355" s="708" cm="1">
        <f t="array" ref="P355">_xlfn.XLOOKUP($B355,$B$96:$B$176,_xlfn.XLOOKUP(P$181,$D$5:$AX$5,$D$96:$AX$176))</f>
        <v>558.00864323002691</v>
      </c>
      <c r="Q355" s="708" cm="1">
        <f t="array" ref="Q355">_xlfn.XLOOKUP($B355,$B$96:$B$176,_xlfn.XLOOKUP(Q$181,$D$5:$AX$5,$D$96:$AX$176))</f>
        <v>605.22963044135008</v>
      </c>
      <c r="R355" s="708" cm="1">
        <f t="array" ref="R355">_xlfn.XLOOKUP($B355,$B$96:$B$176,_xlfn.XLOOKUP(R$181,$D$5:$AX$5,$D$96:$AX$176))</f>
        <v>579.13280689120643</v>
      </c>
      <c r="S355" s="708" cm="1">
        <f t="array" ref="S355">_xlfn.XLOOKUP($B355,$B$96:$B$176,_xlfn.XLOOKUP(S$181,$D$5:$AX$5,$D$96:$AX$176))</f>
        <v>621.03034940994814</v>
      </c>
      <c r="T355" s="708" cm="1">
        <f t="array" ref="T355">_xlfn.XLOOKUP($B355,$B$96:$B$176,_xlfn.XLOOKUP(T$181,$D$5:$AX$5,$D$96:$AX$176))</f>
        <v>592.7118938095864</v>
      </c>
      <c r="U355" s="708" cm="1">
        <f t="array" ref="U355">_xlfn.XLOOKUP($B355,$B$96:$B$176,_xlfn.XLOOKUP(U$181,$D$5:$AX$5,$D$96:$AX$176))</f>
        <v>635.57362605330832</v>
      </c>
      <c r="V355" s="708" cm="1">
        <f t="array" ref="V355">_xlfn.XLOOKUP($B355,$B$96:$B$176,_xlfn.XLOOKUP(V$181,$D$5:$AX$5,$D$96:$AX$176))</f>
        <v>606.67114124263423</v>
      </c>
      <c r="W355" s="708" cm="1">
        <f t="array" ref="W355">_xlfn.XLOOKUP($B355,$B$96:$B$176,_xlfn.XLOOKUP(W$181,$D$5:$AX$5,$D$96:$AX$176))</f>
        <v>650.52352010231618</v>
      </c>
      <c r="X355" s="708" cm="1">
        <f t="array" ref="X355">_xlfn.XLOOKUP($B355,$B$96:$B$176,_xlfn.XLOOKUP(X$181,$D$5:$AX$5,$D$96:$AX$176))</f>
        <v>621.0221685136612</v>
      </c>
      <c r="Y355" s="708" cm="1">
        <f t="array" ref="Y355">_xlfn.XLOOKUP($B355,$B$96:$B$176,_xlfn.XLOOKUP(Y$181,$D$5:$AX$5,$D$96:$AX$176))</f>
        <v>665.89244057665928</v>
      </c>
      <c r="Z355" s="708" cm="1">
        <f t="array" ref="Z355">_xlfn.XLOOKUP($B355,$B$96:$B$176,_xlfn.XLOOKUP(Z$181,$D$5:$AX$5,$D$96:$AX$176))</f>
        <v>635.77696665530061</v>
      </c>
      <c r="AA355" s="708" cm="1">
        <f t="array" ref="AA355">_xlfn.XLOOKUP($B355,$B$96:$B$176,_xlfn.XLOOKUP(AA$181,$D$5:$AX$5,$D$96:$AX$176))</f>
        <v>681.69319272994289</v>
      </c>
      <c r="AB355" s="708" cm="1">
        <f t="array" ref="AB355">_xlfn.XLOOKUP($B355,$B$96:$B$176,_xlfn.XLOOKUP(AB$181,$D$5:$AX$5,$D$96:$AX$176))</f>
        <v>650.94791066185269</v>
      </c>
      <c r="AC355" s="708" cm="1">
        <f t="array" ref="AC355">_xlfn.XLOOKUP($B355,$B$96:$B$176,_xlfn.XLOOKUP(AC$181,$D$5:$AX$5,$D$96:$AX$176))</f>
        <v>693.63392927517589</v>
      </c>
      <c r="AD355" s="708" cm="1">
        <f t="array" ref="AD355">_xlfn.XLOOKUP($B355,$B$96:$B$176,_xlfn.XLOOKUP(AD$181,$D$5:$AX$5,$D$96:$AX$176))</f>
        <v>662.51521340091062</v>
      </c>
      <c r="AE355" s="708" cm="1">
        <f t="array" ref="AE355">_xlfn.XLOOKUP($B355,$B$96:$B$176,_xlfn.XLOOKUP(AE$181,$D$5:$AX$5,$D$96:$AX$176))</f>
        <v>706.03334927681396</v>
      </c>
      <c r="AF355" s="708" cm="1">
        <f t="array" ref="AF355">_xlfn.XLOOKUP($B355,$B$96:$B$176,_xlfn.XLOOKUP(AF$181,$D$5:$AX$5,$D$96:$AX$176))</f>
        <v>674.52461497207685</v>
      </c>
      <c r="AG355" s="309"/>
      <c r="AH355" s="306" t="str">
        <f t="shared" si="195"/>
        <v>Variable Contribution - old</v>
      </c>
      <c r="AI355" s="707" t="str" cm="1">
        <f t="array" ref="AI355">_xlfn.XLOOKUP($B355,$B$96:$B$176,_xlfn.XLOOKUP(AI$181,$D$5:$AX$5,$D$96:$AX$176))</f>
        <v>A$m</v>
      </c>
      <c r="AJ355" s="307"/>
      <c r="AK355" s="307"/>
      <c r="AL355" s="708" cm="1">
        <f t="array" ref="AL355">_xlfn.XLOOKUP($B355,$B$96:$B$176,_xlfn.XLOOKUP(AL$181,$D$5:$AX$5,$D$96:$AX$176))</f>
        <v>0</v>
      </c>
      <c r="AM355" s="708" cm="1">
        <f t="array" ref="AM355">_xlfn.XLOOKUP($B355,$B$96:$B$176,_xlfn.XLOOKUP(AM$181,$D$5:$AX$5,$D$96:$AX$176))</f>
        <v>968.4</v>
      </c>
      <c r="AN355" s="708" cm="1">
        <f t="array" ref="AN355">_xlfn.XLOOKUP($B355,$B$96:$B$176,_xlfn.XLOOKUP(AN$181,$D$5:$AX$5,$D$96:$AX$176))</f>
        <v>931.7</v>
      </c>
      <c r="AO355" s="708" cm="1">
        <f t="array" ref="AO355">_xlfn.XLOOKUP($B355,$B$96:$B$176,_xlfn.XLOOKUP(AO$181,$D$5:$AX$5,$D$96:$AX$176))</f>
        <v>1088.7</v>
      </c>
      <c r="AP355" s="708" cm="1">
        <f t="array" ref="AP355">_xlfn.XLOOKUP($B355,$B$96:$B$176,_xlfn.XLOOKUP(AP$181,$D$5:$AX$5,$D$96:$AX$176))</f>
        <v>1125.6086432300269</v>
      </c>
      <c r="AQ355" s="708" cm="1">
        <f t="array" ref="AQ355">_xlfn.XLOOKUP($B355,$B$96:$B$176,_xlfn.XLOOKUP(AQ$181,$D$5:$AX$5,$D$96:$AX$176))</f>
        <v>1184.3624373325565</v>
      </c>
      <c r="AR355" s="708" cm="1">
        <f t="array" ref="AR355">_xlfn.XLOOKUP($B355,$B$96:$B$176,_xlfn.XLOOKUP(AR$181,$D$5:$AX$5,$D$96:$AX$176))</f>
        <v>1213.7422432195344</v>
      </c>
      <c r="AS355" s="708" cm="1">
        <f t="array" ref="AS355">_xlfn.XLOOKUP($B355,$B$96:$B$176,_xlfn.XLOOKUP(AS$181,$D$5:$AX$5,$D$96:$AX$176))</f>
        <v>1242.2447672959424</v>
      </c>
      <c r="AT355" s="708" cm="1">
        <f t="array" ref="AT355">_xlfn.XLOOKUP($B355,$B$96:$B$176,_xlfn.XLOOKUP(AT$181,$D$5:$AX$5,$D$96:$AX$176))</f>
        <v>1271.5456886159773</v>
      </c>
      <c r="AU355" s="708" cm="1">
        <f t="array" ref="AU355">_xlfn.XLOOKUP($B355,$B$96:$B$176,_xlfn.XLOOKUP(AU$181,$D$5:$AX$5,$D$96:$AX$176))</f>
        <v>1301.6694072319599</v>
      </c>
      <c r="AV355" s="708" cm="1">
        <f t="array" ref="AV355">_xlfn.XLOOKUP($B355,$B$96:$B$176,_xlfn.XLOOKUP(AV$181,$D$5:$AX$5,$D$96:$AX$176))</f>
        <v>1332.6411033917957</v>
      </c>
      <c r="AW355" s="708" cm="1">
        <f t="array" ref="AW355">_xlfn.XLOOKUP($B355,$B$96:$B$176,_xlfn.XLOOKUP(AW$181,$D$5:$AX$5,$D$96:$AX$176))</f>
        <v>1356.1491426760865</v>
      </c>
      <c r="AX355" s="708" cm="1">
        <f t="array" ref="AX355">_xlfn.XLOOKUP($B355,$B$96:$B$176,_xlfn.XLOOKUP(AX$181,$D$5:$AX$5,$D$96:$AX$176))</f>
        <v>1380.5579642488908</v>
      </c>
    </row>
    <row r="356" spans="2:50">
      <c r="B356" s="305" t="s">
        <v>1450</v>
      </c>
      <c r="C356" s="318" t="str">
        <f>_xlfn.TEXTAFTER($B356,$C$344)&amp;" - New"</f>
        <v>Variable Contribution - New</v>
      </c>
      <c r="D356" s="311" t="str" cm="1">
        <f t="array" ref="D356">_xlfn.XLOOKUP($B356,$B$11:$B$91,_xlfn.XLOOKUP(D$181,$D$5:$AX$5,$D$11:$AX$91))</f>
        <v>A$m</v>
      </c>
      <c r="E356" s="311"/>
      <c r="F356" s="311"/>
      <c r="G356" s="312"/>
      <c r="H356" s="312"/>
      <c r="I356" s="312" cm="1">
        <f t="array" ref="I356">_xlfn.XLOOKUP($B356,$B$11:$B$91,_xlfn.XLOOKUP(I$181,$D$5:$AX$5,$D$11:$AX$91))</f>
        <v>499.7</v>
      </c>
      <c r="J356" s="312" cm="1">
        <f t="array" ref="J356">_xlfn.XLOOKUP($B356,$B$11:$B$91,_xlfn.XLOOKUP(J$181,$D$5:$AX$5,$D$11:$AX$91))</f>
        <v>468.7</v>
      </c>
      <c r="K356" s="312" cm="1">
        <f t="array" ref="K356">_xlfn.XLOOKUP($B356,$B$11:$B$91,_xlfn.XLOOKUP(K$181,$D$5:$AX$5,$D$11:$AX$91))</f>
        <v>485.6</v>
      </c>
      <c r="L356" s="312" cm="1">
        <f t="array" ref="L356">_xlfn.XLOOKUP($B356,$B$11:$B$91,_xlfn.XLOOKUP(L$181,$D$5:$AX$5,$D$11:$AX$91))</f>
        <v>446.1</v>
      </c>
      <c r="M356" s="312" cm="1">
        <f t="array" ref="M356">_xlfn.XLOOKUP($B356,$B$11:$B$91,_xlfn.XLOOKUP(M$181,$D$5:$AX$5,$D$11:$AX$91))</f>
        <v>544.4</v>
      </c>
      <c r="N356" s="312" cm="1">
        <f t="array" ref="N356">_xlfn.XLOOKUP($B356,$B$11:$B$91,_xlfn.XLOOKUP(N$181,$D$5:$AX$5,$D$11:$AX$91))</f>
        <v>544.30000000000007</v>
      </c>
      <c r="O356" s="312" cm="1">
        <f t="array" ref="O356">_xlfn.XLOOKUP($B356,$B$11:$B$91,_xlfn.XLOOKUP(O$181,$D$5:$AX$5,$D$11:$AX$91))</f>
        <v>567.6</v>
      </c>
      <c r="P356" s="312" cm="1">
        <f t="array" ref="P356">_xlfn.XLOOKUP($B356,$B$11:$B$91,_xlfn.XLOOKUP(P$181,$D$5:$AX$5,$D$11:$AX$91))</f>
        <v>564.80000000000007</v>
      </c>
      <c r="Q356" s="312" cm="1">
        <f t="array" ref="Q356">_xlfn.XLOOKUP($B356,$B$11:$B$91,_xlfn.XLOOKUP(Q$181,$D$5:$AX$5,$D$11:$AX$91))</f>
        <v>609.31307820419681</v>
      </c>
      <c r="R356" s="312" cm="1">
        <f t="array" ref="R356">_xlfn.XLOOKUP($B356,$B$11:$B$91,_xlfn.XLOOKUP(R$181,$D$5:$AX$5,$D$11:$AX$91))</f>
        <v>593.41688627075007</v>
      </c>
      <c r="S356" s="312" cm="1">
        <f t="array" ref="S356">_xlfn.XLOOKUP($B356,$B$11:$B$91,_xlfn.XLOOKUP(S$181,$D$5:$AX$5,$D$11:$AX$91))</f>
        <v>648.70766684702187</v>
      </c>
      <c r="T356" s="312" cm="1">
        <f t="array" ref="T356">_xlfn.XLOOKUP($B356,$B$11:$B$91,_xlfn.XLOOKUP(T$181,$D$5:$AX$5,$D$11:$AX$91))</f>
        <v>623.92257389947997</v>
      </c>
      <c r="U356" s="312" cm="1">
        <f t="array" ref="U356">_xlfn.XLOOKUP($B356,$B$11:$B$91,_xlfn.XLOOKUP(U$181,$D$5:$AX$5,$D$11:$AX$91))</f>
        <v>662.88836629972889</v>
      </c>
      <c r="V356" s="312" cm="1">
        <f t="array" ref="V356">_xlfn.XLOOKUP($B356,$B$11:$B$91,_xlfn.XLOOKUP(V$181,$D$5:$AX$5,$D$11:$AX$91))</f>
        <v>634.27934752054466</v>
      </c>
      <c r="W356" s="312" cm="1">
        <f t="array" ref="W356">_xlfn.XLOOKUP($B356,$B$11:$B$91,_xlfn.XLOOKUP(W$181,$D$5:$AX$5,$D$11:$AX$91))</f>
        <v>678.62109217494231</v>
      </c>
      <c r="X356" s="312" cm="1">
        <f t="array" ref="X356">_xlfn.XLOOKUP($B356,$B$11:$B$91,_xlfn.XLOOKUP(X$181,$D$5:$AX$5,$D$11:$AX$91))</f>
        <v>649.52788851597757</v>
      </c>
      <c r="Y356" s="312" cm="1">
        <f t="array" ref="Y356">_xlfn.XLOOKUP($B356,$B$11:$B$91,_xlfn.XLOOKUP(Y$181,$D$5:$AX$5,$D$11:$AX$91))</f>
        <v>690.65164861035805</v>
      </c>
      <c r="Z356" s="312" cm="1">
        <f t="array" ref="Z356">_xlfn.XLOOKUP($B356,$B$11:$B$91,_xlfn.XLOOKUP(Z$181,$D$5:$AX$5,$D$11:$AX$91))</f>
        <v>661.4413019224861</v>
      </c>
      <c r="AA356" s="312" cm="1">
        <f t="array" ref="AA356">_xlfn.XLOOKUP($B356,$B$11:$B$91,_xlfn.XLOOKUP(AA$181,$D$5:$AX$5,$D$11:$AX$91))</f>
        <v>703.12578630213466</v>
      </c>
      <c r="AB356" s="312" cm="1">
        <f t="array" ref="AB356">_xlfn.XLOOKUP($B356,$B$11:$B$91,_xlfn.XLOOKUP(AB$181,$D$5:$AX$5,$D$11:$AX$91))</f>
        <v>673.78722576367966</v>
      </c>
      <c r="AC356" s="312" cm="1">
        <f t="array" ref="AC356">_xlfn.XLOOKUP($B356,$B$11:$B$91,_xlfn.XLOOKUP(AC$181,$D$5:$AX$5,$D$11:$AX$91))</f>
        <v>716.05598604232955</v>
      </c>
      <c r="AD356" s="312" cm="1">
        <f t="array" ref="AD356">_xlfn.XLOOKUP($B356,$B$11:$B$91,_xlfn.XLOOKUP(AD$181,$D$5:$AX$5,$D$11:$AX$91))</f>
        <v>686.5778842722741</v>
      </c>
      <c r="AE356" s="312" cm="1">
        <f t="array" ref="AE356">_xlfn.XLOOKUP($B356,$B$11:$B$91,_xlfn.XLOOKUP(AE$181,$D$5:$AX$5,$D$11:$AX$91))</f>
        <v>729.4551113132195</v>
      </c>
      <c r="AF356" s="312" cm="1">
        <f t="array" ref="AF356">_xlfn.XLOOKUP($B356,$B$11:$B$91,_xlfn.XLOOKUP(AF$181,$D$5:$AX$5,$D$11:$AX$91))</f>
        <v>699.82587591876927</v>
      </c>
      <c r="AG356" s="312"/>
      <c r="AH356" s="310" t="str">
        <f t="shared" si="195"/>
        <v>Variable Contribution - New</v>
      </c>
      <c r="AI356" s="311" t="str" cm="1">
        <f t="array" ref="AI356">_xlfn.XLOOKUP($B356,$B$11:$B$91,_xlfn.XLOOKUP(AI$181,$D$5:$AX$5,$D$11:$AX$91))</f>
        <v>A$m</v>
      </c>
      <c r="AJ356" s="311"/>
      <c r="AK356" s="311"/>
      <c r="AL356" s="312" cm="1">
        <f t="array" ref="AL356">_xlfn.XLOOKUP($B356,$B$11:$B$91,_xlfn.XLOOKUP(AL$181,$D$5:$AX$5,$D$11:$AX$91))</f>
        <v>0</v>
      </c>
      <c r="AM356" s="312" cm="1">
        <f t="array" ref="AM356">_xlfn.XLOOKUP($B356,$B$11:$B$91,_xlfn.XLOOKUP(AM$181,$D$5:$AX$5,$D$11:$AX$91))</f>
        <v>968.4</v>
      </c>
      <c r="AN356" s="312" cm="1">
        <f t="array" ref="AN356">_xlfn.XLOOKUP($B356,$B$11:$B$91,_xlfn.XLOOKUP(AN$181,$D$5:$AX$5,$D$11:$AX$91))</f>
        <v>931.7</v>
      </c>
      <c r="AO356" s="312" cm="1">
        <f t="array" ref="AO356">_xlfn.XLOOKUP($B356,$B$11:$B$91,_xlfn.XLOOKUP(AO$181,$D$5:$AX$5,$D$11:$AX$91))</f>
        <v>1088.7</v>
      </c>
      <c r="AP356" s="312" cm="1">
        <f t="array" ref="AP356">_xlfn.XLOOKUP($B356,$B$11:$B$91,_xlfn.XLOOKUP(AP$181,$D$5:$AX$5,$D$11:$AX$91))</f>
        <v>1132.4000000000001</v>
      </c>
      <c r="AQ356" s="312" cm="1">
        <f t="array" ref="AQ356">_xlfn.XLOOKUP($B356,$B$11:$B$91,_xlfn.XLOOKUP(AQ$181,$D$5:$AX$5,$D$11:$AX$91))</f>
        <v>1202.7299644749469</v>
      </c>
      <c r="AR356" s="312" cm="1">
        <f t="array" ref="AR356">_xlfn.XLOOKUP($B356,$B$11:$B$91,_xlfn.XLOOKUP(AR$181,$D$5:$AX$5,$D$11:$AX$91))</f>
        <v>1272.6302407465018</v>
      </c>
      <c r="AS356" s="312" cm="1">
        <f t="array" ref="AS356">_xlfn.XLOOKUP($B356,$B$11:$B$91,_xlfn.XLOOKUP(AS$181,$D$5:$AX$5,$D$11:$AX$91))</f>
        <v>1297.1677138202735</v>
      </c>
      <c r="AT356" s="312" cm="1">
        <f t="array" ref="AT356">_xlfn.XLOOKUP($B356,$B$11:$B$91,_xlfn.XLOOKUP(AT$181,$D$5:$AX$5,$D$11:$AX$91))</f>
        <v>1328.1489806909199</v>
      </c>
      <c r="AU356" s="312" cm="1">
        <f t="array" ref="AU356">_xlfn.XLOOKUP($B356,$B$11:$B$91,_xlfn.XLOOKUP(AU$181,$D$5:$AX$5,$D$11:$AX$91))</f>
        <v>1352.092950532844</v>
      </c>
      <c r="AV356" s="312" cm="1">
        <f t="array" ref="AV356">_xlfn.XLOOKUP($B356,$B$11:$B$91,_xlfn.XLOOKUP(AV$181,$D$5:$AX$5,$D$11:$AX$91))</f>
        <v>1376.9130120658142</v>
      </c>
      <c r="AW356" s="312" cm="1">
        <f t="array" ref="AW356">_xlfn.XLOOKUP($B356,$B$11:$B$91,_xlfn.XLOOKUP(AW$181,$D$5:$AX$5,$D$11:$AX$91))</f>
        <v>1402.6338703146037</v>
      </c>
      <c r="AX356" s="312" cm="1">
        <f t="array" ref="AX356">_xlfn.XLOOKUP($B356,$B$11:$B$91,_xlfn.XLOOKUP(AX$181,$D$5:$AX$5,$D$11:$AX$91))</f>
        <v>1429.2809872319888</v>
      </c>
    </row>
    <row r="357" spans="2:50" hidden="1" outlineLevel="1">
      <c r="B357" s="305"/>
      <c r="C357" s="313" t="s">
        <v>1121</v>
      </c>
      <c r="D357" s="307" t="s">
        <v>842</v>
      </c>
      <c r="E357" s="307"/>
      <c r="F357" s="307"/>
      <c r="G357" s="314"/>
      <c r="H357" s="314"/>
      <c r="I357" s="314" t="s">
        <v>967</v>
      </c>
      <c r="J357" s="314" t="s">
        <v>967</v>
      </c>
      <c r="K357" s="314">
        <f t="shared" ref="K357:AF357" si="204">K356/I356-1</f>
        <v>-2.8216930158094788E-2</v>
      </c>
      <c r="L357" s="314">
        <f t="shared" si="204"/>
        <v>-4.821847663750789E-2</v>
      </c>
      <c r="M357" s="314">
        <f t="shared" si="204"/>
        <v>0.12108731466227329</v>
      </c>
      <c r="N357" s="314">
        <f t="shared" si="204"/>
        <v>0.22013001569154911</v>
      </c>
      <c r="O357" s="314">
        <f t="shared" si="204"/>
        <v>4.2615723732549737E-2</v>
      </c>
      <c r="P357" s="314">
        <f t="shared" si="204"/>
        <v>3.7663053463163676E-2</v>
      </c>
      <c r="Q357" s="314">
        <f t="shared" si="204"/>
        <v>7.3490271677584262E-2</v>
      </c>
      <c r="R357" s="314">
        <f t="shared" si="204"/>
        <v>5.0667291555860583E-2</v>
      </c>
      <c r="S357" s="314">
        <f t="shared" si="204"/>
        <v>6.4654099923361352E-2</v>
      </c>
      <c r="T357" s="314">
        <f t="shared" si="204"/>
        <v>5.1406841184514995E-2</v>
      </c>
      <c r="U357" s="314">
        <f t="shared" si="204"/>
        <v>2.1859922700822709E-2</v>
      </c>
      <c r="V357" s="314">
        <f t="shared" si="204"/>
        <v>1.6599453288467236E-2</v>
      </c>
      <c r="W357" s="314">
        <f t="shared" si="204"/>
        <v>2.3733597804761919E-2</v>
      </c>
      <c r="X357" s="314">
        <f t="shared" si="204"/>
        <v>2.4040733873869291E-2</v>
      </c>
      <c r="Y357" s="314">
        <f t="shared" si="204"/>
        <v>1.7727943581680394E-2</v>
      </c>
      <c r="Z357" s="314">
        <f t="shared" si="204"/>
        <v>1.8341650323480341E-2</v>
      </c>
      <c r="AA357" s="314">
        <f t="shared" si="204"/>
        <v>1.8061402903874146E-2</v>
      </c>
      <c r="AB357" s="314">
        <f t="shared" si="204"/>
        <v>1.8665184356208231E-2</v>
      </c>
      <c r="AC357" s="314">
        <f t="shared" si="204"/>
        <v>1.8389596843257694E-2</v>
      </c>
      <c r="AD357" s="314">
        <f t="shared" si="204"/>
        <v>1.8983230936290507E-2</v>
      </c>
      <c r="AE357" s="314">
        <f t="shared" si="204"/>
        <v>1.8712398935378571E-2</v>
      </c>
      <c r="AF357" s="314">
        <f t="shared" si="204"/>
        <v>1.9295686549148261E-2</v>
      </c>
      <c r="AG357" s="315"/>
      <c r="AH357" s="313" t="str">
        <f t="shared" si="195"/>
        <v>- Growth</v>
      </c>
      <c r="AI357" s="307" t="str">
        <f>D357</f>
        <v>%</v>
      </c>
      <c r="AJ357" s="307"/>
      <c r="AK357" s="307"/>
      <c r="AL357" s="314" t="s">
        <v>967</v>
      </c>
      <c r="AM357" s="314" t="s">
        <v>967</v>
      </c>
      <c r="AN357" s="314">
        <f t="shared" ref="AN357:AX357" si="205">AN356/AM356-1</f>
        <v>-3.7897562990499734E-2</v>
      </c>
      <c r="AO357" s="314">
        <f t="shared" si="205"/>
        <v>0.16850917677363952</v>
      </c>
      <c r="AP357" s="314">
        <f t="shared" si="205"/>
        <v>4.0139616055846483E-2</v>
      </c>
      <c r="AQ357" s="314">
        <f t="shared" si="205"/>
        <v>6.2106997946791642E-2</v>
      </c>
      <c r="AR357" s="314">
        <f t="shared" si="205"/>
        <v>5.8118013466198049E-2</v>
      </c>
      <c r="AS357" s="314">
        <f t="shared" si="205"/>
        <v>1.9280913094897434E-2</v>
      </c>
      <c r="AT357" s="314">
        <f t="shared" si="205"/>
        <v>2.3883778898107E-2</v>
      </c>
      <c r="AU357" s="314">
        <f t="shared" si="205"/>
        <v>1.8028075306332214E-2</v>
      </c>
      <c r="AV357" s="314">
        <f t="shared" si="205"/>
        <v>1.8356771642947134E-2</v>
      </c>
      <c r="AW357" s="314">
        <f t="shared" si="205"/>
        <v>1.8680089463458449E-2</v>
      </c>
      <c r="AX357" s="314">
        <f t="shared" si="205"/>
        <v>1.8997913483586704E-2</v>
      </c>
    </row>
    <row r="358" spans="2:50" collapsed="1">
      <c r="B358" s="305"/>
      <c r="C358" s="313" t="s">
        <v>1122</v>
      </c>
      <c r="D358" s="307" t="s">
        <v>842</v>
      </c>
      <c r="E358" s="307"/>
      <c r="F358" s="307"/>
      <c r="G358" s="314"/>
      <c r="H358" s="314"/>
      <c r="I358" s="314">
        <f t="shared" ref="I358:AF358" si="206" xml:space="preserve"> IFERROR(ROUND( I356 / I355,3) - 1, 0)</f>
        <v>0</v>
      </c>
      <c r="J358" s="314">
        <f t="shared" si="206"/>
        <v>0</v>
      </c>
      <c r="K358" s="314">
        <f t="shared" si="206"/>
        <v>0</v>
      </c>
      <c r="L358" s="314">
        <f t="shared" si="206"/>
        <v>0</v>
      </c>
      <c r="M358" s="314">
        <f t="shared" si="206"/>
        <v>0</v>
      </c>
      <c r="N358" s="314">
        <f t="shared" si="206"/>
        <v>0</v>
      </c>
      <c r="O358" s="314">
        <f t="shared" si="206"/>
        <v>0</v>
      </c>
      <c r="P358" s="314">
        <f t="shared" si="206"/>
        <v>1.2000000000000011E-2</v>
      </c>
      <c r="Q358" s="314">
        <f t="shared" si="206"/>
        <v>6.9999999999998952E-3</v>
      </c>
      <c r="R358" s="314">
        <f t="shared" si="206"/>
        <v>2.4999999999999911E-2</v>
      </c>
      <c r="S358" s="314">
        <f t="shared" si="206"/>
        <v>4.4999999999999929E-2</v>
      </c>
      <c r="T358" s="314">
        <f t="shared" si="206"/>
        <v>5.2999999999999936E-2</v>
      </c>
      <c r="U358" s="314">
        <f t="shared" si="206"/>
        <v>4.2999999999999927E-2</v>
      </c>
      <c r="V358" s="314">
        <f t="shared" si="206"/>
        <v>4.6000000000000041E-2</v>
      </c>
      <c r="W358" s="314">
        <f t="shared" si="206"/>
        <v>4.2999999999999927E-2</v>
      </c>
      <c r="X358" s="314">
        <f t="shared" si="206"/>
        <v>4.6000000000000041E-2</v>
      </c>
      <c r="Y358" s="314">
        <f t="shared" si="206"/>
        <v>3.6999999999999922E-2</v>
      </c>
      <c r="Z358" s="314">
        <f t="shared" si="206"/>
        <v>4.0000000000000036E-2</v>
      </c>
      <c r="AA358" s="314">
        <f t="shared" si="206"/>
        <v>3.0999999999999917E-2</v>
      </c>
      <c r="AB358" s="314">
        <f t="shared" si="206"/>
        <v>3.499999999999992E-2</v>
      </c>
      <c r="AC358" s="314">
        <f t="shared" si="206"/>
        <v>3.2000000000000028E-2</v>
      </c>
      <c r="AD358" s="314">
        <f t="shared" si="206"/>
        <v>3.6000000000000032E-2</v>
      </c>
      <c r="AE358" s="314">
        <f t="shared" si="206"/>
        <v>3.2999999999999918E-2</v>
      </c>
      <c r="AF358" s="314">
        <f t="shared" si="206"/>
        <v>3.8000000000000034E-2</v>
      </c>
      <c r="AG358" s="314"/>
      <c r="AH358" s="313" t="str">
        <f t="shared" si="195"/>
        <v>- Revision</v>
      </c>
      <c r="AI358" s="307" t="str">
        <f>D358</f>
        <v>%</v>
      </c>
      <c r="AJ358" s="307"/>
      <c r="AK358" s="307"/>
      <c r="AL358" s="314">
        <f t="shared" ref="AL358:AX358" si="207" xml:space="preserve"> IFERROR(ROUND( AL356 / AL355,3) - 1, 0)</f>
        <v>0</v>
      </c>
      <c r="AM358" s="314">
        <f t="shared" si="207"/>
        <v>0</v>
      </c>
      <c r="AN358" s="314">
        <f t="shared" si="207"/>
        <v>0</v>
      </c>
      <c r="AO358" s="314">
        <f t="shared" si="207"/>
        <v>0</v>
      </c>
      <c r="AP358" s="314">
        <f t="shared" si="207"/>
        <v>6.0000000000000053E-3</v>
      </c>
      <c r="AQ358" s="314">
        <f t="shared" si="207"/>
        <v>1.6000000000000014E-2</v>
      </c>
      <c r="AR358" s="314">
        <f t="shared" si="207"/>
        <v>4.8999999999999932E-2</v>
      </c>
      <c r="AS358" s="314">
        <f t="shared" si="207"/>
        <v>4.4000000000000039E-2</v>
      </c>
      <c r="AT358" s="314">
        <f t="shared" si="207"/>
        <v>4.4999999999999929E-2</v>
      </c>
      <c r="AU358" s="314">
        <f t="shared" si="207"/>
        <v>3.8999999999999924E-2</v>
      </c>
      <c r="AV358" s="314">
        <f t="shared" si="207"/>
        <v>3.2999999999999918E-2</v>
      </c>
      <c r="AW358" s="314">
        <f t="shared" si="207"/>
        <v>3.400000000000003E-2</v>
      </c>
      <c r="AX358" s="314">
        <f t="shared" si="207"/>
        <v>3.499999999999992E-2</v>
      </c>
    </row>
    <row r="359" spans="2:50" s="704" customFormat="1">
      <c r="B359" s="705" t="s">
        <v>1451</v>
      </c>
      <c r="C359" s="706" t="str">
        <f>_xlfn.TEXTAFTER($B359,$C$344)&amp;" - old"</f>
        <v>Opex - old</v>
      </c>
      <c r="D359" s="707" t="str" cm="1">
        <f t="array" ref="D359">_xlfn.XLOOKUP($B359,$B$96:$B$176,_xlfn.XLOOKUP(D$181,$D$5:$AX$5,$D$96:$AX$176))</f>
        <v>A$m</v>
      </c>
      <c r="E359" s="707"/>
      <c r="F359" s="707"/>
      <c r="G359" s="708"/>
      <c r="H359" s="708"/>
      <c r="I359" s="708" cm="1">
        <f t="array" ref="I359">_xlfn.XLOOKUP($B359,$B$96:$B$176,_xlfn.XLOOKUP(I$181,$D$5:$AX$5,$D$96:$AX$176))</f>
        <v>-303.10000000000002</v>
      </c>
      <c r="J359" s="708" cm="1">
        <f t="array" ref="J359">_xlfn.XLOOKUP($B359,$B$96:$B$176,_xlfn.XLOOKUP(J$181,$D$5:$AX$5,$D$96:$AX$176))</f>
        <v>-274.29999999999995</v>
      </c>
      <c r="K359" s="708" cm="1">
        <f t="array" ref="K359">_xlfn.XLOOKUP($B359,$B$96:$B$176,_xlfn.XLOOKUP(K$181,$D$5:$AX$5,$D$96:$AX$176))</f>
        <v>-315.8</v>
      </c>
      <c r="L359" s="708" cm="1">
        <f t="array" ref="L359">_xlfn.XLOOKUP($B359,$B$96:$B$176,_xlfn.XLOOKUP(L$181,$D$5:$AX$5,$D$96:$AX$176))</f>
        <v>-298.2</v>
      </c>
      <c r="M359" s="708" cm="1">
        <f t="array" ref="M359">_xlfn.XLOOKUP($B359,$B$96:$B$176,_xlfn.XLOOKUP(M$181,$D$5:$AX$5,$D$96:$AX$176))</f>
        <v>-354.2</v>
      </c>
      <c r="N359" s="708" cm="1">
        <f t="array" ref="N359">_xlfn.XLOOKUP($B359,$B$96:$B$176,_xlfn.XLOOKUP(N$181,$D$5:$AX$5,$D$96:$AX$176))</f>
        <v>-343.00000000000006</v>
      </c>
      <c r="O359" s="708" cm="1">
        <f t="array" ref="O359">_xlfn.XLOOKUP($B359,$B$96:$B$176,_xlfn.XLOOKUP(O$181,$D$5:$AX$5,$D$96:$AX$176))</f>
        <v>-350.2</v>
      </c>
      <c r="P359" s="708" cm="1">
        <f t="array" ref="P359">_xlfn.XLOOKUP($B359,$B$96:$B$176,_xlfn.XLOOKUP(P$181,$D$5:$AX$5,$D$96:$AX$176))</f>
        <v>-346.97741200000002</v>
      </c>
      <c r="Q359" s="708" cm="1">
        <f t="array" ref="Q359">_xlfn.XLOOKUP($B359,$B$96:$B$176,_xlfn.XLOOKUP(Q$181,$D$5:$AX$5,$D$96:$AX$176))</f>
        <v>-358.33800000000002</v>
      </c>
      <c r="R359" s="708" cm="1">
        <f t="array" ref="R359">_xlfn.XLOOKUP($B359,$B$96:$B$176,_xlfn.XLOOKUP(R$181,$D$5:$AX$5,$D$96:$AX$176))</f>
        <v>-353.22032386695741</v>
      </c>
      <c r="S359" s="708" cm="1">
        <f t="array" ref="S359">_xlfn.XLOOKUP($B359,$B$96:$B$176,_xlfn.XLOOKUP(S$181,$D$5:$AX$5,$D$96:$AX$176))</f>
        <v>-367.57558</v>
      </c>
      <c r="T359" s="708" cm="1">
        <f t="array" ref="T359">_xlfn.XLOOKUP($B359,$B$96:$B$176,_xlfn.XLOOKUP(T$181,$D$5:$AX$5,$D$96:$AX$176))</f>
        <v>-362.32793043296613</v>
      </c>
      <c r="U359" s="708" cm="1">
        <f t="array" ref="U359">_xlfn.XLOOKUP($B359,$B$96:$B$176,_xlfn.XLOOKUP(U$181,$D$5:$AX$5,$D$96:$AX$176))</f>
        <v>-377.0524734</v>
      </c>
      <c r="V359" s="708" cm="1">
        <f t="array" ref="V359">_xlfn.XLOOKUP($B359,$B$96:$B$176,_xlfn.XLOOKUP(V$181,$D$5:$AX$5,$D$96:$AX$176))</f>
        <v>-371.6715401172051</v>
      </c>
      <c r="W359" s="708" cm="1">
        <f t="array" ref="W359">_xlfn.XLOOKUP($B359,$B$96:$B$176,_xlfn.XLOOKUP(W$181,$D$5:$AX$5,$D$96:$AX$176))</f>
        <v>-386.77491425199997</v>
      </c>
      <c r="X359" s="708" cm="1">
        <f t="array" ref="X359">_xlfn.XLOOKUP($B359,$B$96:$B$176,_xlfn.XLOOKUP(X$181,$D$5:$AX$5,$D$96:$AX$176))</f>
        <v>-381.25730238625249</v>
      </c>
      <c r="Y359" s="708" cm="1">
        <f t="array" ref="Y359">_xlfn.XLOOKUP($B359,$B$96:$B$176,_xlfn.XLOOKUP(Y$181,$D$5:$AX$5,$D$96:$AX$176))</f>
        <v>-396.74929999580996</v>
      </c>
      <c r="Z359" s="708" cm="1">
        <f t="array" ref="Z359">_xlfn.XLOOKUP($B359,$B$96:$B$176,_xlfn.XLOOKUP(Z$181,$D$5:$AX$5,$D$96:$AX$176))</f>
        <v>-391.09152792500959</v>
      </c>
      <c r="AA359" s="708" cm="1">
        <f t="array" ref="AA359">_xlfn.XLOOKUP($B359,$B$96:$B$176,_xlfn.XLOOKUP(AA$181,$D$5:$AX$5,$D$96:$AX$176))</f>
        <v>-406.98219576984047</v>
      </c>
      <c r="AB359" s="708" cm="1">
        <f t="array" ref="AB359">_xlfn.XLOOKUP($B359,$B$96:$B$176,_xlfn.XLOOKUP(AB$181,$D$5:$AX$5,$D$96:$AX$176))</f>
        <v>-401.1806928916086</v>
      </c>
      <c r="AC359" s="708" cm="1">
        <f t="array" ref="AC359">_xlfn.XLOOKUP($B359,$B$96:$B$176,_xlfn.XLOOKUP(AC$181,$D$5:$AX$5,$D$96:$AX$176))</f>
        <v>-417.48033883644587</v>
      </c>
      <c r="AD359" s="708" cm="1">
        <f t="array" ref="AD359">_xlfn.XLOOKUP($B359,$B$96:$B$176,_xlfn.XLOOKUP(AD$181,$D$5:$AX$5,$D$96:$AX$176))</f>
        <v>-411.5314432854268</v>
      </c>
      <c r="AE359" s="708" cm="1">
        <f t="array" ref="AE359">_xlfn.XLOOKUP($B359,$B$96:$B$176,_xlfn.XLOOKUP(AE$181,$D$5:$AX$5,$D$96:$AX$176))</f>
        <v>-428.25064312488706</v>
      </c>
      <c r="AF359" s="708" cm="1">
        <f t="array" ref="AF359">_xlfn.XLOOKUP($B359,$B$96:$B$176,_xlfn.XLOOKUP(AF$181,$D$5:$AX$5,$D$96:$AX$176))</f>
        <v>-422.15059943123629</v>
      </c>
      <c r="AG359" s="709"/>
      <c r="AH359" s="706" t="str">
        <f t="shared" si="195"/>
        <v>Opex - old</v>
      </c>
      <c r="AI359" s="707" t="str" cm="1">
        <f t="array" ref="AI359">_xlfn.XLOOKUP($B359,$B$96:$B$176,_xlfn.XLOOKUP(AI$181,$D$5:$AX$5,$D$96:$AX$176))</f>
        <v>A$m</v>
      </c>
      <c r="AJ359" s="707"/>
      <c r="AK359" s="707"/>
      <c r="AL359" s="708" cm="1">
        <f t="array" ref="AL359">_xlfn.XLOOKUP($B359,$B$96:$B$176,_xlfn.XLOOKUP(AL$181,$D$5:$AX$5,$D$96:$AX$176))</f>
        <v>0</v>
      </c>
      <c r="AM359" s="708" cm="1">
        <f t="array" ref="AM359">_xlfn.XLOOKUP($B359,$B$96:$B$176,_xlfn.XLOOKUP(AM$181,$D$5:$AX$5,$D$96:$AX$176))</f>
        <v>-577.4</v>
      </c>
      <c r="AN359" s="708" cm="1">
        <f t="array" ref="AN359">_xlfn.XLOOKUP($B359,$B$96:$B$176,_xlfn.XLOOKUP(AN$181,$D$5:$AX$5,$D$96:$AX$176))</f>
        <v>-614</v>
      </c>
      <c r="AO359" s="708" cm="1">
        <f t="array" ref="AO359">_xlfn.XLOOKUP($B359,$B$96:$B$176,_xlfn.XLOOKUP(AO$181,$D$5:$AX$5,$D$96:$AX$176))</f>
        <v>-697.2</v>
      </c>
      <c r="AP359" s="708" cm="1">
        <f t="array" ref="AP359">_xlfn.XLOOKUP($B359,$B$96:$B$176,_xlfn.XLOOKUP(AP$181,$D$5:$AX$5,$D$96:$AX$176))</f>
        <v>-697.177412</v>
      </c>
      <c r="AQ359" s="708" cm="1">
        <f t="array" ref="AQ359">_xlfn.XLOOKUP($B359,$B$96:$B$176,_xlfn.XLOOKUP(AQ$181,$D$5:$AX$5,$D$96:$AX$176))</f>
        <v>-711.55832386695738</v>
      </c>
      <c r="AR359" s="708" cm="1">
        <f t="array" ref="AR359">_xlfn.XLOOKUP($B359,$B$96:$B$176,_xlfn.XLOOKUP(AR$181,$D$5:$AX$5,$D$96:$AX$176))</f>
        <v>-729.90351043296619</v>
      </c>
      <c r="AS359" s="708" cm="1">
        <f t="array" ref="AS359">_xlfn.XLOOKUP($B359,$B$96:$B$176,_xlfn.XLOOKUP(AS$181,$D$5:$AX$5,$D$96:$AX$176))</f>
        <v>-748.72401351720509</v>
      </c>
      <c r="AT359" s="708" cm="1">
        <f t="array" ref="AT359">_xlfn.XLOOKUP($B359,$B$96:$B$176,_xlfn.XLOOKUP(AT$181,$D$5:$AX$5,$D$96:$AX$176))</f>
        <v>-768.03221663825252</v>
      </c>
      <c r="AU359" s="708" cm="1">
        <f t="array" ref="AU359">_xlfn.XLOOKUP($B359,$B$96:$B$176,_xlfn.XLOOKUP(AU$181,$D$5:$AX$5,$D$96:$AX$176))</f>
        <v>-787.84082792081949</v>
      </c>
      <c r="AV359" s="708" cm="1">
        <f t="array" ref="AV359">_xlfn.XLOOKUP($B359,$B$96:$B$176,_xlfn.XLOOKUP(AV$181,$D$5:$AX$5,$D$96:$AX$176))</f>
        <v>-808.16288866144907</v>
      </c>
      <c r="AW359" s="708" cm="1">
        <f t="array" ref="AW359">_xlfn.XLOOKUP($B359,$B$96:$B$176,_xlfn.XLOOKUP(AW$181,$D$5:$AX$5,$D$96:$AX$176))</f>
        <v>-829.01178212187267</v>
      </c>
      <c r="AX359" s="708" cm="1">
        <f t="array" ref="AX359">_xlfn.XLOOKUP($B359,$B$96:$B$176,_xlfn.XLOOKUP(AX$181,$D$5:$AX$5,$D$96:$AX$176))</f>
        <v>-850.40124255612341</v>
      </c>
    </row>
    <row r="360" spans="2:50">
      <c r="B360" s="305" t="s">
        <v>1451</v>
      </c>
      <c r="C360" s="318" t="str">
        <f>_xlfn.TEXTAFTER($B360,$C$344)&amp;" - New"</f>
        <v>Opex - New</v>
      </c>
      <c r="D360" s="311" t="str" cm="1">
        <f t="array" ref="D360">_xlfn.XLOOKUP($B360,$B$11:$B$91,_xlfn.XLOOKUP(D$181,$D$5:$AX$5,$D$11:$AX$91))</f>
        <v>A$m</v>
      </c>
      <c r="E360" s="311"/>
      <c r="F360" s="311"/>
      <c r="G360" s="312"/>
      <c r="H360" s="312"/>
      <c r="I360" s="312" cm="1">
        <f t="array" ref="I360">_xlfn.XLOOKUP($B360,$B$11:$B$91,_xlfn.XLOOKUP(I$181,$D$5:$AX$5,$D$11:$AX$91))</f>
        <v>-303.10000000000002</v>
      </c>
      <c r="J360" s="312" cm="1">
        <f t="array" ref="J360">_xlfn.XLOOKUP($B360,$B$11:$B$91,_xlfn.XLOOKUP(J$181,$D$5:$AX$5,$D$11:$AX$91))</f>
        <v>-274.29999999999995</v>
      </c>
      <c r="K360" s="312" cm="1">
        <f t="array" ref="K360">_xlfn.XLOOKUP($B360,$B$11:$B$91,_xlfn.XLOOKUP(K$181,$D$5:$AX$5,$D$11:$AX$91))</f>
        <v>-315.8</v>
      </c>
      <c r="L360" s="312" cm="1">
        <f t="array" ref="L360">_xlfn.XLOOKUP($B360,$B$11:$B$91,_xlfn.XLOOKUP(L$181,$D$5:$AX$5,$D$11:$AX$91))</f>
        <v>-298.2</v>
      </c>
      <c r="M360" s="312" cm="1">
        <f t="array" ref="M360">_xlfn.XLOOKUP($B360,$B$11:$B$91,_xlfn.XLOOKUP(M$181,$D$5:$AX$5,$D$11:$AX$91))</f>
        <v>-354.2</v>
      </c>
      <c r="N360" s="312" cm="1">
        <f t="array" ref="N360">_xlfn.XLOOKUP($B360,$B$11:$B$91,_xlfn.XLOOKUP(N$181,$D$5:$AX$5,$D$11:$AX$91))</f>
        <v>-343.00000000000006</v>
      </c>
      <c r="O360" s="312" cm="1">
        <f t="array" ref="O360">_xlfn.XLOOKUP($B360,$B$11:$B$91,_xlfn.XLOOKUP(O$181,$D$5:$AX$5,$D$11:$AX$91))</f>
        <v>-350.2</v>
      </c>
      <c r="P360" s="312" cm="1">
        <f t="array" ref="P360">_xlfn.XLOOKUP($B360,$B$11:$B$91,_xlfn.XLOOKUP(P$181,$D$5:$AX$5,$D$11:$AX$91))</f>
        <v>-350.50000000000006</v>
      </c>
      <c r="Q360" s="312" cm="1">
        <f t="array" ref="Q360">_xlfn.XLOOKUP($B360,$B$11:$B$91,_xlfn.XLOOKUP(Q$181,$D$5:$AX$5,$D$11:$AX$91))</f>
        <v>-363.39942500000001</v>
      </c>
      <c r="R360" s="312" cm="1">
        <f t="array" ref="R360">_xlfn.XLOOKUP($B360,$B$11:$B$91,_xlfn.XLOOKUP(R$181,$D$5:$AX$5,$D$11:$AX$91))</f>
        <v>-372.91047499999996</v>
      </c>
      <c r="S360" s="312" cm="1">
        <f t="array" ref="S360">_xlfn.XLOOKUP($B360,$B$11:$B$91,_xlfn.XLOOKUP(S$181,$D$5:$AX$5,$D$11:$AX$91))</f>
        <v>-396.11673062499995</v>
      </c>
      <c r="T360" s="312" cm="1">
        <f t="array" ref="T360">_xlfn.XLOOKUP($B360,$B$11:$B$91,_xlfn.XLOOKUP(T$181,$D$5:$AX$5,$D$11:$AX$91))</f>
        <v>-390.86773937499993</v>
      </c>
      <c r="U360" s="312" cm="1">
        <f t="array" ref="U360">_xlfn.XLOOKUP($B360,$B$11:$B$91,_xlfn.XLOOKUP(U$181,$D$5:$AX$5,$D$11:$AX$91))</f>
        <v>-402.56023254375003</v>
      </c>
      <c r="V360" s="312" cm="1">
        <f t="array" ref="V360">_xlfn.XLOOKUP($B360,$B$11:$B$91,_xlfn.XLOOKUP(V$181,$D$5:$AX$5,$D$11:$AX$91))</f>
        <v>-400.24377155624995</v>
      </c>
      <c r="W360" s="312" cm="1">
        <f t="array" ref="W360">_xlfn.XLOOKUP($B360,$B$11:$B$91,_xlfn.XLOOKUP(W$181,$D$5:$AX$5,$D$11:$AX$91))</f>
        <v>-414.6370395200625</v>
      </c>
      <c r="X360" s="312" cm="1">
        <f t="array" ref="X360">_xlfn.XLOOKUP($B360,$B$11:$B$91,_xlfn.XLOOKUP(X$181,$D$5:$AX$5,$D$11:$AX$91))</f>
        <v>-412.25108470293748</v>
      </c>
      <c r="Y360" s="312" cm="1">
        <f t="array" ref="Y360">_xlfn.XLOOKUP($B360,$B$11:$B$91,_xlfn.XLOOKUP(Y$181,$D$5:$AX$5,$D$11:$AX$91))</f>
        <v>-423.73170674038442</v>
      </c>
      <c r="Z360" s="312" cm="1">
        <f t="array" ref="Z360">_xlfn.XLOOKUP($B360,$B$11:$B$91,_xlfn.XLOOKUP(Z$181,$D$5:$AX$5,$D$11:$AX$91))</f>
        <v>-421.28579443039064</v>
      </c>
      <c r="AA360" s="312" cm="1">
        <f t="array" ref="AA360">_xlfn.XLOOKUP($B360,$B$11:$B$91,_xlfn.XLOOKUP(AA$181,$D$5:$AX$5,$D$11:$AX$91))</f>
        <v>-433.03232509801029</v>
      </c>
      <c r="AB360" s="312" cm="1">
        <f t="array" ref="AB360">_xlfn.XLOOKUP($B360,$B$11:$B$91,_xlfn.XLOOKUP(AB$181,$D$5:$AX$5,$D$11:$AX$91))</f>
        <v>-430.52488899339465</v>
      </c>
      <c r="AC360" s="312" cm="1">
        <f t="array" ref="AC360">_xlfn.XLOOKUP($B360,$B$11:$B$91,_xlfn.XLOOKUP(AC$181,$D$5:$AX$5,$D$11:$AX$91))</f>
        <v>-442.54373534947337</v>
      </c>
      <c r="AD360" s="312" cm="1">
        <f t="array" ref="AD360">_xlfn.XLOOKUP($B360,$B$11:$B$91,_xlfn.XLOOKUP(AD$181,$D$5:$AX$5,$D$11:$AX$91))</f>
        <v>-439.97316680789066</v>
      </c>
      <c r="AE360" s="312" cm="1">
        <f t="array" ref="AE360">_xlfn.XLOOKUP($B360,$B$11:$B$91,_xlfn.XLOOKUP(AE$181,$D$5:$AX$5,$D$11:$AX$91))</f>
        <v>-452.27089671845073</v>
      </c>
      <c r="AF360" s="312" cm="1">
        <f t="array" ref="AF360">_xlfn.XLOOKUP($B360,$B$11:$B$91,_xlfn.XLOOKUP(AF$181,$D$5:$AX$5,$D$11:$AX$91))</f>
        <v>-449.63554357971543</v>
      </c>
      <c r="AG360" s="312"/>
      <c r="AH360" s="310" t="str">
        <f t="shared" si="195"/>
        <v>Opex - New</v>
      </c>
      <c r="AI360" s="311" t="str" cm="1">
        <f t="array" ref="AI360">_xlfn.XLOOKUP($B360,$B$11:$B$91,_xlfn.XLOOKUP(AI$181,$D$5:$AX$5,$D$11:$AX$91))</f>
        <v>A$m</v>
      </c>
      <c r="AJ360" s="311"/>
      <c r="AK360" s="311"/>
      <c r="AL360" s="312" cm="1">
        <f t="array" ref="AL360">_xlfn.XLOOKUP($B360,$B$11:$B$91,_xlfn.XLOOKUP(AL$181,$D$5:$AX$5,$D$11:$AX$91))</f>
        <v>0</v>
      </c>
      <c r="AM360" s="312" cm="1">
        <f t="array" ref="AM360">_xlfn.XLOOKUP($B360,$B$11:$B$91,_xlfn.XLOOKUP(AM$181,$D$5:$AX$5,$D$11:$AX$91))</f>
        <v>-577.4</v>
      </c>
      <c r="AN360" s="312" cm="1">
        <f t="array" ref="AN360">_xlfn.XLOOKUP($B360,$B$11:$B$91,_xlfn.XLOOKUP(AN$181,$D$5:$AX$5,$D$11:$AX$91))</f>
        <v>-614</v>
      </c>
      <c r="AO360" s="312" cm="1">
        <f t="array" ref="AO360">_xlfn.XLOOKUP($B360,$B$11:$B$91,_xlfn.XLOOKUP(AO$181,$D$5:$AX$5,$D$11:$AX$91))</f>
        <v>-697.2</v>
      </c>
      <c r="AP360" s="312" cm="1">
        <f t="array" ref="AP360">_xlfn.XLOOKUP($B360,$B$11:$B$91,_xlfn.XLOOKUP(AP$181,$D$5:$AX$5,$D$11:$AX$91))</f>
        <v>-700.7</v>
      </c>
      <c r="AQ360" s="312" cm="1">
        <f t="array" ref="AQ360">_xlfn.XLOOKUP($B360,$B$11:$B$91,_xlfn.XLOOKUP(AQ$181,$D$5:$AX$5,$D$11:$AX$91))</f>
        <v>-736.30989999999997</v>
      </c>
      <c r="AR360" s="312" cm="1">
        <f t="array" ref="AR360">_xlfn.XLOOKUP($B360,$B$11:$B$91,_xlfn.XLOOKUP(AR$181,$D$5:$AX$5,$D$11:$AX$91))</f>
        <v>-786.98446999999987</v>
      </c>
      <c r="AS360" s="312" cm="1">
        <f t="array" ref="AS360">_xlfn.XLOOKUP($B360,$B$11:$B$91,_xlfn.XLOOKUP(AS$181,$D$5:$AX$5,$D$11:$AX$91))</f>
        <v>-802.80400409999993</v>
      </c>
      <c r="AT360" s="312" cm="1">
        <f t="array" ref="AT360">_xlfn.XLOOKUP($B360,$B$11:$B$91,_xlfn.XLOOKUP(AT$181,$D$5:$AX$5,$D$11:$AX$91))</f>
        <v>-826.88812422299998</v>
      </c>
      <c r="AU360" s="312" cm="1">
        <f t="array" ref="AU360">_xlfn.XLOOKUP($B360,$B$11:$B$91,_xlfn.XLOOKUP(AU$181,$D$5:$AX$5,$D$11:$AX$91))</f>
        <v>-845.01750117077506</v>
      </c>
      <c r="AV360" s="312" cm="1">
        <f t="array" ref="AV360">_xlfn.XLOOKUP($B360,$B$11:$B$91,_xlfn.XLOOKUP(AV$181,$D$5:$AX$5,$D$11:$AX$91))</f>
        <v>-863.55721409140494</v>
      </c>
      <c r="AW360" s="312" cm="1">
        <f t="array" ref="AW360">_xlfn.XLOOKUP($B360,$B$11:$B$91,_xlfn.XLOOKUP(AW$181,$D$5:$AX$5,$D$11:$AX$91))</f>
        <v>-882.51690215736403</v>
      </c>
      <c r="AX360" s="312" cm="1">
        <f t="array" ref="AX360">_xlfn.XLOOKUP($B360,$B$11:$B$91,_xlfn.XLOOKUP(AX$181,$D$5:$AX$5,$D$11:$AX$91))</f>
        <v>-901.90644029816622</v>
      </c>
    </row>
    <row r="361" spans="2:50" hidden="1" outlineLevel="1">
      <c r="C361" s="313" t="s">
        <v>1121</v>
      </c>
      <c r="D361" s="307" t="s">
        <v>842</v>
      </c>
      <c r="E361" s="307"/>
      <c r="F361" s="307"/>
      <c r="G361" s="314"/>
      <c r="H361" s="314"/>
      <c r="I361" s="314" t="s">
        <v>967</v>
      </c>
      <c r="J361" s="314" t="s">
        <v>967</v>
      </c>
      <c r="K361" s="314">
        <f t="shared" ref="K361:AF361" si="208">K360/I360-1</f>
        <v>4.1900362916529099E-2</v>
      </c>
      <c r="L361" s="314">
        <f t="shared" si="208"/>
        <v>8.713087860007307E-2</v>
      </c>
      <c r="M361" s="314">
        <f t="shared" si="208"/>
        <v>0.1215959468017731</v>
      </c>
      <c r="N361" s="314">
        <f t="shared" si="208"/>
        <v>0.15023474178403773</v>
      </c>
      <c r="O361" s="314">
        <f t="shared" si="208"/>
        <v>-1.1293054771315592E-2</v>
      </c>
      <c r="P361" s="314">
        <f t="shared" si="208"/>
        <v>2.186588921282806E-2</v>
      </c>
      <c r="Q361" s="314">
        <f t="shared" si="208"/>
        <v>3.7691105082809928E-2</v>
      </c>
      <c r="R361" s="314">
        <f t="shared" si="208"/>
        <v>6.3938587731811491E-2</v>
      </c>
      <c r="S361" s="314">
        <f t="shared" si="208"/>
        <v>9.0031253145213208E-2</v>
      </c>
      <c r="T361" s="314">
        <f t="shared" si="208"/>
        <v>4.8154357624306421E-2</v>
      </c>
      <c r="U361" s="314">
        <f t="shared" si="208"/>
        <v>1.6266674494115341E-2</v>
      </c>
      <c r="V361" s="314">
        <f t="shared" si="208"/>
        <v>2.3987736097745849E-2</v>
      </c>
      <c r="W361" s="314">
        <f t="shared" si="208"/>
        <v>3.0000000000000027E-2</v>
      </c>
      <c r="X361" s="314">
        <f t="shared" si="208"/>
        <v>3.0000000000000027E-2</v>
      </c>
      <c r="Y361" s="314">
        <f t="shared" si="208"/>
        <v>2.1934044365281347E-2</v>
      </c>
      <c r="Z361" s="314">
        <f t="shared" si="208"/>
        <v>2.191555113545296E-2</v>
      </c>
      <c r="AA361" s="314">
        <f t="shared" si="208"/>
        <v>2.1949309456146704E-2</v>
      </c>
      <c r="AB361" s="314">
        <f t="shared" si="208"/>
        <v>2.1930705200957412E-2</v>
      </c>
      <c r="AC361" s="314">
        <f t="shared" si="208"/>
        <v>2.1964665684739204E-2</v>
      </c>
      <c r="AD361" s="314">
        <f t="shared" si="208"/>
        <v>2.194595029473656E-2</v>
      </c>
      <c r="AE361" s="314">
        <f t="shared" si="208"/>
        <v>2.1980113132312074E-2</v>
      </c>
      <c r="AF361" s="314">
        <f t="shared" si="208"/>
        <v>2.1961286507374167E-2</v>
      </c>
      <c r="AG361" s="315"/>
      <c r="AH361" s="313" t="str">
        <f t="shared" si="195"/>
        <v>- Growth</v>
      </c>
      <c r="AI361" s="307" t="str">
        <f>D361</f>
        <v>%</v>
      </c>
      <c r="AJ361" s="307"/>
      <c r="AK361" s="307"/>
      <c r="AL361" s="314" t="s">
        <v>967</v>
      </c>
      <c r="AM361" s="314" t="s">
        <v>967</v>
      </c>
      <c r="AN361" s="314">
        <f t="shared" ref="AN361:AX361" si="209">AN360/AM360-1</f>
        <v>6.338759958434359E-2</v>
      </c>
      <c r="AO361" s="314">
        <f t="shared" si="209"/>
        <v>0.13550488599348531</v>
      </c>
      <c r="AP361" s="314">
        <f t="shared" si="209"/>
        <v>5.020080321285203E-3</v>
      </c>
      <c r="AQ361" s="314">
        <f t="shared" si="209"/>
        <v>5.0820465249036495E-2</v>
      </c>
      <c r="AR361" s="314">
        <f t="shared" si="209"/>
        <v>6.8822339615425276E-2</v>
      </c>
      <c r="AS361" s="314">
        <f t="shared" si="209"/>
        <v>2.0101456512858551E-2</v>
      </c>
      <c r="AT361" s="314">
        <f t="shared" si="209"/>
        <v>3.0000000000000027E-2</v>
      </c>
      <c r="AU361" s="314">
        <f t="shared" si="209"/>
        <v>2.1924824431129197E-2</v>
      </c>
      <c r="AV361" s="314">
        <f t="shared" si="209"/>
        <v>2.1940034253661089E-2</v>
      </c>
      <c r="AW361" s="314">
        <f t="shared" si="209"/>
        <v>2.1955335160864342E-2</v>
      </c>
      <c r="AX361" s="314">
        <f t="shared" si="209"/>
        <v>2.1970727238654897E-2</v>
      </c>
    </row>
    <row r="362" spans="2:50" collapsed="1">
      <c r="C362" s="313" t="s">
        <v>1122</v>
      </c>
      <c r="D362" s="307" t="s">
        <v>842</v>
      </c>
      <c r="E362" s="307"/>
      <c r="F362" s="307"/>
      <c r="G362" s="314"/>
      <c r="H362" s="314"/>
      <c r="I362" s="314">
        <f t="shared" ref="I362:AF362" si="210" xml:space="preserve"> IFERROR(ROUND( I360 / I359,3) - 1, 0)</f>
        <v>0</v>
      </c>
      <c r="J362" s="314">
        <f t="shared" si="210"/>
        <v>0</v>
      </c>
      <c r="K362" s="314">
        <f t="shared" si="210"/>
        <v>0</v>
      </c>
      <c r="L362" s="314">
        <f t="shared" si="210"/>
        <v>0</v>
      </c>
      <c r="M362" s="314">
        <f t="shared" si="210"/>
        <v>0</v>
      </c>
      <c r="N362" s="314">
        <f t="shared" si="210"/>
        <v>0</v>
      </c>
      <c r="O362" s="314">
        <f t="shared" si="210"/>
        <v>0</v>
      </c>
      <c r="P362" s="314">
        <f t="shared" si="210"/>
        <v>1.0000000000000009E-2</v>
      </c>
      <c r="Q362" s="314">
        <f t="shared" si="210"/>
        <v>1.4000000000000012E-2</v>
      </c>
      <c r="R362" s="314">
        <f t="shared" si="210"/>
        <v>5.600000000000005E-2</v>
      </c>
      <c r="S362" s="314">
        <f t="shared" si="210"/>
        <v>7.8000000000000069E-2</v>
      </c>
      <c r="T362" s="314">
        <f t="shared" si="210"/>
        <v>7.8999999999999959E-2</v>
      </c>
      <c r="U362" s="314">
        <f t="shared" si="210"/>
        <v>6.800000000000006E-2</v>
      </c>
      <c r="V362" s="314">
        <f t="shared" si="210"/>
        <v>7.6999999999999957E-2</v>
      </c>
      <c r="W362" s="314">
        <f t="shared" si="210"/>
        <v>7.2000000000000064E-2</v>
      </c>
      <c r="X362" s="314">
        <f t="shared" si="210"/>
        <v>8.0999999999999961E-2</v>
      </c>
      <c r="Y362" s="314">
        <f t="shared" si="210"/>
        <v>6.800000000000006E-2</v>
      </c>
      <c r="Z362" s="314">
        <f t="shared" si="210"/>
        <v>7.6999999999999957E-2</v>
      </c>
      <c r="AA362" s="314">
        <f t="shared" si="210"/>
        <v>6.4000000000000057E-2</v>
      </c>
      <c r="AB362" s="314">
        <f t="shared" si="210"/>
        <v>7.2999999999999954E-2</v>
      </c>
      <c r="AC362" s="314">
        <f t="shared" si="210"/>
        <v>6.0000000000000053E-2</v>
      </c>
      <c r="AD362" s="314">
        <f t="shared" si="210"/>
        <v>6.899999999999995E-2</v>
      </c>
      <c r="AE362" s="314">
        <f t="shared" si="210"/>
        <v>5.600000000000005E-2</v>
      </c>
      <c r="AF362" s="314">
        <f t="shared" si="210"/>
        <v>6.4999999999999947E-2</v>
      </c>
      <c r="AG362" s="314"/>
      <c r="AH362" s="313" t="str">
        <f t="shared" si="195"/>
        <v>- Revision</v>
      </c>
      <c r="AI362" s="307" t="str">
        <f>D362</f>
        <v>%</v>
      </c>
      <c r="AJ362" s="307"/>
      <c r="AK362" s="307"/>
      <c r="AL362" s="314">
        <f t="shared" ref="AL362:AX362" si="211" xml:space="preserve"> IFERROR(ROUND( AL360 / AL359,3) - 1, 0)</f>
        <v>0</v>
      </c>
      <c r="AM362" s="314">
        <f t="shared" si="211"/>
        <v>0</v>
      </c>
      <c r="AN362" s="314">
        <f t="shared" si="211"/>
        <v>0</v>
      </c>
      <c r="AO362" s="314">
        <f t="shared" si="211"/>
        <v>0</v>
      </c>
      <c r="AP362" s="314">
        <f t="shared" si="211"/>
        <v>4.9999999999998934E-3</v>
      </c>
      <c r="AQ362" s="314">
        <f t="shared" si="211"/>
        <v>3.499999999999992E-2</v>
      </c>
      <c r="AR362" s="314">
        <f t="shared" si="211"/>
        <v>7.8000000000000069E-2</v>
      </c>
      <c r="AS362" s="314">
        <f t="shared" si="211"/>
        <v>7.2000000000000064E-2</v>
      </c>
      <c r="AT362" s="314">
        <f t="shared" si="211"/>
        <v>7.6999999999999957E-2</v>
      </c>
      <c r="AU362" s="314">
        <f t="shared" si="211"/>
        <v>7.2999999999999954E-2</v>
      </c>
      <c r="AV362" s="314">
        <f t="shared" si="211"/>
        <v>6.899999999999995E-2</v>
      </c>
      <c r="AW362" s="314">
        <f t="shared" si="211"/>
        <v>6.4999999999999947E-2</v>
      </c>
      <c r="AX362" s="314">
        <f t="shared" si="211"/>
        <v>6.0999999999999943E-2</v>
      </c>
    </row>
    <row r="363" spans="2:50">
      <c r="B363" s="305" t="s">
        <v>1452</v>
      </c>
      <c r="C363" s="706" t="str">
        <f>_xlfn.TEXTAFTER($B363,$C$344)&amp;" - old"</f>
        <v>EBITDA - old</v>
      </c>
      <c r="D363" s="707" t="str" cm="1">
        <f t="array" ref="D363">_xlfn.XLOOKUP($B363,$B$96:$B$176,_xlfn.XLOOKUP(D$181,$D$5:$AX$5,$D$96:$AX$176))</f>
        <v>A$m</v>
      </c>
      <c r="E363" s="307"/>
      <c r="F363" s="307"/>
      <c r="G363" s="708"/>
      <c r="H363" s="708"/>
      <c r="I363" s="708" cm="1">
        <f t="array" ref="I363">_xlfn.XLOOKUP($B363,$B$96:$B$176,_xlfn.XLOOKUP(I$181,$D$5:$AX$5,$D$96:$AX$176))</f>
        <v>196.6</v>
      </c>
      <c r="J363" s="708" cm="1">
        <f t="array" ref="J363">_xlfn.XLOOKUP($B363,$B$96:$B$176,_xlfn.XLOOKUP(J$181,$D$5:$AX$5,$D$96:$AX$176))</f>
        <v>194.4</v>
      </c>
      <c r="K363" s="708" cm="1">
        <f t="array" ref="K363">_xlfn.XLOOKUP($B363,$B$96:$B$176,_xlfn.XLOOKUP(K$181,$D$5:$AX$5,$D$96:$AX$176))</f>
        <v>169.8</v>
      </c>
      <c r="L363" s="708" cm="1">
        <f t="array" ref="L363">_xlfn.XLOOKUP($B363,$B$96:$B$176,_xlfn.XLOOKUP(L$181,$D$5:$AX$5,$D$96:$AX$176))</f>
        <v>147.89999999999998</v>
      </c>
      <c r="M363" s="708" cm="1">
        <f t="array" ref="M363">_xlfn.XLOOKUP($B363,$B$96:$B$176,_xlfn.XLOOKUP(M$181,$D$5:$AX$5,$D$96:$AX$176))</f>
        <v>190.2</v>
      </c>
      <c r="N363" s="708" cm="1">
        <f t="array" ref="N363">_xlfn.XLOOKUP($B363,$B$96:$B$176,_xlfn.XLOOKUP(N$181,$D$5:$AX$5,$D$96:$AX$176))</f>
        <v>201.3</v>
      </c>
      <c r="O363" s="708" cm="1">
        <f t="array" ref="O363">_xlfn.XLOOKUP($B363,$B$96:$B$176,_xlfn.XLOOKUP(O$181,$D$5:$AX$5,$D$96:$AX$176))</f>
        <v>217.4</v>
      </c>
      <c r="P363" s="708" cm="1">
        <f t="array" ref="P363">_xlfn.XLOOKUP($B363,$B$96:$B$176,_xlfn.XLOOKUP(P$181,$D$5:$AX$5,$D$96:$AX$176))</f>
        <v>211.03123123002695</v>
      </c>
      <c r="Q363" s="708" cm="1">
        <f t="array" ref="Q363">_xlfn.XLOOKUP($B363,$B$96:$B$176,_xlfn.XLOOKUP(Q$181,$D$5:$AX$5,$D$96:$AX$176))</f>
        <v>246.89163044135</v>
      </c>
      <c r="R363" s="708" cm="1">
        <f t="array" ref="R363">_xlfn.XLOOKUP($B363,$B$96:$B$176,_xlfn.XLOOKUP(R$181,$D$5:$AX$5,$D$96:$AX$176))</f>
        <v>225.91248302424898</v>
      </c>
      <c r="S363" s="708" cm="1">
        <f t="array" ref="S363">_xlfn.XLOOKUP($B363,$B$96:$B$176,_xlfn.XLOOKUP(S$181,$D$5:$AX$5,$D$96:$AX$176))</f>
        <v>253.45476940994817</v>
      </c>
      <c r="T363" s="708" cm="1">
        <f t="array" ref="T363">_xlfn.XLOOKUP($B363,$B$96:$B$176,_xlfn.XLOOKUP(T$181,$D$5:$AX$5,$D$96:$AX$176))</f>
        <v>230.38396337662027</v>
      </c>
      <c r="U363" s="708" cm="1">
        <f t="array" ref="U363">_xlfn.XLOOKUP($B363,$B$96:$B$176,_xlfn.XLOOKUP(U$181,$D$5:$AX$5,$D$96:$AX$176))</f>
        <v>258.52115265330832</v>
      </c>
      <c r="V363" s="708" cm="1">
        <f t="array" ref="V363">_xlfn.XLOOKUP($B363,$B$96:$B$176,_xlfn.XLOOKUP(V$181,$D$5:$AX$5,$D$96:$AX$176))</f>
        <v>234.99960112542917</v>
      </c>
      <c r="W363" s="708" cm="1">
        <f t="array" ref="W363">_xlfn.XLOOKUP($B363,$B$96:$B$176,_xlfn.XLOOKUP(W$181,$D$5:$AX$5,$D$96:$AX$176))</f>
        <v>263.74860585031615</v>
      </c>
      <c r="X363" s="708" cm="1">
        <f t="array" ref="X363">_xlfn.XLOOKUP($B363,$B$96:$B$176,_xlfn.XLOOKUP(X$181,$D$5:$AX$5,$D$96:$AX$176))</f>
        <v>239.76486612740874</v>
      </c>
      <c r="Y363" s="708" cm="1">
        <f t="array" ref="Y363">_xlfn.XLOOKUP($B363,$B$96:$B$176,_xlfn.XLOOKUP(Y$181,$D$5:$AX$5,$D$96:$AX$176))</f>
        <v>269.14314058084932</v>
      </c>
      <c r="Z363" s="708" cm="1">
        <f t="array" ref="Z363">_xlfn.XLOOKUP($B363,$B$96:$B$176,_xlfn.XLOOKUP(Z$181,$D$5:$AX$5,$D$96:$AX$176))</f>
        <v>244.68543873029103</v>
      </c>
      <c r="AA363" s="708" cm="1">
        <f t="array" ref="AA363">_xlfn.XLOOKUP($B363,$B$96:$B$176,_xlfn.XLOOKUP(AA$181,$D$5:$AX$5,$D$96:$AX$176))</f>
        <v>274.71099696010242</v>
      </c>
      <c r="AB363" s="708" cm="1">
        <f t="array" ref="AB363">_xlfn.XLOOKUP($B363,$B$96:$B$176,_xlfn.XLOOKUP(AB$181,$D$5:$AX$5,$D$96:$AX$176))</f>
        <v>249.76721777024409</v>
      </c>
      <c r="AC363" s="708" cm="1">
        <f t="array" ref="AC363">_xlfn.XLOOKUP($B363,$B$96:$B$176,_xlfn.XLOOKUP(AC$181,$D$5:$AX$5,$D$96:$AX$176))</f>
        <v>276.15359043873008</v>
      </c>
      <c r="AD363" s="708" cm="1">
        <f t="array" ref="AD363">_xlfn.XLOOKUP($B363,$B$96:$B$176,_xlfn.XLOOKUP(AD$181,$D$5:$AX$5,$D$96:$AX$176))</f>
        <v>250.98377011548382</v>
      </c>
      <c r="AE363" s="708" cm="1">
        <f t="array" ref="AE363">_xlfn.XLOOKUP($B363,$B$96:$B$176,_xlfn.XLOOKUP(AE$181,$D$5:$AX$5,$D$96:$AX$176))</f>
        <v>277.78270615192685</v>
      </c>
      <c r="AF363" s="708" cm="1">
        <f t="array" ref="AF363">_xlfn.XLOOKUP($B363,$B$96:$B$176,_xlfn.XLOOKUP(AF$181,$D$5:$AX$5,$D$96:$AX$176))</f>
        <v>252.3740155408405</v>
      </c>
      <c r="AG363" s="309"/>
      <c r="AH363" s="306" t="str">
        <f t="shared" si="195"/>
        <v>EBITDA - old</v>
      </c>
      <c r="AI363" s="707" t="str" cm="1">
        <f t="array" ref="AI363">_xlfn.XLOOKUP($B363,$B$96:$B$176,_xlfn.XLOOKUP(AI$181,$D$5:$AX$5,$D$96:$AX$176))</f>
        <v>A$m</v>
      </c>
      <c r="AJ363" s="307"/>
      <c r="AK363" s="307"/>
      <c r="AL363" s="708" cm="1">
        <f t="array" ref="AL363">_xlfn.XLOOKUP($B363,$B$96:$B$176,_xlfn.XLOOKUP(AL$181,$D$5:$AX$5,$D$96:$AX$176))</f>
        <v>0</v>
      </c>
      <c r="AM363" s="708" cm="1">
        <f t="array" ref="AM363">_xlfn.XLOOKUP($B363,$B$96:$B$176,_xlfn.XLOOKUP(AM$181,$D$5:$AX$5,$D$96:$AX$176))</f>
        <v>391</v>
      </c>
      <c r="AN363" s="708" cm="1">
        <f t="array" ref="AN363">_xlfn.XLOOKUP($B363,$B$96:$B$176,_xlfn.XLOOKUP(AN$181,$D$5:$AX$5,$D$96:$AX$176))</f>
        <v>317.7</v>
      </c>
      <c r="AO363" s="708" cm="1">
        <f t="array" ref="AO363">_xlfn.XLOOKUP($B363,$B$96:$B$176,_xlfn.XLOOKUP(AO$181,$D$5:$AX$5,$D$96:$AX$176))</f>
        <v>391.5</v>
      </c>
      <c r="AP363" s="708" cm="1">
        <f t="array" ref="AP363">_xlfn.XLOOKUP($B363,$B$96:$B$176,_xlfn.XLOOKUP(AP$181,$D$5:$AX$5,$D$96:$AX$176))</f>
        <v>428.43123123002692</v>
      </c>
      <c r="AQ363" s="708" cm="1">
        <f t="array" ref="AQ363">_xlfn.XLOOKUP($B363,$B$96:$B$176,_xlfn.XLOOKUP(AQ$181,$D$5:$AX$5,$D$96:$AX$176))</f>
        <v>472.80411346559902</v>
      </c>
      <c r="AR363" s="708" cm="1">
        <f t="array" ref="AR363">_xlfn.XLOOKUP($B363,$B$96:$B$176,_xlfn.XLOOKUP(AR$181,$D$5:$AX$5,$D$96:$AX$176))</f>
        <v>483.83873278656847</v>
      </c>
      <c r="AS363" s="708" cm="1">
        <f t="array" ref="AS363">_xlfn.XLOOKUP($B363,$B$96:$B$176,_xlfn.XLOOKUP(AS$181,$D$5:$AX$5,$D$96:$AX$176))</f>
        <v>493.52075377873746</v>
      </c>
      <c r="AT363" s="708" cm="1">
        <f t="array" ref="AT363">_xlfn.XLOOKUP($B363,$B$96:$B$176,_xlfn.XLOOKUP(AT$181,$D$5:$AX$5,$D$96:$AX$176))</f>
        <v>503.51347197772486</v>
      </c>
      <c r="AU363" s="708" cm="1">
        <f t="array" ref="AU363">_xlfn.XLOOKUP($B363,$B$96:$B$176,_xlfn.XLOOKUP(AU$181,$D$5:$AX$5,$D$96:$AX$176))</f>
        <v>513.8285793111404</v>
      </c>
      <c r="AV363" s="708" cm="1">
        <f t="array" ref="AV363">_xlfn.XLOOKUP($B363,$B$96:$B$176,_xlfn.XLOOKUP(AV$181,$D$5:$AX$5,$D$96:$AX$176))</f>
        <v>524.47821473034651</v>
      </c>
      <c r="AW363" s="708" cm="1">
        <f t="array" ref="AW363">_xlfn.XLOOKUP($B363,$B$96:$B$176,_xlfn.XLOOKUP(AW$181,$D$5:$AX$5,$D$96:$AX$176))</f>
        <v>527.13736055421396</v>
      </c>
      <c r="AX363" s="708" cm="1">
        <f t="array" ref="AX363">_xlfn.XLOOKUP($B363,$B$96:$B$176,_xlfn.XLOOKUP(AX$181,$D$5:$AX$5,$D$96:$AX$176))</f>
        <v>530.15672169276741</v>
      </c>
    </row>
    <row r="364" spans="2:50">
      <c r="B364" s="305" t="s">
        <v>1452</v>
      </c>
      <c r="C364" s="318" t="str">
        <f>_xlfn.TEXTAFTER($B364,$C$344)&amp;" - New"</f>
        <v>EBITDA - New</v>
      </c>
      <c r="D364" s="311" t="str" cm="1">
        <f t="array" ref="D364">_xlfn.XLOOKUP($B364,$B$11:$B$91,_xlfn.XLOOKUP(D$181,$D$5:$AX$5,$D$11:$AX$91))</f>
        <v>A$m</v>
      </c>
      <c r="E364" s="311"/>
      <c r="F364" s="311"/>
      <c r="G364" s="312"/>
      <c r="H364" s="312"/>
      <c r="I364" s="312" cm="1">
        <f t="array" ref="I364">_xlfn.XLOOKUP($B364,$B$11:$B$91,_xlfn.XLOOKUP(I$181,$D$5:$AX$5,$D$11:$AX$91))</f>
        <v>196.6</v>
      </c>
      <c r="J364" s="312" cm="1">
        <f t="array" ref="J364">_xlfn.XLOOKUP($B364,$B$11:$B$91,_xlfn.XLOOKUP(J$181,$D$5:$AX$5,$D$11:$AX$91))</f>
        <v>194.4</v>
      </c>
      <c r="K364" s="312" cm="1">
        <f t="array" ref="K364">_xlfn.XLOOKUP($B364,$B$11:$B$91,_xlfn.XLOOKUP(K$181,$D$5:$AX$5,$D$11:$AX$91))</f>
        <v>169.8</v>
      </c>
      <c r="L364" s="312" cm="1">
        <f t="array" ref="L364">_xlfn.XLOOKUP($B364,$B$11:$B$91,_xlfn.XLOOKUP(L$181,$D$5:$AX$5,$D$11:$AX$91))</f>
        <v>147.89999999999998</v>
      </c>
      <c r="M364" s="312" cm="1">
        <f t="array" ref="M364">_xlfn.XLOOKUP($B364,$B$11:$B$91,_xlfn.XLOOKUP(M$181,$D$5:$AX$5,$D$11:$AX$91))</f>
        <v>190.2</v>
      </c>
      <c r="N364" s="312" cm="1">
        <f t="array" ref="N364">_xlfn.XLOOKUP($B364,$B$11:$B$91,_xlfn.XLOOKUP(N$181,$D$5:$AX$5,$D$11:$AX$91))</f>
        <v>201.3</v>
      </c>
      <c r="O364" s="312" cm="1">
        <f t="array" ref="O364">_xlfn.XLOOKUP($B364,$B$11:$B$91,_xlfn.XLOOKUP(O$181,$D$5:$AX$5,$D$11:$AX$91))</f>
        <v>217.4</v>
      </c>
      <c r="P364" s="312" cm="1">
        <f t="array" ref="P364">_xlfn.XLOOKUP($B364,$B$11:$B$91,_xlfn.XLOOKUP(P$181,$D$5:$AX$5,$D$11:$AX$91))</f>
        <v>214.29999999999998</v>
      </c>
      <c r="Q364" s="312" cm="1">
        <f t="array" ref="Q364">_xlfn.XLOOKUP($B364,$B$11:$B$91,_xlfn.XLOOKUP(Q$181,$D$5:$AX$5,$D$11:$AX$91))</f>
        <v>245.91365320419683</v>
      </c>
      <c r="R364" s="312" cm="1">
        <f t="array" ref="R364">_xlfn.XLOOKUP($B364,$B$11:$B$91,_xlfn.XLOOKUP(R$181,$D$5:$AX$5,$D$11:$AX$91))</f>
        <v>220.50641127075005</v>
      </c>
      <c r="S364" s="312" cm="1">
        <f t="array" ref="S364">_xlfn.XLOOKUP($B364,$B$11:$B$91,_xlfn.XLOOKUP(S$181,$D$5:$AX$5,$D$11:$AX$91))</f>
        <v>252.5909362220219</v>
      </c>
      <c r="T364" s="312" cm="1">
        <f t="array" ref="T364">_xlfn.XLOOKUP($B364,$B$11:$B$91,_xlfn.XLOOKUP(T$181,$D$5:$AX$5,$D$11:$AX$91))</f>
        <v>233.05483452447999</v>
      </c>
      <c r="U364" s="312" cm="1">
        <f t="array" ref="U364">_xlfn.XLOOKUP($B364,$B$11:$B$91,_xlfn.XLOOKUP(U$181,$D$5:$AX$5,$D$11:$AX$91))</f>
        <v>260.32813375597885</v>
      </c>
      <c r="V364" s="312" cm="1">
        <f t="array" ref="V364">_xlfn.XLOOKUP($B364,$B$11:$B$91,_xlfn.XLOOKUP(V$181,$D$5:$AX$5,$D$11:$AX$91))</f>
        <v>234.03557596429465</v>
      </c>
      <c r="W364" s="312" cm="1">
        <f t="array" ref="W364">_xlfn.XLOOKUP($B364,$B$11:$B$91,_xlfn.XLOOKUP(W$181,$D$5:$AX$5,$D$11:$AX$91))</f>
        <v>263.98405265487986</v>
      </c>
      <c r="X364" s="312" cm="1">
        <f t="array" ref="X364">_xlfn.XLOOKUP($B364,$B$11:$B$91,_xlfn.XLOOKUP(X$181,$D$5:$AX$5,$D$11:$AX$91))</f>
        <v>237.27680381304012</v>
      </c>
      <c r="Y364" s="312" cm="1">
        <f t="array" ref="Y364">_xlfn.XLOOKUP($B364,$B$11:$B$91,_xlfn.XLOOKUP(Y$181,$D$5:$AX$5,$D$11:$AX$91))</f>
        <v>266.91994186997368</v>
      </c>
      <c r="Z364" s="312" cm="1">
        <f t="array" ref="Z364">_xlfn.XLOOKUP($B364,$B$11:$B$91,_xlfn.XLOOKUP(Z$181,$D$5:$AX$5,$D$11:$AX$91))</f>
        <v>240.1555074920955</v>
      </c>
      <c r="AA364" s="312" cm="1">
        <f t="array" ref="AA364">_xlfn.XLOOKUP($B364,$B$11:$B$91,_xlfn.XLOOKUP(AA$181,$D$5:$AX$5,$D$11:$AX$91))</f>
        <v>270.09346120412431</v>
      </c>
      <c r="AB364" s="312" cm="1">
        <f t="array" ref="AB364">_xlfn.XLOOKUP($B364,$B$11:$B$91,_xlfn.XLOOKUP(AB$181,$D$5:$AX$5,$D$11:$AX$91))</f>
        <v>243.26233677028503</v>
      </c>
      <c r="AC364" s="312" cm="1">
        <f t="array" ref="AC364">_xlfn.XLOOKUP($B364,$B$11:$B$91,_xlfn.XLOOKUP(AC$181,$D$5:$AX$5,$D$11:$AX$91))</f>
        <v>273.51225069285624</v>
      </c>
      <c r="AD364" s="312" cm="1">
        <f t="array" ref="AD364">_xlfn.XLOOKUP($B364,$B$11:$B$91,_xlfn.XLOOKUP(AD$181,$D$5:$AX$5,$D$11:$AX$91))</f>
        <v>246.60471746438341</v>
      </c>
      <c r="AE364" s="312" cm="1">
        <f t="array" ref="AE364">_xlfn.XLOOKUP($B364,$B$11:$B$91,_xlfn.XLOOKUP(AE$181,$D$5:$AX$5,$D$11:$AX$91))</f>
        <v>277.18421459476878</v>
      </c>
      <c r="AF364" s="312" cm="1">
        <f t="array" ref="AF364">_xlfn.XLOOKUP($B364,$B$11:$B$91,_xlfn.XLOOKUP(AF$181,$D$5:$AX$5,$D$11:$AX$91))</f>
        <v>250.19033233905387</v>
      </c>
      <c r="AG364" s="312"/>
      <c r="AH364" s="310" t="str">
        <f t="shared" si="195"/>
        <v>EBITDA - New</v>
      </c>
      <c r="AI364" s="311" t="str" cm="1">
        <f t="array" ref="AI364">_xlfn.XLOOKUP($B364,$B$11:$B$91,_xlfn.XLOOKUP(AI$181,$D$5:$AX$5,$D$11:$AX$91))</f>
        <v>A$m</v>
      </c>
      <c r="AJ364" s="311"/>
      <c r="AK364" s="311"/>
      <c r="AL364" s="312" cm="1">
        <f t="array" ref="AL364">_xlfn.XLOOKUP($B364,$B$11:$B$91,_xlfn.XLOOKUP(AL$181,$D$5:$AX$5,$D$11:$AX$91))</f>
        <v>0</v>
      </c>
      <c r="AM364" s="312" cm="1">
        <f t="array" ref="AM364">_xlfn.XLOOKUP($B364,$B$11:$B$91,_xlfn.XLOOKUP(AM$181,$D$5:$AX$5,$D$11:$AX$91))</f>
        <v>391</v>
      </c>
      <c r="AN364" s="312" cm="1">
        <f t="array" ref="AN364">_xlfn.XLOOKUP($B364,$B$11:$B$91,_xlfn.XLOOKUP(AN$181,$D$5:$AX$5,$D$11:$AX$91))</f>
        <v>317.7</v>
      </c>
      <c r="AO364" s="312" cm="1">
        <f t="array" ref="AO364">_xlfn.XLOOKUP($B364,$B$11:$B$91,_xlfn.XLOOKUP(AO$181,$D$5:$AX$5,$D$11:$AX$91))</f>
        <v>391.5</v>
      </c>
      <c r="AP364" s="312" cm="1">
        <f t="array" ref="AP364">_xlfn.XLOOKUP($B364,$B$11:$B$91,_xlfn.XLOOKUP(AP$181,$D$5:$AX$5,$D$11:$AX$91))</f>
        <v>431.7</v>
      </c>
      <c r="AQ364" s="312" cm="1">
        <f t="array" ref="AQ364">_xlfn.XLOOKUP($B364,$B$11:$B$91,_xlfn.XLOOKUP(AQ$181,$D$5:$AX$5,$D$11:$AX$91))</f>
        <v>466.42006447494691</v>
      </c>
      <c r="AR364" s="312" cm="1">
        <f t="array" ref="AR364">_xlfn.XLOOKUP($B364,$B$11:$B$91,_xlfn.XLOOKUP(AR$181,$D$5:$AX$5,$D$11:$AX$91))</f>
        <v>485.64577074650185</v>
      </c>
      <c r="AS364" s="312" cm="1">
        <f t="array" ref="AS364">_xlfn.XLOOKUP($B364,$B$11:$B$91,_xlfn.XLOOKUP(AS$181,$D$5:$AX$5,$D$11:$AX$91))</f>
        <v>494.3637097202735</v>
      </c>
      <c r="AT364" s="312" cm="1">
        <f t="array" ref="AT364">_xlfn.XLOOKUP($B364,$B$11:$B$91,_xlfn.XLOOKUP(AT$181,$D$5:$AX$5,$D$11:$AX$91))</f>
        <v>501.26085646792001</v>
      </c>
      <c r="AU364" s="312" cm="1">
        <f t="array" ref="AU364">_xlfn.XLOOKUP($B364,$B$11:$B$91,_xlfn.XLOOKUP(AU$181,$D$5:$AX$5,$D$11:$AX$91))</f>
        <v>507.07544936206921</v>
      </c>
      <c r="AV364" s="312" cm="1">
        <f t="array" ref="AV364">_xlfn.XLOOKUP($B364,$B$11:$B$91,_xlfn.XLOOKUP(AV$181,$D$5:$AX$5,$D$11:$AX$91))</f>
        <v>513.35579797440937</v>
      </c>
      <c r="AW364" s="312" cm="1">
        <f t="array" ref="AW364">_xlfn.XLOOKUP($B364,$B$11:$B$91,_xlfn.XLOOKUP(AW$181,$D$5:$AX$5,$D$11:$AX$91))</f>
        <v>520.11696815723963</v>
      </c>
      <c r="AX364" s="312" cm="1">
        <f t="array" ref="AX364">_xlfn.XLOOKUP($B364,$B$11:$B$91,_xlfn.XLOOKUP(AX$181,$D$5:$AX$5,$D$11:$AX$91))</f>
        <v>527.37454693382267</v>
      </c>
    </row>
    <row r="365" spans="2:50" hidden="1" outlineLevel="1">
      <c r="C365" s="313" t="s">
        <v>1121</v>
      </c>
      <c r="D365" s="307" t="s">
        <v>842</v>
      </c>
      <c r="E365" s="307"/>
      <c r="F365" s="307"/>
      <c r="G365" s="314"/>
      <c r="H365" s="314"/>
      <c r="I365" s="314" t="s">
        <v>967</v>
      </c>
      <c r="J365" s="314" t="s">
        <v>967</v>
      </c>
      <c r="K365" s="314">
        <f t="shared" ref="K365:AF365" si="212">K364/I364-1</f>
        <v>-0.13631739572736512</v>
      </c>
      <c r="L365" s="314">
        <f t="shared" si="212"/>
        <v>-0.2391975308641977</v>
      </c>
      <c r="M365" s="314">
        <f t="shared" si="212"/>
        <v>0.12014134275618371</v>
      </c>
      <c r="N365" s="314">
        <f t="shared" si="212"/>
        <v>0.36105476673428027</v>
      </c>
      <c r="O365" s="314">
        <f t="shared" si="212"/>
        <v>0.14300736067297581</v>
      </c>
      <c r="P365" s="314">
        <f t="shared" si="212"/>
        <v>6.4580228514654614E-2</v>
      </c>
      <c r="Q365" s="314">
        <f t="shared" si="212"/>
        <v>0.13115755843696797</v>
      </c>
      <c r="R365" s="314">
        <f t="shared" si="212"/>
        <v>2.8961321842044141E-2</v>
      </c>
      <c r="S365" s="314">
        <f t="shared" si="212"/>
        <v>2.7152957677711864E-2</v>
      </c>
      <c r="T365" s="314">
        <f t="shared" si="212"/>
        <v>5.6907294356726368E-2</v>
      </c>
      <c r="U365" s="314">
        <f t="shared" si="212"/>
        <v>3.0631334796416221E-2</v>
      </c>
      <c r="V365" s="314">
        <f t="shared" si="212"/>
        <v>4.2082003654451139E-3</v>
      </c>
      <c r="W365" s="314">
        <f t="shared" si="212"/>
        <v>1.4043502890578541E-2</v>
      </c>
      <c r="X365" s="314">
        <f t="shared" si="212"/>
        <v>1.384929549873215E-2</v>
      </c>
      <c r="Y365" s="314">
        <f t="shared" si="212"/>
        <v>1.1121464291375505E-2</v>
      </c>
      <c r="Z365" s="314">
        <f t="shared" si="212"/>
        <v>1.2132259170700932E-2</v>
      </c>
      <c r="AA365" s="314">
        <f t="shared" si="212"/>
        <v>1.1889405159905886E-2</v>
      </c>
      <c r="AB365" s="314">
        <f t="shared" si="212"/>
        <v>1.293673965937181E-2</v>
      </c>
      <c r="AC365" s="314">
        <f t="shared" si="212"/>
        <v>1.2657801760510567E-2</v>
      </c>
      <c r="AD365" s="314">
        <f t="shared" si="212"/>
        <v>1.3739819893511251E-2</v>
      </c>
      <c r="AE365" s="314">
        <f t="shared" si="212"/>
        <v>1.3425226448214866E-2</v>
      </c>
      <c r="AF365" s="314">
        <f t="shared" si="212"/>
        <v>1.4539928155219872E-2</v>
      </c>
      <c r="AG365" s="315"/>
      <c r="AH365" s="313" t="str">
        <f t="shared" si="195"/>
        <v>- Growth</v>
      </c>
      <c r="AI365" s="307" t="str">
        <f>D365</f>
        <v>%</v>
      </c>
      <c r="AJ365" s="307"/>
      <c r="AK365" s="307"/>
      <c r="AL365" s="314" t="s">
        <v>967</v>
      </c>
      <c r="AM365" s="314" t="s">
        <v>967</v>
      </c>
      <c r="AN365" s="314">
        <f t="shared" ref="AN365:AX365" si="213">AN364/AM364-1</f>
        <v>-0.18746803069053708</v>
      </c>
      <c r="AO365" s="314">
        <f t="shared" si="213"/>
        <v>0.23229461756373948</v>
      </c>
      <c r="AP365" s="314">
        <f t="shared" si="213"/>
        <v>0.10268199233716468</v>
      </c>
      <c r="AQ365" s="314">
        <f t="shared" si="213"/>
        <v>8.0426371264644247E-2</v>
      </c>
      <c r="AR365" s="314">
        <f t="shared" si="213"/>
        <v>4.1219723883871628E-2</v>
      </c>
      <c r="AS365" s="314">
        <f t="shared" si="213"/>
        <v>1.7951230091782788E-2</v>
      </c>
      <c r="AT365" s="314">
        <f t="shared" si="213"/>
        <v>1.395156362013128E-2</v>
      </c>
      <c r="AU365" s="314">
        <f t="shared" si="213"/>
        <v>1.1599934084462804E-2</v>
      </c>
      <c r="AV365" s="314">
        <f t="shared" si="213"/>
        <v>1.2385432227573157E-2</v>
      </c>
      <c r="AW365" s="314">
        <f t="shared" si="213"/>
        <v>1.3170534373057263E-2</v>
      </c>
      <c r="AX365" s="314">
        <f t="shared" si="213"/>
        <v>1.3953743524839135E-2</v>
      </c>
    </row>
    <row r="366" spans="2:50" collapsed="1">
      <c r="C366" s="313" t="s">
        <v>1122</v>
      </c>
      <c r="D366" s="307" t="s">
        <v>842</v>
      </c>
      <c r="E366" s="307"/>
      <c r="F366" s="307"/>
      <c r="G366" s="314"/>
      <c r="H366" s="314"/>
      <c r="I366" s="314">
        <f t="shared" ref="I366:AF366" si="214" xml:space="preserve"> IFERROR(ROUND( I364 / I363,3) - 1, 0)</f>
        <v>0</v>
      </c>
      <c r="J366" s="314">
        <f t="shared" si="214"/>
        <v>0</v>
      </c>
      <c r="K366" s="314">
        <f t="shared" si="214"/>
        <v>0</v>
      </c>
      <c r="L366" s="314">
        <f t="shared" si="214"/>
        <v>0</v>
      </c>
      <c r="M366" s="314">
        <f t="shared" si="214"/>
        <v>0</v>
      </c>
      <c r="N366" s="314">
        <f t="shared" si="214"/>
        <v>0</v>
      </c>
      <c r="O366" s="314">
        <f t="shared" si="214"/>
        <v>0</v>
      </c>
      <c r="P366" s="314">
        <f t="shared" si="214"/>
        <v>1.4999999999999902E-2</v>
      </c>
      <c r="Q366" s="314">
        <f t="shared" si="214"/>
        <v>-4.0000000000000036E-3</v>
      </c>
      <c r="R366" s="314">
        <f t="shared" si="214"/>
        <v>-2.4000000000000021E-2</v>
      </c>
      <c r="S366" s="314">
        <f t="shared" si="214"/>
        <v>-3.0000000000000027E-3</v>
      </c>
      <c r="T366" s="314">
        <f t="shared" si="214"/>
        <v>1.2000000000000011E-2</v>
      </c>
      <c r="U366" s="314">
        <f t="shared" si="214"/>
        <v>6.9999999999998952E-3</v>
      </c>
      <c r="V366" s="314">
        <f t="shared" si="214"/>
        <v>-4.0000000000000036E-3</v>
      </c>
      <c r="W366" s="314">
        <f t="shared" si="214"/>
        <v>9.9999999999988987E-4</v>
      </c>
      <c r="X366" s="314">
        <f t="shared" si="214"/>
        <v>-1.0000000000000009E-2</v>
      </c>
      <c r="Y366" s="314">
        <f t="shared" si="214"/>
        <v>-8.0000000000000071E-3</v>
      </c>
      <c r="Z366" s="314">
        <f t="shared" si="214"/>
        <v>-1.9000000000000017E-2</v>
      </c>
      <c r="AA366" s="314">
        <f t="shared" si="214"/>
        <v>-1.7000000000000015E-2</v>
      </c>
      <c r="AB366" s="314">
        <f t="shared" si="214"/>
        <v>-2.6000000000000023E-2</v>
      </c>
      <c r="AC366" s="314">
        <f t="shared" si="214"/>
        <v>-1.0000000000000009E-2</v>
      </c>
      <c r="AD366" s="314">
        <f t="shared" si="214"/>
        <v>-1.7000000000000015E-2</v>
      </c>
      <c r="AE366" s="314">
        <f t="shared" si="214"/>
        <v>-2.0000000000000018E-3</v>
      </c>
      <c r="AF366" s="314">
        <f t="shared" si="214"/>
        <v>-9.000000000000008E-3</v>
      </c>
      <c r="AG366" s="314"/>
      <c r="AH366" s="313" t="str">
        <f t="shared" si="195"/>
        <v>- Revision</v>
      </c>
      <c r="AI366" s="307" t="str">
        <f>D366</f>
        <v>%</v>
      </c>
      <c r="AJ366" s="307"/>
      <c r="AK366" s="307"/>
      <c r="AL366" s="314">
        <f t="shared" ref="AL366:AX366" si="215" xml:space="preserve"> IFERROR(ROUND( AL364 / AL363,3) - 1, 0)</f>
        <v>0</v>
      </c>
      <c r="AM366" s="314">
        <f t="shared" si="215"/>
        <v>0</v>
      </c>
      <c r="AN366" s="314">
        <f t="shared" si="215"/>
        <v>0</v>
      </c>
      <c r="AO366" s="314">
        <f t="shared" si="215"/>
        <v>0</v>
      </c>
      <c r="AP366" s="314">
        <f t="shared" si="215"/>
        <v>8.0000000000000071E-3</v>
      </c>
      <c r="AQ366" s="314">
        <f t="shared" si="215"/>
        <v>-1.4000000000000012E-2</v>
      </c>
      <c r="AR366" s="314">
        <f t="shared" si="215"/>
        <v>4.0000000000000036E-3</v>
      </c>
      <c r="AS366" s="314">
        <f t="shared" si="215"/>
        <v>2.0000000000000018E-3</v>
      </c>
      <c r="AT366" s="314">
        <f t="shared" si="215"/>
        <v>-4.0000000000000036E-3</v>
      </c>
      <c r="AU366" s="314">
        <f t="shared" si="215"/>
        <v>-1.3000000000000012E-2</v>
      </c>
      <c r="AV366" s="314">
        <f t="shared" si="215"/>
        <v>-2.1000000000000019E-2</v>
      </c>
      <c r="AW366" s="314">
        <f t="shared" si="215"/>
        <v>-1.3000000000000012E-2</v>
      </c>
      <c r="AX366" s="314">
        <f t="shared" si="215"/>
        <v>-5.0000000000000044E-3</v>
      </c>
    </row>
    <row r="367" spans="2:50">
      <c r="B367" s="305" t="s">
        <v>1453</v>
      </c>
      <c r="C367" s="706" t="str">
        <f>_xlfn.TEXTAFTER($B367,$C$344)&amp;" - old"</f>
        <v>D&amp;A - old</v>
      </c>
      <c r="D367" s="707" t="str" cm="1">
        <f t="array" ref="D367">_xlfn.XLOOKUP($B367,$B$96:$B$176,_xlfn.XLOOKUP(D$181,$D$5:$AX$5,$D$96:$AX$176))</f>
        <v>A$m</v>
      </c>
      <c r="E367" s="307"/>
      <c r="F367" s="307"/>
      <c r="G367" s="708"/>
      <c r="H367" s="708"/>
      <c r="I367" s="708" cm="1">
        <f t="array" ref="I367">_xlfn.XLOOKUP($B367,$B$96:$B$176,_xlfn.XLOOKUP(I$181,$D$5:$AX$5,$D$96:$AX$176))</f>
        <v>-123.39999999999998</v>
      </c>
      <c r="J367" s="708" cm="1">
        <f t="array" ref="J367">_xlfn.XLOOKUP($B367,$B$96:$B$176,_xlfn.XLOOKUP(J$181,$D$5:$AX$5,$D$96:$AX$176))</f>
        <v>-117.10000000000002</v>
      </c>
      <c r="K367" s="708" cm="1">
        <f t="array" ref="K367">_xlfn.XLOOKUP($B367,$B$96:$B$176,_xlfn.XLOOKUP(K$181,$D$5:$AX$5,$D$96:$AX$176))</f>
        <v>-119.80000000000001</v>
      </c>
      <c r="L367" s="708" cm="1">
        <f t="array" ref="L367">_xlfn.XLOOKUP($B367,$B$96:$B$176,_xlfn.XLOOKUP(L$181,$D$5:$AX$5,$D$96:$AX$176))</f>
        <v>-100.49999999999997</v>
      </c>
      <c r="M367" s="708" cm="1">
        <f t="array" ref="M367">_xlfn.XLOOKUP($B367,$B$96:$B$176,_xlfn.XLOOKUP(M$181,$D$5:$AX$5,$D$96:$AX$176))</f>
        <v>-97.499999999999986</v>
      </c>
      <c r="N367" s="708" cm="1">
        <f t="array" ref="N367">_xlfn.XLOOKUP($B367,$B$96:$B$176,_xlfn.XLOOKUP(N$181,$D$5:$AX$5,$D$96:$AX$176))</f>
        <v>-105.30000000000001</v>
      </c>
      <c r="O367" s="708" cm="1">
        <f t="array" ref="O367">_xlfn.XLOOKUP($B367,$B$96:$B$176,_xlfn.XLOOKUP(O$181,$D$5:$AX$5,$D$96:$AX$176))</f>
        <v>-107.20000000000002</v>
      </c>
      <c r="P367" s="708" cm="1">
        <f t="array" ref="P367">_xlfn.XLOOKUP($B367,$B$96:$B$176,_xlfn.XLOOKUP(P$181,$D$5:$AX$5,$D$96:$AX$176))</f>
        <v>-108.50588235294123</v>
      </c>
      <c r="Q367" s="708" cm="1">
        <f t="array" ref="Q367">_xlfn.XLOOKUP($B367,$B$96:$B$176,_xlfn.XLOOKUP(Q$181,$D$5:$AX$5,$D$96:$AX$176))</f>
        <v>-109.03132595584884</v>
      </c>
      <c r="R367" s="708" cm="1">
        <f t="array" ref="R367">_xlfn.XLOOKUP($B367,$B$96:$B$176,_xlfn.XLOOKUP(R$181,$D$5:$AX$5,$D$96:$AX$176))</f>
        <v>-109.75449106201134</v>
      </c>
      <c r="S367" s="708" cm="1">
        <f t="array" ref="S367">_xlfn.XLOOKUP($B367,$B$96:$B$176,_xlfn.XLOOKUP(S$181,$D$5:$AX$5,$D$96:$AX$176))</f>
        <v>-108.20560818506272</v>
      </c>
      <c r="T367" s="708" cm="1">
        <f t="array" ref="T367">_xlfn.XLOOKUP($B367,$B$96:$B$176,_xlfn.XLOOKUP(T$181,$D$5:$AX$5,$D$96:$AX$176))</f>
        <v>-108.52831397583535</v>
      </c>
      <c r="U367" s="708" cm="1">
        <f t="array" ref="U367">_xlfn.XLOOKUP($B367,$B$96:$B$176,_xlfn.XLOOKUP(U$181,$D$5:$AX$5,$D$96:$AX$176))</f>
        <v>-107.80316636766527</v>
      </c>
      <c r="V367" s="708" cm="1">
        <f t="array" ref="V367">_xlfn.XLOOKUP($B367,$B$96:$B$176,_xlfn.XLOOKUP(V$181,$D$5:$AX$5,$D$96:$AX$176))</f>
        <v>-105.91253713519808</v>
      </c>
      <c r="W367" s="708" cm="1">
        <f t="array" ref="W367">_xlfn.XLOOKUP($B367,$B$96:$B$176,_xlfn.XLOOKUP(W$181,$D$5:$AX$5,$D$96:$AX$176))</f>
        <v>-104.13927877215718</v>
      </c>
      <c r="X367" s="708" cm="1">
        <f t="array" ref="X367">_xlfn.XLOOKUP($B367,$B$96:$B$176,_xlfn.XLOOKUP(X$181,$D$5:$AX$5,$D$96:$AX$176))</f>
        <v>-102.88074945349531</v>
      </c>
      <c r="Y367" s="708" cm="1">
        <f t="array" ref="Y367">_xlfn.XLOOKUP($B367,$B$96:$B$176,_xlfn.XLOOKUP(Y$181,$D$5:$AX$5,$D$96:$AX$176))</f>
        <v>-101.64376899722326</v>
      </c>
      <c r="Z367" s="708" cm="1">
        <f t="array" ref="Z367">_xlfn.XLOOKUP($B367,$B$96:$B$176,_xlfn.XLOOKUP(Z$181,$D$5:$AX$5,$D$96:$AX$176))</f>
        <v>-100.84883582950147</v>
      </c>
      <c r="AA367" s="708" cm="1">
        <f t="array" ref="AA367">_xlfn.XLOOKUP($B367,$B$96:$B$176,_xlfn.XLOOKUP(AA$181,$D$5:$AX$5,$D$96:$AX$176))</f>
        <v>-100.00425284570953</v>
      </c>
      <c r="AB367" s="708" cm="1">
        <f t="array" ref="AB367">_xlfn.XLOOKUP($B367,$B$96:$B$176,_xlfn.XLOOKUP(AB$181,$D$5:$AX$5,$D$96:$AX$176))</f>
        <v>-99.550288682380369</v>
      </c>
      <c r="AC367" s="708" cm="1">
        <f t="array" ref="AC367">_xlfn.XLOOKUP($B367,$B$96:$B$176,_xlfn.XLOOKUP(AC$181,$D$5:$AX$5,$D$96:$AX$176))</f>
        <v>-98.993367491465307</v>
      </c>
      <c r="AD367" s="708" cm="1">
        <f t="array" ref="AD367">_xlfn.XLOOKUP($B367,$B$96:$B$176,_xlfn.XLOOKUP(AD$181,$D$5:$AX$5,$D$96:$AX$176))</f>
        <v>-98.765312446356049</v>
      </c>
      <c r="AE367" s="708" cm="1">
        <f t="array" ref="AE367">_xlfn.XLOOKUP($B367,$B$96:$B$176,_xlfn.XLOOKUP(AE$181,$D$5:$AX$5,$D$96:$AX$176))</f>
        <v>-98.398658335053796</v>
      </c>
      <c r="AF367" s="708" cm="1">
        <f t="array" ref="AF367">_xlfn.XLOOKUP($B367,$B$96:$B$176,_xlfn.XLOOKUP(AF$181,$D$5:$AX$5,$D$96:$AX$176))</f>
        <v>-98.33715381641548</v>
      </c>
      <c r="AG367" s="309"/>
      <c r="AH367" s="306" t="str">
        <f t="shared" si="195"/>
        <v>D&amp;A - old</v>
      </c>
      <c r="AI367" s="707" t="str" cm="1">
        <f t="array" ref="AI367">_xlfn.XLOOKUP($B367,$B$96:$B$176,_xlfn.XLOOKUP(AI$181,$D$5:$AX$5,$D$96:$AX$176))</f>
        <v>A$m</v>
      </c>
      <c r="AJ367" s="307"/>
      <c r="AK367" s="307"/>
      <c r="AL367" s="708" cm="1">
        <f t="array" ref="AL367">_xlfn.XLOOKUP($B367,$B$96:$B$176,_xlfn.XLOOKUP(AL$181,$D$5:$AX$5,$D$96:$AX$176))</f>
        <v>0</v>
      </c>
      <c r="AM367" s="708" cm="1">
        <f t="array" ref="AM367">_xlfn.XLOOKUP($B367,$B$96:$B$176,_xlfn.XLOOKUP(AM$181,$D$5:$AX$5,$D$96:$AX$176))</f>
        <v>-240.5</v>
      </c>
      <c r="AN367" s="708" cm="1">
        <f t="array" ref="AN367">_xlfn.XLOOKUP($B367,$B$96:$B$176,_xlfn.XLOOKUP(AN$181,$D$5:$AX$5,$D$96:$AX$176))</f>
        <v>-220.29999999999998</v>
      </c>
      <c r="AO367" s="708" cm="1">
        <f t="array" ref="AO367">_xlfn.XLOOKUP($B367,$B$96:$B$176,_xlfn.XLOOKUP(AO$181,$D$5:$AX$5,$D$96:$AX$176))</f>
        <v>-202.8</v>
      </c>
      <c r="AP367" s="708" cm="1">
        <f t="array" ref="AP367">_xlfn.XLOOKUP($B367,$B$96:$B$176,_xlfn.XLOOKUP(AP$181,$D$5:$AX$5,$D$96:$AX$176))</f>
        <v>-215.70588235294125</v>
      </c>
      <c r="AQ367" s="708" cm="1">
        <f t="array" ref="AQ367">_xlfn.XLOOKUP($B367,$B$96:$B$176,_xlfn.XLOOKUP(AQ$181,$D$5:$AX$5,$D$96:$AX$176))</f>
        <v>-218.78581701786018</v>
      </c>
      <c r="AR367" s="708" cm="1">
        <f t="array" ref="AR367">_xlfn.XLOOKUP($B367,$B$96:$B$176,_xlfn.XLOOKUP(AR$181,$D$5:$AX$5,$D$96:$AX$176))</f>
        <v>-216.73392216089806</v>
      </c>
      <c r="AS367" s="708" cm="1">
        <f t="array" ref="AS367">_xlfn.XLOOKUP($B367,$B$96:$B$176,_xlfn.XLOOKUP(AS$181,$D$5:$AX$5,$D$96:$AX$176))</f>
        <v>-213.71570350286333</v>
      </c>
      <c r="AT367" s="708" cm="1">
        <f t="array" ref="AT367">_xlfn.XLOOKUP($B367,$B$96:$B$176,_xlfn.XLOOKUP(AT$181,$D$5:$AX$5,$D$96:$AX$176))</f>
        <v>-207.02002822565248</v>
      </c>
      <c r="AU367" s="708" cm="1">
        <f t="array" ref="AU367">_xlfn.XLOOKUP($B367,$B$96:$B$176,_xlfn.XLOOKUP(AU$181,$D$5:$AX$5,$D$96:$AX$176))</f>
        <v>-202.49260482672474</v>
      </c>
      <c r="AV367" s="708" cm="1">
        <f t="array" ref="AV367">_xlfn.XLOOKUP($B367,$B$96:$B$176,_xlfn.XLOOKUP(AV$181,$D$5:$AX$5,$D$96:$AX$176))</f>
        <v>-199.55454152808989</v>
      </c>
      <c r="AW367" s="708" cm="1">
        <f t="array" ref="AW367">_xlfn.XLOOKUP($B367,$B$96:$B$176,_xlfn.XLOOKUP(AW$181,$D$5:$AX$5,$D$96:$AX$176))</f>
        <v>-197.75867993782134</v>
      </c>
      <c r="AX367" s="708" cm="1">
        <f t="array" ref="AX367">_xlfn.XLOOKUP($B367,$B$96:$B$176,_xlfn.XLOOKUP(AX$181,$D$5:$AX$5,$D$96:$AX$176))</f>
        <v>-196.73581215146928</v>
      </c>
    </row>
    <row r="368" spans="2:50">
      <c r="B368" s="305" t="s">
        <v>1453</v>
      </c>
      <c r="C368" s="318" t="str">
        <f>_xlfn.TEXTAFTER($B368,$C$344)&amp;" - New"</f>
        <v>D&amp;A - New</v>
      </c>
      <c r="D368" s="311" t="str" cm="1">
        <f t="array" ref="D368">_xlfn.XLOOKUP($B368,$B$11:$B$91,_xlfn.XLOOKUP(D$181,$D$5:$AX$5,$D$11:$AX$91))</f>
        <v>A$m</v>
      </c>
      <c r="E368" s="311"/>
      <c r="F368" s="311"/>
      <c r="G368" s="312"/>
      <c r="H368" s="312"/>
      <c r="I368" s="312" cm="1">
        <f t="array" ref="I368">_xlfn.XLOOKUP($B368,$B$11:$B$91,_xlfn.XLOOKUP(I$181,$D$5:$AX$5,$D$11:$AX$91))</f>
        <v>-123.39999999999998</v>
      </c>
      <c r="J368" s="312" cm="1">
        <f t="array" ref="J368">_xlfn.XLOOKUP($B368,$B$11:$B$91,_xlfn.XLOOKUP(J$181,$D$5:$AX$5,$D$11:$AX$91))</f>
        <v>-117.10000000000002</v>
      </c>
      <c r="K368" s="312" cm="1">
        <f t="array" ref="K368">_xlfn.XLOOKUP($B368,$B$11:$B$91,_xlfn.XLOOKUP(K$181,$D$5:$AX$5,$D$11:$AX$91))</f>
        <v>-119.80000000000001</v>
      </c>
      <c r="L368" s="312" cm="1">
        <f t="array" ref="L368">_xlfn.XLOOKUP($B368,$B$11:$B$91,_xlfn.XLOOKUP(L$181,$D$5:$AX$5,$D$11:$AX$91))</f>
        <v>-100.49999999999997</v>
      </c>
      <c r="M368" s="312" cm="1">
        <f t="array" ref="M368">_xlfn.XLOOKUP($B368,$B$11:$B$91,_xlfn.XLOOKUP(M$181,$D$5:$AX$5,$D$11:$AX$91))</f>
        <v>-97.499999999999986</v>
      </c>
      <c r="N368" s="312" cm="1">
        <f t="array" ref="N368">_xlfn.XLOOKUP($B368,$B$11:$B$91,_xlfn.XLOOKUP(N$181,$D$5:$AX$5,$D$11:$AX$91))</f>
        <v>-105.30000000000001</v>
      </c>
      <c r="O368" s="312" cm="1">
        <f t="array" ref="O368">_xlfn.XLOOKUP($B368,$B$11:$B$91,_xlfn.XLOOKUP(O$181,$D$5:$AX$5,$D$11:$AX$91))</f>
        <v>-107.20000000000002</v>
      </c>
      <c r="P368" s="312" cm="1">
        <f t="array" ref="P368">_xlfn.XLOOKUP($B368,$B$11:$B$91,_xlfn.XLOOKUP(P$181,$D$5:$AX$5,$D$11:$AX$91))</f>
        <v>-105.8</v>
      </c>
      <c r="Q368" s="312" cm="1">
        <f t="array" ref="Q368">_xlfn.XLOOKUP($B368,$B$11:$B$91,_xlfn.XLOOKUP(Q$181,$D$5:$AX$5,$D$11:$AX$91))</f>
        <v>-114.19999999999982</v>
      </c>
      <c r="R368" s="312" cm="1">
        <f t="array" ref="R368">_xlfn.XLOOKUP($B368,$B$11:$B$91,_xlfn.XLOOKUP(R$181,$D$5:$AX$5,$D$11:$AX$91))</f>
        <v>-114.19999999999982</v>
      </c>
      <c r="S368" s="312" cm="1">
        <f t="array" ref="S368">_xlfn.XLOOKUP($B368,$B$11:$B$91,_xlfn.XLOOKUP(S$181,$D$5:$AX$5,$D$11:$AX$91))</f>
        <v>-111.69999999999982</v>
      </c>
      <c r="T368" s="312" cm="1">
        <f t="array" ref="T368">_xlfn.XLOOKUP($B368,$B$11:$B$91,_xlfn.XLOOKUP(T$181,$D$5:$AX$5,$D$11:$AX$91))</f>
        <v>-111.69999999999982</v>
      </c>
      <c r="U368" s="312" cm="1">
        <f t="array" ref="U368">_xlfn.XLOOKUP($B368,$B$11:$B$91,_xlfn.XLOOKUP(U$181,$D$5:$AX$5,$D$11:$AX$91))</f>
        <v>-113.90588235294098</v>
      </c>
      <c r="V368" s="312" cm="1">
        <f t="array" ref="V368">_xlfn.XLOOKUP($B368,$B$11:$B$91,_xlfn.XLOOKUP(V$181,$D$5:$AX$5,$D$11:$AX$91))</f>
        <v>-111.29009146232301</v>
      </c>
      <c r="W368" s="312" cm="1">
        <f t="array" ref="W368">_xlfn.XLOOKUP($B368,$B$11:$B$91,_xlfn.XLOOKUP(W$181,$D$5:$AX$5,$D$11:$AX$91))</f>
        <v>-108.60105180170741</v>
      </c>
      <c r="X368" s="312" cm="1">
        <f t="array" ref="X368">_xlfn.XLOOKUP($B368,$B$11:$B$91,_xlfn.XLOOKUP(X$181,$D$5:$AX$5,$D$11:$AX$91))</f>
        <v>-106.75365838874035</v>
      </c>
      <c r="Y368" s="312" cm="1">
        <f t="array" ref="Y368">_xlfn.XLOOKUP($B368,$B$11:$B$91,_xlfn.XLOOKUP(Y$181,$D$5:$AX$5,$D$11:$AX$91))</f>
        <v>-104.72483114264912</v>
      </c>
      <c r="Z368" s="312" cm="1">
        <f t="array" ref="Z368">_xlfn.XLOOKUP($B368,$B$11:$B$91,_xlfn.XLOOKUP(Z$181,$D$5:$AX$5,$D$11:$AX$91))</f>
        <v>-103.59657080560132</v>
      </c>
      <c r="AA368" s="312" cm="1">
        <f t="array" ref="AA368">_xlfn.XLOOKUP($B368,$B$11:$B$91,_xlfn.XLOOKUP(AA$181,$D$5:$AX$5,$D$11:$AX$91))</f>
        <v>-102.18035902242494</v>
      </c>
      <c r="AB368" s="312" cm="1">
        <f t="array" ref="AB368">_xlfn.XLOOKUP($B368,$B$11:$B$91,_xlfn.XLOOKUP(AB$181,$D$5:$AX$5,$D$11:$AX$91))</f>
        <v>-101.58301116178995</v>
      </c>
      <c r="AC368" s="312" cm="1">
        <f t="array" ref="AC368">_xlfn.XLOOKUP($B368,$B$11:$B$91,_xlfn.XLOOKUP(AC$181,$D$5:$AX$5,$D$11:$AX$91))</f>
        <v>-100.61849147723447</v>
      </c>
      <c r="AD368" s="312" cm="1">
        <f t="array" ref="AD368">_xlfn.XLOOKUP($B368,$B$11:$B$91,_xlfn.XLOOKUP(AD$181,$D$5:$AX$5,$D$11:$AX$91))</f>
        <v>-100.41494619985079</v>
      </c>
      <c r="AE368" s="312" cm="1">
        <f t="array" ref="AE368">_xlfn.XLOOKUP($B368,$B$11:$B$91,_xlfn.XLOOKUP(AE$181,$D$5:$AX$5,$D$11:$AX$91))</f>
        <v>-99.784839528394642</v>
      </c>
      <c r="AF368" s="312" cm="1">
        <f t="array" ref="AF368">_xlfn.XLOOKUP($B368,$B$11:$B$91,_xlfn.XLOOKUP(AF$181,$D$5:$AX$5,$D$11:$AX$91))</f>
        <v>-99.875268424311159</v>
      </c>
      <c r="AG368" s="312"/>
      <c r="AH368" s="310" t="str">
        <f t="shared" si="195"/>
        <v>D&amp;A - New</v>
      </c>
      <c r="AI368" s="311" t="str" cm="1">
        <f t="array" ref="AI368">_xlfn.XLOOKUP($B368,$B$11:$B$91,_xlfn.XLOOKUP(AI$181,$D$5:$AX$5,$D$11:$AX$91))</f>
        <v>A$m</v>
      </c>
      <c r="AJ368" s="311"/>
      <c r="AK368" s="311"/>
      <c r="AL368" s="312" cm="1">
        <f t="array" ref="AL368">_xlfn.XLOOKUP($B368,$B$11:$B$91,_xlfn.XLOOKUP(AL$181,$D$5:$AX$5,$D$11:$AX$91))</f>
        <v>0</v>
      </c>
      <c r="AM368" s="312" cm="1">
        <f t="array" ref="AM368">_xlfn.XLOOKUP($B368,$B$11:$B$91,_xlfn.XLOOKUP(AM$181,$D$5:$AX$5,$D$11:$AX$91))</f>
        <v>-240.5</v>
      </c>
      <c r="AN368" s="312" cm="1">
        <f t="array" ref="AN368">_xlfn.XLOOKUP($B368,$B$11:$B$91,_xlfn.XLOOKUP(AN$181,$D$5:$AX$5,$D$11:$AX$91))</f>
        <v>-220.29999999999998</v>
      </c>
      <c r="AO368" s="312" cm="1">
        <f t="array" ref="AO368">_xlfn.XLOOKUP($B368,$B$11:$B$91,_xlfn.XLOOKUP(AO$181,$D$5:$AX$5,$D$11:$AX$91))</f>
        <v>-202.8</v>
      </c>
      <c r="AP368" s="312" cm="1">
        <f t="array" ref="AP368">_xlfn.XLOOKUP($B368,$B$11:$B$91,_xlfn.XLOOKUP(AP$181,$D$5:$AX$5,$D$11:$AX$91))</f>
        <v>-213</v>
      </c>
      <c r="AQ368" s="312" cm="1">
        <f t="array" ref="AQ368">_xlfn.XLOOKUP($B368,$B$11:$B$91,_xlfn.XLOOKUP(AQ$181,$D$5:$AX$5,$D$11:$AX$91))</f>
        <v>-228.39999999999964</v>
      </c>
      <c r="AR368" s="312" cm="1">
        <f t="array" ref="AR368">_xlfn.XLOOKUP($B368,$B$11:$B$91,_xlfn.XLOOKUP(AR$181,$D$5:$AX$5,$D$11:$AX$91))</f>
        <v>-223.39999999999964</v>
      </c>
      <c r="AS368" s="312" cm="1">
        <f t="array" ref="AS368">_xlfn.XLOOKUP($B368,$B$11:$B$91,_xlfn.XLOOKUP(AS$181,$D$5:$AX$5,$D$11:$AX$91))</f>
        <v>-225.19597381526398</v>
      </c>
      <c r="AT368" s="312" cm="1">
        <f t="array" ref="AT368">_xlfn.XLOOKUP($B368,$B$11:$B$91,_xlfn.XLOOKUP(AT$181,$D$5:$AX$5,$D$11:$AX$91))</f>
        <v>-215.35471019044775</v>
      </c>
      <c r="AU368" s="312" cm="1">
        <f t="array" ref="AU368">_xlfn.XLOOKUP($B368,$B$11:$B$91,_xlfn.XLOOKUP(AU$181,$D$5:$AX$5,$D$11:$AX$91))</f>
        <v>-208.32140194825044</v>
      </c>
      <c r="AV368" s="312" cm="1">
        <f t="array" ref="AV368">_xlfn.XLOOKUP($B368,$B$11:$B$91,_xlfn.XLOOKUP(AV$181,$D$5:$AX$5,$D$11:$AX$91))</f>
        <v>-203.76337018421489</v>
      </c>
      <c r="AW368" s="312" cm="1">
        <f t="array" ref="AW368">_xlfn.XLOOKUP($B368,$B$11:$B$91,_xlfn.XLOOKUP(AW$181,$D$5:$AX$5,$D$11:$AX$91))</f>
        <v>-201.03343767708526</v>
      </c>
      <c r="AX368" s="312" cm="1">
        <f t="array" ref="AX368">_xlfn.XLOOKUP($B368,$B$11:$B$91,_xlfn.XLOOKUP(AX$181,$D$5:$AX$5,$D$11:$AX$91))</f>
        <v>-199.6601079527058</v>
      </c>
    </row>
    <row r="369" spans="2:50" hidden="1" outlineLevel="1">
      <c r="B369" s="305"/>
      <c r="C369" s="313" t="s">
        <v>1121</v>
      </c>
      <c r="D369" s="307" t="s">
        <v>842</v>
      </c>
      <c r="E369" s="307"/>
      <c r="F369" s="307"/>
      <c r="G369" s="314"/>
      <c r="H369" s="314"/>
      <c r="I369" s="314" t="s">
        <v>967</v>
      </c>
      <c r="J369" s="314" t="s">
        <v>967</v>
      </c>
      <c r="K369" s="314">
        <f t="shared" ref="K369:AF369" si="216">K368/I368-1</f>
        <v>-2.9173419773095399E-2</v>
      </c>
      <c r="L369" s="314">
        <f t="shared" si="216"/>
        <v>-0.14175918018787403</v>
      </c>
      <c r="M369" s="314">
        <f t="shared" si="216"/>
        <v>-0.1861435726210352</v>
      </c>
      <c r="N369" s="314">
        <f t="shared" si="216"/>
        <v>4.7761194029851239E-2</v>
      </c>
      <c r="O369" s="314">
        <f t="shared" si="216"/>
        <v>9.9487179487179889E-2</v>
      </c>
      <c r="P369" s="314">
        <f t="shared" si="216"/>
        <v>4.7483380816712994E-3</v>
      </c>
      <c r="Q369" s="314">
        <f t="shared" si="216"/>
        <v>6.5298507462684618E-2</v>
      </c>
      <c r="R369" s="314">
        <f t="shared" si="216"/>
        <v>7.9395085066160886E-2</v>
      </c>
      <c r="S369" s="314">
        <f t="shared" si="216"/>
        <v>-2.189141856392296E-2</v>
      </c>
      <c r="T369" s="314">
        <f t="shared" si="216"/>
        <v>-2.189141856392296E-2</v>
      </c>
      <c r="U369" s="314">
        <f t="shared" si="216"/>
        <v>1.9748275317288844E-2</v>
      </c>
      <c r="V369" s="314">
        <f t="shared" si="216"/>
        <v>-3.6697272844835593E-3</v>
      </c>
      <c r="W369" s="314">
        <f t="shared" si="216"/>
        <v>-4.6572050904240214E-2</v>
      </c>
      <c r="X369" s="314">
        <f t="shared" si="216"/>
        <v>-4.0762236906943805E-2</v>
      </c>
      <c r="Y369" s="314">
        <f t="shared" si="216"/>
        <v>-3.5692293902786609E-2</v>
      </c>
      <c r="Z369" s="314">
        <f t="shared" si="216"/>
        <v>-2.9573577437904675E-2</v>
      </c>
      <c r="AA369" s="314">
        <f t="shared" si="216"/>
        <v>-2.4296741207042616E-2</v>
      </c>
      <c r="AB369" s="314">
        <f t="shared" si="216"/>
        <v>-1.9436547253960712E-2</v>
      </c>
      <c r="AC369" s="314">
        <f t="shared" si="216"/>
        <v>-1.5285398878347012E-2</v>
      </c>
      <c r="AD369" s="314">
        <f t="shared" si="216"/>
        <v>-1.1498625100596849E-2</v>
      </c>
      <c r="AE369" s="314">
        <f t="shared" si="216"/>
        <v>-8.2852757639330088E-3</v>
      </c>
      <c r="AF369" s="314">
        <f t="shared" si="216"/>
        <v>-5.374476569110942E-3</v>
      </c>
      <c r="AG369" s="315"/>
      <c r="AH369" s="313" t="str">
        <f t="shared" si="195"/>
        <v>- Growth</v>
      </c>
      <c r="AI369" s="307" t="str">
        <f>D369</f>
        <v>%</v>
      </c>
      <c r="AJ369" s="307"/>
      <c r="AK369" s="307"/>
      <c r="AL369" s="314" t="s">
        <v>967</v>
      </c>
      <c r="AM369" s="314" t="s">
        <v>967</v>
      </c>
      <c r="AN369" s="314">
        <f t="shared" ref="AN369:AX369" si="217">AN368/AM368-1</f>
        <v>-8.3991683991684107E-2</v>
      </c>
      <c r="AO369" s="314">
        <f t="shared" si="217"/>
        <v>-7.9437131184747933E-2</v>
      </c>
      <c r="AP369" s="314">
        <f t="shared" si="217"/>
        <v>5.0295857988165604E-2</v>
      </c>
      <c r="AQ369" s="314">
        <f t="shared" si="217"/>
        <v>7.2300469483566276E-2</v>
      </c>
      <c r="AR369" s="314">
        <f t="shared" si="217"/>
        <v>-2.189141856392296E-2</v>
      </c>
      <c r="AS369" s="314">
        <f t="shared" si="217"/>
        <v>8.0392740164025867E-3</v>
      </c>
      <c r="AT369" s="314">
        <f t="shared" si="217"/>
        <v>-4.370088620185264E-2</v>
      </c>
      <c r="AU369" s="314">
        <f t="shared" si="217"/>
        <v>-3.2659179991825771E-2</v>
      </c>
      <c r="AV369" s="314">
        <f t="shared" si="217"/>
        <v>-2.1879805538020602E-2</v>
      </c>
      <c r="AW369" s="314">
        <f t="shared" si="217"/>
        <v>-1.3397562597544432E-2</v>
      </c>
      <c r="AX369" s="314">
        <f t="shared" si="217"/>
        <v>-6.8313497508081245E-3</v>
      </c>
    </row>
    <row r="370" spans="2:50" collapsed="1">
      <c r="B370" s="305"/>
      <c r="C370" s="313" t="s">
        <v>1122</v>
      </c>
      <c r="D370" s="307" t="s">
        <v>842</v>
      </c>
      <c r="E370" s="307"/>
      <c r="F370" s="307"/>
      <c r="G370" s="314"/>
      <c r="H370" s="314"/>
      <c r="I370" s="314">
        <f t="shared" ref="I370:AF370" si="218" xml:space="preserve"> IFERROR(ROUND( I368 / I367,3) - 1, 0)</f>
        <v>0</v>
      </c>
      <c r="J370" s="314">
        <f t="shared" si="218"/>
        <v>0</v>
      </c>
      <c r="K370" s="314">
        <f t="shared" si="218"/>
        <v>0</v>
      </c>
      <c r="L370" s="314">
        <f t="shared" si="218"/>
        <v>0</v>
      </c>
      <c r="M370" s="314">
        <f t="shared" si="218"/>
        <v>0</v>
      </c>
      <c r="N370" s="314">
        <f t="shared" si="218"/>
        <v>0</v>
      </c>
      <c r="O370" s="314">
        <f t="shared" si="218"/>
        <v>0</v>
      </c>
      <c r="P370" s="314">
        <f t="shared" si="218"/>
        <v>-2.5000000000000022E-2</v>
      </c>
      <c r="Q370" s="314">
        <f t="shared" si="218"/>
        <v>4.6999999999999931E-2</v>
      </c>
      <c r="R370" s="314">
        <f t="shared" si="218"/>
        <v>4.0999999999999925E-2</v>
      </c>
      <c r="S370" s="314">
        <f t="shared" si="218"/>
        <v>3.2000000000000028E-2</v>
      </c>
      <c r="T370" s="314">
        <f t="shared" si="218"/>
        <v>2.8999999999999915E-2</v>
      </c>
      <c r="U370" s="314">
        <f t="shared" si="218"/>
        <v>5.699999999999994E-2</v>
      </c>
      <c r="V370" s="314">
        <f t="shared" si="218"/>
        <v>5.0999999999999934E-2</v>
      </c>
      <c r="W370" s="314">
        <f t="shared" si="218"/>
        <v>4.2999999999999927E-2</v>
      </c>
      <c r="X370" s="314">
        <f t="shared" si="218"/>
        <v>3.8000000000000034E-2</v>
      </c>
      <c r="Y370" s="314">
        <f t="shared" si="218"/>
        <v>3.0000000000000027E-2</v>
      </c>
      <c r="Z370" s="314">
        <f t="shared" si="218"/>
        <v>2.6999999999999913E-2</v>
      </c>
      <c r="AA370" s="314">
        <f t="shared" si="218"/>
        <v>2.200000000000002E-2</v>
      </c>
      <c r="AB370" s="314">
        <f t="shared" si="218"/>
        <v>2.0000000000000018E-2</v>
      </c>
      <c r="AC370" s="314">
        <f t="shared" si="218"/>
        <v>1.6000000000000014E-2</v>
      </c>
      <c r="AD370" s="314">
        <f t="shared" si="218"/>
        <v>1.6999999999999904E-2</v>
      </c>
      <c r="AE370" s="314">
        <f t="shared" si="218"/>
        <v>1.4000000000000012E-2</v>
      </c>
      <c r="AF370" s="314">
        <f t="shared" si="218"/>
        <v>1.6000000000000014E-2</v>
      </c>
      <c r="AG370" s="314"/>
      <c r="AH370" s="313" t="str">
        <f t="shared" si="195"/>
        <v>- Revision</v>
      </c>
      <c r="AI370" s="307" t="str">
        <f>D370</f>
        <v>%</v>
      </c>
      <c r="AJ370" s="307"/>
      <c r="AK370" s="307"/>
      <c r="AL370" s="314">
        <f t="shared" ref="AL370:AX370" si="219" xml:space="preserve"> IFERROR(ROUND( AL368 / AL367,3) - 1, 0)</f>
        <v>0</v>
      </c>
      <c r="AM370" s="314">
        <f t="shared" si="219"/>
        <v>0</v>
      </c>
      <c r="AN370" s="314">
        <f t="shared" si="219"/>
        <v>0</v>
      </c>
      <c r="AO370" s="314">
        <f t="shared" si="219"/>
        <v>0</v>
      </c>
      <c r="AP370" s="314">
        <f t="shared" si="219"/>
        <v>-1.3000000000000012E-2</v>
      </c>
      <c r="AQ370" s="314">
        <f t="shared" si="219"/>
        <v>4.4000000000000039E-2</v>
      </c>
      <c r="AR370" s="314">
        <f t="shared" si="219"/>
        <v>3.0999999999999917E-2</v>
      </c>
      <c r="AS370" s="314">
        <f t="shared" si="219"/>
        <v>5.4000000000000048E-2</v>
      </c>
      <c r="AT370" s="314">
        <f t="shared" si="219"/>
        <v>4.0000000000000036E-2</v>
      </c>
      <c r="AU370" s="314">
        <f t="shared" si="219"/>
        <v>2.8999999999999915E-2</v>
      </c>
      <c r="AV370" s="314">
        <f t="shared" si="219"/>
        <v>2.0999999999999908E-2</v>
      </c>
      <c r="AW370" s="314">
        <f t="shared" si="219"/>
        <v>1.6999999999999904E-2</v>
      </c>
      <c r="AX370" s="314">
        <f t="shared" si="219"/>
        <v>1.4999999999999902E-2</v>
      </c>
    </row>
    <row r="371" spans="2:50" s="704" customFormat="1">
      <c r="B371" s="705" t="s">
        <v>1454</v>
      </c>
      <c r="C371" s="706" t="str">
        <f>_xlfn.TEXTAFTER($B371,$C$344)&amp;" - old"</f>
        <v>EBIT - old</v>
      </c>
      <c r="D371" s="707" t="str" cm="1">
        <f t="array" ref="D371">_xlfn.XLOOKUP($B371,$B$96:$B$176,_xlfn.XLOOKUP(D$181,$D$5:$AX$5,$D$96:$AX$176))</f>
        <v>A$m</v>
      </c>
      <c r="E371" s="707"/>
      <c r="F371" s="707"/>
      <c r="G371" s="708"/>
      <c r="H371" s="708"/>
      <c r="I371" s="708" cm="1">
        <f t="array" ref="I371">_xlfn.XLOOKUP($B371,$B$96:$B$176,_xlfn.XLOOKUP(I$181,$D$5:$AX$5,$D$96:$AX$176))</f>
        <v>73.2</v>
      </c>
      <c r="J371" s="708" cm="1">
        <f t="array" ref="J371">_xlfn.XLOOKUP($B371,$B$96:$B$176,_xlfn.XLOOKUP(J$181,$D$5:$AX$5,$D$96:$AX$176))</f>
        <v>77.3</v>
      </c>
      <c r="K371" s="708" cm="1">
        <f t="array" ref="K371">_xlfn.XLOOKUP($B371,$B$96:$B$176,_xlfn.XLOOKUP(K$181,$D$5:$AX$5,$D$96:$AX$176))</f>
        <v>50</v>
      </c>
      <c r="L371" s="708" cm="1">
        <f t="array" ref="L371">_xlfn.XLOOKUP($B371,$B$96:$B$176,_xlfn.XLOOKUP(L$181,$D$5:$AX$5,$D$96:$AX$176))</f>
        <v>47.400000000000006</v>
      </c>
      <c r="M371" s="708" cm="1">
        <f t="array" ref="M371">_xlfn.XLOOKUP($B371,$B$96:$B$176,_xlfn.XLOOKUP(M$181,$D$5:$AX$5,$D$96:$AX$176))</f>
        <v>92.7</v>
      </c>
      <c r="N371" s="708" cm="1">
        <f t="array" ref="N371">_xlfn.XLOOKUP($B371,$B$96:$B$176,_xlfn.XLOOKUP(N$181,$D$5:$AX$5,$D$96:$AX$176))</f>
        <v>95.999999999999986</v>
      </c>
      <c r="O371" s="708" cm="1">
        <f t="array" ref="O371">_xlfn.XLOOKUP($B371,$B$96:$B$176,_xlfn.XLOOKUP(O$181,$D$5:$AX$5,$D$96:$AX$176))</f>
        <v>110.2</v>
      </c>
      <c r="P371" s="708" cm="1">
        <f t="array" ref="P371">_xlfn.XLOOKUP($B371,$B$96:$B$176,_xlfn.XLOOKUP(P$181,$D$5:$AX$5,$D$96:$AX$176))</f>
        <v>102.52534887708572</v>
      </c>
      <c r="Q371" s="708" cm="1">
        <f t="array" ref="Q371">_xlfn.XLOOKUP($B371,$B$96:$B$176,_xlfn.XLOOKUP(Q$181,$D$5:$AX$5,$D$96:$AX$176))</f>
        <v>137.86030448550116</v>
      </c>
      <c r="R371" s="708" cm="1">
        <f t="array" ref="R371">_xlfn.XLOOKUP($B371,$B$96:$B$176,_xlfn.XLOOKUP(R$181,$D$5:$AX$5,$D$96:$AX$176))</f>
        <v>116.15799196223765</v>
      </c>
      <c r="S371" s="708" cm="1">
        <f t="array" ref="S371">_xlfn.XLOOKUP($B371,$B$96:$B$176,_xlfn.XLOOKUP(S$181,$D$5:$AX$5,$D$96:$AX$176))</f>
        <v>145.24916122488546</v>
      </c>
      <c r="T371" s="708" cm="1">
        <f t="array" ref="T371">_xlfn.XLOOKUP($B371,$B$96:$B$176,_xlfn.XLOOKUP(T$181,$D$5:$AX$5,$D$96:$AX$176))</f>
        <v>121.85564940078493</v>
      </c>
      <c r="U371" s="708" cm="1">
        <f t="array" ref="U371">_xlfn.XLOOKUP($B371,$B$96:$B$176,_xlfn.XLOOKUP(U$181,$D$5:$AX$5,$D$96:$AX$176))</f>
        <v>150.71798628564306</v>
      </c>
      <c r="V371" s="708" cm="1">
        <f t="array" ref="V371">_xlfn.XLOOKUP($B371,$B$96:$B$176,_xlfn.XLOOKUP(V$181,$D$5:$AX$5,$D$96:$AX$176))</f>
        <v>129.08706399023109</v>
      </c>
      <c r="W371" s="708" cm="1">
        <f t="array" ref="W371">_xlfn.XLOOKUP($B371,$B$96:$B$176,_xlfn.XLOOKUP(W$181,$D$5:$AX$5,$D$96:$AX$176))</f>
        <v>159.60932707815897</v>
      </c>
      <c r="X371" s="708" cm="1">
        <f t="array" ref="X371">_xlfn.XLOOKUP($B371,$B$96:$B$176,_xlfn.XLOOKUP(X$181,$D$5:$AX$5,$D$96:$AX$176))</f>
        <v>136.88411667391341</v>
      </c>
      <c r="Y371" s="708" cm="1">
        <f t="array" ref="Y371">_xlfn.XLOOKUP($B371,$B$96:$B$176,_xlfn.XLOOKUP(Y$181,$D$5:$AX$5,$D$96:$AX$176))</f>
        <v>167.49937158362604</v>
      </c>
      <c r="Z371" s="708" cm="1">
        <f t="array" ref="Z371">_xlfn.XLOOKUP($B371,$B$96:$B$176,_xlfn.XLOOKUP(Z$181,$D$5:$AX$5,$D$96:$AX$176))</f>
        <v>143.83660290078956</v>
      </c>
      <c r="AA371" s="708" cm="1">
        <f t="array" ref="AA371">_xlfn.XLOOKUP($B371,$B$96:$B$176,_xlfn.XLOOKUP(AA$181,$D$5:$AX$5,$D$96:$AX$176))</f>
        <v>174.7067441143929</v>
      </c>
      <c r="AB371" s="708" cm="1">
        <f t="array" ref="AB371">_xlfn.XLOOKUP($B371,$B$96:$B$176,_xlfn.XLOOKUP(AB$181,$D$5:$AX$5,$D$96:$AX$176))</f>
        <v>150.21692908786372</v>
      </c>
      <c r="AC371" s="708" cm="1">
        <f t="array" ref="AC371">_xlfn.XLOOKUP($B371,$B$96:$B$176,_xlfn.XLOOKUP(AC$181,$D$5:$AX$5,$D$96:$AX$176))</f>
        <v>177.16022294726477</v>
      </c>
      <c r="AD371" s="708" cm="1">
        <f t="array" ref="AD371">_xlfn.XLOOKUP($B371,$B$96:$B$176,_xlfn.XLOOKUP(AD$181,$D$5:$AX$5,$D$96:$AX$176))</f>
        <v>152.21845766912776</v>
      </c>
      <c r="AE371" s="708" cm="1">
        <f t="array" ref="AE371">_xlfn.XLOOKUP($B371,$B$96:$B$176,_xlfn.XLOOKUP(AE$181,$D$5:$AX$5,$D$96:$AX$176))</f>
        <v>179.38404781687305</v>
      </c>
      <c r="AF371" s="708" cm="1">
        <f t="array" ref="AF371">_xlfn.XLOOKUP($B371,$B$96:$B$176,_xlfn.XLOOKUP(AF$181,$D$5:$AX$5,$D$96:$AX$176))</f>
        <v>154.03686172442502</v>
      </c>
      <c r="AG371" s="709"/>
      <c r="AH371" s="706" t="str">
        <f t="shared" si="195"/>
        <v>EBIT - old</v>
      </c>
      <c r="AI371" s="707" t="str" cm="1">
        <f t="array" ref="AI371">_xlfn.XLOOKUP($B371,$B$96:$B$176,_xlfn.XLOOKUP(AI$181,$D$5:$AX$5,$D$96:$AX$176))</f>
        <v>A$m</v>
      </c>
      <c r="AJ371" s="707"/>
      <c r="AK371" s="707"/>
      <c r="AL371" s="708" cm="1">
        <f t="array" ref="AL371">_xlfn.XLOOKUP($B371,$B$96:$B$176,_xlfn.XLOOKUP(AL$181,$D$5:$AX$5,$D$96:$AX$176))</f>
        <v>0</v>
      </c>
      <c r="AM371" s="708" cm="1">
        <f t="array" ref="AM371">_xlfn.XLOOKUP($B371,$B$96:$B$176,_xlfn.XLOOKUP(AM$181,$D$5:$AX$5,$D$96:$AX$176))</f>
        <v>150.5</v>
      </c>
      <c r="AN371" s="708" cm="1">
        <f t="array" ref="AN371">_xlfn.XLOOKUP($B371,$B$96:$B$176,_xlfn.XLOOKUP(AN$181,$D$5:$AX$5,$D$96:$AX$176))</f>
        <v>97.4</v>
      </c>
      <c r="AO371" s="708" cm="1">
        <f t="array" ref="AO371">_xlfn.XLOOKUP($B371,$B$96:$B$176,_xlfn.XLOOKUP(AO$181,$D$5:$AX$5,$D$96:$AX$176))</f>
        <v>188.7</v>
      </c>
      <c r="AP371" s="708" cm="1">
        <f t="array" ref="AP371">_xlfn.XLOOKUP($B371,$B$96:$B$176,_xlfn.XLOOKUP(AP$181,$D$5:$AX$5,$D$96:$AX$176))</f>
        <v>212.72534887708571</v>
      </c>
      <c r="AQ371" s="708" cm="1">
        <f t="array" ref="AQ371">_xlfn.XLOOKUP($B371,$B$96:$B$176,_xlfn.XLOOKUP(AQ$181,$D$5:$AX$5,$D$96:$AX$176))</f>
        <v>254.01829644773881</v>
      </c>
      <c r="AR371" s="708" cm="1">
        <f t="array" ref="AR371">_xlfn.XLOOKUP($B371,$B$96:$B$176,_xlfn.XLOOKUP(AR$181,$D$5:$AX$5,$D$96:$AX$176))</f>
        <v>267.10481062567038</v>
      </c>
      <c r="AS371" s="708" cm="1">
        <f t="array" ref="AS371">_xlfn.XLOOKUP($B371,$B$96:$B$176,_xlfn.XLOOKUP(AS$181,$D$5:$AX$5,$D$96:$AX$176))</f>
        <v>279.80505027587412</v>
      </c>
      <c r="AT371" s="708" cm="1">
        <f t="array" ref="AT371">_xlfn.XLOOKUP($B371,$B$96:$B$176,_xlfn.XLOOKUP(AT$181,$D$5:$AX$5,$D$96:$AX$176))</f>
        <v>296.49344375207238</v>
      </c>
      <c r="AU371" s="708" cm="1">
        <f t="array" ref="AU371">_xlfn.XLOOKUP($B371,$B$96:$B$176,_xlfn.XLOOKUP(AU$181,$D$5:$AX$5,$D$96:$AX$176))</f>
        <v>311.3359744844156</v>
      </c>
      <c r="AV371" s="708" cm="1">
        <f t="array" ref="AV371">_xlfn.XLOOKUP($B371,$B$96:$B$176,_xlfn.XLOOKUP(AV$181,$D$5:$AX$5,$D$96:$AX$176))</f>
        <v>324.92367320225662</v>
      </c>
      <c r="AW371" s="708" cm="1">
        <f t="array" ref="AW371">_xlfn.XLOOKUP($B371,$B$96:$B$176,_xlfn.XLOOKUP(AW$181,$D$5:$AX$5,$D$96:$AX$176))</f>
        <v>329.37868061639256</v>
      </c>
      <c r="AX371" s="708" cm="1">
        <f t="array" ref="AX371">_xlfn.XLOOKUP($B371,$B$96:$B$176,_xlfn.XLOOKUP(AX$181,$D$5:$AX$5,$D$96:$AX$176))</f>
        <v>333.4209095412981</v>
      </c>
    </row>
    <row r="372" spans="2:50">
      <c r="B372" s="305" t="s">
        <v>1454</v>
      </c>
      <c r="C372" s="318" t="str">
        <f>_xlfn.TEXTAFTER($B372,$C$344)&amp;" - New"</f>
        <v>EBIT - New</v>
      </c>
      <c r="D372" s="311" t="str" cm="1">
        <f t="array" ref="D372">_xlfn.XLOOKUP($B372,$B$11:$B$91,_xlfn.XLOOKUP(D$181,$D$5:$AX$5,$D$11:$AX$91))</f>
        <v>A$m</v>
      </c>
      <c r="E372" s="311"/>
      <c r="F372" s="311"/>
      <c r="G372" s="312"/>
      <c r="H372" s="312"/>
      <c r="I372" s="312" cm="1">
        <f t="array" ref="I372">_xlfn.XLOOKUP($B372,$B$11:$B$91,_xlfn.XLOOKUP(I$181,$D$5:$AX$5,$D$11:$AX$91))</f>
        <v>73.2</v>
      </c>
      <c r="J372" s="312" cm="1">
        <f t="array" ref="J372">_xlfn.XLOOKUP($B372,$B$11:$B$91,_xlfn.XLOOKUP(J$181,$D$5:$AX$5,$D$11:$AX$91))</f>
        <v>77.3</v>
      </c>
      <c r="K372" s="312" cm="1">
        <f t="array" ref="K372">_xlfn.XLOOKUP($B372,$B$11:$B$91,_xlfn.XLOOKUP(K$181,$D$5:$AX$5,$D$11:$AX$91))</f>
        <v>50</v>
      </c>
      <c r="L372" s="312" cm="1">
        <f t="array" ref="L372">_xlfn.XLOOKUP($B372,$B$11:$B$91,_xlfn.XLOOKUP(L$181,$D$5:$AX$5,$D$11:$AX$91))</f>
        <v>47.400000000000006</v>
      </c>
      <c r="M372" s="312" cm="1">
        <f t="array" ref="M372">_xlfn.XLOOKUP($B372,$B$11:$B$91,_xlfn.XLOOKUP(M$181,$D$5:$AX$5,$D$11:$AX$91))</f>
        <v>92.7</v>
      </c>
      <c r="N372" s="312" cm="1">
        <f t="array" ref="N372">_xlfn.XLOOKUP($B372,$B$11:$B$91,_xlfn.XLOOKUP(N$181,$D$5:$AX$5,$D$11:$AX$91))</f>
        <v>95.999999999999986</v>
      </c>
      <c r="O372" s="312" cm="1">
        <f t="array" ref="O372">_xlfn.XLOOKUP($B372,$B$11:$B$91,_xlfn.XLOOKUP(O$181,$D$5:$AX$5,$D$11:$AX$91))</f>
        <v>110.2</v>
      </c>
      <c r="P372" s="312" cm="1">
        <f t="array" ref="P372">_xlfn.XLOOKUP($B372,$B$11:$B$91,_xlfn.XLOOKUP(P$181,$D$5:$AX$5,$D$11:$AX$91))</f>
        <v>108.49999999999999</v>
      </c>
      <c r="Q372" s="312" cm="1">
        <f t="array" ref="Q372">_xlfn.XLOOKUP($B372,$B$11:$B$91,_xlfn.XLOOKUP(Q$181,$D$5:$AX$5,$D$11:$AX$91))</f>
        <v>131.71365320419702</v>
      </c>
      <c r="R372" s="312" cm="1">
        <f t="array" ref="R372">_xlfn.XLOOKUP($B372,$B$11:$B$91,_xlfn.XLOOKUP(R$181,$D$5:$AX$5,$D$11:$AX$91))</f>
        <v>106.30641127075023</v>
      </c>
      <c r="S372" s="312" cm="1">
        <f t="array" ref="S372">_xlfn.XLOOKUP($B372,$B$11:$B$91,_xlfn.XLOOKUP(S$181,$D$5:$AX$5,$D$11:$AX$91))</f>
        <v>140.89093622202208</v>
      </c>
      <c r="T372" s="312" cm="1">
        <f t="array" ref="T372">_xlfn.XLOOKUP($B372,$B$11:$B$91,_xlfn.XLOOKUP(T$181,$D$5:$AX$5,$D$11:$AX$91))</f>
        <v>121.35483452448017</v>
      </c>
      <c r="U372" s="312" cm="1">
        <f t="array" ref="U372">_xlfn.XLOOKUP($B372,$B$11:$B$91,_xlfn.XLOOKUP(U$181,$D$5:$AX$5,$D$11:$AX$91))</f>
        <v>146.42225140303788</v>
      </c>
      <c r="V372" s="312" cm="1">
        <f t="array" ref="V372">_xlfn.XLOOKUP($B372,$B$11:$B$91,_xlfn.XLOOKUP(V$181,$D$5:$AX$5,$D$11:$AX$91))</f>
        <v>122.74548450197165</v>
      </c>
      <c r="W372" s="312" cm="1">
        <f t="array" ref="W372">_xlfn.XLOOKUP($B372,$B$11:$B$91,_xlfn.XLOOKUP(W$181,$D$5:$AX$5,$D$11:$AX$91))</f>
        <v>155.38300085317246</v>
      </c>
      <c r="X372" s="312" cm="1">
        <f t="array" ref="X372">_xlfn.XLOOKUP($B372,$B$11:$B$91,_xlfn.XLOOKUP(X$181,$D$5:$AX$5,$D$11:$AX$91))</f>
        <v>130.52314542429977</v>
      </c>
      <c r="Y372" s="312" cm="1">
        <f t="array" ref="Y372">_xlfn.XLOOKUP($B372,$B$11:$B$91,_xlfn.XLOOKUP(Y$181,$D$5:$AX$5,$D$11:$AX$91))</f>
        <v>162.19511072732456</v>
      </c>
      <c r="Z372" s="312" cm="1">
        <f t="array" ref="Z372">_xlfn.XLOOKUP($B372,$B$11:$B$91,_xlfn.XLOOKUP(Z$181,$D$5:$AX$5,$D$11:$AX$91))</f>
        <v>136.55893668649418</v>
      </c>
      <c r="AA372" s="312" cm="1">
        <f t="array" ref="AA372">_xlfn.XLOOKUP($B372,$B$11:$B$91,_xlfn.XLOOKUP(AA$181,$D$5:$AX$5,$D$11:$AX$91))</f>
        <v>167.91310218169937</v>
      </c>
      <c r="AB372" s="312" cm="1">
        <f t="array" ref="AB372">_xlfn.XLOOKUP($B372,$B$11:$B$91,_xlfn.XLOOKUP(AB$181,$D$5:$AX$5,$D$11:$AX$91))</f>
        <v>141.67932560849508</v>
      </c>
      <c r="AC372" s="312" cm="1">
        <f t="array" ref="AC372">_xlfn.XLOOKUP($B372,$B$11:$B$91,_xlfn.XLOOKUP(AC$181,$D$5:$AX$5,$D$11:$AX$91))</f>
        <v>172.89375921562177</v>
      </c>
      <c r="AD372" s="312" cm="1">
        <f t="array" ref="AD372">_xlfn.XLOOKUP($B372,$B$11:$B$91,_xlfn.XLOOKUP(AD$181,$D$5:$AX$5,$D$11:$AX$91))</f>
        <v>146.18977126453262</v>
      </c>
      <c r="AE372" s="312" cm="1">
        <f t="array" ref="AE372">_xlfn.XLOOKUP($B372,$B$11:$B$91,_xlfn.XLOOKUP(AE$181,$D$5:$AX$5,$D$11:$AX$91))</f>
        <v>177.39937506637415</v>
      </c>
      <c r="AF372" s="312" cm="1">
        <f t="array" ref="AF372">_xlfn.XLOOKUP($B372,$B$11:$B$91,_xlfn.XLOOKUP(AF$181,$D$5:$AX$5,$D$11:$AX$91))</f>
        <v>150.31506391474272</v>
      </c>
      <c r="AG372" s="312"/>
      <c r="AH372" s="310" t="str">
        <f t="shared" si="195"/>
        <v>EBIT - New</v>
      </c>
      <c r="AI372" s="311" t="str" cm="1">
        <f t="array" ref="AI372">_xlfn.XLOOKUP($B372,$B$11:$B$91,_xlfn.XLOOKUP(AI$181,$D$5:$AX$5,$D$11:$AX$91))</f>
        <v>A$m</v>
      </c>
      <c r="AJ372" s="311"/>
      <c r="AK372" s="311"/>
      <c r="AL372" s="312" cm="1">
        <f t="array" ref="AL372">_xlfn.XLOOKUP($B372,$B$11:$B$91,_xlfn.XLOOKUP(AL$181,$D$5:$AX$5,$D$11:$AX$91))</f>
        <v>0</v>
      </c>
      <c r="AM372" s="312" cm="1">
        <f t="array" ref="AM372">_xlfn.XLOOKUP($B372,$B$11:$B$91,_xlfn.XLOOKUP(AM$181,$D$5:$AX$5,$D$11:$AX$91))</f>
        <v>150.5</v>
      </c>
      <c r="AN372" s="312" cm="1">
        <f t="array" ref="AN372">_xlfn.XLOOKUP($B372,$B$11:$B$91,_xlfn.XLOOKUP(AN$181,$D$5:$AX$5,$D$11:$AX$91))</f>
        <v>97.4</v>
      </c>
      <c r="AO372" s="312" cm="1">
        <f t="array" ref="AO372">_xlfn.XLOOKUP($B372,$B$11:$B$91,_xlfn.XLOOKUP(AO$181,$D$5:$AX$5,$D$11:$AX$91))</f>
        <v>188.7</v>
      </c>
      <c r="AP372" s="312" cm="1">
        <f t="array" ref="AP372">_xlfn.XLOOKUP($B372,$B$11:$B$91,_xlfn.XLOOKUP(AP$181,$D$5:$AX$5,$D$11:$AX$91))</f>
        <v>218.7</v>
      </c>
      <c r="AQ372" s="312" cm="1">
        <f t="array" ref="AQ372">_xlfn.XLOOKUP($B372,$B$11:$B$91,_xlfn.XLOOKUP(AQ$181,$D$5:$AX$5,$D$11:$AX$91))</f>
        <v>238.02006447494725</v>
      </c>
      <c r="AR372" s="312" cm="1">
        <f t="array" ref="AR372">_xlfn.XLOOKUP($B372,$B$11:$B$91,_xlfn.XLOOKUP(AR$181,$D$5:$AX$5,$D$11:$AX$91))</f>
        <v>262.24577074650222</v>
      </c>
      <c r="AS372" s="312" cm="1">
        <f t="array" ref="AS372">_xlfn.XLOOKUP($B372,$B$11:$B$91,_xlfn.XLOOKUP(AS$181,$D$5:$AX$5,$D$11:$AX$91))</f>
        <v>269.16773590500952</v>
      </c>
      <c r="AT372" s="312" cm="1">
        <f t="array" ref="AT372">_xlfn.XLOOKUP($B372,$B$11:$B$91,_xlfn.XLOOKUP(AT$181,$D$5:$AX$5,$D$11:$AX$91))</f>
        <v>285.9061462774722</v>
      </c>
      <c r="AU372" s="312" cm="1">
        <f t="array" ref="AU372">_xlfn.XLOOKUP($B372,$B$11:$B$91,_xlfn.XLOOKUP(AU$181,$D$5:$AX$5,$D$11:$AX$91))</f>
        <v>298.75404741381874</v>
      </c>
      <c r="AV372" s="312" cm="1">
        <f t="array" ref="AV372">_xlfn.XLOOKUP($B372,$B$11:$B$91,_xlfn.XLOOKUP(AV$181,$D$5:$AX$5,$D$11:$AX$91))</f>
        <v>309.59242779019445</v>
      </c>
      <c r="AW372" s="312" cm="1">
        <f t="array" ref="AW372">_xlfn.XLOOKUP($B372,$B$11:$B$91,_xlfn.XLOOKUP(AW$181,$D$5:$AX$5,$D$11:$AX$91))</f>
        <v>319.08353048015442</v>
      </c>
      <c r="AX372" s="312" cm="1">
        <f t="array" ref="AX372">_xlfn.XLOOKUP($B372,$B$11:$B$91,_xlfn.XLOOKUP(AX$181,$D$5:$AX$5,$D$11:$AX$91))</f>
        <v>327.71443898111687</v>
      </c>
    </row>
    <row r="373" spans="2:50" hidden="1" outlineLevel="1">
      <c r="C373" s="313" t="s">
        <v>1121</v>
      </c>
      <c r="D373" s="307" t="s">
        <v>842</v>
      </c>
      <c r="E373" s="307"/>
      <c r="F373" s="307"/>
      <c r="G373" s="314"/>
      <c r="H373" s="314"/>
      <c r="I373" s="314" t="s">
        <v>967</v>
      </c>
      <c r="J373" s="314" t="s">
        <v>967</v>
      </c>
      <c r="K373" s="314">
        <f t="shared" ref="K373:AF373" si="220">K372/I372-1</f>
        <v>-0.31693989071038253</v>
      </c>
      <c r="L373" s="314">
        <f t="shared" si="220"/>
        <v>-0.38680465717981882</v>
      </c>
      <c r="M373" s="314">
        <f t="shared" si="220"/>
        <v>0.85400000000000009</v>
      </c>
      <c r="N373" s="314">
        <f t="shared" si="220"/>
        <v>1.0253164556962018</v>
      </c>
      <c r="O373" s="314">
        <f t="shared" si="220"/>
        <v>0.18878101402373249</v>
      </c>
      <c r="P373" s="314">
        <f t="shared" si="220"/>
        <v>0.13020833333333326</v>
      </c>
      <c r="Q373" s="314">
        <f t="shared" si="220"/>
        <v>0.19522371328672428</v>
      </c>
      <c r="R373" s="314">
        <f t="shared" si="220"/>
        <v>-2.0217407642854845E-2</v>
      </c>
      <c r="S373" s="314">
        <f t="shared" si="220"/>
        <v>6.9676019110922693E-2</v>
      </c>
      <c r="T373" s="314">
        <f t="shared" si="220"/>
        <v>0.14155706202331797</v>
      </c>
      <c r="U373" s="314">
        <f t="shared" si="220"/>
        <v>3.9259553022625404E-2</v>
      </c>
      <c r="V373" s="314">
        <f t="shared" si="220"/>
        <v>1.1459370225674448E-2</v>
      </c>
      <c r="W373" s="314">
        <f t="shared" si="220"/>
        <v>6.1198003474686846E-2</v>
      </c>
      <c r="X373" s="314">
        <f t="shared" si="220"/>
        <v>6.3364130696011101E-2</v>
      </c>
      <c r="Y373" s="314">
        <f t="shared" si="220"/>
        <v>4.3840766600904635E-2</v>
      </c>
      <c r="Z373" s="314">
        <f t="shared" si="220"/>
        <v>4.6243072388222561E-2</v>
      </c>
      <c r="AA373" s="314">
        <f t="shared" si="220"/>
        <v>3.525378433871329E-2</v>
      </c>
      <c r="AB373" s="314">
        <f t="shared" si="220"/>
        <v>3.74958171632227E-2</v>
      </c>
      <c r="AC373" s="314">
        <f t="shared" si="220"/>
        <v>2.9662110753768456E-2</v>
      </c>
      <c r="AD373" s="314">
        <f t="shared" si="220"/>
        <v>3.18355951841649E-2</v>
      </c>
      <c r="AE373" s="314">
        <f t="shared" si="220"/>
        <v>2.6060025944217413E-2</v>
      </c>
      <c r="AF373" s="314">
        <f t="shared" si="220"/>
        <v>2.8218750289617178E-2</v>
      </c>
      <c r="AG373" s="315"/>
      <c r="AH373" s="313" t="str">
        <f t="shared" si="195"/>
        <v>- Growth</v>
      </c>
      <c r="AI373" s="307" t="str">
        <f>D373</f>
        <v>%</v>
      </c>
      <c r="AJ373" s="307"/>
      <c r="AK373" s="307"/>
      <c r="AL373" s="314" t="s">
        <v>967</v>
      </c>
      <c r="AM373" s="314" t="s">
        <v>967</v>
      </c>
      <c r="AN373" s="314">
        <f t="shared" ref="AN373:AX373" si="221">AN372/AM372-1</f>
        <v>-0.35282392026578069</v>
      </c>
      <c r="AO373" s="314">
        <f t="shared" si="221"/>
        <v>0.93737166324435295</v>
      </c>
      <c r="AP373" s="314">
        <f t="shared" si="221"/>
        <v>0.15898251192368851</v>
      </c>
      <c r="AQ373" s="314">
        <f t="shared" si="221"/>
        <v>8.8340486853896838E-2</v>
      </c>
      <c r="AR373" s="314">
        <f t="shared" si="221"/>
        <v>0.10178010129101889</v>
      </c>
      <c r="AS373" s="314">
        <f t="shared" si="221"/>
        <v>2.6394954392604308E-2</v>
      </c>
      <c r="AT373" s="314">
        <f t="shared" si="221"/>
        <v>6.2185797700396561E-2</v>
      </c>
      <c r="AU373" s="314">
        <f t="shared" si="221"/>
        <v>4.4937477922834201E-2</v>
      </c>
      <c r="AV373" s="314">
        <f t="shared" si="221"/>
        <v>3.6278605997805746E-2</v>
      </c>
      <c r="AW373" s="314">
        <f t="shared" si="221"/>
        <v>3.0656766244915756E-2</v>
      </c>
      <c r="AX373" s="314">
        <f t="shared" si="221"/>
        <v>2.7049056677963756E-2</v>
      </c>
    </row>
    <row r="374" spans="2:50" collapsed="1">
      <c r="C374" s="313" t="s">
        <v>1122</v>
      </c>
      <c r="D374" s="307" t="s">
        <v>842</v>
      </c>
      <c r="E374" s="307"/>
      <c r="F374" s="307"/>
      <c r="G374" s="314"/>
      <c r="H374" s="314"/>
      <c r="I374" s="314">
        <f t="shared" ref="I374:AF374" si="222" xml:space="preserve"> IFERROR(ROUND( I372 / I371,3) - 1, 0)</f>
        <v>0</v>
      </c>
      <c r="J374" s="314">
        <f t="shared" si="222"/>
        <v>0</v>
      </c>
      <c r="K374" s="314">
        <f t="shared" si="222"/>
        <v>0</v>
      </c>
      <c r="L374" s="314">
        <f t="shared" si="222"/>
        <v>0</v>
      </c>
      <c r="M374" s="314">
        <f t="shared" si="222"/>
        <v>0</v>
      </c>
      <c r="N374" s="314">
        <f t="shared" si="222"/>
        <v>0</v>
      </c>
      <c r="O374" s="314">
        <f t="shared" si="222"/>
        <v>0</v>
      </c>
      <c r="P374" s="314">
        <f t="shared" si="222"/>
        <v>5.8000000000000052E-2</v>
      </c>
      <c r="Q374" s="314">
        <f t="shared" si="222"/>
        <v>-4.500000000000004E-2</v>
      </c>
      <c r="R374" s="314">
        <f t="shared" si="222"/>
        <v>-8.4999999999999964E-2</v>
      </c>
      <c r="S374" s="314">
        <f t="shared" si="222"/>
        <v>-3.0000000000000027E-2</v>
      </c>
      <c r="T374" s="314">
        <f t="shared" si="222"/>
        <v>-4.0000000000000036E-3</v>
      </c>
      <c r="U374" s="314">
        <f t="shared" si="222"/>
        <v>-2.9000000000000026E-2</v>
      </c>
      <c r="V374" s="314">
        <f t="shared" si="222"/>
        <v>-4.9000000000000044E-2</v>
      </c>
      <c r="W374" s="314">
        <f t="shared" si="222"/>
        <v>-2.6000000000000023E-2</v>
      </c>
      <c r="X374" s="314">
        <f t="shared" si="222"/>
        <v>-4.6000000000000041E-2</v>
      </c>
      <c r="Y374" s="314">
        <f t="shared" si="222"/>
        <v>-3.2000000000000028E-2</v>
      </c>
      <c r="Z374" s="314">
        <f t="shared" si="222"/>
        <v>-5.1000000000000045E-2</v>
      </c>
      <c r="AA374" s="314">
        <f t="shared" si="222"/>
        <v>-3.9000000000000035E-2</v>
      </c>
      <c r="AB374" s="314">
        <f t="shared" si="222"/>
        <v>-5.7000000000000051E-2</v>
      </c>
      <c r="AC374" s="314">
        <f t="shared" si="222"/>
        <v>-2.4000000000000021E-2</v>
      </c>
      <c r="AD374" s="314">
        <f t="shared" si="222"/>
        <v>-4.0000000000000036E-2</v>
      </c>
      <c r="AE374" s="314">
        <f t="shared" si="222"/>
        <v>-1.100000000000001E-2</v>
      </c>
      <c r="AF374" s="314">
        <f t="shared" si="222"/>
        <v>-2.4000000000000021E-2</v>
      </c>
      <c r="AG374" s="314"/>
      <c r="AH374" s="313" t="str">
        <f t="shared" si="195"/>
        <v>- Revision</v>
      </c>
      <c r="AI374" s="307" t="str">
        <f>D374</f>
        <v>%</v>
      </c>
      <c r="AJ374" s="307"/>
      <c r="AK374" s="307"/>
      <c r="AL374" s="314">
        <f t="shared" ref="AL374:AX374" si="223" xml:space="preserve"> IFERROR(ROUND( AL372 / AL371,3) - 1, 0)</f>
        <v>0</v>
      </c>
      <c r="AM374" s="314">
        <f t="shared" si="223"/>
        <v>0</v>
      </c>
      <c r="AN374" s="314">
        <f t="shared" si="223"/>
        <v>0</v>
      </c>
      <c r="AO374" s="314">
        <f t="shared" si="223"/>
        <v>0</v>
      </c>
      <c r="AP374" s="314">
        <f t="shared" si="223"/>
        <v>2.8000000000000025E-2</v>
      </c>
      <c r="AQ374" s="314">
        <f t="shared" si="223"/>
        <v>-6.2999999999999945E-2</v>
      </c>
      <c r="AR374" s="314">
        <f t="shared" si="223"/>
        <v>-1.8000000000000016E-2</v>
      </c>
      <c r="AS374" s="314">
        <f t="shared" si="223"/>
        <v>-3.8000000000000034E-2</v>
      </c>
      <c r="AT374" s="314">
        <f t="shared" si="223"/>
        <v>-3.6000000000000032E-2</v>
      </c>
      <c r="AU374" s="314">
        <f t="shared" si="223"/>
        <v>-4.0000000000000036E-2</v>
      </c>
      <c r="AV374" s="314">
        <f t="shared" si="223"/>
        <v>-4.7000000000000042E-2</v>
      </c>
      <c r="AW374" s="314">
        <f t="shared" si="223"/>
        <v>-3.1000000000000028E-2</v>
      </c>
      <c r="AX374" s="314">
        <f t="shared" si="223"/>
        <v>-1.7000000000000015E-2</v>
      </c>
    </row>
    <row r="375" spans="2:50">
      <c r="B375" s="305" t="s">
        <v>1455</v>
      </c>
      <c r="C375" s="706" t="str">
        <f>_xlfn.TEXTAFTER($B375,$C$344)&amp;" - old"</f>
        <v>Loss from Equity Accounted Investment - old</v>
      </c>
      <c r="D375" s="707" t="str" cm="1">
        <f t="array" ref="D375">_xlfn.XLOOKUP($B375,$B$96:$B$176,_xlfn.XLOOKUP(D$181,$D$5:$AX$5,$D$96:$AX$176))</f>
        <v>A$m</v>
      </c>
      <c r="E375" s="307"/>
      <c r="F375" s="307"/>
      <c r="G375" s="708"/>
      <c r="H375" s="708"/>
      <c r="I375" s="708" cm="1">
        <f t="array" ref="I375">_xlfn.XLOOKUP($B375,$B$96:$B$176,_xlfn.XLOOKUP(I$181,$D$5:$AX$5,$D$96:$AX$176))</f>
        <v>-1.2</v>
      </c>
      <c r="J375" s="708" cm="1">
        <f t="array" ref="J375">_xlfn.XLOOKUP($B375,$B$96:$B$176,_xlfn.XLOOKUP(J$181,$D$5:$AX$5,$D$96:$AX$176))</f>
        <v>-1.5000000000000002</v>
      </c>
      <c r="K375" s="708" cm="1">
        <f t="array" ref="K375">_xlfn.XLOOKUP($B375,$B$96:$B$176,_xlfn.XLOOKUP(K$181,$D$5:$AX$5,$D$96:$AX$176))</f>
        <v>-2.8</v>
      </c>
      <c r="L375" s="708" cm="1">
        <f t="array" ref="L375">_xlfn.XLOOKUP($B375,$B$96:$B$176,_xlfn.XLOOKUP(L$181,$D$5:$AX$5,$D$96:$AX$176))</f>
        <v>-0.40000000000000036</v>
      </c>
      <c r="M375" s="708" cm="1">
        <f t="array" ref="M375">_xlfn.XLOOKUP($B375,$B$96:$B$176,_xlfn.XLOOKUP(M$181,$D$5:$AX$5,$D$96:$AX$176))</f>
        <v>-0.5</v>
      </c>
      <c r="N375" s="708" cm="1">
        <f t="array" ref="N375">_xlfn.XLOOKUP($B375,$B$96:$B$176,_xlfn.XLOOKUP(N$181,$D$5:$AX$5,$D$96:$AX$176))</f>
        <v>4.3</v>
      </c>
      <c r="O375" s="708" cm="1">
        <f t="array" ref="O375">_xlfn.XLOOKUP($B375,$B$96:$B$176,_xlfn.XLOOKUP(O$181,$D$5:$AX$5,$D$96:$AX$176))</f>
        <v>-4.5999999999999996</v>
      </c>
      <c r="P375" s="708" cm="1">
        <f t="array" ref="P375">_xlfn.XLOOKUP($B375,$B$96:$B$176,_xlfn.XLOOKUP(P$181,$D$5:$AX$5,$D$96:$AX$176))</f>
        <v>0</v>
      </c>
      <c r="Q375" s="708" cm="1">
        <f t="array" ref="Q375">_xlfn.XLOOKUP($B375,$B$96:$B$176,_xlfn.XLOOKUP(Q$181,$D$5:$AX$5,$D$96:$AX$176))</f>
        <v>4</v>
      </c>
      <c r="R375" s="708" cm="1">
        <f t="array" ref="R375">_xlfn.XLOOKUP($B375,$B$96:$B$176,_xlfn.XLOOKUP(R$181,$D$5:$AX$5,$D$96:$AX$176))</f>
        <v>8</v>
      </c>
      <c r="S375" s="708" cm="1">
        <f t="array" ref="S375">_xlfn.XLOOKUP($B375,$B$96:$B$176,_xlfn.XLOOKUP(S$181,$D$5:$AX$5,$D$96:$AX$176))</f>
        <v>10</v>
      </c>
      <c r="T375" s="708" cm="1">
        <f t="array" ref="T375">_xlfn.XLOOKUP($B375,$B$96:$B$176,_xlfn.XLOOKUP(T$181,$D$5:$AX$5,$D$96:$AX$176))</f>
        <v>12</v>
      </c>
      <c r="U375" s="708" cm="1">
        <f t="array" ref="U375">_xlfn.XLOOKUP($B375,$B$96:$B$176,_xlfn.XLOOKUP(U$181,$D$5:$AX$5,$D$96:$AX$176))</f>
        <v>14</v>
      </c>
      <c r="V375" s="708" cm="1">
        <f t="array" ref="V375">_xlfn.XLOOKUP($B375,$B$96:$B$176,_xlfn.XLOOKUP(V$181,$D$5:$AX$5,$D$96:$AX$176))</f>
        <v>16</v>
      </c>
      <c r="W375" s="708" cm="1">
        <f t="array" ref="W375">_xlfn.XLOOKUP($B375,$B$96:$B$176,_xlfn.XLOOKUP(W$181,$D$5:$AX$5,$D$96:$AX$176))</f>
        <v>14.42</v>
      </c>
      <c r="X375" s="708" cm="1">
        <f t="array" ref="X375">_xlfn.XLOOKUP($B375,$B$96:$B$176,_xlfn.XLOOKUP(X$181,$D$5:$AX$5,$D$96:$AX$176))</f>
        <v>16.48</v>
      </c>
      <c r="Y375" s="708" cm="1">
        <f t="array" ref="Y375">_xlfn.XLOOKUP($B375,$B$96:$B$176,_xlfn.XLOOKUP(Y$181,$D$5:$AX$5,$D$96:$AX$176))</f>
        <v>14.852600000000001</v>
      </c>
      <c r="Z375" s="708" cm="1">
        <f t="array" ref="Z375">_xlfn.XLOOKUP($B375,$B$96:$B$176,_xlfn.XLOOKUP(Z$181,$D$5:$AX$5,$D$96:$AX$176))</f>
        <v>16.974399999999999</v>
      </c>
      <c r="AA375" s="708" cm="1">
        <f t="array" ref="AA375">_xlfn.XLOOKUP($B375,$B$96:$B$176,_xlfn.XLOOKUP(AA$181,$D$5:$AX$5,$D$96:$AX$176))</f>
        <v>15.298178000000002</v>
      </c>
      <c r="AB375" s="708" cm="1">
        <f t="array" ref="AB375">_xlfn.XLOOKUP($B375,$B$96:$B$176,_xlfn.XLOOKUP(AB$181,$D$5:$AX$5,$D$96:$AX$176))</f>
        <v>17.483632</v>
      </c>
      <c r="AC375" s="708" cm="1">
        <f t="array" ref="AC375">_xlfn.XLOOKUP($B375,$B$96:$B$176,_xlfn.XLOOKUP(AC$181,$D$5:$AX$5,$D$96:$AX$176))</f>
        <v>15.757123340000001</v>
      </c>
      <c r="AD375" s="708" cm="1">
        <f t="array" ref="AD375">_xlfn.XLOOKUP($B375,$B$96:$B$176,_xlfn.XLOOKUP(AD$181,$D$5:$AX$5,$D$96:$AX$176))</f>
        <v>18.008140960000002</v>
      </c>
      <c r="AE375" s="708" cm="1">
        <f t="array" ref="AE375">_xlfn.XLOOKUP($B375,$B$96:$B$176,_xlfn.XLOOKUP(AE$181,$D$5:$AX$5,$D$96:$AX$176))</f>
        <v>16.229837040200003</v>
      </c>
      <c r="AF375" s="708" cm="1">
        <f t="array" ref="AF375">_xlfn.XLOOKUP($B375,$B$96:$B$176,_xlfn.XLOOKUP(AF$181,$D$5:$AX$5,$D$96:$AX$176))</f>
        <v>18.548385188800001</v>
      </c>
      <c r="AG375" s="309"/>
      <c r="AH375" s="306" t="str">
        <f t="shared" si="195"/>
        <v>Loss from Equity Accounted Investment - old</v>
      </c>
      <c r="AI375" s="707" t="str" cm="1">
        <f t="array" ref="AI375">_xlfn.XLOOKUP($B375,$B$96:$B$176,_xlfn.XLOOKUP(AI$181,$D$5:$AX$5,$D$96:$AX$176))</f>
        <v>A$m</v>
      </c>
      <c r="AJ375" s="307"/>
      <c r="AK375" s="307"/>
      <c r="AL375" s="708" cm="1">
        <f t="array" ref="AL375">_xlfn.XLOOKUP($B375,$B$96:$B$176,_xlfn.XLOOKUP(AL$181,$D$5:$AX$5,$D$96:$AX$176))</f>
        <v>0</v>
      </c>
      <c r="AM375" s="708" cm="1">
        <f t="array" ref="AM375">_xlfn.XLOOKUP($B375,$B$96:$B$176,_xlfn.XLOOKUP(AM$181,$D$5:$AX$5,$D$96:$AX$176))</f>
        <v>-2.7</v>
      </c>
      <c r="AN375" s="708" cm="1">
        <f t="array" ref="AN375">_xlfn.XLOOKUP($B375,$B$96:$B$176,_xlfn.XLOOKUP(AN$181,$D$5:$AX$5,$D$96:$AX$176))</f>
        <v>-3.2</v>
      </c>
      <c r="AO375" s="708" cm="1">
        <f t="array" ref="AO375">_xlfn.XLOOKUP($B375,$B$96:$B$176,_xlfn.XLOOKUP(AO$181,$D$5:$AX$5,$D$96:$AX$176))</f>
        <v>3.8</v>
      </c>
      <c r="AP375" s="708" cm="1">
        <f t="array" ref="AP375">_xlfn.XLOOKUP($B375,$B$96:$B$176,_xlfn.XLOOKUP(AP$181,$D$5:$AX$5,$D$96:$AX$176))</f>
        <v>-4.5999999999999996</v>
      </c>
      <c r="AQ375" s="708" cm="1">
        <f t="array" ref="AQ375">_xlfn.XLOOKUP($B375,$B$96:$B$176,_xlfn.XLOOKUP(AQ$181,$D$5:$AX$5,$D$96:$AX$176))</f>
        <v>12</v>
      </c>
      <c r="AR375" s="708" cm="1">
        <f t="array" ref="AR375">_xlfn.XLOOKUP($B375,$B$96:$B$176,_xlfn.XLOOKUP(AR$181,$D$5:$AX$5,$D$96:$AX$176))</f>
        <v>22</v>
      </c>
      <c r="AS375" s="708" cm="1">
        <f t="array" ref="AS375">_xlfn.XLOOKUP($B375,$B$96:$B$176,_xlfn.XLOOKUP(AS$181,$D$5:$AX$5,$D$96:$AX$176))</f>
        <v>30</v>
      </c>
      <c r="AT375" s="708" cm="1">
        <f t="array" ref="AT375">_xlfn.XLOOKUP($B375,$B$96:$B$176,_xlfn.XLOOKUP(AT$181,$D$5:$AX$5,$D$96:$AX$176))</f>
        <v>30.9</v>
      </c>
      <c r="AU375" s="708" cm="1">
        <f t="array" ref="AU375">_xlfn.XLOOKUP($B375,$B$96:$B$176,_xlfn.XLOOKUP(AU$181,$D$5:$AX$5,$D$96:$AX$176))</f>
        <v>31.826999999999998</v>
      </c>
      <c r="AV375" s="708" cm="1">
        <f t="array" ref="AV375">_xlfn.XLOOKUP($B375,$B$96:$B$176,_xlfn.XLOOKUP(AV$181,$D$5:$AX$5,$D$96:$AX$176))</f>
        <v>32.78181</v>
      </c>
      <c r="AW375" s="708" cm="1">
        <f t="array" ref="AW375">_xlfn.XLOOKUP($B375,$B$96:$B$176,_xlfn.XLOOKUP(AW$181,$D$5:$AX$5,$D$96:$AX$176))</f>
        <v>33.765264300000005</v>
      </c>
      <c r="AX375" s="708" cm="1">
        <f t="array" ref="AX375">_xlfn.XLOOKUP($B375,$B$96:$B$176,_xlfn.XLOOKUP(AX$181,$D$5:$AX$5,$D$96:$AX$176))</f>
        <v>34.778222229000008</v>
      </c>
    </row>
    <row r="376" spans="2:50">
      <c r="B376" s="305" t="s">
        <v>1455</v>
      </c>
      <c r="C376" s="318" t="str">
        <f>_xlfn.TEXTAFTER($B376,$C$344)&amp;" - New"</f>
        <v>Loss from Equity Accounted Investment - New</v>
      </c>
      <c r="D376" s="311" t="str" cm="1">
        <f t="array" ref="D376">_xlfn.XLOOKUP($B376,$B$11:$B$91,_xlfn.XLOOKUP(D$181,$D$5:$AX$5,$D$11:$AX$91))</f>
        <v>A$m</v>
      </c>
      <c r="E376" s="311"/>
      <c r="F376" s="311"/>
      <c r="G376" s="312"/>
      <c r="H376" s="312"/>
      <c r="I376" s="312" cm="1">
        <f t="array" ref="I376">_xlfn.XLOOKUP($B376,$B$11:$B$91,_xlfn.XLOOKUP(I$181,$D$5:$AX$5,$D$11:$AX$91))</f>
        <v>-1.2</v>
      </c>
      <c r="J376" s="312" cm="1">
        <f t="array" ref="J376">_xlfn.XLOOKUP($B376,$B$11:$B$91,_xlfn.XLOOKUP(J$181,$D$5:$AX$5,$D$11:$AX$91))</f>
        <v>-1.5000000000000002</v>
      </c>
      <c r="K376" s="312" cm="1">
        <f t="array" ref="K376">_xlfn.XLOOKUP($B376,$B$11:$B$91,_xlfn.XLOOKUP(K$181,$D$5:$AX$5,$D$11:$AX$91))</f>
        <v>-2.8</v>
      </c>
      <c r="L376" s="312" cm="1">
        <f t="array" ref="L376">_xlfn.XLOOKUP($B376,$B$11:$B$91,_xlfn.XLOOKUP(L$181,$D$5:$AX$5,$D$11:$AX$91))</f>
        <v>-0.40000000000000036</v>
      </c>
      <c r="M376" s="312" cm="1">
        <f t="array" ref="M376">_xlfn.XLOOKUP($B376,$B$11:$B$91,_xlfn.XLOOKUP(M$181,$D$5:$AX$5,$D$11:$AX$91))</f>
        <v>-0.5</v>
      </c>
      <c r="N376" s="312" cm="1">
        <f t="array" ref="N376">_xlfn.XLOOKUP($B376,$B$11:$B$91,_xlfn.XLOOKUP(N$181,$D$5:$AX$5,$D$11:$AX$91))</f>
        <v>4.3</v>
      </c>
      <c r="O376" s="312" cm="1">
        <f t="array" ref="O376">_xlfn.XLOOKUP($B376,$B$11:$B$91,_xlfn.XLOOKUP(O$181,$D$5:$AX$5,$D$11:$AX$91))</f>
        <v>-4.5999999999999996</v>
      </c>
      <c r="P376" s="312" cm="1">
        <f t="array" ref="P376">_xlfn.XLOOKUP($B376,$B$11:$B$91,_xlfn.XLOOKUP(P$181,$D$5:$AX$5,$D$11:$AX$91))</f>
        <v>1.5999999999999996</v>
      </c>
      <c r="Q376" s="312" cm="1">
        <f t="array" ref="Q376">_xlfn.XLOOKUP($B376,$B$11:$B$91,_xlfn.XLOOKUP(Q$181,$D$5:$AX$5,$D$11:$AX$91))</f>
        <v>0</v>
      </c>
      <c r="R376" s="312" cm="1">
        <f t="array" ref="R376">_xlfn.XLOOKUP($B376,$B$11:$B$91,_xlfn.XLOOKUP(R$181,$D$5:$AX$5,$D$11:$AX$91))</f>
        <v>1</v>
      </c>
      <c r="S376" s="312" cm="1">
        <f t="array" ref="S376">_xlfn.XLOOKUP($B376,$B$11:$B$91,_xlfn.XLOOKUP(S$181,$D$5:$AX$5,$D$11:$AX$91))</f>
        <v>4</v>
      </c>
      <c r="T376" s="312" cm="1">
        <f t="array" ref="T376">_xlfn.XLOOKUP($B376,$B$11:$B$91,_xlfn.XLOOKUP(T$181,$D$5:$AX$5,$D$11:$AX$91))</f>
        <v>8</v>
      </c>
      <c r="U376" s="312" cm="1">
        <f t="array" ref="U376">_xlfn.XLOOKUP($B376,$B$11:$B$91,_xlfn.XLOOKUP(U$181,$D$5:$AX$5,$D$11:$AX$91))</f>
        <v>10</v>
      </c>
      <c r="V376" s="312" cm="1">
        <f t="array" ref="V376">_xlfn.XLOOKUP($B376,$B$11:$B$91,_xlfn.XLOOKUP(V$181,$D$5:$AX$5,$D$11:$AX$91))</f>
        <v>12</v>
      </c>
      <c r="W376" s="312" cm="1">
        <f t="array" ref="W376">_xlfn.XLOOKUP($B376,$B$11:$B$91,_xlfn.XLOOKUP(W$181,$D$5:$AX$5,$D$11:$AX$91))</f>
        <v>14</v>
      </c>
      <c r="X376" s="312" cm="1">
        <f t="array" ref="X376">_xlfn.XLOOKUP($B376,$B$11:$B$91,_xlfn.XLOOKUP(X$181,$D$5:$AX$5,$D$11:$AX$91))</f>
        <v>16</v>
      </c>
      <c r="Y376" s="312" cm="1">
        <f t="array" ref="Y376">_xlfn.XLOOKUP($B376,$B$11:$B$91,_xlfn.XLOOKUP(Y$181,$D$5:$AX$5,$D$11:$AX$91))</f>
        <v>14.42</v>
      </c>
      <c r="Z376" s="312" cm="1">
        <f t="array" ref="Z376">_xlfn.XLOOKUP($B376,$B$11:$B$91,_xlfn.XLOOKUP(Z$181,$D$5:$AX$5,$D$11:$AX$91))</f>
        <v>16.48</v>
      </c>
      <c r="AA376" s="312" cm="1">
        <f t="array" ref="AA376">_xlfn.XLOOKUP($B376,$B$11:$B$91,_xlfn.XLOOKUP(AA$181,$D$5:$AX$5,$D$11:$AX$91))</f>
        <v>14.852600000000001</v>
      </c>
      <c r="AB376" s="312" cm="1">
        <f t="array" ref="AB376">_xlfn.XLOOKUP($B376,$B$11:$B$91,_xlfn.XLOOKUP(AB$181,$D$5:$AX$5,$D$11:$AX$91))</f>
        <v>16.974399999999999</v>
      </c>
      <c r="AC376" s="312" cm="1">
        <f t="array" ref="AC376">_xlfn.XLOOKUP($B376,$B$11:$B$91,_xlfn.XLOOKUP(AC$181,$D$5:$AX$5,$D$11:$AX$91))</f>
        <v>15.298178000000002</v>
      </c>
      <c r="AD376" s="312" cm="1">
        <f t="array" ref="AD376">_xlfn.XLOOKUP($B376,$B$11:$B$91,_xlfn.XLOOKUP(AD$181,$D$5:$AX$5,$D$11:$AX$91))</f>
        <v>17.483632</v>
      </c>
      <c r="AE376" s="312" cm="1">
        <f t="array" ref="AE376">_xlfn.XLOOKUP($B376,$B$11:$B$91,_xlfn.XLOOKUP(AE$181,$D$5:$AX$5,$D$11:$AX$91))</f>
        <v>15.757123340000001</v>
      </c>
      <c r="AF376" s="312" cm="1">
        <f t="array" ref="AF376">_xlfn.XLOOKUP($B376,$B$11:$B$91,_xlfn.XLOOKUP(AF$181,$D$5:$AX$5,$D$11:$AX$91))</f>
        <v>18.008140960000002</v>
      </c>
      <c r="AG376" s="312"/>
      <c r="AH376" s="310" t="str">
        <f t="shared" si="195"/>
        <v>Loss from Equity Accounted Investment - New</v>
      </c>
      <c r="AI376" s="311" t="str" cm="1">
        <f t="array" ref="AI376">_xlfn.XLOOKUP($B376,$B$11:$B$91,_xlfn.XLOOKUP(AI$181,$D$5:$AX$5,$D$11:$AX$91))</f>
        <v>A$m</v>
      </c>
      <c r="AJ376" s="311"/>
      <c r="AK376" s="311"/>
      <c r="AL376" s="312" cm="1">
        <f t="array" ref="AL376">_xlfn.XLOOKUP($B376,$B$11:$B$91,_xlfn.XLOOKUP(AL$181,$D$5:$AX$5,$D$11:$AX$91))</f>
        <v>0</v>
      </c>
      <c r="AM376" s="312" cm="1">
        <f t="array" ref="AM376">_xlfn.XLOOKUP($B376,$B$11:$B$91,_xlfn.XLOOKUP(AM$181,$D$5:$AX$5,$D$11:$AX$91))</f>
        <v>-2.7</v>
      </c>
      <c r="AN376" s="312" cm="1">
        <f t="array" ref="AN376">_xlfn.XLOOKUP($B376,$B$11:$B$91,_xlfn.XLOOKUP(AN$181,$D$5:$AX$5,$D$11:$AX$91))</f>
        <v>-3.2</v>
      </c>
      <c r="AO376" s="312" cm="1">
        <f t="array" ref="AO376">_xlfn.XLOOKUP($B376,$B$11:$B$91,_xlfn.XLOOKUP(AO$181,$D$5:$AX$5,$D$11:$AX$91))</f>
        <v>3.8</v>
      </c>
      <c r="AP376" s="312" cm="1">
        <f t="array" ref="AP376">_xlfn.XLOOKUP($B376,$B$11:$B$91,_xlfn.XLOOKUP(AP$181,$D$5:$AX$5,$D$11:$AX$91))</f>
        <v>-3</v>
      </c>
      <c r="AQ376" s="312" cm="1">
        <f t="array" ref="AQ376">_xlfn.XLOOKUP($B376,$B$11:$B$91,_xlfn.XLOOKUP(AQ$181,$D$5:$AX$5,$D$11:$AX$91))</f>
        <v>1</v>
      </c>
      <c r="AR376" s="312" cm="1">
        <f t="array" ref="AR376">_xlfn.XLOOKUP($B376,$B$11:$B$91,_xlfn.XLOOKUP(AR$181,$D$5:$AX$5,$D$11:$AX$91))</f>
        <v>12</v>
      </c>
      <c r="AS376" s="312" cm="1">
        <f t="array" ref="AS376">_xlfn.XLOOKUP($B376,$B$11:$B$91,_xlfn.XLOOKUP(AS$181,$D$5:$AX$5,$D$11:$AX$91))</f>
        <v>22</v>
      </c>
      <c r="AT376" s="312" cm="1">
        <f t="array" ref="AT376">_xlfn.XLOOKUP($B376,$B$11:$B$91,_xlfn.XLOOKUP(AT$181,$D$5:$AX$5,$D$11:$AX$91))</f>
        <v>30</v>
      </c>
      <c r="AU376" s="312" cm="1">
        <f t="array" ref="AU376">_xlfn.XLOOKUP($B376,$B$11:$B$91,_xlfn.XLOOKUP(AU$181,$D$5:$AX$5,$D$11:$AX$91))</f>
        <v>30.9</v>
      </c>
      <c r="AV376" s="312" cm="1">
        <f t="array" ref="AV376">_xlfn.XLOOKUP($B376,$B$11:$B$91,_xlfn.XLOOKUP(AV$181,$D$5:$AX$5,$D$11:$AX$91))</f>
        <v>31.826999999999998</v>
      </c>
      <c r="AW376" s="312" cm="1">
        <f t="array" ref="AW376">_xlfn.XLOOKUP($B376,$B$11:$B$91,_xlfn.XLOOKUP(AW$181,$D$5:$AX$5,$D$11:$AX$91))</f>
        <v>32.78181</v>
      </c>
      <c r="AX376" s="312" cm="1">
        <f t="array" ref="AX376">_xlfn.XLOOKUP($B376,$B$11:$B$91,_xlfn.XLOOKUP(AX$181,$D$5:$AX$5,$D$11:$AX$91))</f>
        <v>33.765264300000005</v>
      </c>
    </row>
    <row r="377" spans="2:50" hidden="1" outlineLevel="1">
      <c r="C377" s="313" t="s">
        <v>1121</v>
      </c>
      <c r="D377" s="307" t="s">
        <v>842</v>
      </c>
      <c r="E377" s="307"/>
      <c r="F377" s="307"/>
      <c r="G377" s="314"/>
      <c r="H377" s="314"/>
      <c r="I377" s="314" t="s">
        <v>967</v>
      </c>
      <c r="J377" s="314" t="s">
        <v>967</v>
      </c>
      <c r="K377" s="314">
        <f t="shared" ref="K377:AF377" si="224">K376/I376-1</f>
        <v>1.3333333333333335</v>
      </c>
      <c r="L377" s="314">
        <f t="shared" si="224"/>
        <v>-0.73333333333333317</v>
      </c>
      <c r="M377" s="314">
        <f t="shared" si="224"/>
        <v>-0.8214285714285714</v>
      </c>
      <c r="N377" s="314">
        <f t="shared" si="224"/>
        <v>-11.749999999999989</v>
      </c>
      <c r="O377" s="314">
        <f t="shared" si="224"/>
        <v>8.1999999999999993</v>
      </c>
      <c r="P377" s="314">
        <f t="shared" si="224"/>
        <v>-0.62790697674418605</v>
      </c>
      <c r="Q377" s="314">
        <f t="shared" si="224"/>
        <v>-1</v>
      </c>
      <c r="R377" s="314">
        <f t="shared" si="224"/>
        <v>-0.37499999999999989</v>
      </c>
      <c r="S377" s="314" t="e">
        <f t="shared" si="224"/>
        <v>#DIV/0!</v>
      </c>
      <c r="T377" s="314">
        <f t="shared" si="224"/>
        <v>7</v>
      </c>
      <c r="U377" s="314">
        <f t="shared" si="224"/>
        <v>1.5</v>
      </c>
      <c r="V377" s="314">
        <f t="shared" si="224"/>
        <v>0.5</v>
      </c>
      <c r="W377" s="314">
        <f t="shared" si="224"/>
        <v>0.39999999999999991</v>
      </c>
      <c r="X377" s="314">
        <f t="shared" si="224"/>
        <v>0.33333333333333326</v>
      </c>
      <c r="Y377" s="314">
        <f t="shared" si="224"/>
        <v>3.0000000000000027E-2</v>
      </c>
      <c r="Z377" s="314">
        <f t="shared" si="224"/>
        <v>3.0000000000000027E-2</v>
      </c>
      <c r="AA377" s="314">
        <f t="shared" si="224"/>
        <v>3.0000000000000027E-2</v>
      </c>
      <c r="AB377" s="314">
        <f t="shared" si="224"/>
        <v>3.0000000000000027E-2</v>
      </c>
      <c r="AC377" s="314">
        <f t="shared" si="224"/>
        <v>3.0000000000000027E-2</v>
      </c>
      <c r="AD377" s="314">
        <f t="shared" si="224"/>
        <v>3.0000000000000027E-2</v>
      </c>
      <c r="AE377" s="314">
        <f t="shared" si="224"/>
        <v>3.0000000000000027E-2</v>
      </c>
      <c r="AF377" s="314">
        <f t="shared" si="224"/>
        <v>3.0000000000000027E-2</v>
      </c>
      <c r="AG377" s="315"/>
      <c r="AH377" s="313" t="str">
        <f t="shared" si="195"/>
        <v>- Growth</v>
      </c>
      <c r="AI377" s="307" t="str">
        <f>D377</f>
        <v>%</v>
      </c>
      <c r="AJ377" s="307"/>
      <c r="AK377" s="307"/>
      <c r="AL377" s="314" t="s">
        <v>967</v>
      </c>
      <c r="AM377" s="314" t="s">
        <v>967</v>
      </c>
      <c r="AN377" s="314">
        <f t="shared" ref="AN377:AX377" si="225">AN376/AM376-1</f>
        <v>0.18518518518518512</v>
      </c>
      <c r="AO377" s="314">
        <f t="shared" si="225"/>
        <v>-2.1875</v>
      </c>
      <c r="AP377" s="314">
        <f t="shared" si="225"/>
        <v>-1.7894736842105263</v>
      </c>
      <c r="AQ377" s="314">
        <f t="shared" si="225"/>
        <v>-1.3333333333333333</v>
      </c>
      <c r="AR377" s="314">
        <f t="shared" si="225"/>
        <v>11</v>
      </c>
      <c r="AS377" s="314">
        <f t="shared" si="225"/>
        <v>0.83333333333333326</v>
      </c>
      <c r="AT377" s="314">
        <f t="shared" si="225"/>
        <v>0.36363636363636354</v>
      </c>
      <c r="AU377" s="314">
        <f t="shared" si="225"/>
        <v>3.0000000000000027E-2</v>
      </c>
      <c r="AV377" s="314">
        <f t="shared" si="225"/>
        <v>3.0000000000000027E-2</v>
      </c>
      <c r="AW377" s="314">
        <f t="shared" si="225"/>
        <v>3.0000000000000027E-2</v>
      </c>
      <c r="AX377" s="314">
        <f t="shared" si="225"/>
        <v>3.0000000000000249E-2</v>
      </c>
    </row>
    <row r="378" spans="2:50" collapsed="1">
      <c r="C378" s="313" t="s">
        <v>1122</v>
      </c>
      <c r="D378" s="307" t="s">
        <v>842</v>
      </c>
      <c r="E378" s="307"/>
      <c r="F378" s="307"/>
      <c r="G378" s="314"/>
      <c r="H378" s="314"/>
      <c r="I378" s="314">
        <f t="shared" ref="I378:AF378" si="226" xml:space="preserve"> IFERROR(ROUND( I376 / I375,3) - 1, 0)</f>
        <v>0</v>
      </c>
      <c r="J378" s="314">
        <f t="shared" si="226"/>
        <v>0</v>
      </c>
      <c r="K378" s="314">
        <f t="shared" si="226"/>
        <v>0</v>
      </c>
      <c r="L378" s="314">
        <f t="shared" si="226"/>
        <v>0</v>
      </c>
      <c r="M378" s="314">
        <f t="shared" si="226"/>
        <v>0</v>
      </c>
      <c r="N378" s="314">
        <f t="shared" si="226"/>
        <v>0</v>
      </c>
      <c r="O378" s="314">
        <f t="shared" si="226"/>
        <v>0</v>
      </c>
      <c r="P378" s="314">
        <f t="shared" si="226"/>
        <v>0</v>
      </c>
      <c r="Q378" s="314">
        <f t="shared" si="226"/>
        <v>-1</v>
      </c>
      <c r="R378" s="314">
        <f t="shared" si="226"/>
        <v>-0.875</v>
      </c>
      <c r="S378" s="314">
        <f t="shared" si="226"/>
        <v>-0.6</v>
      </c>
      <c r="T378" s="314">
        <f t="shared" si="226"/>
        <v>-0.33299999999999996</v>
      </c>
      <c r="U378" s="314">
        <f t="shared" si="226"/>
        <v>-0.28600000000000003</v>
      </c>
      <c r="V378" s="314">
        <f t="shared" si="226"/>
        <v>-0.25</v>
      </c>
      <c r="W378" s="314">
        <f t="shared" si="226"/>
        <v>-2.9000000000000026E-2</v>
      </c>
      <c r="X378" s="314">
        <f t="shared" si="226"/>
        <v>-2.9000000000000026E-2</v>
      </c>
      <c r="Y378" s="314">
        <f t="shared" si="226"/>
        <v>-2.9000000000000026E-2</v>
      </c>
      <c r="Z378" s="314">
        <f t="shared" si="226"/>
        <v>-2.9000000000000026E-2</v>
      </c>
      <c r="AA378" s="314">
        <f t="shared" si="226"/>
        <v>-2.9000000000000026E-2</v>
      </c>
      <c r="AB378" s="314">
        <f t="shared" si="226"/>
        <v>-2.9000000000000026E-2</v>
      </c>
      <c r="AC378" s="314">
        <f t="shared" si="226"/>
        <v>-2.9000000000000026E-2</v>
      </c>
      <c r="AD378" s="314">
        <f t="shared" si="226"/>
        <v>-2.9000000000000026E-2</v>
      </c>
      <c r="AE378" s="314">
        <f t="shared" si="226"/>
        <v>-2.9000000000000026E-2</v>
      </c>
      <c r="AF378" s="314">
        <f t="shared" si="226"/>
        <v>-2.9000000000000026E-2</v>
      </c>
      <c r="AG378" s="314"/>
      <c r="AH378" s="313" t="str">
        <f t="shared" si="195"/>
        <v>- Revision</v>
      </c>
      <c r="AI378" s="307" t="str">
        <f>D378</f>
        <v>%</v>
      </c>
      <c r="AJ378" s="307"/>
      <c r="AK378" s="307"/>
      <c r="AL378" s="314">
        <f t="shared" ref="AL378:AX378" si="227" xml:space="preserve"> IFERROR(ROUND( AL376 / AL375,3) - 1, 0)</f>
        <v>0</v>
      </c>
      <c r="AM378" s="314">
        <f t="shared" si="227"/>
        <v>0</v>
      </c>
      <c r="AN378" s="314">
        <f t="shared" si="227"/>
        <v>0</v>
      </c>
      <c r="AO378" s="314">
        <f t="shared" si="227"/>
        <v>0</v>
      </c>
      <c r="AP378" s="314">
        <f t="shared" si="227"/>
        <v>-0.34799999999999998</v>
      </c>
      <c r="AQ378" s="314">
        <f t="shared" si="227"/>
        <v>-0.91700000000000004</v>
      </c>
      <c r="AR378" s="314">
        <f t="shared" si="227"/>
        <v>-0.45499999999999996</v>
      </c>
      <c r="AS378" s="314">
        <f t="shared" si="227"/>
        <v>-0.26700000000000002</v>
      </c>
      <c r="AT378" s="314">
        <f t="shared" si="227"/>
        <v>-2.9000000000000026E-2</v>
      </c>
      <c r="AU378" s="314">
        <f t="shared" si="227"/>
        <v>-2.9000000000000026E-2</v>
      </c>
      <c r="AV378" s="314">
        <f t="shared" si="227"/>
        <v>-2.9000000000000026E-2</v>
      </c>
      <c r="AW378" s="314">
        <f t="shared" si="227"/>
        <v>-2.9000000000000026E-2</v>
      </c>
      <c r="AX378" s="314">
        <f t="shared" si="227"/>
        <v>-2.9000000000000026E-2</v>
      </c>
    </row>
    <row r="379" spans="2:50">
      <c r="B379" s="305" t="s">
        <v>1128</v>
      </c>
      <c r="C379" s="706" t="str">
        <f>_xlfn.TEXTAFTER($B379,$C$344)&amp;" - old"</f>
        <v>Net Finance Costs - old</v>
      </c>
      <c r="D379" s="707" t="str" cm="1">
        <f t="array" ref="D379">_xlfn.XLOOKUP($B379,$B$96:$B$176,_xlfn.XLOOKUP(D$181,$D$5:$AX$5,$D$96:$AX$176))</f>
        <v>A$m</v>
      </c>
      <c r="E379" s="307"/>
      <c r="F379" s="307"/>
      <c r="G379" s="708"/>
      <c r="H379" s="708"/>
      <c r="I379" s="708" cm="1">
        <f t="array" ref="I379">_xlfn.XLOOKUP($B379,$B$96:$B$176,_xlfn.XLOOKUP(I$181,$D$5:$AX$5,$D$96:$AX$176))</f>
        <v>-12.9</v>
      </c>
      <c r="J379" s="708" cm="1">
        <f t="array" ref="J379">_xlfn.XLOOKUP($B379,$B$96:$B$176,_xlfn.XLOOKUP(J$181,$D$5:$AX$5,$D$96:$AX$176))</f>
        <v>-19.600000000000001</v>
      </c>
      <c r="K379" s="708" cm="1">
        <f t="array" ref="K379">_xlfn.XLOOKUP($B379,$B$96:$B$176,_xlfn.XLOOKUP(K$181,$D$5:$AX$5,$D$96:$AX$176))</f>
        <v>-20.9</v>
      </c>
      <c r="L379" s="708" cm="1">
        <f t="array" ref="L379">_xlfn.XLOOKUP($B379,$B$96:$B$176,_xlfn.XLOOKUP(L$181,$D$5:$AX$5,$D$96:$AX$176))</f>
        <v>-21.3</v>
      </c>
      <c r="M379" s="708" cm="1">
        <f t="array" ref="M379">_xlfn.XLOOKUP($B379,$B$96:$B$176,_xlfn.XLOOKUP(M$181,$D$5:$AX$5,$D$96:$AX$176))</f>
        <v>-46</v>
      </c>
      <c r="N379" s="708" cm="1">
        <f t="array" ref="N379">_xlfn.XLOOKUP($B379,$B$96:$B$176,_xlfn.XLOOKUP(N$181,$D$5:$AX$5,$D$96:$AX$176))</f>
        <v>-45.5</v>
      </c>
      <c r="O379" s="708" cm="1">
        <f t="array" ref="O379">_xlfn.XLOOKUP($B379,$B$96:$B$176,_xlfn.XLOOKUP(O$181,$D$5:$AX$5,$D$96:$AX$176))</f>
        <v>-42.9</v>
      </c>
      <c r="P379" s="708" cm="1">
        <f t="array" ref="P379">_xlfn.XLOOKUP($B379,$B$96:$B$176,_xlfn.XLOOKUP(P$181,$D$5:$AX$5,$D$96:$AX$176))</f>
        <v>-30.534710958904114</v>
      </c>
      <c r="Q379" s="708" cm="1">
        <f t="array" ref="Q379">_xlfn.XLOOKUP($B379,$B$96:$B$176,_xlfn.XLOOKUP(Q$181,$D$5:$AX$5,$D$96:$AX$176))</f>
        <v>-33.837700784510439</v>
      </c>
      <c r="R379" s="708" cm="1">
        <f t="array" ref="R379">_xlfn.XLOOKUP($B379,$B$96:$B$176,_xlfn.XLOOKUP(R$181,$D$5:$AX$5,$D$96:$AX$176))</f>
        <v>-32.795826965392642</v>
      </c>
      <c r="S379" s="708" cm="1">
        <f t="array" ref="S379">_xlfn.XLOOKUP($B379,$B$96:$B$176,_xlfn.XLOOKUP(S$181,$D$5:$AX$5,$D$96:$AX$176))</f>
        <v>-33.024727872007702</v>
      </c>
      <c r="T379" s="708" cm="1">
        <f t="array" ref="T379">_xlfn.XLOOKUP($B379,$B$96:$B$176,_xlfn.XLOOKUP(T$181,$D$5:$AX$5,$D$96:$AX$176))</f>
        <v>-31.615693511090619</v>
      </c>
      <c r="U379" s="708" cm="1">
        <f t="array" ref="U379">_xlfn.XLOOKUP($B379,$B$96:$B$176,_xlfn.XLOOKUP(U$181,$D$5:$AX$5,$D$96:$AX$176))</f>
        <v>-31.331820119263504</v>
      </c>
      <c r="V379" s="708" cm="1">
        <f t="array" ref="V379">_xlfn.XLOOKUP($B379,$B$96:$B$176,_xlfn.XLOOKUP(V$181,$D$5:$AX$5,$D$96:$AX$176))</f>
        <v>-29.688285515657416</v>
      </c>
      <c r="W379" s="708" cm="1">
        <f t="array" ref="W379">_xlfn.XLOOKUP($B379,$B$96:$B$176,_xlfn.XLOOKUP(W$181,$D$5:$AX$5,$D$96:$AX$176))</f>
        <v>-29.378126292227535</v>
      </c>
      <c r="X379" s="708" cm="1">
        <f t="array" ref="X379">_xlfn.XLOOKUP($B379,$B$96:$B$176,_xlfn.XLOOKUP(X$181,$D$5:$AX$5,$D$96:$AX$176))</f>
        <v>-27.69393415058267</v>
      </c>
      <c r="Y379" s="708" cm="1">
        <f t="array" ref="Y379">_xlfn.XLOOKUP($B379,$B$96:$B$176,_xlfn.XLOOKUP(Y$181,$D$5:$AX$5,$D$96:$AX$176))</f>
        <v>-27.271622930668428</v>
      </c>
      <c r="Z379" s="708" cm="1">
        <f t="array" ref="Z379">_xlfn.XLOOKUP($B379,$B$96:$B$176,_xlfn.XLOOKUP(Z$181,$D$5:$AX$5,$D$96:$AX$176))</f>
        <v>-25.60510500399203</v>
      </c>
      <c r="AA379" s="708" cm="1">
        <f t="array" ref="AA379">_xlfn.XLOOKUP($B379,$B$96:$B$176,_xlfn.XLOOKUP(AA$181,$D$5:$AX$5,$D$96:$AX$176))</f>
        <v>-25.141604709712848</v>
      </c>
      <c r="AB379" s="708" cm="1">
        <f t="array" ref="AB379">_xlfn.XLOOKUP($B379,$B$96:$B$176,_xlfn.XLOOKUP(AB$181,$D$5:$AX$5,$D$96:$AX$176))</f>
        <v>-22.935825488292721</v>
      </c>
      <c r="AC379" s="708" cm="1">
        <f t="array" ref="AC379">_xlfn.XLOOKUP($B379,$B$96:$B$176,_xlfn.XLOOKUP(AC$181,$D$5:$AX$5,$D$96:$AX$176))</f>
        <v>-21.846927169534972</v>
      </c>
      <c r="AD379" s="708" cm="1">
        <f t="array" ref="AD379">_xlfn.XLOOKUP($B379,$B$96:$B$176,_xlfn.XLOOKUP(AD$181,$D$5:$AX$5,$D$96:$AX$176))</f>
        <v>-19.59517731204248</v>
      </c>
      <c r="AE379" s="708" cm="1">
        <f t="array" ref="AE379">_xlfn.XLOOKUP($B379,$B$96:$B$176,_xlfn.XLOOKUP(AE$181,$D$5:$AX$5,$D$96:$AX$176))</f>
        <v>-18.454862249051029</v>
      </c>
      <c r="AF379" s="708" cm="1">
        <f t="array" ref="AF379">_xlfn.XLOOKUP($B379,$B$96:$B$176,_xlfn.XLOOKUP(AF$181,$D$5:$AX$5,$D$96:$AX$176))</f>
        <v>-16.247539254909771</v>
      </c>
      <c r="AG379" s="309"/>
      <c r="AH379" s="306" t="str">
        <f t="shared" ref="AH379:AH410" si="228">C379</f>
        <v>Net Finance Costs - old</v>
      </c>
      <c r="AI379" s="707" t="str" cm="1">
        <f t="array" ref="AI379">_xlfn.XLOOKUP($B379,$B$96:$B$176,_xlfn.XLOOKUP(AI$181,$D$5:$AX$5,$D$96:$AX$176))</f>
        <v>A$m</v>
      </c>
      <c r="AJ379" s="307"/>
      <c r="AK379" s="307"/>
      <c r="AL379" s="708" cm="1">
        <f t="array" ref="AL379">_xlfn.XLOOKUP($B379,$B$96:$B$176,_xlfn.XLOOKUP(AL$181,$D$5:$AX$5,$D$96:$AX$176))</f>
        <v>0</v>
      </c>
      <c r="AM379" s="708" cm="1">
        <f t="array" ref="AM379">_xlfn.XLOOKUP($B379,$B$96:$B$176,_xlfn.XLOOKUP(AM$181,$D$5:$AX$5,$D$96:$AX$176))</f>
        <v>-32.5</v>
      </c>
      <c r="AN379" s="708" cm="1">
        <f t="array" ref="AN379">_xlfn.XLOOKUP($B379,$B$96:$B$176,_xlfn.XLOOKUP(AN$181,$D$5:$AX$5,$D$96:$AX$176))</f>
        <v>-42.2</v>
      </c>
      <c r="AO379" s="708" cm="1">
        <f t="array" ref="AO379">_xlfn.XLOOKUP($B379,$B$96:$B$176,_xlfn.XLOOKUP(AO$181,$D$5:$AX$5,$D$96:$AX$176))</f>
        <v>-91.5</v>
      </c>
      <c r="AP379" s="708" cm="1">
        <f t="array" ref="AP379">_xlfn.XLOOKUP($B379,$B$96:$B$176,_xlfn.XLOOKUP(AP$181,$D$5:$AX$5,$D$96:$AX$176))</f>
        <v>-73.434710958904105</v>
      </c>
      <c r="AQ379" s="708" cm="1">
        <f t="array" ref="AQ379">_xlfn.XLOOKUP($B379,$B$96:$B$176,_xlfn.XLOOKUP(AQ$181,$D$5:$AX$5,$D$96:$AX$176))</f>
        <v>-66.633527749903081</v>
      </c>
      <c r="AR379" s="708" cm="1">
        <f t="array" ref="AR379">_xlfn.XLOOKUP($B379,$B$96:$B$176,_xlfn.XLOOKUP(AR$181,$D$5:$AX$5,$D$96:$AX$176))</f>
        <v>-64.640421383098328</v>
      </c>
      <c r="AS379" s="708" cm="1">
        <f t="array" ref="AS379">_xlfn.XLOOKUP($B379,$B$96:$B$176,_xlfn.XLOOKUP(AS$181,$D$5:$AX$5,$D$96:$AX$176))</f>
        <v>-61.020105634920924</v>
      </c>
      <c r="AT379" s="708" cm="1">
        <f t="array" ref="AT379">_xlfn.XLOOKUP($B379,$B$96:$B$176,_xlfn.XLOOKUP(AT$181,$D$5:$AX$5,$D$96:$AX$176))</f>
        <v>-57.072060442810205</v>
      </c>
      <c r="AU379" s="708" cm="1">
        <f t="array" ref="AU379">_xlfn.XLOOKUP($B379,$B$96:$B$176,_xlfn.XLOOKUP(AU$181,$D$5:$AX$5,$D$96:$AX$176))</f>
        <v>-52.876727934660458</v>
      </c>
      <c r="AV379" s="708" cm="1">
        <f t="array" ref="AV379">_xlfn.XLOOKUP($B379,$B$96:$B$176,_xlfn.XLOOKUP(AV$181,$D$5:$AX$5,$D$96:$AX$176))</f>
        <v>-48.077430198005572</v>
      </c>
      <c r="AW379" s="708" cm="1">
        <f t="array" ref="AW379">_xlfn.XLOOKUP($B379,$B$96:$B$176,_xlfn.XLOOKUP(AW$181,$D$5:$AX$5,$D$96:$AX$176))</f>
        <v>-41.442104481577452</v>
      </c>
      <c r="AX379" s="708" cm="1">
        <f t="array" ref="AX379">_xlfn.XLOOKUP($B379,$B$96:$B$176,_xlfn.XLOOKUP(AX$181,$D$5:$AX$5,$D$96:$AX$176))</f>
        <v>-34.7024015039608</v>
      </c>
    </row>
    <row r="380" spans="2:50">
      <c r="B380" s="305" t="s">
        <v>1128</v>
      </c>
      <c r="C380" s="318" t="str">
        <f>_xlfn.TEXTAFTER($B380,$C$344)&amp;" - New"</f>
        <v>Net Finance Costs - New</v>
      </c>
      <c r="D380" s="311" t="str" cm="1">
        <f t="array" ref="D380">_xlfn.XLOOKUP($B380,$B$11:$B$91,_xlfn.XLOOKUP(D$181,$D$5:$AX$5,$D$11:$AX$91))</f>
        <v>A$m</v>
      </c>
      <c r="E380" s="311"/>
      <c r="F380" s="311"/>
      <c r="G380" s="312"/>
      <c r="H380" s="312"/>
      <c r="I380" s="312" cm="1">
        <f t="array" ref="I380">_xlfn.XLOOKUP($B380,$B$11:$B$91,_xlfn.XLOOKUP(I$181,$D$5:$AX$5,$D$11:$AX$91))</f>
        <v>-12.9</v>
      </c>
      <c r="J380" s="312" cm="1">
        <f t="array" ref="J380">_xlfn.XLOOKUP($B380,$B$11:$B$91,_xlfn.XLOOKUP(J$181,$D$5:$AX$5,$D$11:$AX$91))</f>
        <v>-19.600000000000001</v>
      </c>
      <c r="K380" s="312" cm="1">
        <f t="array" ref="K380">_xlfn.XLOOKUP($B380,$B$11:$B$91,_xlfn.XLOOKUP(K$181,$D$5:$AX$5,$D$11:$AX$91))</f>
        <v>-20.9</v>
      </c>
      <c r="L380" s="312" cm="1">
        <f t="array" ref="L380">_xlfn.XLOOKUP($B380,$B$11:$B$91,_xlfn.XLOOKUP(L$181,$D$5:$AX$5,$D$11:$AX$91))</f>
        <v>-21.3</v>
      </c>
      <c r="M380" s="312" cm="1">
        <f t="array" ref="M380">_xlfn.XLOOKUP($B380,$B$11:$B$91,_xlfn.XLOOKUP(M$181,$D$5:$AX$5,$D$11:$AX$91))</f>
        <v>-46</v>
      </c>
      <c r="N380" s="312" cm="1">
        <f t="array" ref="N380">_xlfn.XLOOKUP($B380,$B$11:$B$91,_xlfn.XLOOKUP(N$181,$D$5:$AX$5,$D$11:$AX$91))</f>
        <v>-45.5</v>
      </c>
      <c r="O380" s="312" cm="1">
        <f t="array" ref="O380">_xlfn.XLOOKUP($B380,$B$11:$B$91,_xlfn.XLOOKUP(O$181,$D$5:$AX$5,$D$11:$AX$91))</f>
        <v>-42.9</v>
      </c>
      <c r="P380" s="312" cm="1">
        <f t="array" ref="P380">_xlfn.XLOOKUP($B380,$B$11:$B$91,_xlfn.XLOOKUP(P$181,$D$5:$AX$5,$D$11:$AX$91))</f>
        <v>-43.3</v>
      </c>
      <c r="Q380" s="312" cm="1">
        <f t="array" ref="Q380">_xlfn.XLOOKUP($B380,$B$11:$B$91,_xlfn.XLOOKUP(Q$181,$D$5:$AX$5,$D$11:$AX$91))</f>
        <v>-42.035949589041095</v>
      </c>
      <c r="R380" s="312" cm="1">
        <f t="array" ref="R380">_xlfn.XLOOKUP($B380,$B$11:$B$91,_xlfn.XLOOKUP(R$181,$D$5:$AX$5,$D$11:$AX$91))</f>
        <v>-45.403580489122902</v>
      </c>
      <c r="S380" s="312" cm="1">
        <f t="array" ref="S380">_xlfn.XLOOKUP($B380,$B$11:$B$91,_xlfn.XLOOKUP(S$181,$D$5:$AX$5,$D$11:$AX$91))</f>
        <v>-47.635152328990827</v>
      </c>
      <c r="T380" s="312" cm="1">
        <f t="array" ref="T380">_xlfn.XLOOKUP($B380,$B$11:$B$91,_xlfn.XLOOKUP(T$181,$D$5:$AX$5,$D$11:$AX$91))</f>
        <v>-46.373088322748643</v>
      </c>
      <c r="U380" s="312" cm="1">
        <f t="array" ref="U380">_xlfn.XLOOKUP($B380,$B$11:$B$91,_xlfn.XLOOKUP(U$181,$D$5:$AX$5,$D$11:$AX$91))</f>
        <v>-47.581763472657222</v>
      </c>
      <c r="V380" s="312" cm="1">
        <f t="array" ref="V380">_xlfn.XLOOKUP($B380,$B$11:$B$91,_xlfn.XLOOKUP(V$181,$D$5:$AX$5,$D$11:$AX$91))</f>
        <v>-46.117940707929563</v>
      </c>
      <c r="W380" s="312" cm="1">
        <f t="array" ref="W380">_xlfn.XLOOKUP($B380,$B$11:$B$91,_xlfn.XLOOKUP(W$181,$D$5:$AX$5,$D$11:$AX$91))</f>
        <v>-46.247779255708188</v>
      </c>
      <c r="X380" s="312" cm="1">
        <f t="array" ref="X380">_xlfn.XLOOKUP($B380,$B$11:$B$91,_xlfn.XLOOKUP(X$181,$D$5:$AX$5,$D$11:$AX$91))</f>
        <v>-44.610779580256107</v>
      </c>
      <c r="Y380" s="312" cm="1">
        <f t="array" ref="Y380">_xlfn.XLOOKUP($B380,$B$11:$B$91,_xlfn.XLOOKUP(Y$181,$D$5:$AX$5,$D$11:$AX$91))</f>
        <v>-43.606706674127352</v>
      </c>
      <c r="Z380" s="312" cm="1">
        <f t="array" ref="Z380">_xlfn.XLOOKUP($B380,$B$11:$B$91,_xlfn.XLOOKUP(Z$181,$D$5:$AX$5,$D$11:$AX$91))</f>
        <v>-42.078159976940597</v>
      </c>
      <c r="AA380" s="312" cm="1">
        <f t="array" ref="AA380">_xlfn.XLOOKUP($B380,$B$11:$B$91,_xlfn.XLOOKUP(AA$181,$D$5:$AX$5,$D$11:$AX$91))</f>
        <v>-42.062960218254595</v>
      </c>
      <c r="AB380" s="312" cm="1">
        <f t="array" ref="AB380">_xlfn.XLOOKUP($B380,$B$11:$B$91,_xlfn.XLOOKUP(AB$181,$D$5:$AX$5,$D$11:$AX$91))</f>
        <v>-40.111435504336377</v>
      </c>
      <c r="AC380" s="312" cm="1">
        <f t="array" ref="AC380">_xlfn.XLOOKUP($B380,$B$11:$B$91,_xlfn.XLOOKUP(AC$181,$D$5:$AX$5,$D$11:$AX$91))</f>
        <v>-39.499633696122693</v>
      </c>
      <c r="AD380" s="312" cm="1">
        <f t="array" ref="AD380">_xlfn.XLOOKUP($B380,$B$11:$B$91,_xlfn.XLOOKUP(AD$181,$D$5:$AX$5,$D$11:$AX$91))</f>
        <v>-37.394700801260448</v>
      </c>
      <c r="AE380" s="312" cm="1">
        <f t="array" ref="AE380">_xlfn.XLOOKUP($B380,$B$11:$B$91,_xlfn.XLOOKUP(AE$181,$D$5:$AX$5,$D$11:$AX$91))</f>
        <v>-36.800254885782067</v>
      </c>
      <c r="AF380" s="312" cm="1">
        <f t="array" ref="AF380">_xlfn.XLOOKUP($B380,$B$11:$B$91,_xlfn.XLOOKUP(AF$181,$D$5:$AX$5,$D$11:$AX$91))</f>
        <v>-34.58289936818624</v>
      </c>
      <c r="AG380" s="312"/>
      <c r="AH380" s="310" t="str">
        <f t="shared" si="228"/>
        <v>Net Finance Costs - New</v>
      </c>
      <c r="AI380" s="311" t="str" cm="1">
        <f t="array" ref="AI380">_xlfn.XLOOKUP($B380,$B$11:$B$91,_xlfn.XLOOKUP(AI$181,$D$5:$AX$5,$D$11:$AX$91))</f>
        <v>A$m</v>
      </c>
      <c r="AJ380" s="311"/>
      <c r="AK380" s="311"/>
      <c r="AL380" s="312" cm="1">
        <f t="array" ref="AL380">_xlfn.XLOOKUP($B380,$B$11:$B$91,_xlfn.XLOOKUP(AL$181,$D$5:$AX$5,$D$11:$AX$91))</f>
        <v>0</v>
      </c>
      <c r="AM380" s="312" cm="1">
        <f t="array" ref="AM380">_xlfn.XLOOKUP($B380,$B$11:$B$91,_xlfn.XLOOKUP(AM$181,$D$5:$AX$5,$D$11:$AX$91))</f>
        <v>-32.5</v>
      </c>
      <c r="AN380" s="312" cm="1">
        <f t="array" ref="AN380">_xlfn.XLOOKUP($B380,$B$11:$B$91,_xlfn.XLOOKUP(AN$181,$D$5:$AX$5,$D$11:$AX$91))</f>
        <v>-42.2</v>
      </c>
      <c r="AO380" s="312" cm="1">
        <f t="array" ref="AO380">_xlfn.XLOOKUP($B380,$B$11:$B$91,_xlfn.XLOOKUP(AO$181,$D$5:$AX$5,$D$11:$AX$91))</f>
        <v>-91.5</v>
      </c>
      <c r="AP380" s="312" cm="1">
        <f t="array" ref="AP380">_xlfn.XLOOKUP($B380,$B$11:$B$91,_xlfn.XLOOKUP(AP$181,$D$5:$AX$5,$D$11:$AX$91))</f>
        <v>-86.199999999999989</v>
      </c>
      <c r="AQ380" s="312" cm="1">
        <f t="array" ref="AQ380">_xlfn.XLOOKUP($B380,$B$11:$B$91,_xlfn.XLOOKUP(AQ$181,$D$5:$AX$5,$D$11:$AX$91))</f>
        <v>-87.439530078163997</v>
      </c>
      <c r="AR380" s="312" cm="1">
        <f t="array" ref="AR380">_xlfn.XLOOKUP($B380,$B$11:$B$91,_xlfn.XLOOKUP(AR$181,$D$5:$AX$5,$D$11:$AX$91))</f>
        <v>-94.00824065173947</v>
      </c>
      <c r="AS380" s="312" cm="1">
        <f t="array" ref="AS380">_xlfn.XLOOKUP($B380,$B$11:$B$91,_xlfn.XLOOKUP(AS$181,$D$5:$AX$5,$D$11:$AX$91))</f>
        <v>-93.699704180586792</v>
      </c>
      <c r="AT380" s="312" cm="1">
        <f t="array" ref="AT380">_xlfn.XLOOKUP($B380,$B$11:$B$91,_xlfn.XLOOKUP(AT$181,$D$5:$AX$5,$D$11:$AX$91))</f>
        <v>-90.858558835964288</v>
      </c>
      <c r="AU380" s="312" cm="1">
        <f t="array" ref="AU380">_xlfn.XLOOKUP($B380,$B$11:$B$91,_xlfn.XLOOKUP(AU$181,$D$5:$AX$5,$D$11:$AX$91))</f>
        <v>-85.684866651067949</v>
      </c>
      <c r="AV380" s="312" cm="1">
        <f t="array" ref="AV380">_xlfn.XLOOKUP($B380,$B$11:$B$91,_xlfn.XLOOKUP(AV$181,$D$5:$AX$5,$D$11:$AX$91))</f>
        <v>-82.174395722590972</v>
      </c>
      <c r="AW380" s="312" cm="1">
        <f t="array" ref="AW380">_xlfn.XLOOKUP($B380,$B$11:$B$91,_xlfn.XLOOKUP(AW$181,$D$5:$AX$5,$D$11:$AX$91))</f>
        <v>-76.894334497383142</v>
      </c>
      <c r="AX380" s="312" cm="1">
        <f t="array" ref="AX380">_xlfn.XLOOKUP($B380,$B$11:$B$91,_xlfn.XLOOKUP(AX$181,$D$5:$AX$5,$D$11:$AX$91))</f>
        <v>-71.383154253968314</v>
      </c>
    </row>
    <row r="381" spans="2:50" hidden="1" outlineLevel="1">
      <c r="B381" s="305"/>
      <c r="C381" s="313" t="s">
        <v>1121</v>
      </c>
      <c r="D381" s="307" t="s">
        <v>842</v>
      </c>
      <c r="E381" s="307"/>
      <c r="F381" s="307"/>
      <c r="G381" s="314"/>
      <c r="H381" s="314"/>
      <c r="I381" s="314" t="s">
        <v>967</v>
      </c>
      <c r="J381" s="314" t="s">
        <v>967</v>
      </c>
      <c r="K381" s="314">
        <f t="shared" ref="K381:AF381" si="229">K380/I380-1</f>
        <v>0.62015503875968969</v>
      </c>
      <c r="L381" s="314">
        <f t="shared" si="229"/>
        <v>8.6734693877551061E-2</v>
      </c>
      <c r="M381" s="314">
        <f t="shared" si="229"/>
        <v>1.200956937799043</v>
      </c>
      <c r="N381" s="314">
        <f t="shared" si="229"/>
        <v>1.136150234741784</v>
      </c>
      <c r="O381" s="314">
        <f t="shared" si="229"/>
        <v>-6.7391304347826142E-2</v>
      </c>
      <c r="P381" s="314">
        <f t="shared" si="229"/>
        <v>-4.8351648351648402E-2</v>
      </c>
      <c r="Q381" s="314">
        <f t="shared" si="229"/>
        <v>-2.0141035220487269E-2</v>
      </c>
      <c r="R381" s="314">
        <f t="shared" si="229"/>
        <v>4.8581535545563659E-2</v>
      </c>
      <c r="S381" s="314">
        <f t="shared" si="229"/>
        <v>0.13320033910711193</v>
      </c>
      <c r="T381" s="314">
        <f t="shared" si="229"/>
        <v>2.1353114075618018E-2</v>
      </c>
      <c r="U381" s="314">
        <f t="shared" si="229"/>
        <v>-1.1207869340875698E-3</v>
      </c>
      <c r="V381" s="314">
        <f t="shared" si="229"/>
        <v>-5.5020621668174785E-3</v>
      </c>
      <c r="W381" s="314">
        <f t="shared" si="229"/>
        <v>-2.8035619522920885E-2</v>
      </c>
      <c r="X381" s="314">
        <f t="shared" si="229"/>
        <v>-3.2680581668173114E-2</v>
      </c>
      <c r="Y381" s="314">
        <f t="shared" si="229"/>
        <v>-5.7107014089868069E-2</v>
      </c>
      <c r="Z381" s="314">
        <f t="shared" si="229"/>
        <v>-5.6771471539950435E-2</v>
      </c>
      <c r="AA381" s="314">
        <f t="shared" si="229"/>
        <v>-3.5401583233725109E-2</v>
      </c>
      <c r="AB381" s="314">
        <f t="shared" si="229"/>
        <v>-4.6739792654479473E-2</v>
      </c>
      <c r="AC381" s="314">
        <f t="shared" si="229"/>
        <v>-6.0940231235067976E-2</v>
      </c>
      <c r="AD381" s="314">
        <f t="shared" si="229"/>
        <v>-6.7729680299829398E-2</v>
      </c>
      <c r="AE381" s="314">
        <f t="shared" si="229"/>
        <v>-6.8339337805190747E-2</v>
      </c>
      <c r="AF381" s="314">
        <f t="shared" si="229"/>
        <v>-7.5192510511527644E-2</v>
      </c>
      <c r="AG381" s="315"/>
      <c r="AH381" s="313" t="str">
        <f t="shared" si="228"/>
        <v>- Growth</v>
      </c>
      <c r="AI381" s="307" t="str">
        <f>D381</f>
        <v>%</v>
      </c>
      <c r="AJ381" s="307"/>
      <c r="AK381" s="307"/>
      <c r="AL381" s="314" t="s">
        <v>967</v>
      </c>
      <c r="AM381" s="314" t="s">
        <v>967</v>
      </c>
      <c r="AN381" s="314">
        <f t="shared" ref="AN381:AX381" si="230">AN380/AM380-1</f>
        <v>0.29846153846153856</v>
      </c>
      <c r="AO381" s="314">
        <f t="shared" si="230"/>
        <v>1.1682464454976302</v>
      </c>
      <c r="AP381" s="314">
        <f t="shared" si="230"/>
        <v>-5.7923497267759694E-2</v>
      </c>
      <c r="AQ381" s="314">
        <f t="shared" si="230"/>
        <v>1.4379699282645042E-2</v>
      </c>
      <c r="AR381" s="314">
        <f t="shared" si="230"/>
        <v>7.5122894275661878E-2</v>
      </c>
      <c r="AS381" s="314">
        <f t="shared" si="230"/>
        <v>-3.2820151617949378E-3</v>
      </c>
      <c r="AT381" s="314">
        <f t="shared" si="230"/>
        <v>-3.0321817656401406E-2</v>
      </c>
      <c r="AU381" s="314">
        <f t="shared" si="230"/>
        <v>-5.694226555185522E-2</v>
      </c>
      <c r="AV381" s="314">
        <f t="shared" si="230"/>
        <v>-4.0969555835017712E-2</v>
      </c>
      <c r="AW381" s="314">
        <f t="shared" si="230"/>
        <v>-6.4254335900839066E-2</v>
      </c>
      <c r="AX381" s="314">
        <f t="shared" si="230"/>
        <v>-7.1672123563308543E-2</v>
      </c>
    </row>
    <row r="382" spans="2:50" collapsed="1">
      <c r="B382" s="305"/>
      <c r="C382" s="313" t="s">
        <v>1122</v>
      </c>
      <c r="D382" s="307" t="s">
        <v>842</v>
      </c>
      <c r="E382" s="307"/>
      <c r="F382" s="307"/>
      <c r="G382" s="314"/>
      <c r="H382" s="314"/>
      <c r="I382" s="314">
        <f t="shared" ref="I382:AF382" si="231" xml:space="preserve"> IFERROR(ROUND( I380 / I379,3) - 1, 0)</f>
        <v>0</v>
      </c>
      <c r="J382" s="314">
        <f t="shared" si="231"/>
        <v>0</v>
      </c>
      <c r="K382" s="314">
        <f t="shared" si="231"/>
        <v>0</v>
      </c>
      <c r="L382" s="314">
        <f t="shared" si="231"/>
        <v>0</v>
      </c>
      <c r="M382" s="314">
        <f t="shared" si="231"/>
        <v>0</v>
      </c>
      <c r="N382" s="314">
        <f t="shared" si="231"/>
        <v>0</v>
      </c>
      <c r="O382" s="314">
        <f t="shared" si="231"/>
        <v>0</v>
      </c>
      <c r="P382" s="314">
        <f t="shared" si="231"/>
        <v>0.41799999999999993</v>
      </c>
      <c r="Q382" s="314">
        <f t="shared" si="231"/>
        <v>0.24199999999999999</v>
      </c>
      <c r="R382" s="314">
        <f t="shared" si="231"/>
        <v>0.3839999999999999</v>
      </c>
      <c r="S382" s="314">
        <f t="shared" si="231"/>
        <v>0.44199999999999995</v>
      </c>
      <c r="T382" s="314">
        <f t="shared" si="231"/>
        <v>0.46700000000000008</v>
      </c>
      <c r="U382" s="314">
        <f t="shared" si="231"/>
        <v>0.51899999999999991</v>
      </c>
      <c r="V382" s="314">
        <f t="shared" si="231"/>
        <v>0.55299999999999994</v>
      </c>
      <c r="W382" s="314">
        <f t="shared" si="231"/>
        <v>0.57400000000000007</v>
      </c>
      <c r="X382" s="314">
        <f t="shared" si="231"/>
        <v>0.61099999999999999</v>
      </c>
      <c r="Y382" s="314">
        <f t="shared" si="231"/>
        <v>0.59899999999999998</v>
      </c>
      <c r="Z382" s="314">
        <f t="shared" si="231"/>
        <v>0.64300000000000002</v>
      </c>
      <c r="AA382" s="314">
        <f t="shared" si="231"/>
        <v>0.67300000000000004</v>
      </c>
      <c r="AB382" s="314">
        <f t="shared" si="231"/>
        <v>0.74900000000000011</v>
      </c>
      <c r="AC382" s="314">
        <f t="shared" si="231"/>
        <v>0.80800000000000005</v>
      </c>
      <c r="AD382" s="314">
        <f t="shared" si="231"/>
        <v>0.90799999999999992</v>
      </c>
      <c r="AE382" s="314">
        <f t="shared" si="231"/>
        <v>0.99399999999999999</v>
      </c>
      <c r="AF382" s="314">
        <f t="shared" si="231"/>
        <v>1.129</v>
      </c>
      <c r="AG382" s="314"/>
      <c r="AH382" s="313" t="str">
        <f t="shared" si="228"/>
        <v>- Revision</v>
      </c>
      <c r="AI382" s="307" t="str">
        <f>D382</f>
        <v>%</v>
      </c>
      <c r="AJ382" s="307"/>
      <c r="AK382" s="307"/>
      <c r="AL382" s="314">
        <f t="shared" ref="AL382:AX382" si="232" xml:space="preserve"> IFERROR(ROUND( AL380 / AL379,3) - 1, 0)</f>
        <v>0</v>
      </c>
      <c r="AM382" s="314">
        <f t="shared" si="232"/>
        <v>0</v>
      </c>
      <c r="AN382" s="314">
        <f t="shared" si="232"/>
        <v>0</v>
      </c>
      <c r="AO382" s="314">
        <f t="shared" si="232"/>
        <v>0</v>
      </c>
      <c r="AP382" s="314">
        <f t="shared" si="232"/>
        <v>0.17399999999999993</v>
      </c>
      <c r="AQ382" s="314">
        <f t="shared" si="232"/>
        <v>0.31200000000000006</v>
      </c>
      <c r="AR382" s="314">
        <f t="shared" si="232"/>
        <v>0.45399999999999996</v>
      </c>
      <c r="AS382" s="314">
        <f t="shared" si="232"/>
        <v>0.53600000000000003</v>
      </c>
      <c r="AT382" s="314">
        <f t="shared" si="232"/>
        <v>0.59200000000000008</v>
      </c>
      <c r="AU382" s="314">
        <f t="shared" si="232"/>
        <v>0.62000000000000011</v>
      </c>
      <c r="AV382" s="314">
        <f t="shared" si="232"/>
        <v>0.70900000000000007</v>
      </c>
      <c r="AW382" s="314">
        <f t="shared" si="232"/>
        <v>0.85499999999999998</v>
      </c>
      <c r="AX382" s="314">
        <f t="shared" si="232"/>
        <v>1.0569999999999999</v>
      </c>
    </row>
    <row r="383" spans="2:50" s="704" customFormat="1">
      <c r="B383" s="705" t="s">
        <v>1129</v>
      </c>
      <c r="C383" s="706" t="str">
        <f>_xlfn.TEXTAFTER($B383,$C$344)&amp;" - old"</f>
        <v>NPBT - old</v>
      </c>
      <c r="D383" s="707" t="str" cm="1">
        <f t="array" ref="D383">_xlfn.XLOOKUP($B383,$B$96:$B$176,_xlfn.XLOOKUP(D$181,$D$5:$AX$5,$D$96:$AX$176))</f>
        <v>A$m</v>
      </c>
      <c r="E383" s="707"/>
      <c r="F383" s="707"/>
      <c r="G383" s="708"/>
      <c r="H383" s="708"/>
      <c r="I383" s="708" cm="1">
        <f t="array" ref="I383">_xlfn.XLOOKUP($B383,$B$96:$B$176,_xlfn.XLOOKUP(I$181,$D$5:$AX$5,$D$96:$AX$176))</f>
        <v>59.1</v>
      </c>
      <c r="J383" s="708" cm="1">
        <f t="array" ref="J383">_xlfn.XLOOKUP($B383,$B$96:$B$176,_xlfn.XLOOKUP(J$181,$D$5:$AX$5,$D$96:$AX$176))</f>
        <v>56.199999999999996</v>
      </c>
      <c r="K383" s="708" cm="1">
        <f t="array" ref="K383">_xlfn.XLOOKUP($B383,$B$96:$B$176,_xlfn.XLOOKUP(K$181,$D$5:$AX$5,$D$96:$AX$176))</f>
        <v>26.300000000000004</v>
      </c>
      <c r="L383" s="708" cm="1">
        <f t="array" ref="L383">_xlfn.XLOOKUP($B383,$B$96:$B$176,_xlfn.XLOOKUP(L$181,$D$5:$AX$5,$D$96:$AX$176))</f>
        <v>25.700000000000003</v>
      </c>
      <c r="M383" s="708" cm="1">
        <f t="array" ref="M383">_xlfn.XLOOKUP($B383,$B$96:$B$176,_xlfn.XLOOKUP(M$181,$D$5:$AX$5,$D$96:$AX$176))</f>
        <v>46.2</v>
      </c>
      <c r="N383" s="708" cm="1">
        <f t="array" ref="N383">_xlfn.XLOOKUP($B383,$B$96:$B$176,_xlfn.XLOOKUP(N$181,$D$5:$AX$5,$D$96:$AX$176))</f>
        <v>54.799999999999983</v>
      </c>
      <c r="O383" s="708" cm="1">
        <f t="array" ref="O383">_xlfn.XLOOKUP($B383,$B$96:$B$176,_xlfn.XLOOKUP(O$181,$D$5:$AX$5,$D$96:$AX$176))</f>
        <v>62.70000000000001</v>
      </c>
      <c r="P383" s="708" cm="1">
        <f t="array" ref="P383">_xlfn.XLOOKUP($B383,$B$96:$B$176,_xlfn.XLOOKUP(P$181,$D$5:$AX$5,$D$96:$AX$176))</f>
        <v>71.990637918181605</v>
      </c>
      <c r="Q383" s="708" cm="1">
        <f t="array" ref="Q383">_xlfn.XLOOKUP($B383,$B$96:$B$176,_xlfn.XLOOKUP(Q$181,$D$5:$AX$5,$D$96:$AX$176))</f>
        <v>108.02260370099071</v>
      </c>
      <c r="R383" s="708" cm="1">
        <f t="array" ref="R383">_xlfn.XLOOKUP($B383,$B$96:$B$176,_xlfn.XLOOKUP(R$181,$D$5:$AX$5,$D$96:$AX$176))</f>
        <v>91.362164996844996</v>
      </c>
      <c r="S383" s="708" cm="1">
        <f t="array" ref="S383">_xlfn.XLOOKUP($B383,$B$96:$B$176,_xlfn.XLOOKUP(S$181,$D$5:$AX$5,$D$96:$AX$176))</f>
        <v>122.22443335287775</v>
      </c>
      <c r="T383" s="708" cm="1">
        <f t="array" ref="T383">_xlfn.XLOOKUP($B383,$B$96:$B$176,_xlfn.XLOOKUP(T$181,$D$5:$AX$5,$D$96:$AX$176))</f>
        <v>102.2399558896943</v>
      </c>
      <c r="U383" s="708" cm="1">
        <f t="array" ref="U383">_xlfn.XLOOKUP($B383,$B$96:$B$176,_xlfn.XLOOKUP(U$181,$D$5:$AX$5,$D$96:$AX$176))</f>
        <v>133.38616616637955</v>
      </c>
      <c r="V383" s="708" cm="1">
        <f t="array" ref="V383">_xlfn.XLOOKUP($B383,$B$96:$B$176,_xlfn.XLOOKUP(V$181,$D$5:$AX$5,$D$96:$AX$176))</f>
        <v>115.39877847457367</v>
      </c>
      <c r="W383" s="708" cm="1">
        <f t="array" ref="W383">_xlfn.XLOOKUP($B383,$B$96:$B$176,_xlfn.XLOOKUP(W$181,$D$5:$AX$5,$D$96:$AX$176))</f>
        <v>144.65120078593142</v>
      </c>
      <c r="X383" s="708" cm="1">
        <f t="array" ref="X383">_xlfn.XLOOKUP($B383,$B$96:$B$176,_xlfn.XLOOKUP(X$181,$D$5:$AX$5,$D$96:$AX$176))</f>
        <v>125.67018252333074</v>
      </c>
      <c r="Y383" s="708" cm="1">
        <f t="array" ref="Y383">_xlfn.XLOOKUP($B383,$B$96:$B$176,_xlfn.XLOOKUP(Y$181,$D$5:$AX$5,$D$96:$AX$176))</f>
        <v>155.08034865295761</v>
      </c>
      <c r="Z383" s="708" cm="1">
        <f t="array" ref="Z383">_xlfn.XLOOKUP($B383,$B$96:$B$176,_xlfn.XLOOKUP(Z$181,$D$5:$AX$5,$D$96:$AX$176))</f>
        <v>135.20589789679752</v>
      </c>
      <c r="AA383" s="708" cm="1">
        <f t="array" ref="AA383">_xlfn.XLOOKUP($B383,$B$96:$B$176,_xlfn.XLOOKUP(AA$181,$D$5:$AX$5,$D$96:$AX$176))</f>
        <v>164.86331740468006</v>
      </c>
      <c r="AB383" s="708" cm="1">
        <f t="array" ref="AB383">_xlfn.XLOOKUP($B383,$B$96:$B$176,_xlfn.XLOOKUP(AB$181,$D$5:$AX$5,$D$96:$AX$176))</f>
        <v>144.764735599571</v>
      </c>
      <c r="AC383" s="708" cm="1">
        <f t="array" ref="AC383">_xlfn.XLOOKUP($B383,$B$96:$B$176,_xlfn.XLOOKUP(AC$181,$D$5:$AX$5,$D$96:$AX$176))</f>
        <v>171.07041911772978</v>
      </c>
      <c r="AD383" s="708" cm="1">
        <f t="array" ref="AD383">_xlfn.XLOOKUP($B383,$B$96:$B$176,_xlfn.XLOOKUP(AD$181,$D$5:$AX$5,$D$96:$AX$176))</f>
        <v>150.63142131708526</v>
      </c>
      <c r="AE383" s="708" cm="1">
        <f t="array" ref="AE383">_xlfn.XLOOKUP($B383,$B$96:$B$176,_xlfn.XLOOKUP(AE$181,$D$5:$AX$5,$D$96:$AX$176))</f>
        <v>177.15902260802204</v>
      </c>
      <c r="AF383" s="708" cm="1">
        <f t="array" ref="AF383">_xlfn.XLOOKUP($B383,$B$96:$B$176,_xlfn.XLOOKUP(AF$181,$D$5:$AX$5,$D$96:$AX$176))</f>
        <v>156.33770765831525</v>
      </c>
      <c r="AG383" s="709"/>
      <c r="AH383" s="706" t="str">
        <f t="shared" si="228"/>
        <v>NPBT - old</v>
      </c>
      <c r="AI383" s="707" t="str" cm="1">
        <f t="array" ref="AI383">_xlfn.XLOOKUP($B383,$B$96:$B$176,_xlfn.XLOOKUP(AI$181,$D$5:$AX$5,$D$96:$AX$176))</f>
        <v>A$m</v>
      </c>
      <c r="AJ383" s="707"/>
      <c r="AK383" s="707"/>
      <c r="AL383" s="708" cm="1">
        <f t="array" ref="AL383">_xlfn.XLOOKUP($B383,$B$96:$B$176,_xlfn.XLOOKUP(AL$181,$D$5:$AX$5,$D$96:$AX$176))</f>
        <v>0</v>
      </c>
      <c r="AM383" s="708" cm="1">
        <f t="array" ref="AM383">_xlfn.XLOOKUP($B383,$B$96:$B$176,_xlfn.XLOOKUP(AM$181,$D$5:$AX$5,$D$96:$AX$176))</f>
        <v>115.3</v>
      </c>
      <c r="AN383" s="708" cm="1">
        <f t="array" ref="AN383">_xlfn.XLOOKUP($B383,$B$96:$B$176,_xlfn.XLOOKUP(AN$181,$D$5:$AX$5,$D$96:$AX$176))</f>
        <v>52.000000000000007</v>
      </c>
      <c r="AO383" s="708" cm="1">
        <f t="array" ref="AO383">_xlfn.XLOOKUP($B383,$B$96:$B$176,_xlfn.XLOOKUP(AO$181,$D$5:$AX$5,$D$96:$AX$176))</f>
        <v>100.99999999999999</v>
      </c>
      <c r="AP383" s="708" cm="1">
        <f t="array" ref="AP383">_xlfn.XLOOKUP($B383,$B$96:$B$176,_xlfn.XLOOKUP(AP$181,$D$5:$AX$5,$D$96:$AX$176))</f>
        <v>134.69063791818161</v>
      </c>
      <c r="AQ383" s="708" cm="1">
        <f t="array" ref="AQ383">_xlfn.XLOOKUP($B383,$B$96:$B$176,_xlfn.XLOOKUP(AQ$181,$D$5:$AX$5,$D$96:$AX$176))</f>
        <v>199.38476869783571</v>
      </c>
      <c r="AR383" s="708" cm="1">
        <f t="array" ref="AR383">_xlfn.XLOOKUP($B383,$B$96:$B$176,_xlfn.XLOOKUP(AR$181,$D$5:$AX$5,$D$96:$AX$176))</f>
        <v>224.46438924257205</v>
      </c>
      <c r="AS383" s="708" cm="1">
        <f t="array" ref="AS383">_xlfn.XLOOKUP($B383,$B$96:$B$176,_xlfn.XLOOKUP(AS$181,$D$5:$AX$5,$D$96:$AX$176))</f>
        <v>248.78494464095323</v>
      </c>
      <c r="AT383" s="708" cm="1">
        <f t="array" ref="AT383">_xlfn.XLOOKUP($B383,$B$96:$B$176,_xlfn.XLOOKUP(AT$181,$D$5:$AX$5,$D$96:$AX$176))</f>
        <v>270.32138330926216</v>
      </c>
      <c r="AU383" s="708" cm="1">
        <f t="array" ref="AU383">_xlfn.XLOOKUP($B383,$B$96:$B$176,_xlfn.XLOOKUP(AU$181,$D$5:$AX$5,$D$96:$AX$176))</f>
        <v>290.28624654975511</v>
      </c>
      <c r="AV383" s="708" cm="1">
        <f t="array" ref="AV383">_xlfn.XLOOKUP($B383,$B$96:$B$176,_xlfn.XLOOKUP(AV$181,$D$5:$AX$5,$D$96:$AX$176))</f>
        <v>309.62805300425106</v>
      </c>
      <c r="AW383" s="708" cm="1">
        <f t="array" ref="AW383">_xlfn.XLOOKUP($B383,$B$96:$B$176,_xlfn.XLOOKUP(AW$181,$D$5:$AX$5,$D$96:$AX$176))</f>
        <v>321.70184043481504</v>
      </c>
      <c r="AX383" s="708" cm="1">
        <f t="array" ref="AX383">_xlfn.XLOOKUP($B383,$B$96:$B$176,_xlfn.XLOOKUP(AX$181,$D$5:$AX$5,$D$96:$AX$176))</f>
        <v>333.49673026633729</v>
      </c>
    </row>
    <row r="384" spans="2:50">
      <c r="B384" s="305" t="s">
        <v>1129</v>
      </c>
      <c r="C384" s="318" t="str">
        <f>_xlfn.TEXTAFTER($B384,$C$344)&amp;" - New"</f>
        <v>NPBT - New</v>
      </c>
      <c r="D384" s="311" t="str" cm="1">
        <f t="array" ref="D384">_xlfn.XLOOKUP($B384,$B$11:$B$91,_xlfn.XLOOKUP(D$181,$D$5:$AX$5,$D$11:$AX$91))</f>
        <v>A$m</v>
      </c>
      <c r="E384" s="311"/>
      <c r="F384" s="311"/>
      <c r="G384" s="312"/>
      <c r="H384" s="312"/>
      <c r="I384" s="312" cm="1">
        <f t="array" ref="I384">_xlfn.XLOOKUP($B384,$B$11:$B$91,_xlfn.XLOOKUP(I$181,$D$5:$AX$5,$D$11:$AX$91))</f>
        <v>59.1</v>
      </c>
      <c r="J384" s="312" cm="1">
        <f t="array" ref="J384">_xlfn.XLOOKUP($B384,$B$11:$B$91,_xlfn.XLOOKUP(J$181,$D$5:$AX$5,$D$11:$AX$91))</f>
        <v>56.199999999999996</v>
      </c>
      <c r="K384" s="312" cm="1">
        <f t="array" ref="K384">_xlfn.XLOOKUP($B384,$B$11:$B$91,_xlfn.XLOOKUP(K$181,$D$5:$AX$5,$D$11:$AX$91))</f>
        <v>26.300000000000004</v>
      </c>
      <c r="L384" s="312" cm="1">
        <f t="array" ref="L384">_xlfn.XLOOKUP($B384,$B$11:$B$91,_xlfn.XLOOKUP(L$181,$D$5:$AX$5,$D$11:$AX$91))</f>
        <v>25.700000000000003</v>
      </c>
      <c r="M384" s="312" cm="1">
        <f t="array" ref="M384">_xlfn.XLOOKUP($B384,$B$11:$B$91,_xlfn.XLOOKUP(M$181,$D$5:$AX$5,$D$11:$AX$91))</f>
        <v>46.2</v>
      </c>
      <c r="N384" s="312" cm="1">
        <f t="array" ref="N384">_xlfn.XLOOKUP($B384,$B$11:$B$91,_xlfn.XLOOKUP(N$181,$D$5:$AX$5,$D$11:$AX$91))</f>
        <v>54.799999999999983</v>
      </c>
      <c r="O384" s="312" cm="1">
        <f t="array" ref="O384">_xlfn.XLOOKUP($B384,$B$11:$B$91,_xlfn.XLOOKUP(O$181,$D$5:$AX$5,$D$11:$AX$91))</f>
        <v>62.70000000000001</v>
      </c>
      <c r="P384" s="312" cm="1">
        <f t="array" ref="P384">_xlfn.XLOOKUP($B384,$B$11:$B$91,_xlfn.XLOOKUP(P$181,$D$5:$AX$5,$D$11:$AX$91))</f>
        <v>66.799999999999983</v>
      </c>
      <c r="Q384" s="312" cm="1">
        <f t="array" ref="Q384">_xlfn.XLOOKUP($B384,$B$11:$B$91,_xlfn.XLOOKUP(Q$181,$D$5:$AX$5,$D$11:$AX$91))</f>
        <v>89.67770361515592</v>
      </c>
      <c r="R384" s="312" cm="1">
        <f t="array" ref="R384">_xlfn.XLOOKUP($B384,$B$11:$B$91,_xlfn.XLOOKUP(R$181,$D$5:$AX$5,$D$11:$AX$91))</f>
        <v>61.90283078162733</v>
      </c>
      <c r="S384" s="312" cm="1">
        <f t="array" ref="S384">_xlfn.XLOOKUP($B384,$B$11:$B$91,_xlfn.XLOOKUP(S$181,$D$5:$AX$5,$D$11:$AX$91))</f>
        <v>97.25578389303125</v>
      </c>
      <c r="T384" s="312" cm="1">
        <f t="array" ref="T384">_xlfn.XLOOKUP($B384,$B$11:$B$91,_xlfn.XLOOKUP(T$181,$D$5:$AX$5,$D$11:$AX$91))</f>
        <v>82.981746201731525</v>
      </c>
      <c r="U384" s="312" cm="1">
        <f t="array" ref="U384">_xlfn.XLOOKUP($B384,$B$11:$B$91,_xlfn.XLOOKUP(U$181,$D$5:$AX$5,$D$11:$AX$91))</f>
        <v>108.84048793038065</v>
      </c>
      <c r="V384" s="312" cm="1">
        <f t="array" ref="V384">_xlfn.XLOOKUP($B384,$B$11:$B$91,_xlfn.XLOOKUP(V$181,$D$5:$AX$5,$D$11:$AX$91))</f>
        <v>88.627543794042083</v>
      </c>
      <c r="W384" s="312" cm="1">
        <f t="array" ref="W384">_xlfn.XLOOKUP($B384,$B$11:$B$91,_xlfn.XLOOKUP(W$181,$D$5:$AX$5,$D$11:$AX$91))</f>
        <v>123.13522159746427</v>
      </c>
      <c r="X384" s="312" cm="1">
        <f t="array" ref="X384">_xlfn.XLOOKUP($B384,$B$11:$B$91,_xlfn.XLOOKUP(X$181,$D$5:$AX$5,$D$11:$AX$91))</f>
        <v>101.91236584404366</v>
      </c>
      <c r="Y384" s="312" cm="1">
        <f t="array" ref="Y384">_xlfn.XLOOKUP($B384,$B$11:$B$91,_xlfn.XLOOKUP(Y$181,$D$5:$AX$5,$D$11:$AX$91))</f>
        <v>133.00840405319718</v>
      </c>
      <c r="Z384" s="312" cm="1">
        <f t="array" ref="Z384">_xlfn.XLOOKUP($B384,$B$11:$B$91,_xlfn.XLOOKUP(Z$181,$D$5:$AX$5,$D$11:$AX$91))</f>
        <v>110.96077670955357</v>
      </c>
      <c r="AA384" s="312" cm="1">
        <f t="array" ref="AA384">_xlfn.XLOOKUP($B384,$B$11:$B$91,_xlfn.XLOOKUP(AA$181,$D$5:$AX$5,$D$11:$AX$91))</f>
        <v>140.70274196344477</v>
      </c>
      <c r="AB384" s="312" cm="1">
        <f t="array" ref="AB384">_xlfn.XLOOKUP($B384,$B$11:$B$91,_xlfn.XLOOKUP(AB$181,$D$5:$AX$5,$D$11:$AX$91))</f>
        <v>118.5422901041587</v>
      </c>
      <c r="AC384" s="312" cm="1">
        <f t="array" ref="AC384">_xlfn.XLOOKUP($B384,$B$11:$B$91,_xlfn.XLOOKUP(AC$181,$D$5:$AX$5,$D$11:$AX$91))</f>
        <v>148.69230351949909</v>
      </c>
      <c r="AD384" s="312" cm="1">
        <f t="array" ref="AD384">_xlfn.XLOOKUP($B384,$B$11:$B$91,_xlfn.XLOOKUP(AD$181,$D$5:$AX$5,$D$11:$AX$91))</f>
        <v>126.27870246327217</v>
      </c>
      <c r="AE384" s="312" cm="1">
        <f t="array" ref="AE384">_xlfn.XLOOKUP($B384,$B$11:$B$91,_xlfn.XLOOKUP(AE$181,$D$5:$AX$5,$D$11:$AX$91))</f>
        <v>156.35624352059207</v>
      </c>
      <c r="AF384" s="312" cm="1">
        <f t="array" ref="AF384">_xlfn.XLOOKUP($B384,$B$11:$B$91,_xlfn.XLOOKUP(AF$181,$D$5:$AX$5,$D$11:$AX$91))</f>
        <v>133.74030550655647</v>
      </c>
      <c r="AG384" s="312"/>
      <c r="AH384" s="310" t="str">
        <f t="shared" si="228"/>
        <v>NPBT - New</v>
      </c>
      <c r="AI384" s="311" t="str" cm="1">
        <f t="array" ref="AI384">_xlfn.XLOOKUP($B384,$B$11:$B$91,_xlfn.XLOOKUP(AI$181,$D$5:$AX$5,$D$11:$AX$91))</f>
        <v>A$m</v>
      </c>
      <c r="AJ384" s="311"/>
      <c r="AK384" s="311"/>
      <c r="AL384" s="312" cm="1">
        <f t="array" ref="AL384">_xlfn.XLOOKUP($B384,$B$11:$B$91,_xlfn.XLOOKUP(AL$181,$D$5:$AX$5,$D$11:$AX$91))</f>
        <v>0</v>
      </c>
      <c r="AM384" s="312" cm="1">
        <f t="array" ref="AM384">_xlfn.XLOOKUP($B384,$B$11:$B$91,_xlfn.XLOOKUP(AM$181,$D$5:$AX$5,$D$11:$AX$91))</f>
        <v>115.3</v>
      </c>
      <c r="AN384" s="312" cm="1">
        <f t="array" ref="AN384">_xlfn.XLOOKUP($B384,$B$11:$B$91,_xlfn.XLOOKUP(AN$181,$D$5:$AX$5,$D$11:$AX$91))</f>
        <v>52.000000000000007</v>
      </c>
      <c r="AO384" s="312" cm="1">
        <f t="array" ref="AO384">_xlfn.XLOOKUP($B384,$B$11:$B$91,_xlfn.XLOOKUP(AO$181,$D$5:$AX$5,$D$11:$AX$91))</f>
        <v>100.99999999999999</v>
      </c>
      <c r="AP384" s="312" cm="1">
        <f t="array" ref="AP384">_xlfn.XLOOKUP($B384,$B$11:$B$91,_xlfn.XLOOKUP(AP$181,$D$5:$AX$5,$D$11:$AX$91))</f>
        <v>129.5</v>
      </c>
      <c r="AQ384" s="312" cm="1">
        <f t="array" ref="AQ384">_xlfn.XLOOKUP($B384,$B$11:$B$91,_xlfn.XLOOKUP(AQ$181,$D$5:$AX$5,$D$11:$AX$91))</f>
        <v>151.58053439678326</v>
      </c>
      <c r="AR384" s="312" cm="1">
        <f t="array" ref="AR384">_xlfn.XLOOKUP($B384,$B$11:$B$91,_xlfn.XLOOKUP(AR$181,$D$5:$AX$5,$D$11:$AX$91))</f>
        <v>180.23753009476277</v>
      </c>
      <c r="AS384" s="312" cm="1">
        <f t="array" ref="AS384">_xlfn.XLOOKUP($B384,$B$11:$B$91,_xlfn.XLOOKUP(AS$181,$D$5:$AX$5,$D$11:$AX$91))</f>
        <v>197.46803172442273</v>
      </c>
      <c r="AT384" s="312" cm="1">
        <f t="array" ref="AT384">_xlfn.XLOOKUP($B384,$B$11:$B$91,_xlfn.XLOOKUP(AT$181,$D$5:$AX$5,$D$11:$AX$91))</f>
        <v>225.04758744150791</v>
      </c>
      <c r="AU384" s="312" cm="1">
        <f t="array" ref="AU384">_xlfn.XLOOKUP($B384,$B$11:$B$91,_xlfn.XLOOKUP(AU$181,$D$5:$AX$5,$D$11:$AX$91))</f>
        <v>243.96918076275074</v>
      </c>
      <c r="AV384" s="312" cm="1">
        <f t="array" ref="AV384">_xlfn.XLOOKUP($B384,$B$11:$B$91,_xlfn.XLOOKUP(AV$181,$D$5:$AX$5,$D$11:$AX$91))</f>
        <v>259.24503206760346</v>
      </c>
      <c r="AW384" s="312" cm="1">
        <f t="array" ref="AW384">_xlfn.XLOOKUP($B384,$B$11:$B$91,_xlfn.XLOOKUP(AW$181,$D$5:$AX$5,$D$11:$AX$91))</f>
        <v>274.97100598277126</v>
      </c>
      <c r="AX384" s="312" cm="1">
        <f t="array" ref="AX384">_xlfn.XLOOKUP($B384,$B$11:$B$91,_xlfn.XLOOKUP(AX$181,$D$5:$AX$5,$D$11:$AX$91))</f>
        <v>290.09654902714851</v>
      </c>
    </row>
    <row r="385" spans="2:50" hidden="1" outlineLevel="1">
      <c r="C385" s="313" t="s">
        <v>1121</v>
      </c>
      <c r="D385" s="307" t="s">
        <v>842</v>
      </c>
      <c r="E385" s="307"/>
      <c r="F385" s="307"/>
      <c r="G385" s="314"/>
      <c r="H385" s="314"/>
      <c r="I385" s="314" t="s">
        <v>967</v>
      </c>
      <c r="J385" s="314" t="s">
        <v>967</v>
      </c>
      <c r="K385" s="314">
        <f t="shared" ref="K385:AF385" si="233">K384/I384-1</f>
        <v>-0.55499153976311333</v>
      </c>
      <c r="L385" s="314">
        <f t="shared" si="233"/>
        <v>-0.54270462633451944</v>
      </c>
      <c r="M385" s="314">
        <f t="shared" si="233"/>
        <v>0.75665399239543718</v>
      </c>
      <c r="N385" s="314">
        <f t="shared" si="233"/>
        <v>1.1322957198443571</v>
      </c>
      <c r="O385" s="314">
        <f t="shared" si="233"/>
        <v>0.35714285714285721</v>
      </c>
      <c r="P385" s="314">
        <f t="shared" si="233"/>
        <v>0.2189781021897812</v>
      </c>
      <c r="Q385" s="314">
        <f t="shared" si="233"/>
        <v>0.43026640534538929</v>
      </c>
      <c r="R385" s="314">
        <f t="shared" si="233"/>
        <v>-7.3310916442704377E-2</v>
      </c>
      <c r="S385" s="314">
        <f t="shared" si="233"/>
        <v>8.4503505022786918E-2</v>
      </c>
      <c r="T385" s="314">
        <f t="shared" si="233"/>
        <v>0.34051617921098987</v>
      </c>
      <c r="U385" s="314">
        <f t="shared" si="233"/>
        <v>0.11911583634029488</v>
      </c>
      <c r="V385" s="314">
        <f t="shared" si="233"/>
        <v>6.8036620711565021E-2</v>
      </c>
      <c r="W385" s="314">
        <f t="shared" si="233"/>
        <v>0.13133654524065697</v>
      </c>
      <c r="X385" s="314">
        <f t="shared" si="233"/>
        <v>0.14989495907585604</v>
      </c>
      <c r="Y385" s="314">
        <f t="shared" si="233"/>
        <v>8.0181627382040821E-2</v>
      </c>
      <c r="Z385" s="314">
        <f t="shared" si="233"/>
        <v>8.8786191847971319E-2</v>
      </c>
      <c r="AA385" s="314">
        <f t="shared" si="233"/>
        <v>5.7848509385694191E-2</v>
      </c>
      <c r="AB385" s="314">
        <f t="shared" si="233"/>
        <v>6.8326066376141137E-2</v>
      </c>
      <c r="AC385" s="314">
        <f t="shared" si="233"/>
        <v>5.6783268361110251E-2</v>
      </c>
      <c r="AD385" s="314">
        <f t="shared" si="233"/>
        <v>6.526288932258506E-2</v>
      </c>
      <c r="AE385" s="314">
        <f t="shared" si="233"/>
        <v>5.1542277708327644E-2</v>
      </c>
      <c r="AF385" s="314">
        <f t="shared" si="233"/>
        <v>5.9088372763843378E-2</v>
      </c>
      <c r="AG385" s="315"/>
      <c r="AH385" s="313" t="str">
        <f t="shared" si="228"/>
        <v>- Growth</v>
      </c>
      <c r="AI385" s="307" t="str">
        <f>D385</f>
        <v>%</v>
      </c>
      <c r="AJ385" s="307"/>
      <c r="AK385" s="307"/>
      <c r="AL385" s="314" t="s">
        <v>967</v>
      </c>
      <c r="AM385" s="314" t="s">
        <v>967</v>
      </c>
      <c r="AN385" s="314">
        <f t="shared" ref="AN385:AX385" si="234">AN384/AM384-1</f>
        <v>-0.54900260190806582</v>
      </c>
      <c r="AO385" s="314">
        <f t="shared" si="234"/>
        <v>0.94230769230769185</v>
      </c>
      <c r="AP385" s="314">
        <f t="shared" si="234"/>
        <v>0.28217821782178243</v>
      </c>
      <c r="AQ385" s="314">
        <f t="shared" si="234"/>
        <v>0.17050605711801747</v>
      </c>
      <c r="AR385" s="314">
        <f t="shared" si="234"/>
        <v>0.18905458944329756</v>
      </c>
      <c r="AS385" s="314">
        <f t="shared" si="234"/>
        <v>9.5598855691158002E-2</v>
      </c>
      <c r="AT385" s="314">
        <f t="shared" si="234"/>
        <v>0.13966592706800229</v>
      </c>
      <c r="AU385" s="314">
        <f t="shared" si="234"/>
        <v>8.4078187801772009E-2</v>
      </c>
      <c r="AV385" s="314">
        <f t="shared" si="234"/>
        <v>6.2613856623586539E-2</v>
      </c>
      <c r="AW385" s="314">
        <f t="shared" si="234"/>
        <v>6.066065679155197E-2</v>
      </c>
      <c r="AX385" s="314">
        <f t="shared" si="234"/>
        <v>5.5007774329941306E-2</v>
      </c>
    </row>
    <row r="386" spans="2:50" collapsed="1">
      <c r="C386" s="313" t="s">
        <v>1122</v>
      </c>
      <c r="D386" s="307" t="s">
        <v>842</v>
      </c>
      <c r="E386" s="307"/>
      <c r="F386" s="307"/>
      <c r="G386" s="314"/>
      <c r="H386" s="314"/>
      <c r="I386" s="314">
        <f t="shared" ref="I386:AF386" si="235" xml:space="preserve"> IFERROR(ROUND( I384 / I383,3) - 1, 0)</f>
        <v>0</v>
      </c>
      <c r="J386" s="314">
        <f t="shared" si="235"/>
        <v>0</v>
      </c>
      <c r="K386" s="314">
        <f t="shared" si="235"/>
        <v>0</v>
      </c>
      <c r="L386" s="314">
        <f t="shared" si="235"/>
        <v>0</v>
      </c>
      <c r="M386" s="314">
        <f t="shared" si="235"/>
        <v>0</v>
      </c>
      <c r="N386" s="314">
        <f t="shared" si="235"/>
        <v>0</v>
      </c>
      <c r="O386" s="314">
        <f t="shared" si="235"/>
        <v>0</v>
      </c>
      <c r="P386" s="314">
        <f t="shared" si="235"/>
        <v>-7.1999999999999953E-2</v>
      </c>
      <c r="Q386" s="314">
        <f t="shared" si="235"/>
        <v>-0.17000000000000004</v>
      </c>
      <c r="R386" s="314">
        <f t="shared" si="235"/>
        <v>-0.32199999999999995</v>
      </c>
      <c r="S386" s="314">
        <f t="shared" si="235"/>
        <v>-0.20399999999999996</v>
      </c>
      <c r="T386" s="314">
        <f t="shared" si="235"/>
        <v>-0.18799999999999994</v>
      </c>
      <c r="U386" s="314">
        <f t="shared" si="235"/>
        <v>-0.18400000000000005</v>
      </c>
      <c r="V386" s="314">
        <f t="shared" si="235"/>
        <v>-0.23199999999999998</v>
      </c>
      <c r="W386" s="314">
        <f t="shared" si="235"/>
        <v>-0.14900000000000002</v>
      </c>
      <c r="X386" s="314">
        <f t="shared" si="235"/>
        <v>-0.18899999999999995</v>
      </c>
      <c r="Y386" s="314">
        <f t="shared" si="235"/>
        <v>-0.14200000000000002</v>
      </c>
      <c r="Z386" s="314">
        <f t="shared" si="235"/>
        <v>-0.17900000000000005</v>
      </c>
      <c r="AA386" s="314">
        <f t="shared" si="235"/>
        <v>-0.14700000000000002</v>
      </c>
      <c r="AB386" s="314">
        <f t="shared" si="235"/>
        <v>-0.18100000000000005</v>
      </c>
      <c r="AC386" s="314">
        <f t="shared" si="235"/>
        <v>-0.13100000000000001</v>
      </c>
      <c r="AD386" s="314">
        <f t="shared" si="235"/>
        <v>-0.16200000000000003</v>
      </c>
      <c r="AE386" s="314">
        <f t="shared" si="235"/>
        <v>-0.11699999999999999</v>
      </c>
      <c r="AF386" s="314">
        <f t="shared" si="235"/>
        <v>-0.14500000000000002</v>
      </c>
      <c r="AG386" s="314"/>
      <c r="AH386" s="313" t="str">
        <f t="shared" si="228"/>
        <v>- Revision</v>
      </c>
      <c r="AI386" s="307" t="str">
        <f>D386</f>
        <v>%</v>
      </c>
      <c r="AJ386" s="307"/>
      <c r="AK386" s="307"/>
      <c r="AL386" s="314">
        <f t="shared" ref="AL386:AX386" si="236" xml:space="preserve"> IFERROR(ROUND( AL384 / AL383,3) - 1, 0)</f>
        <v>0</v>
      </c>
      <c r="AM386" s="314">
        <f t="shared" si="236"/>
        <v>0</v>
      </c>
      <c r="AN386" s="314">
        <f t="shared" si="236"/>
        <v>0</v>
      </c>
      <c r="AO386" s="314">
        <f t="shared" si="236"/>
        <v>0</v>
      </c>
      <c r="AP386" s="314">
        <f t="shared" si="236"/>
        <v>-3.9000000000000035E-2</v>
      </c>
      <c r="AQ386" s="314">
        <f t="shared" si="236"/>
        <v>-0.24</v>
      </c>
      <c r="AR386" s="314">
        <f t="shared" si="236"/>
        <v>-0.19699999999999995</v>
      </c>
      <c r="AS386" s="314">
        <f t="shared" si="236"/>
        <v>-0.20599999999999996</v>
      </c>
      <c r="AT386" s="314">
        <f t="shared" si="236"/>
        <v>-0.16700000000000004</v>
      </c>
      <c r="AU386" s="314">
        <f t="shared" si="236"/>
        <v>-0.16000000000000003</v>
      </c>
      <c r="AV386" s="314">
        <f t="shared" si="236"/>
        <v>-0.16300000000000003</v>
      </c>
      <c r="AW386" s="314">
        <f t="shared" si="236"/>
        <v>-0.14500000000000002</v>
      </c>
      <c r="AX386" s="314">
        <f t="shared" si="236"/>
        <v>-0.13</v>
      </c>
    </row>
    <row r="387" spans="2:50">
      <c r="B387" s="305" t="s">
        <v>1456</v>
      </c>
      <c r="C387" s="706" t="str">
        <f>_xlfn.TEXTAFTER($B387,$C$344)&amp;" - old"</f>
        <v>Tax - old</v>
      </c>
      <c r="D387" s="707" t="str" cm="1">
        <f t="array" ref="D387">_xlfn.XLOOKUP($B387,$B$96:$B$176,_xlfn.XLOOKUP(D$181,$D$5:$AX$5,$D$96:$AX$176))</f>
        <v>A$m</v>
      </c>
      <c r="E387" s="307"/>
      <c r="F387" s="307"/>
      <c r="G387" s="708"/>
      <c r="H387" s="708"/>
      <c r="I387" s="708" cm="1">
        <f t="array" ref="I387">_xlfn.XLOOKUP($B387,$B$96:$B$176,_xlfn.XLOOKUP(I$181,$D$5:$AX$5,$D$96:$AX$176))</f>
        <v>-11.8</v>
      </c>
      <c r="J387" s="708" cm="1">
        <f t="array" ref="J387">_xlfn.XLOOKUP($B387,$B$96:$B$176,_xlfn.XLOOKUP(J$181,$D$5:$AX$5,$D$96:$AX$176))</f>
        <v>-19.2</v>
      </c>
      <c r="K387" s="708" cm="1">
        <f t="array" ref="K387">_xlfn.XLOOKUP($B387,$B$96:$B$176,_xlfn.XLOOKUP(K$181,$D$5:$AX$5,$D$96:$AX$176))</f>
        <v>-8.6999999999999993</v>
      </c>
      <c r="L387" s="708" cm="1">
        <f t="array" ref="L387">_xlfn.XLOOKUP($B387,$B$96:$B$176,_xlfn.XLOOKUP(L$181,$D$5:$AX$5,$D$96:$AX$176))</f>
        <v>-15.3</v>
      </c>
      <c r="M387" s="708" cm="1">
        <f t="array" ref="M387">_xlfn.XLOOKUP($B387,$B$96:$B$176,_xlfn.XLOOKUP(M$181,$D$5:$AX$5,$D$96:$AX$176))</f>
        <v>-24.1</v>
      </c>
      <c r="N387" s="708" cm="1">
        <f t="array" ref="N387">_xlfn.XLOOKUP($B387,$B$96:$B$176,_xlfn.XLOOKUP(N$181,$D$5:$AX$5,$D$96:$AX$176))</f>
        <v>-27.4</v>
      </c>
      <c r="O387" s="708" cm="1">
        <f t="array" ref="O387">_xlfn.XLOOKUP($B387,$B$96:$B$176,_xlfn.XLOOKUP(O$181,$D$5:$AX$5,$D$96:$AX$176))</f>
        <v>-27</v>
      </c>
      <c r="P387" s="708" cm="1">
        <f t="array" ref="P387">_xlfn.XLOOKUP($B387,$B$96:$B$176,_xlfn.XLOOKUP(P$181,$D$5:$AX$5,$D$96:$AX$176))</f>
        <v>-32.395787063181722</v>
      </c>
      <c r="Q387" s="708" cm="1">
        <f t="array" ref="Q387">_xlfn.XLOOKUP($B387,$B$96:$B$176,_xlfn.XLOOKUP(Q$181,$D$5:$AX$5,$D$96:$AX$176))</f>
        <v>-43.209041480396287</v>
      </c>
      <c r="R387" s="708" cm="1">
        <f t="array" ref="R387">_xlfn.XLOOKUP($B387,$B$96:$B$176,_xlfn.XLOOKUP(R$181,$D$5:$AX$5,$D$96:$AX$176))</f>
        <v>-38.3721092986749</v>
      </c>
      <c r="S387" s="708" cm="1">
        <f t="array" ref="S387">_xlfn.XLOOKUP($B387,$B$96:$B$176,_xlfn.XLOOKUP(S$181,$D$5:$AX$5,$D$96:$AX$176))</f>
        <v>-46.44528467409355</v>
      </c>
      <c r="T387" s="708" cm="1">
        <f t="array" ref="T387">_xlfn.XLOOKUP($B387,$B$96:$B$176,_xlfn.XLOOKUP(T$181,$D$5:$AX$5,$D$96:$AX$176))</f>
        <v>-40.89598235587772</v>
      </c>
      <c r="U387" s="708" cm="1">
        <f t="array" ref="U387">_xlfn.XLOOKUP($B387,$B$96:$B$176,_xlfn.XLOOKUP(U$181,$D$5:$AX$5,$D$96:$AX$176))</f>
        <v>-40.015849849913863</v>
      </c>
      <c r="V387" s="708" cm="1">
        <f t="array" ref="V387">_xlfn.XLOOKUP($B387,$B$96:$B$176,_xlfn.XLOOKUP(V$181,$D$5:$AX$5,$D$96:$AX$176))</f>
        <v>-34.6196335423721</v>
      </c>
      <c r="W387" s="708" cm="1">
        <f t="array" ref="W387">_xlfn.XLOOKUP($B387,$B$96:$B$176,_xlfn.XLOOKUP(W$181,$D$5:$AX$5,$D$96:$AX$176))</f>
        <v>-43.395360235779428</v>
      </c>
      <c r="X387" s="708" cm="1">
        <f t="array" ref="X387">_xlfn.XLOOKUP($B387,$B$96:$B$176,_xlfn.XLOOKUP(X$181,$D$5:$AX$5,$D$96:$AX$176))</f>
        <v>-37.70105475699922</v>
      </c>
      <c r="Y387" s="708" cm="1">
        <f t="array" ref="Y387">_xlfn.XLOOKUP($B387,$B$96:$B$176,_xlfn.XLOOKUP(Y$181,$D$5:$AX$5,$D$96:$AX$176))</f>
        <v>-46.52410459588728</v>
      </c>
      <c r="Z387" s="708" cm="1">
        <f t="array" ref="Z387">_xlfn.XLOOKUP($B387,$B$96:$B$176,_xlfn.XLOOKUP(Z$181,$D$5:$AX$5,$D$96:$AX$176))</f>
        <v>-40.561769369039254</v>
      </c>
      <c r="AA387" s="708" cm="1">
        <f t="array" ref="AA387">_xlfn.XLOOKUP($B387,$B$96:$B$176,_xlfn.XLOOKUP(AA$181,$D$5:$AX$5,$D$96:$AX$176))</f>
        <v>-49.458995221404017</v>
      </c>
      <c r="AB387" s="708" cm="1">
        <f t="array" ref="AB387">_xlfn.XLOOKUP($B387,$B$96:$B$176,_xlfn.XLOOKUP(AB$181,$D$5:$AX$5,$D$96:$AX$176))</f>
        <v>-43.429420679871299</v>
      </c>
      <c r="AC387" s="708" cm="1">
        <f t="array" ref="AC387">_xlfn.XLOOKUP($B387,$B$96:$B$176,_xlfn.XLOOKUP(AC$181,$D$5:$AX$5,$D$96:$AX$176))</f>
        <v>-51.321125735318937</v>
      </c>
      <c r="AD387" s="708" cm="1">
        <f t="array" ref="AD387">_xlfn.XLOOKUP($B387,$B$96:$B$176,_xlfn.XLOOKUP(AD$181,$D$5:$AX$5,$D$96:$AX$176))</f>
        <v>-45.189426395125572</v>
      </c>
      <c r="AE387" s="708" cm="1">
        <f t="array" ref="AE387">_xlfn.XLOOKUP($B387,$B$96:$B$176,_xlfn.XLOOKUP(AE$181,$D$5:$AX$5,$D$96:$AX$176))</f>
        <v>-53.147706782406608</v>
      </c>
      <c r="AF387" s="708" cm="1">
        <f t="array" ref="AF387">_xlfn.XLOOKUP($B387,$B$96:$B$176,_xlfn.XLOOKUP(AF$181,$D$5:$AX$5,$D$96:$AX$176))</f>
        <v>-46.901312297494577</v>
      </c>
      <c r="AG387" s="309"/>
      <c r="AH387" s="306" t="str">
        <f t="shared" si="228"/>
        <v>Tax - old</v>
      </c>
      <c r="AI387" s="707" t="str" cm="1">
        <f t="array" ref="AI387">_xlfn.XLOOKUP($B387,$B$96:$B$176,_xlfn.XLOOKUP(AI$181,$D$5:$AX$5,$D$96:$AX$176))</f>
        <v>A$m</v>
      </c>
      <c r="AJ387" s="307"/>
      <c r="AK387" s="307"/>
      <c r="AL387" s="708" cm="1">
        <f t="array" ref="AL387">_xlfn.XLOOKUP($B387,$B$96:$B$176,_xlfn.XLOOKUP(AL$181,$D$5:$AX$5,$D$96:$AX$176))</f>
        <v>0</v>
      </c>
      <c r="AM387" s="708" cm="1">
        <f t="array" ref="AM387">_xlfn.XLOOKUP($B387,$B$96:$B$176,_xlfn.XLOOKUP(AM$181,$D$5:$AX$5,$D$96:$AX$176))</f>
        <v>-31</v>
      </c>
      <c r="AN387" s="708" cm="1">
        <f t="array" ref="AN387">_xlfn.XLOOKUP($B387,$B$96:$B$176,_xlfn.XLOOKUP(AN$181,$D$5:$AX$5,$D$96:$AX$176))</f>
        <v>-24</v>
      </c>
      <c r="AO387" s="708" cm="1">
        <f t="array" ref="AO387">_xlfn.XLOOKUP($B387,$B$96:$B$176,_xlfn.XLOOKUP(AO$181,$D$5:$AX$5,$D$96:$AX$176))</f>
        <v>-51.5</v>
      </c>
      <c r="AP387" s="708" cm="1">
        <f t="array" ref="AP387">_xlfn.XLOOKUP($B387,$B$96:$B$176,_xlfn.XLOOKUP(AP$181,$D$5:$AX$5,$D$96:$AX$176))</f>
        <v>-59.395787063181722</v>
      </c>
      <c r="AQ387" s="708" cm="1">
        <f t="array" ref="AQ387">_xlfn.XLOOKUP($B387,$B$96:$B$176,_xlfn.XLOOKUP(AQ$181,$D$5:$AX$5,$D$96:$AX$176))</f>
        <v>-81.58115077907118</v>
      </c>
      <c r="AR387" s="708" cm="1">
        <f t="array" ref="AR387">_xlfn.XLOOKUP($B387,$B$96:$B$176,_xlfn.XLOOKUP(AR$181,$D$5:$AX$5,$D$96:$AX$176))</f>
        <v>-87.341267029971277</v>
      </c>
      <c r="AS387" s="708" cm="1">
        <f t="array" ref="AS387">_xlfn.XLOOKUP($B387,$B$96:$B$176,_xlfn.XLOOKUP(AS$181,$D$5:$AX$5,$D$96:$AX$176))</f>
        <v>-74.635483392285963</v>
      </c>
      <c r="AT387" s="708" cm="1">
        <f t="array" ref="AT387">_xlfn.XLOOKUP($B387,$B$96:$B$176,_xlfn.XLOOKUP(AT$181,$D$5:$AX$5,$D$96:$AX$176))</f>
        <v>-81.096414992778648</v>
      </c>
      <c r="AU387" s="708" cm="1">
        <f t="array" ref="AU387">_xlfn.XLOOKUP($B387,$B$96:$B$176,_xlfn.XLOOKUP(AU$181,$D$5:$AX$5,$D$96:$AX$176))</f>
        <v>-87.085873964926535</v>
      </c>
      <c r="AV387" s="708" cm="1">
        <f t="array" ref="AV387">_xlfn.XLOOKUP($B387,$B$96:$B$176,_xlfn.XLOOKUP(AV$181,$D$5:$AX$5,$D$96:$AX$176))</f>
        <v>-92.888415901275323</v>
      </c>
      <c r="AW387" s="708" cm="1">
        <f t="array" ref="AW387">_xlfn.XLOOKUP($B387,$B$96:$B$176,_xlfn.XLOOKUP(AW$181,$D$5:$AX$5,$D$96:$AX$176))</f>
        <v>-96.510552130444509</v>
      </c>
      <c r="AX387" s="708" cm="1">
        <f t="array" ref="AX387">_xlfn.XLOOKUP($B387,$B$96:$B$176,_xlfn.XLOOKUP(AX$181,$D$5:$AX$5,$D$96:$AX$176))</f>
        <v>-100.04901907990119</v>
      </c>
    </row>
    <row r="388" spans="2:50">
      <c r="B388" s="305" t="s">
        <v>1456</v>
      </c>
      <c r="C388" s="318" t="str">
        <f>_xlfn.TEXTAFTER($B388,$C$344)&amp;" - New"</f>
        <v>Tax - New</v>
      </c>
      <c r="D388" s="311" t="str" cm="1">
        <f t="array" ref="D388">_xlfn.XLOOKUP($B388,$B$11:$B$91,_xlfn.XLOOKUP(D$181,$D$5:$AX$5,$D$11:$AX$91))</f>
        <v>A$m</v>
      </c>
      <c r="E388" s="311"/>
      <c r="F388" s="311"/>
      <c r="G388" s="312"/>
      <c r="H388" s="312"/>
      <c r="I388" s="312" cm="1">
        <f t="array" ref="I388">_xlfn.XLOOKUP($B388,$B$11:$B$91,_xlfn.XLOOKUP(I$181,$D$5:$AX$5,$D$11:$AX$91))</f>
        <v>-11.8</v>
      </c>
      <c r="J388" s="312" cm="1">
        <f t="array" ref="J388">_xlfn.XLOOKUP($B388,$B$11:$B$91,_xlfn.XLOOKUP(J$181,$D$5:$AX$5,$D$11:$AX$91))</f>
        <v>-19.2</v>
      </c>
      <c r="K388" s="312" cm="1">
        <f t="array" ref="K388">_xlfn.XLOOKUP($B388,$B$11:$B$91,_xlfn.XLOOKUP(K$181,$D$5:$AX$5,$D$11:$AX$91))</f>
        <v>-8.6999999999999993</v>
      </c>
      <c r="L388" s="312" cm="1">
        <f t="array" ref="L388">_xlfn.XLOOKUP($B388,$B$11:$B$91,_xlfn.XLOOKUP(L$181,$D$5:$AX$5,$D$11:$AX$91))</f>
        <v>-15.3</v>
      </c>
      <c r="M388" s="312" cm="1">
        <f t="array" ref="M388">_xlfn.XLOOKUP($B388,$B$11:$B$91,_xlfn.XLOOKUP(M$181,$D$5:$AX$5,$D$11:$AX$91))</f>
        <v>-24.1</v>
      </c>
      <c r="N388" s="312" cm="1">
        <f t="array" ref="N388">_xlfn.XLOOKUP($B388,$B$11:$B$91,_xlfn.XLOOKUP(N$181,$D$5:$AX$5,$D$11:$AX$91))</f>
        <v>-27.4</v>
      </c>
      <c r="O388" s="312" cm="1">
        <f t="array" ref="O388">_xlfn.XLOOKUP($B388,$B$11:$B$91,_xlfn.XLOOKUP(O$181,$D$5:$AX$5,$D$11:$AX$91))</f>
        <v>-27</v>
      </c>
      <c r="P388" s="312" cm="1">
        <f t="array" ref="P388">_xlfn.XLOOKUP($B388,$B$11:$B$91,_xlfn.XLOOKUP(P$181,$D$5:$AX$5,$D$11:$AX$91))</f>
        <v>-31.4</v>
      </c>
      <c r="Q388" s="312" cm="1">
        <f t="array" ref="Q388">_xlfn.XLOOKUP($B388,$B$11:$B$91,_xlfn.XLOOKUP(Q$181,$D$5:$AX$5,$D$11:$AX$91))</f>
        <v>-35.871081446062369</v>
      </c>
      <c r="R388" s="312" cm="1">
        <f t="array" ref="R388">_xlfn.XLOOKUP($B388,$B$11:$B$91,_xlfn.XLOOKUP(R$181,$D$5:$AX$5,$D$11:$AX$91))</f>
        <v>-25.999188928283477</v>
      </c>
      <c r="S388" s="312" cm="1">
        <f t="array" ref="S388">_xlfn.XLOOKUP($B388,$B$11:$B$91,_xlfn.XLOOKUP(S$181,$D$5:$AX$5,$D$11:$AX$91))</f>
        <v>-36.957197879351874</v>
      </c>
      <c r="T388" s="312" cm="1">
        <f t="array" ref="T388">_xlfn.XLOOKUP($B388,$B$11:$B$91,_xlfn.XLOOKUP(T$181,$D$5:$AX$5,$D$11:$AX$91))</f>
        <v>-33.192698480692613</v>
      </c>
      <c r="U388" s="312" cm="1">
        <f t="array" ref="U388">_xlfn.XLOOKUP($B388,$B$11:$B$91,_xlfn.XLOOKUP(U$181,$D$5:$AX$5,$D$11:$AX$91))</f>
        <v>-41.359385413544643</v>
      </c>
      <c r="V388" s="312" cm="1">
        <f t="array" ref="V388">_xlfn.XLOOKUP($B388,$B$11:$B$91,_xlfn.XLOOKUP(V$181,$D$5:$AX$5,$D$11:$AX$91))</f>
        <v>-35.451017517616833</v>
      </c>
      <c r="W388" s="312" cm="1">
        <f t="array" ref="W388">_xlfn.XLOOKUP($B388,$B$11:$B$91,_xlfn.XLOOKUP(W$181,$D$5:$AX$5,$D$11:$AX$91))</f>
        <v>-46.791384207036423</v>
      </c>
      <c r="X388" s="312" cm="1">
        <f t="array" ref="X388">_xlfn.XLOOKUP($B388,$B$11:$B$91,_xlfn.XLOOKUP(X$181,$D$5:$AX$5,$D$11:$AX$91))</f>
        <v>-40.764946337617467</v>
      </c>
      <c r="Y388" s="312" cm="1">
        <f t="array" ref="Y388">_xlfn.XLOOKUP($B388,$B$11:$B$91,_xlfn.XLOOKUP(Y$181,$D$5:$AX$5,$D$11:$AX$91))</f>
        <v>-50.543193540214929</v>
      </c>
      <c r="Z388" s="312" cm="1">
        <f t="array" ref="Z388">_xlfn.XLOOKUP($B388,$B$11:$B$91,_xlfn.XLOOKUP(Z$181,$D$5:$AX$5,$D$11:$AX$91))</f>
        <v>-44.384310683821433</v>
      </c>
      <c r="AA388" s="312" cm="1">
        <f t="array" ref="AA388">_xlfn.XLOOKUP($B388,$B$11:$B$91,_xlfn.XLOOKUP(AA$181,$D$5:$AX$5,$D$11:$AX$91))</f>
        <v>-53.467041946109013</v>
      </c>
      <c r="AB388" s="312" cm="1">
        <f t="array" ref="AB388">_xlfn.XLOOKUP($B388,$B$11:$B$91,_xlfn.XLOOKUP(AB$181,$D$5:$AX$5,$D$11:$AX$91))</f>
        <v>-47.416916041663484</v>
      </c>
      <c r="AC388" s="312" cm="1">
        <f t="array" ref="AC388">_xlfn.XLOOKUP($B388,$B$11:$B$91,_xlfn.XLOOKUP(AC$181,$D$5:$AX$5,$D$11:$AX$91))</f>
        <v>-56.503075337409655</v>
      </c>
      <c r="AD388" s="312" cm="1">
        <f t="array" ref="AD388">_xlfn.XLOOKUP($B388,$B$11:$B$91,_xlfn.XLOOKUP(AD$181,$D$5:$AX$5,$D$11:$AX$91))</f>
        <v>-50.511480985308872</v>
      </c>
      <c r="AE388" s="312" cm="1">
        <f t="array" ref="AE388">_xlfn.XLOOKUP($B388,$B$11:$B$91,_xlfn.XLOOKUP(AE$181,$D$5:$AX$5,$D$11:$AX$91))</f>
        <v>-46.906873056177623</v>
      </c>
      <c r="AF388" s="312" cm="1">
        <f t="array" ref="AF388">_xlfn.XLOOKUP($B388,$B$11:$B$91,_xlfn.XLOOKUP(AF$181,$D$5:$AX$5,$D$11:$AX$91))</f>
        <v>-40.12209165196694</v>
      </c>
      <c r="AG388" s="312"/>
      <c r="AH388" s="310" t="str">
        <f t="shared" si="228"/>
        <v>Tax - New</v>
      </c>
      <c r="AI388" s="311" t="str" cm="1">
        <f t="array" ref="AI388">_xlfn.XLOOKUP($B388,$B$11:$B$91,_xlfn.XLOOKUP(AI$181,$D$5:$AX$5,$D$11:$AX$91))</f>
        <v>A$m</v>
      </c>
      <c r="AJ388" s="311"/>
      <c r="AK388" s="311"/>
      <c r="AL388" s="312" cm="1">
        <f t="array" ref="AL388">_xlfn.XLOOKUP($B388,$B$11:$B$91,_xlfn.XLOOKUP(AL$181,$D$5:$AX$5,$D$11:$AX$91))</f>
        <v>0</v>
      </c>
      <c r="AM388" s="312" cm="1">
        <f t="array" ref="AM388">_xlfn.XLOOKUP($B388,$B$11:$B$91,_xlfn.XLOOKUP(AM$181,$D$5:$AX$5,$D$11:$AX$91))</f>
        <v>-31</v>
      </c>
      <c r="AN388" s="312" cm="1">
        <f t="array" ref="AN388">_xlfn.XLOOKUP($B388,$B$11:$B$91,_xlfn.XLOOKUP(AN$181,$D$5:$AX$5,$D$11:$AX$91))</f>
        <v>-24</v>
      </c>
      <c r="AO388" s="312" cm="1">
        <f t="array" ref="AO388">_xlfn.XLOOKUP($B388,$B$11:$B$91,_xlfn.XLOOKUP(AO$181,$D$5:$AX$5,$D$11:$AX$91))</f>
        <v>-51.5</v>
      </c>
      <c r="AP388" s="312" cm="1">
        <f t="array" ref="AP388">_xlfn.XLOOKUP($B388,$B$11:$B$91,_xlfn.XLOOKUP(AP$181,$D$5:$AX$5,$D$11:$AX$91))</f>
        <v>-58.4</v>
      </c>
      <c r="AQ388" s="312" cm="1">
        <f t="array" ref="AQ388">_xlfn.XLOOKUP($B388,$B$11:$B$91,_xlfn.XLOOKUP(AQ$181,$D$5:$AX$5,$D$11:$AX$91))</f>
        <v>-61.87027037434585</v>
      </c>
      <c r="AR388" s="312" cm="1">
        <f t="array" ref="AR388">_xlfn.XLOOKUP($B388,$B$11:$B$91,_xlfn.XLOOKUP(AR$181,$D$5:$AX$5,$D$11:$AX$91))</f>
        <v>-70.149896360044494</v>
      </c>
      <c r="AS388" s="312" cm="1">
        <f t="array" ref="AS388">_xlfn.XLOOKUP($B388,$B$11:$B$91,_xlfn.XLOOKUP(AS$181,$D$5:$AX$5,$D$11:$AX$91))</f>
        <v>-76.810402931161477</v>
      </c>
      <c r="AT388" s="312" cm="1">
        <f t="array" ref="AT388">_xlfn.XLOOKUP($B388,$B$11:$B$91,_xlfn.XLOOKUP(AT$181,$D$5:$AX$5,$D$11:$AX$91))</f>
        <v>-87.556330544653889</v>
      </c>
      <c r="AU388" s="312" cm="1">
        <f t="array" ref="AU388">_xlfn.XLOOKUP($B388,$B$11:$B$91,_xlfn.XLOOKUP(AU$181,$D$5:$AX$5,$D$11:$AX$91))</f>
        <v>-94.927504224036369</v>
      </c>
      <c r="AV388" s="312" cm="1">
        <f t="array" ref="AV388">_xlfn.XLOOKUP($B388,$B$11:$B$91,_xlfn.XLOOKUP(AV$181,$D$5:$AX$5,$D$11:$AX$91))</f>
        <v>-100.8839579877725</v>
      </c>
      <c r="AW388" s="312" cm="1">
        <f t="array" ref="AW388">_xlfn.XLOOKUP($B388,$B$11:$B$91,_xlfn.XLOOKUP(AW$181,$D$5:$AX$5,$D$11:$AX$91))</f>
        <v>-107.01455632271853</v>
      </c>
      <c r="AX388" s="312" cm="1">
        <f t="array" ref="AX388">_xlfn.XLOOKUP($B388,$B$11:$B$91,_xlfn.XLOOKUP(AX$181,$D$5:$AX$5,$D$11:$AX$91))</f>
        <v>-87.028964708144571</v>
      </c>
    </row>
    <row r="389" spans="2:50" hidden="1" outlineLevel="1">
      <c r="C389" s="313" t="s">
        <v>1121</v>
      </c>
      <c r="D389" s="307" t="s">
        <v>842</v>
      </c>
      <c r="E389" s="307"/>
      <c r="F389" s="307"/>
      <c r="G389" s="314"/>
      <c r="H389" s="314"/>
      <c r="I389" s="314" t="s">
        <v>967</v>
      </c>
      <c r="J389" s="314" t="s">
        <v>967</v>
      </c>
      <c r="K389" s="314">
        <f t="shared" ref="K389:AF389" si="237">K388/I388-1</f>
        <v>-0.26271186440677974</v>
      </c>
      <c r="L389" s="314">
        <f t="shared" si="237"/>
        <v>-0.20312499999999989</v>
      </c>
      <c r="M389" s="314">
        <f t="shared" si="237"/>
        <v>1.7701149425287359</v>
      </c>
      <c r="N389" s="314">
        <f t="shared" si="237"/>
        <v>0.79084967320261423</v>
      </c>
      <c r="O389" s="314">
        <f t="shared" si="237"/>
        <v>0.1203319502074689</v>
      </c>
      <c r="P389" s="314">
        <f t="shared" si="237"/>
        <v>0.14598540145985406</v>
      </c>
      <c r="Q389" s="314">
        <f t="shared" si="237"/>
        <v>0.32855857207638395</v>
      </c>
      <c r="R389" s="314">
        <f t="shared" si="237"/>
        <v>-0.17200035260243696</v>
      </c>
      <c r="S389" s="314">
        <f t="shared" si="237"/>
        <v>3.0278329771647572E-2</v>
      </c>
      <c r="T389" s="314">
        <f t="shared" si="237"/>
        <v>0.27668207543903822</v>
      </c>
      <c r="U389" s="314">
        <f t="shared" si="237"/>
        <v>0.11911583634029488</v>
      </c>
      <c r="V389" s="314">
        <f t="shared" si="237"/>
        <v>6.8036620711565021E-2</v>
      </c>
      <c r="W389" s="314">
        <f t="shared" si="237"/>
        <v>0.13133654524065719</v>
      </c>
      <c r="X389" s="314">
        <f t="shared" si="237"/>
        <v>0.14989495907585604</v>
      </c>
      <c r="Y389" s="314">
        <f t="shared" si="237"/>
        <v>8.0181627382040821E-2</v>
      </c>
      <c r="Z389" s="314">
        <f t="shared" si="237"/>
        <v>8.8786191847971541E-2</v>
      </c>
      <c r="AA389" s="314">
        <f t="shared" si="237"/>
        <v>5.7848509385694191E-2</v>
      </c>
      <c r="AB389" s="314">
        <f t="shared" si="237"/>
        <v>6.8326066376141137E-2</v>
      </c>
      <c r="AC389" s="314">
        <f t="shared" si="237"/>
        <v>5.6783268361110251E-2</v>
      </c>
      <c r="AD389" s="314">
        <f t="shared" si="237"/>
        <v>6.526288932258506E-2</v>
      </c>
      <c r="AE389" s="314">
        <f t="shared" si="237"/>
        <v>-0.16983504391447801</v>
      </c>
      <c r="AF389" s="314">
        <f t="shared" si="237"/>
        <v>-0.20568372042711747</v>
      </c>
      <c r="AG389" s="315"/>
      <c r="AH389" s="313" t="str">
        <f t="shared" si="228"/>
        <v>- Growth</v>
      </c>
      <c r="AI389" s="307" t="str">
        <f>D389</f>
        <v>%</v>
      </c>
      <c r="AJ389" s="307"/>
      <c r="AK389" s="307"/>
      <c r="AL389" s="314" t="s">
        <v>967</v>
      </c>
      <c r="AM389" s="314" t="s">
        <v>967</v>
      </c>
      <c r="AN389" s="314">
        <f t="shared" ref="AN389:AX389" si="238">AN388/AM388-1</f>
        <v>-0.22580645161290325</v>
      </c>
      <c r="AO389" s="314">
        <f t="shared" si="238"/>
        <v>1.1458333333333335</v>
      </c>
      <c r="AP389" s="314">
        <f t="shared" si="238"/>
        <v>0.13398058252427192</v>
      </c>
      <c r="AQ389" s="314">
        <f t="shared" si="238"/>
        <v>5.9422437916881066E-2</v>
      </c>
      <c r="AR389" s="314">
        <f t="shared" si="238"/>
        <v>0.13382236630942135</v>
      </c>
      <c r="AS389" s="314">
        <f t="shared" si="238"/>
        <v>9.4946777069091048E-2</v>
      </c>
      <c r="AT389" s="314">
        <f t="shared" si="238"/>
        <v>0.13990198206775539</v>
      </c>
      <c r="AU389" s="314">
        <f t="shared" si="238"/>
        <v>8.4187786691485078E-2</v>
      </c>
      <c r="AV389" s="314">
        <f t="shared" si="238"/>
        <v>6.2747396683667578E-2</v>
      </c>
      <c r="AW389" s="314">
        <f t="shared" si="238"/>
        <v>6.0768812576614817E-2</v>
      </c>
      <c r="AX389" s="314">
        <f t="shared" si="238"/>
        <v>-0.18675582370593025</v>
      </c>
    </row>
    <row r="390" spans="2:50" collapsed="1">
      <c r="C390" s="313" t="s">
        <v>1122</v>
      </c>
      <c r="D390" s="307" t="s">
        <v>842</v>
      </c>
      <c r="E390" s="307"/>
      <c r="F390" s="307"/>
      <c r="G390" s="314"/>
      <c r="H390" s="314"/>
      <c r="I390" s="314">
        <f t="shared" ref="I390:AF390" si="239" xml:space="preserve"> IFERROR(ROUND( I388 / I387,3) - 1, 0)</f>
        <v>0</v>
      </c>
      <c r="J390" s="314">
        <f t="shared" si="239"/>
        <v>0</v>
      </c>
      <c r="K390" s="314">
        <f t="shared" si="239"/>
        <v>0</v>
      </c>
      <c r="L390" s="314">
        <f t="shared" si="239"/>
        <v>0</v>
      </c>
      <c r="M390" s="314">
        <f t="shared" si="239"/>
        <v>0</v>
      </c>
      <c r="N390" s="314">
        <f t="shared" si="239"/>
        <v>0</v>
      </c>
      <c r="O390" s="314">
        <f t="shared" si="239"/>
        <v>0</v>
      </c>
      <c r="P390" s="314">
        <f t="shared" si="239"/>
        <v>-3.1000000000000028E-2</v>
      </c>
      <c r="Q390" s="314">
        <f t="shared" si="239"/>
        <v>-0.17000000000000004</v>
      </c>
      <c r="R390" s="314">
        <f t="shared" si="239"/>
        <v>-0.32199999999999995</v>
      </c>
      <c r="S390" s="314">
        <f t="shared" si="239"/>
        <v>-0.20399999999999996</v>
      </c>
      <c r="T390" s="314">
        <f t="shared" si="239"/>
        <v>-0.18799999999999994</v>
      </c>
      <c r="U390" s="314">
        <f t="shared" si="239"/>
        <v>3.400000000000003E-2</v>
      </c>
      <c r="V390" s="314">
        <f t="shared" si="239"/>
        <v>2.4000000000000021E-2</v>
      </c>
      <c r="W390" s="314">
        <f t="shared" si="239"/>
        <v>7.8000000000000069E-2</v>
      </c>
      <c r="X390" s="314">
        <f t="shared" si="239"/>
        <v>8.0999999999999961E-2</v>
      </c>
      <c r="Y390" s="314">
        <f t="shared" si="239"/>
        <v>8.6000000000000076E-2</v>
      </c>
      <c r="Z390" s="314">
        <f t="shared" si="239"/>
        <v>9.4000000000000083E-2</v>
      </c>
      <c r="AA390" s="314">
        <f t="shared" si="239"/>
        <v>8.0999999999999961E-2</v>
      </c>
      <c r="AB390" s="314">
        <f t="shared" si="239"/>
        <v>9.2000000000000082E-2</v>
      </c>
      <c r="AC390" s="314">
        <f t="shared" si="239"/>
        <v>0.10099999999999998</v>
      </c>
      <c r="AD390" s="314">
        <f t="shared" si="239"/>
        <v>0.1180000000000001</v>
      </c>
      <c r="AE390" s="314">
        <f t="shared" si="239"/>
        <v>-0.11699999999999999</v>
      </c>
      <c r="AF390" s="314">
        <f t="shared" si="239"/>
        <v>-0.14500000000000002</v>
      </c>
      <c r="AG390" s="314"/>
      <c r="AH390" s="313" t="str">
        <f t="shared" si="228"/>
        <v>- Revision</v>
      </c>
      <c r="AI390" s="307" t="str">
        <f>D390</f>
        <v>%</v>
      </c>
      <c r="AJ390" s="307"/>
      <c r="AK390" s="307"/>
      <c r="AL390" s="314">
        <f t="shared" ref="AL390:AX390" si="240" xml:space="preserve"> IFERROR(ROUND( AL388 / AL387,3) - 1, 0)</f>
        <v>0</v>
      </c>
      <c r="AM390" s="314">
        <f t="shared" si="240"/>
        <v>0</v>
      </c>
      <c r="AN390" s="314">
        <f t="shared" si="240"/>
        <v>0</v>
      </c>
      <c r="AO390" s="314">
        <f t="shared" si="240"/>
        <v>0</v>
      </c>
      <c r="AP390" s="314">
        <f t="shared" si="240"/>
        <v>-1.7000000000000015E-2</v>
      </c>
      <c r="AQ390" s="314">
        <f t="shared" si="240"/>
        <v>-0.24199999999999999</v>
      </c>
      <c r="AR390" s="314">
        <f t="shared" si="240"/>
        <v>-0.19699999999999995</v>
      </c>
      <c r="AS390" s="314">
        <f t="shared" si="240"/>
        <v>2.8999999999999915E-2</v>
      </c>
      <c r="AT390" s="314">
        <f t="shared" si="240"/>
        <v>8.0000000000000071E-2</v>
      </c>
      <c r="AU390" s="314">
        <f t="shared" si="240"/>
        <v>9.000000000000008E-2</v>
      </c>
      <c r="AV390" s="314">
        <f t="shared" si="240"/>
        <v>8.6000000000000076E-2</v>
      </c>
      <c r="AW390" s="314">
        <f t="shared" si="240"/>
        <v>0.10899999999999999</v>
      </c>
      <c r="AX390" s="314">
        <f t="shared" si="240"/>
        <v>-0.13</v>
      </c>
    </row>
    <row r="391" spans="2:50">
      <c r="B391" s="305" t="s">
        <v>1457</v>
      </c>
      <c r="C391" s="706" t="str">
        <f>_xlfn.TEXTAFTER($B391,$C$344)&amp;" - old"</f>
        <v>NPAT from continuing operations before significant items - old</v>
      </c>
      <c r="D391" s="707" t="str" cm="1">
        <f t="array" ref="D391">_xlfn.XLOOKUP($B391,$B$96:$B$176,_xlfn.XLOOKUP(D$181,$D$5:$AX$5,$D$96:$AX$176))</f>
        <v>A$m</v>
      </c>
      <c r="E391" s="307"/>
      <c r="F391" s="307"/>
      <c r="G391" s="708"/>
      <c r="H391" s="708"/>
      <c r="I391" s="708" cm="1">
        <f t="array" ref="I391">_xlfn.XLOOKUP($B391,$B$96:$B$176,_xlfn.XLOOKUP(I$181,$D$5:$AX$5,$D$96:$AX$176))</f>
        <v>47.3</v>
      </c>
      <c r="J391" s="708" cm="1">
        <f t="array" ref="J391">_xlfn.XLOOKUP($B391,$B$96:$B$176,_xlfn.XLOOKUP(J$181,$D$5:$AX$5,$D$96:$AX$176))</f>
        <v>37</v>
      </c>
      <c r="K391" s="708" cm="1">
        <f t="array" ref="K391">_xlfn.XLOOKUP($B391,$B$96:$B$176,_xlfn.XLOOKUP(K$181,$D$5:$AX$5,$D$96:$AX$176))</f>
        <v>17.600000000000001</v>
      </c>
      <c r="L391" s="708" cm="1">
        <f t="array" ref="L391">_xlfn.XLOOKUP($B391,$B$96:$B$176,_xlfn.XLOOKUP(L$181,$D$5:$AX$5,$D$96:$AX$176))</f>
        <v>10.399999999999999</v>
      </c>
      <c r="M391" s="708" cm="1">
        <f t="array" ref="M391">_xlfn.XLOOKUP($B391,$B$96:$B$176,_xlfn.XLOOKUP(M$181,$D$5:$AX$5,$D$96:$AX$176))</f>
        <v>22.1</v>
      </c>
      <c r="N391" s="708" cm="1">
        <f t="array" ref="N391">_xlfn.XLOOKUP($B391,$B$96:$B$176,_xlfn.XLOOKUP(N$181,$D$5:$AX$5,$D$96:$AX$176))</f>
        <v>27.4</v>
      </c>
      <c r="O391" s="708" cm="1">
        <f t="array" ref="O391">_xlfn.XLOOKUP($B391,$B$96:$B$176,_xlfn.XLOOKUP(O$181,$D$5:$AX$5,$D$96:$AX$176))</f>
        <v>35.700000000000003</v>
      </c>
      <c r="P391" s="708" cm="1">
        <f t="array" ref="P391">_xlfn.XLOOKUP($B391,$B$96:$B$176,_xlfn.XLOOKUP(P$181,$D$5:$AX$5,$D$96:$AX$176))</f>
        <v>39.594850854999883</v>
      </c>
      <c r="Q391" s="708" cm="1">
        <f t="array" ref="Q391">_xlfn.XLOOKUP($B391,$B$96:$B$176,_xlfn.XLOOKUP(Q$181,$D$5:$AX$5,$D$96:$AX$176))</f>
        <v>64.813562220594434</v>
      </c>
      <c r="R391" s="708" cm="1">
        <f t="array" ref="R391">_xlfn.XLOOKUP($B391,$B$96:$B$176,_xlfn.XLOOKUP(R$181,$D$5:$AX$5,$D$96:$AX$176))</f>
        <v>52.990055698170096</v>
      </c>
      <c r="S391" s="708" cm="1">
        <f t="array" ref="S391">_xlfn.XLOOKUP($B391,$B$96:$B$176,_xlfn.XLOOKUP(S$181,$D$5:$AX$5,$D$96:$AX$176))</f>
        <v>75.779148678784196</v>
      </c>
      <c r="T391" s="708" cm="1">
        <f t="array" ref="T391">_xlfn.XLOOKUP($B391,$B$96:$B$176,_xlfn.XLOOKUP(T$181,$D$5:$AX$5,$D$96:$AX$176))</f>
        <v>61.34397353381658</v>
      </c>
      <c r="U391" s="708" cm="1">
        <f t="array" ref="U391">_xlfn.XLOOKUP($B391,$B$96:$B$176,_xlfn.XLOOKUP(U$181,$D$5:$AX$5,$D$96:$AX$176))</f>
        <v>93.37031631646569</v>
      </c>
      <c r="V391" s="708" cm="1">
        <f t="array" ref="V391">_xlfn.XLOOKUP($B391,$B$96:$B$176,_xlfn.XLOOKUP(V$181,$D$5:$AX$5,$D$96:$AX$176))</f>
        <v>80.779144932201575</v>
      </c>
      <c r="W391" s="708" cm="1">
        <f t="array" ref="W391">_xlfn.XLOOKUP($B391,$B$96:$B$176,_xlfn.XLOOKUP(W$181,$D$5:$AX$5,$D$96:$AX$176))</f>
        <v>101.25584055015199</v>
      </c>
      <c r="X391" s="708" cm="1">
        <f t="array" ref="X391">_xlfn.XLOOKUP($B391,$B$96:$B$176,_xlfn.XLOOKUP(X$181,$D$5:$AX$5,$D$96:$AX$176))</f>
        <v>87.969127766331525</v>
      </c>
      <c r="Y391" s="708" cm="1">
        <f t="array" ref="Y391">_xlfn.XLOOKUP($B391,$B$96:$B$176,_xlfn.XLOOKUP(Y$181,$D$5:$AX$5,$D$96:$AX$176))</f>
        <v>108.55624405707033</v>
      </c>
      <c r="Z391" s="708" cm="1">
        <f t="array" ref="Z391">_xlfn.XLOOKUP($B391,$B$96:$B$176,_xlfn.XLOOKUP(Z$181,$D$5:$AX$5,$D$96:$AX$176))</f>
        <v>94.644128527758269</v>
      </c>
      <c r="AA391" s="708" cm="1">
        <f t="array" ref="AA391">_xlfn.XLOOKUP($B391,$B$96:$B$176,_xlfn.XLOOKUP(AA$181,$D$5:$AX$5,$D$96:$AX$176))</f>
        <v>115.40432218327604</v>
      </c>
      <c r="AB391" s="708" cm="1">
        <f t="array" ref="AB391">_xlfn.XLOOKUP($B391,$B$96:$B$176,_xlfn.XLOOKUP(AB$181,$D$5:$AX$5,$D$96:$AX$176))</f>
        <v>101.3353149196997</v>
      </c>
      <c r="AC391" s="708" cm="1">
        <f t="array" ref="AC391">_xlfn.XLOOKUP($B391,$B$96:$B$176,_xlfn.XLOOKUP(AC$181,$D$5:$AX$5,$D$96:$AX$176))</f>
        <v>119.74929338241085</v>
      </c>
      <c r="AD391" s="708" cm="1">
        <f t="array" ref="AD391">_xlfn.XLOOKUP($B391,$B$96:$B$176,_xlfn.XLOOKUP(AD$181,$D$5:$AX$5,$D$96:$AX$176))</f>
        <v>105.44199492195969</v>
      </c>
      <c r="AE391" s="708" cm="1">
        <f t="array" ref="AE391">_xlfn.XLOOKUP($B391,$B$96:$B$176,_xlfn.XLOOKUP(AE$181,$D$5:$AX$5,$D$96:$AX$176))</f>
        <v>124.01131582561544</v>
      </c>
      <c r="AF391" s="708" cm="1">
        <f t="array" ref="AF391">_xlfn.XLOOKUP($B391,$B$96:$B$176,_xlfn.XLOOKUP(AF$181,$D$5:$AX$5,$D$96:$AX$176))</f>
        <v>109.43639536082068</v>
      </c>
      <c r="AG391" s="309"/>
      <c r="AH391" s="306" t="str">
        <f t="shared" si="228"/>
        <v>NPAT from continuing operations before significant items - old</v>
      </c>
      <c r="AI391" s="707" t="str" cm="1">
        <f t="array" ref="AI391">_xlfn.XLOOKUP($B391,$B$96:$B$176,_xlfn.XLOOKUP(AI$181,$D$5:$AX$5,$D$96:$AX$176))</f>
        <v>A$m</v>
      </c>
      <c r="AJ391" s="307"/>
      <c r="AK391" s="307"/>
      <c r="AL391" s="708" cm="1">
        <f t="array" ref="AL391">_xlfn.XLOOKUP($B391,$B$96:$B$176,_xlfn.XLOOKUP(AL$181,$D$5:$AX$5,$D$96:$AX$176))</f>
        <v>0</v>
      </c>
      <c r="AM391" s="708" cm="1">
        <f t="array" ref="AM391">_xlfn.XLOOKUP($B391,$B$96:$B$176,_xlfn.XLOOKUP(AM$181,$D$5:$AX$5,$D$96:$AX$176))</f>
        <v>84.3</v>
      </c>
      <c r="AN391" s="708" cm="1">
        <f t="array" ref="AN391">_xlfn.XLOOKUP($B391,$B$96:$B$176,_xlfn.XLOOKUP(AN$181,$D$5:$AX$5,$D$96:$AX$176))</f>
        <v>28</v>
      </c>
      <c r="AO391" s="708" cm="1">
        <f t="array" ref="AO391">_xlfn.XLOOKUP($B391,$B$96:$B$176,_xlfn.XLOOKUP(AO$181,$D$5:$AX$5,$D$96:$AX$176))</f>
        <v>49.5</v>
      </c>
      <c r="AP391" s="708" cm="1">
        <f t="array" ref="AP391">_xlfn.XLOOKUP($B391,$B$96:$B$176,_xlfn.XLOOKUP(AP$181,$D$5:$AX$5,$D$96:$AX$176))</f>
        <v>75.294850854999879</v>
      </c>
      <c r="AQ391" s="708" cm="1">
        <f t="array" ref="AQ391">_xlfn.XLOOKUP($B391,$B$96:$B$176,_xlfn.XLOOKUP(AQ$181,$D$5:$AX$5,$D$96:$AX$176))</f>
        <v>117.80361791876453</v>
      </c>
      <c r="AR391" s="708" cm="1">
        <f t="array" ref="AR391">_xlfn.XLOOKUP($B391,$B$96:$B$176,_xlfn.XLOOKUP(AR$181,$D$5:$AX$5,$D$96:$AX$176))</f>
        <v>137.12312221260078</v>
      </c>
      <c r="AS391" s="708" cm="1">
        <f t="array" ref="AS391">_xlfn.XLOOKUP($B391,$B$96:$B$176,_xlfn.XLOOKUP(AS$181,$D$5:$AX$5,$D$96:$AX$176))</f>
        <v>174.14946124866725</v>
      </c>
      <c r="AT391" s="708" cm="1">
        <f t="array" ref="AT391">_xlfn.XLOOKUP($B391,$B$96:$B$176,_xlfn.XLOOKUP(AT$181,$D$5:$AX$5,$D$96:$AX$176))</f>
        <v>189.22496831648351</v>
      </c>
      <c r="AU391" s="708" cm="1">
        <f t="array" ref="AU391">_xlfn.XLOOKUP($B391,$B$96:$B$176,_xlfn.XLOOKUP(AU$181,$D$5:$AX$5,$D$96:$AX$176))</f>
        <v>203.20037258482859</v>
      </c>
      <c r="AV391" s="708" cm="1">
        <f t="array" ref="AV391">_xlfn.XLOOKUP($B391,$B$96:$B$176,_xlfn.XLOOKUP(AV$181,$D$5:$AX$5,$D$96:$AX$176))</f>
        <v>216.73963710297573</v>
      </c>
      <c r="AW391" s="708" cm="1">
        <f t="array" ref="AW391">_xlfn.XLOOKUP($B391,$B$96:$B$176,_xlfn.XLOOKUP(AW$181,$D$5:$AX$5,$D$96:$AX$176))</f>
        <v>225.19128830437054</v>
      </c>
      <c r="AX391" s="708" cm="1">
        <f t="array" ref="AX391">_xlfn.XLOOKUP($B391,$B$96:$B$176,_xlfn.XLOOKUP(AX$181,$D$5:$AX$5,$D$96:$AX$176))</f>
        <v>233.44771118643612</v>
      </c>
    </row>
    <row r="392" spans="2:50">
      <c r="B392" s="305" t="s">
        <v>1457</v>
      </c>
      <c r="C392" s="318" t="str">
        <f>_xlfn.TEXTAFTER($B392,$C$344)&amp;" - New"</f>
        <v>NPAT from continuing operations before significant items - New</v>
      </c>
      <c r="D392" s="311" t="str" cm="1">
        <f t="array" ref="D392">_xlfn.XLOOKUP($B392,$B$11:$B$91,_xlfn.XLOOKUP(D$181,$D$5:$AX$5,$D$11:$AX$91))</f>
        <v>A$m</v>
      </c>
      <c r="E392" s="311"/>
      <c r="F392" s="311"/>
      <c r="G392" s="312"/>
      <c r="H392" s="312"/>
      <c r="I392" s="312" cm="1">
        <f t="array" ref="I392">_xlfn.XLOOKUP($B392,$B$11:$B$91,_xlfn.XLOOKUP(I$181,$D$5:$AX$5,$D$11:$AX$91))</f>
        <v>47.3</v>
      </c>
      <c r="J392" s="312" cm="1">
        <f t="array" ref="J392">_xlfn.XLOOKUP($B392,$B$11:$B$91,_xlfn.XLOOKUP(J$181,$D$5:$AX$5,$D$11:$AX$91))</f>
        <v>37</v>
      </c>
      <c r="K392" s="312" cm="1">
        <f t="array" ref="K392">_xlfn.XLOOKUP($B392,$B$11:$B$91,_xlfn.XLOOKUP(K$181,$D$5:$AX$5,$D$11:$AX$91))</f>
        <v>17.600000000000001</v>
      </c>
      <c r="L392" s="312" cm="1">
        <f t="array" ref="L392">_xlfn.XLOOKUP($B392,$B$11:$B$91,_xlfn.XLOOKUP(L$181,$D$5:$AX$5,$D$11:$AX$91))</f>
        <v>10.399999999999999</v>
      </c>
      <c r="M392" s="312" cm="1">
        <f t="array" ref="M392">_xlfn.XLOOKUP($B392,$B$11:$B$91,_xlfn.XLOOKUP(M$181,$D$5:$AX$5,$D$11:$AX$91))</f>
        <v>22.1</v>
      </c>
      <c r="N392" s="312" cm="1">
        <f t="array" ref="N392">_xlfn.XLOOKUP($B392,$B$11:$B$91,_xlfn.XLOOKUP(N$181,$D$5:$AX$5,$D$11:$AX$91))</f>
        <v>27.4</v>
      </c>
      <c r="O392" s="312" cm="1">
        <f t="array" ref="O392">_xlfn.XLOOKUP($B392,$B$11:$B$91,_xlfn.XLOOKUP(O$181,$D$5:$AX$5,$D$11:$AX$91))</f>
        <v>35.700000000000003</v>
      </c>
      <c r="P392" s="312" cm="1">
        <f t="array" ref="P392">_xlfn.XLOOKUP($B392,$B$11:$B$91,_xlfn.XLOOKUP(P$181,$D$5:$AX$5,$D$11:$AX$91))</f>
        <v>35.399999999999991</v>
      </c>
      <c r="Q392" s="312" cm="1">
        <f t="array" ref="Q392">_xlfn.XLOOKUP($B392,$B$11:$B$91,_xlfn.XLOOKUP(Q$181,$D$5:$AX$5,$D$11:$AX$91))</f>
        <v>53.806622169093551</v>
      </c>
      <c r="R392" s="312" cm="1">
        <f t="array" ref="R392">_xlfn.XLOOKUP($B392,$B$11:$B$91,_xlfn.XLOOKUP(R$181,$D$5:$AX$5,$D$11:$AX$91))</f>
        <v>35.903641853343856</v>
      </c>
      <c r="S392" s="312" cm="1">
        <f t="array" ref="S392">_xlfn.XLOOKUP($B392,$B$11:$B$91,_xlfn.XLOOKUP(S$181,$D$5:$AX$5,$D$11:$AX$91))</f>
        <v>60.298586013679376</v>
      </c>
      <c r="T392" s="312" cm="1">
        <f t="array" ref="T392">_xlfn.XLOOKUP($B392,$B$11:$B$91,_xlfn.XLOOKUP(T$181,$D$5:$AX$5,$D$11:$AX$91))</f>
        <v>49.789047721038912</v>
      </c>
      <c r="U392" s="312" cm="1">
        <f t="array" ref="U392">_xlfn.XLOOKUP($B392,$B$11:$B$91,_xlfn.XLOOKUP(U$181,$D$5:$AX$5,$D$11:$AX$91))</f>
        <v>67.481102516836003</v>
      </c>
      <c r="V392" s="312" cm="1">
        <f t="array" ref="V392">_xlfn.XLOOKUP($B392,$B$11:$B$91,_xlfn.XLOOKUP(V$181,$D$5:$AX$5,$D$11:$AX$91))</f>
        <v>53.17652627642525</v>
      </c>
      <c r="W392" s="312" cm="1">
        <f t="array" ref="W392">_xlfn.XLOOKUP($B392,$B$11:$B$91,_xlfn.XLOOKUP(W$181,$D$5:$AX$5,$D$11:$AX$91))</f>
        <v>76.343837390427836</v>
      </c>
      <c r="X392" s="312" cm="1">
        <f t="array" ref="X392">_xlfn.XLOOKUP($B392,$B$11:$B$91,_xlfn.XLOOKUP(X$181,$D$5:$AX$5,$D$11:$AX$91))</f>
        <v>61.147419506426196</v>
      </c>
      <c r="Y392" s="312" cm="1">
        <f t="array" ref="Y392">_xlfn.XLOOKUP($B392,$B$11:$B$91,_xlfn.XLOOKUP(Y$181,$D$5:$AX$5,$D$11:$AX$91))</f>
        <v>82.465210512982253</v>
      </c>
      <c r="Z392" s="312" cm="1">
        <f t="array" ref="Z392">_xlfn.XLOOKUP($B392,$B$11:$B$91,_xlfn.XLOOKUP(Z$181,$D$5:$AX$5,$D$11:$AX$91))</f>
        <v>66.576466025732145</v>
      </c>
      <c r="AA392" s="312" cm="1">
        <f t="array" ref="AA392">_xlfn.XLOOKUP($B392,$B$11:$B$91,_xlfn.XLOOKUP(AA$181,$D$5:$AX$5,$D$11:$AX$91))</f>
        <v>87.235700017335745</v>
      </c>
      <c r="AB392" s="312" cm="1">
        <f t="array" ref="AB392">_xlfn.XLOOKUP($B392,$B$11:$B$91,_xlfn.XLOOKUP(AB$181,$D$5:$AX$5,$D$11:$AX$91))</f>
        <v>71.125374062495212</v>
      </c>
      <c r="AC392" s="312" cm="1">
        <f t="array" ref="AC392">_xlfn.XLOOKUP($B392,$B$11:$B$91,_xlfn.XLOOKUP(AC$181,$D$5:$AX$5,$D$11:$AX$91))</f>
        <v>92.189228182089437</v>
      </c>
      <c r="AD392" s="312" cm="1">
        <f t="array" ref="AD392">_xlfn.XLOOKUP($B392,$B$11:$B$91,_xlfn.XLOOKUP(AD$181,$D$5:$AX$5,$D$11:$AX$91))</f>
        <v>75.76722147796329</v>
      </c>
      <c r="AE392" s="312" cm="1">
        <f t="array" ref="AE392">_xlfn.XLOOKUP($B392,$B$11:$B$91,_xlfn.XLOOKUP(AE$181,$D$5:$AX$5,$D$11:$AX$91))</f>
        <v>109.44937046441444</v>
      </c>
      <c r="AF392" s="312" cm="1">
        <f t="array" ref="AF392">_xlfn.XLOOKUP($B392,$B$11:$B$91,_xlfn.XLOOKUP(AF$181,$D$5:$AX$5,$D$11:$AX$91))</f>
        <v>93.618213854589527</v>
      </c>
      <c r="AG392" s="312"/>
      <c r="AH392" s="310" t="str">
        <f t="shared" si="228"/>
        <v>NPAT from continuing operations before significant items - New</v>
      </c>
      <c r="AI392" s="311" t="str" cm="1">
        <f t="array" ref="AI392">_xlfn.XLOOKUP($B392,$B$11:$B$91,_xlfn.XLOOKUP(AI$181,$D$5:$AX$5,$D$11:$AX$91))</f>
        <v>A$m</v>
      </c>
      <c r="AJ392" s="311"/>
      <c r="AK392" s="311"/>
      <c r="AL392" s="312" cm="1">
        <f t="array" ref="AL392">_xlfn.XLOOKUP($B392,$B$11:$B$91,_xlfn.XLOOKUP(AL$181,$D$5:$AX$5,$D$11:$AX$91))</f>
        <v>0</v>
      </c>
      <c r="AM392" s="312" cm="1">
        <f t="array" ref="AM392">_xlfn.XLOOKUP($B392,$B$11:$B$91,_xlfn.XLOOKUP(AM$181,$D$5:$AX$5,$D$11:$AX$91))</f>
        <v>84.3</v>
      </c>
      <c r="AN392" s="312" cm="1">
        <f t="array" ref="AN392">_xlfn.XLOOKUP($B392,$B$11:$B$91,_xlfn.XLOOKUP(AN$181,$D$5:$AX$5,$D$11:$AX$91))</f>
        <v>28</v>
      </c>
      <c r="AO392" s="312" cm="1">
        <f t="array" ref="AO392">_xlfn.XLOOKUP($B392,$B$11:$B$91,_xlfn.XLOOKUP(AO$181,$D$5:$AX$5,$D$11:$AX$91))</f>
        <v>49.5</v>
      </c>
      <c r="AP392" s="312" cm="1">
        <f t="array" ref="AP392">_xlfn.XLOOKUP($B392,$B$11:$B$91,_xlfn.XLOOKUP(AP$181,$D$5:$AX$5,$D$11:$AX$91))</f>
        <v>71.099999999999994</v>
      </c>
      <c r="AQ392" s="312" cm="1">
        <f t="array" ref="AQ392">_xlfn.XLOOKUP($B392,$B$11:$B$91,_xlfn.XLOOKUP(AQ$181,$D$5:$AX$5,$D$11:$AX$91))</f>
        <v>89.7102640224374</v>
      </c>
      <c r="AR392" s="312" cm="1">
        <f t="array" ref="AR392">_xlfn.XLOOKUP($B392,$B$11:$B$91,_xlfn.XLOOKUP(AR$181,$D$5:$AX$5,$D$11:$AX$91))</f>
        <v>110.08763373471828</v>
      </c>
      <c r="AS392" s="312" cm="1">
        <f t="array" ref="AS392">_xlfn.XLOOKUP($B392,$B$11:$B$91,_xlfn.XLOOKUP(AS$181,$D$5:$AX$5,$D$11:$AX$91))</f>
        <v>120.65762879326125</v>
      </c>
      <c r="AT392" s="312" cm="1">
        <f t="array" ref="AT392">_xlfn.XLOOKUP($B392,$B$11:$B$91,_xlfn.XLOOKUP(AT$181,$D$5:$AX$5,$D$11:$AX$91))</f>
        <v>137.49125689685403</v>
      </c>
      <c r="AU392" s="312" cm="1">
        <f t="array" ref="AU392">_xlfn.XLOOKUP($B392,$B$11:$B$91,_xlfn.XLOOKUP(AU$181,$D$5:$AX$5,$D$11:$AX$91))</f>
        <v>149.0416765387144</v>
      </c>
      <c r="AV392" s="312" cm="1">
        <f t="array" ref="AV392">_xlfn.XLOOKUP($B392,$B$11:$B$91,_xlfn.XLOOKUP(AV$181,$D$5:$AX$5,$D$11:$AX$91))</f>
        <v>158.36107407983096</v>
      </c>
      <c r="AW392" s="312" cm="1">
        <f t="array" ref="AW392">_xlfn.XLOOKUP($B392,$B$11:$B$91,_xlfn.XLOOKUP(AW$181,$D$5:$AX$5,$D$11:$AX$91))</f>
        <v>167.95644966005273</v>
      </c>
      <c r="AX392" s="312" cm="1">
        <f t="array" ref="AX392">_xlfn.XLOOKUP($B392,$B$11:$B$91,_xlfn.XLOOKUP(AX$181,$D$5:$AX$5,$D$11:$AX$91))</f>
        <v>203.06758431900397</v>
      </c>
    </row>
    <row r="393" spans="2:50" hidden="1" outlineLevel="1">
      <c r="B393" s="305"/>
      <c r="C393" s="313" t="s">
        <v>1121</v>
      </c>
      <c r="D393" s="307" t="s">
        <v>842</v>
      </c>
      <c r="E393" s="307"/>
      <c r="F393" s="307"/>
      <c r="G393" s="314"/>
      <c r="H393" s="314"/>
      <c r="I393" s="314" t="s">
        <v>967</v>
      </c>
      <c r="J393" s="314" t="s">
        <v>967</v>
      </c>
      <c r="K393" s="314">
        <f t="shared" ref="K393:AF393" si="241">K392/I392-1</f>
        <v>-0.62790697674418605</v>
      </c>
      <c r="L393" s="314">
        <f t="shared" si="241"/>
        <v>-0.7189189189189189</v>
      </c>
      <c r="M393" s="314">
        <f t="shared" si="241"/>
        <v>0.25568181818181812</v>
      </c>
      <c r="N393" s="314">
        <f t="shared" si="241"/>
        <v>1.634615384615385</v>
      </c>
      <c r="O393" s="314">
        <f t="shared" si="241"/>
        <v>0.61538461538461542</v>
      </c>
      <c r="P393" s="314">
        <f t="shared" si="241"/>
        <v>0.29197080291970789</v>
      </c>
      <c r="Q393" s="314">
        <f t="shared" si="241"/>
        <v>0.5071882960530405</v>
      </c>
      <c r="R393" s="314">
        <f t="shared" si="241"/>
        <v>1.4227170998414307E-2</v>
      </c>
      <c r="S393" s="314">
        <f t="shared" si="241"/>
        <v>0.12065362185687989</v>
      </c>
      <c r="T393" s="314">
        <f t="shared" si="241"/>
        <v>0.38674087504585142</v>
      </c>
      <c r="U393" s="314">
        <f t="shared" si="241"/>
        <v>0.11911583634029488</v>
      </c>
      <c r="V393" s="314">
        <f t="shared" si="241"/>
        <v>6.8036620711565021E-2</v>
      </c>
      <c r="W393" s="314">
        <f t="shared" si="241"/>
        <v>0.13133654524065674</v>
      </c>
      <c r="X393" s="314">
        <f t="shared" si="241"/>
        <v>0.14989495907585604</v>
      </c>
      <c r="Y393" s="314">
        <f t="shared" si="241"/>
        <v>8.0181627382041043E-2</v>
      </c>
      <c r="Z393" s="314">
        <f t="shared" si="241"/>
        <v>8.8786191847971541E-2</v>
      </c>
      <c r="AA393" s="314">
        <f t="shared" si="241"/>
        <v>5.7848509385693969E-2</v>
      </c>
      <c r="AB393" s="314">
        <f t="shared" si="241"/>
        <v>6.8326066376140915E-2</v>
      </c>
      <c r="AC393" s="314">
        <f t="shared" si="241"/>
        <v>5.6783268361110251E-2</v>
      </c>
      <c r="AD393" s="314">
        <f t="shared" si="241"/>
        <v>6.5262889322584838E-2</v>
      </c>
      <c r="AE393" s="314">
        <f t="shared" si="241"/>
        <v>0.18722515225133773</v>
      </c>
      <c r="AF393" s="314">
        <f t="shared" si="241"/>
        <v>0.2356031015578175</v>
      </c>
      <c r="AG393" s="315"/>
      <c r="AH393" s="313" t="str">
        <f t="shared" si="228"/>
        <v>- Growth</v>
      </c>
      <c r="AI393" s="307" t="str">
        <f>D393</f>
        <v>%</v>
      </c>
      <c r="AJ393" s="307"/>
      <c r="AK393" s="307"/>
      <c r="AL393" s="314" t="s">
        <v>967</v>
      </c>
      <c r="AM393" s="314" t="s">
        <v>967</v>
      </c>
      <c r="AN393" s="314">
        <f t="shared" ref="AN393:AX393" si="242">AN392/AM392-1</f>
        <v>-0.66785290628706995</v>
      </c>
      <c r="AO393" s="314">
        <f t="shared" si="242"/>
        <v>0.76785714285714279</v>
      </c>
      <c r="AP393" s="314">
        <f t="shared" si="242"/>
        <v>0.43636363636363629</v>
      </c>
      <c r="AQ393" s="314">
        <f t="shared" si="242"/>
        <v>0.26174773589926037</v>
      </c>
      <c r="AR393" s="314">
        <f t="shared" si="242"/>
        <v>0.22714646907275071</v>
      </c>
      <c r="AS393" s="314">
        <f t="shared" si="242"/>
        <v>9.6014372368233847E-2</v>
      </c>
      <c r="AT393" s="314">
        <f t="shared" si="242"/>
        <v>0.13951565493165852</v>
      </c>
      <c r="AU393" s="314">
        <f t="shared" si="242"/>
        <v>8.4008393715721885E-2</v>
      </c>
      <c r="AV393" s="314">
        <f t="shared" si="242"/>
        <v>6.2528802396394134E-2</v>
      </c>
      <c r="AW393" s="314">
        <f t="shared" si="242"/>
        <v>6.0591756124265039E-2</v>
      </c>
      <c r="AX393" s="314">
        <f t="shared" si="242"/>
        <v>0.20904904056984353</v>
      </c>
    </row>
    <row r="394" spans="2:50" collapsed="1">
      <c r="B394" s="305"/>
      <c r="C394" s="313" t="s">
        <v>1122</v>
      </c>
      <c r="D394" s="307" t="s">
        <v>842</v>
      </c>
      <c r="E394" s="307"/>
      <c r="F394" s="307"/>
      <c r="G394" s="314"/>
      <c r="H394" s="314"/>
      <c r="I394" s="314">
        <f t="shared" ref="I394:AF394" si="243" xml:space="preserve"> IFERROR(ROUND( I392 / I391,3) - 1, 0)</f>
        <v>0</v>
      </c>
      <c r="J394" s="314">
        <f t="shared" si="243"/>
        <v>0</v>
      </c>
      <c r="K394" s="314">
        <f t="shared" si="243"/>
        <v>0</v>
      </c>
      <c r="L394" s="314">
        <f t="shared" si="243"/>
        <v>0</v>
      </c>
      <c r="M394" s="314">
        <f t="shared" si="243"/>
        <v>0</v>
      </c>
      <c r="N394" s="314">
        <f t="shared" si="243"/>
        <v>0</v>
      </c>
      <c r="O394" s="314">
        <f t="shared" si="243"/>
        <v>0</v>
      </c>
      <c r="P394" s="314">
        <f t="shared" si="243"/>
        <v>-0.10599999999999998</v>
      </c>
      <c r="Q394" s="314">
        <f t="shared" si="243"/>
        <v>-0.17000000000000004</v>
      </c>
      <c r="R394" s="314">
        <f t="shared" si="243"/>
        <v>-0.32199999999999995</v>
      </c>
      <c r="S394" s="314">
        <f t="shared" si="243"/>
        <v>-0.20399999999999996</v>
      </c>
      <c r="T394" s="314">
        <f t="shared" si="243"/>
        <v>-0.18799999999999994</v>
      </c>
      <c r="U394" s="314">
        <f t="shared" si="243"/>
        <v>-0.27700000000000002</v>
      </c>
      <c r="V394" s="314">
        <f t="shared" si="243"/>
        <v>-0.34199999999999997</v>
      </c>
      <c r="W394" s="314">
        <f t="shared" si="243"/>
        <v>-0.246</v>
      </c>
      <c r="X394" s="314">
        <f t="shared" si="243"/>
        <v>-0.30500000000000005</v>
      </c>
      <c r="Y394" s="314">
        <f t="shared" si="243"/>
        <v>-0.24</v>
      </c>
      <c r="Z394" s="314">
        <f t="shared" si="243"/>
        <v>-0.29700000000000004</v>
      </c>
      <c r="AA394" s="314">
        <f t="shared" si="243"/>
        <v>-0.24399999999999999</v>
      </c>
      <c r="AB394" s="314">
        <f t="shared" si="243"/>
        <v>-0.29800000000000004</v>
      </c>
      <c r="AC394" s="314">
        <f t="shared" si="243"/>
        <v>-0.22999999999999998</v>
      </c>
      <c r="AD394" s="314">
        <f t="shared" si="243"/>
        <v>-0.28100000000000003</v>
      </c>
      <c r="AE394" s="314">
        <f t="shared" si="243"/>
        <v>-0.11699999999999999</v>
      </c>
      <c r="AF394" s="314">
        <f t="shared" si="243"/>
        <v>-0.14500000000000002</v>
      </c>
      <c r="AG394" s="314"/>
      <c r="AH394" s="313" t="str">
        <f t="shared" si="228"/>
        <v>- Revision</v>
      </c>
      <c r="AI394" s="307" t="str">
        <f>D394</f>
        <v>%</v>
      </c>
      <c r="AJ394" s="307"/>
      <c r="AK394" s="307"/>
      <c r="AL394" s="314">
        <f t="shared" ref="AL394:AX394" si="244" xml:space="preserve"> IFERROR(ROUND( AL392 / AL391,3) - 1, 0)</f>
        <v>0</v>
      </c>
      <c r="AM394" s="314">
        <f t="shared" si="244"/>
        <v>0</v>
      </c>
      <c r="AN394" s="314">
        <f t="shared" si="244"/>
        <v>0</v>
      </c>
      <c r="AO394" s="314">
        <f t="shared" si="244"/>
        <v>0</v>
      </c>
      <c r="AP394" s="314">
        <f t="shared" si="244"/>
        <v>-5.600000000000005E-2</v>
      </c>
      <c r="AQ394" s="314">
        <f t="shared" si="244"/>
        <v>-0.23799999999999999</v>
      </c>
      <c r="AR394" s="314">
        <f t="shared" si="244"/>
        <v>-0.19699999999999995</v>
      </c>
      <c r="AS394" s="314">
        <f t="shared" si="244"/>
        <v>-0.30700000000000005</v>
      </c>
      <c r="AT394" s="314">
        <f t="shared" si="244"/>
        <v>-0.27300000000000002</v>
      </c>
      <c r="AU394" s="314">
        <f t="shared" si="244"/>
        <v>-0.26700000000000002</v>
      </c>
      <c r="AV394" s="314">
        <f t="shared" si="244"/>
        <v>-0.26900000000000002</v>
      </c>
      <c r="AW394" s="314">
        <f t="shared" si="244"/>
        <v>-0.254</v>
      </c>
      <c r="AX394" s="314">
        <f t="shared" si="244"/>
        <v>-0.13</v>
      </c>
    </row>
    <row r="395" spans="2:50">
      <c r="B395" s="305" t="s">
        <v>1458</v>
      </c>
      <c r="C395" s="706" t="str">
        <f>_xlfn.TEXTAFTER($B395,$C$344)&amp;" - old"</f>
        <v>Statutory NPAT - old</v>
      </c>
      <c r="D395" s="707" t="str" cm="1">
        <f t="array" ref="D395">_xlfn.XLOOKUP($B395,$B$96:$B$176,_xlfn.XLOOKUP(D$181,$D$5:$AX$5,$D$96:$AX$176))</f>
        <v>A$m</v>
      </c>
      <c r="E395" s="307"/>
      <c r="F395" s="307"/>
      <c r="G395" s="708"/>
      <c r="H395" s="708"/>
      <c r="I395" s="708" cm="1">
        <f t="array" ref="I395">_xlfn.XLOOKUP($B395,$B$96:$B$176,_xlfn.XLOOKUP(I$181,$D$5:$AX$5,$D$96:$AX$176))</f>
        <v>51.7</v>
      </c>
      <c r="J395" s="708" cm="1">
        <f t="array" ref="J395">_xlfn.XLOOKUP($B395,$B$96:$B$176,_xlfn.XLOOKUP(J$181,$D$5:$AX$5,$D$96:$AX$176))</f>
        <v>14.799999999999997</v>
      </c>
      <c r="K395" s="708" cm="1">
        <f t="array" ref="K395">_xlfn.XLOOKUP($B395,$B$96:$B$176,_xlfn.XLOOKUP(K$181,$D$5:$AX$5,$D$96:$AX$176))</f>
        <v>-636.79999999999995</v>
      </c>
      <c r="L395" s="708" cm="1">
        <f t="array" ref="L395">_xlfn.XLOOKUP($B395,$B$96:$B$176,_xlfn.XLOOKUP(L$181,$D$5:$AX$5,$D$96:$AX$176))</f>
        <v>-722.90000000000009</v>
      </c>
      <c r="M395" s="708" cm="1">
        <f t="array" ref="M395">_xlfn.XLOOKUP($B395,$B$96:$B$176,_xlfn.XLOOKUP(M$181,$D$5:$AX$5,$D$96:$AX$176))</f>
        <v>25.3</v>
      </c>
      <c r="N395" s="708" cm="1">
        <f t="array" ref="N395">_xlfn.XLOOKUP($B395,$B$96:$B$176,_xlfn.XLOOKUP(N$181,$D$5:$AX$5,$D$96:$AX$176))</f>
        <v>11.3</v>
      </c>
      <c r="O395" s="708" cm="1">
        <f t="array" ref="O395">_xlfn.XLOOKUP($B395,$B$96:$B$176,_xlfn.XLOOKUP(O$181,$D$5:$AX$5,$D$96:$AX$176))</f>
        <v>21.7</v>
      </c>
      <c r="P395" s="708" cm="1">
        <f t="array" ref="P395">_xlfn.XLOOKUP($B395,$B$96:$B$176,_xlfn.XLOOKUP(P$181,$D$5:$AX$5,$D$96:$AX$176))</f>
        <v>29.594850854999883</v>
      </c>
      <c r="Q395" s="708" cm="1">
        <f t="array" ref="Q395">_xlfn.XLOOKUP($B395,$B$96:$B$176,_xlfn.XLOOKUP(Q$181,$D$5:$AX$5,$D$96:$AX$176))</f>
        <v>54.813562220594434</v>
      </c>
      <c r="R395" s="708" cm="1">
        <f t="array" ref="R395">_xlfn.XLOOKUP($B395,$B$96:$B$176,_xlfn.XLOOKUP(R$181,$D$5:$AX$5,$D$96:$AX$176))</f>
        <v>42.990055698170096</v>
      </c>
      <c r="S395" s="708" cm="1">
        <f t="array" ref="S395">_xlfn.XLOOKUP($B395,$B$96:$B$176,_xlfn.XLOOKUP(S$181,$D$5:$AX$5,$D$96:$AX$176))</f>
        <v>75.779148678784196</v>
      </c>
      <c r="T395" s="708" cm="1">
        <f t="array" ref="T395">_xlfn.XLOOKUP($B395,$B$96:$B$176,_xlfn.XLOOKUP(T$181,$D$5:$AX$5,$D$96:$AX$176))</f>
        <v>61.34397353381658</v>
      </c>
      <c r="U395" s="708" cm="1">
        <f t="array" ref="U395">_xlfn.XLOOKUP($B395,$B$96:$B$176,_xlfn.XLOOKUP(U$181,$D$5:$AX$5,$D$96:$AX$176))</f>
        <v>93.37031631646569</v>
      </c>
      <c r="V395" s="708" cm="1">
        <f t="array" ref="V395">_xlfn.XLOOKUP($B395,$B$96:$B$176,_xlfn.XLOOKUP(V$181,$D$5:$AX$5,$D$96:$AX$176))</f>
        <v>80.779144932201575</v>
      </c>
      <c r="W395" s="708" cm="1">
        <f t="array" ref="W395">_xlfn.XLOOKUP($B395,$B$96:$B$176,_xlfn.XLOOKUP(W$181,$D$5:$AX$5,$D$96:$AX$176))</f>
        <v>101.25584055015199</v>
      </c>
      <c r="X395" s="708" cm="1">
        <f t="array" ref="X395">_xlfn.XLOOKUP($B395,$B$96:$B$176,_xlfn.XLOOKUP(X$181,$D$5:$AX$5,$D$96:$AX$176))</f>
        <v>87.969127766331525</v>
      </c>
      <c r="Y395" s="708" cm="1">
        <f t="array" ref="Y395">_xlfn.XLOOKUP($B395,$B$96:$B$176,_xlfn.XLOOKUP(Y$181,$D$5:$AX$5,$D$96:$AX$176))</f>
        <v>108.55624405707033</v>
      </c>
      <c r="Z395" s="708" cm="1">
        <f t="array" ref="Z395">_xlfn.XLOOKUP($B395,$B$96:$B$176,_xlfn.XLOOKUP(Z$181,$D$5:$AX$5,$D$96:$AX$176))</f>
        <v>94.644128527758269</v>
      </c>
      <c r="AA395" s="708" cm="1">
        <f t="array" ref="AA395">_xlfn.XLOOKUP($B395,$B$96:$B$176,_xlfn.XLOOKUP(AA$181,$D$5:$AX$5,$D$96:$AX$176))</f>
        <v>115.40432218327604</v>
      </c>
      <c r="AB395" s="708" cm="1">
        <f t="array" ref="AB395">_xlfn.XLOOKUP($B395,$B$96:$B$176,_xlfn.XLOOKUP(AB$181,$D$5:$AX$5,$D$96:$AX$176))</f>
        <v>101.3353149196997</v>
      </c>
      <c r="AC395" s="708" cm="1">
        <f t="array" ref="AC395">_xlfn.XLOOKUP($B395,$B$96:$B$176,_xlfn.XLOOKUP(AC$181,$D$5:$AX$5,$D$96:$AX$176))</f>
        <v>119.74929338241085</v>
      </c>
      <c r="AD395" s="708" cm="1">
        <f t="array" ref="AD395">_xlfn.XLOOKUP($B395,$B$96:$B$176,_xlfn.XLOOKUP(AD$181,$D$5:$AX$5,$D$96:$AX$176))</f>
        <v>105.44199492195969</v>
      </c>
      <c r="AE395" s="708" cm="1">
        <f t="array" ref="AE395">_xlfn.XLOOKUP($B395,$B$96:$B$176,_xlfn.XLOOKUP(AE$181,$D$5:$AX$5,$D$96:$AX$176))</f>
        <v>124.01131582561544</v>
      </c>
      <c r="AF395" s="708" cm="1">
        <f t="array" ref="AF395">_xlfn.XLOOKUP($B395,$B$96:$B$176,_xlfn.XLOOKUP(AF$181,$D$5:$AX$5,$D$96:$AX$176))</f>
        <v>109.43639536082068</v>
      </c>
      <c r="AG395" s="309"/>
      <c r="AH395" s="306" t="str">
        <f t="shared" si="228"/>
        <v>Statutory NPAT - old</v>
      </c>
      <c r="AI395" s="707" t="str" cm="1">
        <f t="array" ref="AI395">_xlfn.XLOOKUP($B395,$B$96:$B$176,_xlfn.XLOOKUP(AI$181,$D$5:$AX$5,$D$96:$AX$176))</f>
        <v>A$m</v>
      </c>
      <c r="AJ395" s="307"/>
      <c r="AK395" s="307"/>
      <c r="AL395" s="708" cm="1">
        <f t="array" ref="AL395">_xlfn.XLOOKUP($B395,$B$96:$B$176,_xlfn.XLOOKUP(AL$181,$D$5:$AX$5,$D$96:$AX$176))</f>
        <v>0</v>
      </c>
      <c r="AM395" s="708" cm="1">
        <f t="array" ref="AM395">_xlfn.XLOOKUP($B395,$B$96:$B$176,_xlfn.XLOOKUP(AM$181,$D$5:$AX$5,$D$96:$AX$176))</f>
        <v>66.5</v>
      </c>
      <c r="AN395" s="708" cm="1">
        <f t="array" ref="AN395">_xlfn.XLOOKUP($B395,$B$96:$B$176,_xlfn.XLOOKUP(AN$181,$D$5:$AX$5,$D$96:$AX$176))</f>
        <v>-1359.7</v>
      </c>
      <c r="AO395" s="708" cm="1">
        <f t="array" ref="AO395">_xlfn.XLOOKUP($B395,$B$96:$B$176,_xlfn.XLOOKUP(AO$181,$D$5:$AX$5,$D$96:$AX$176))</f>
        <v>36.6</v>
      </c>
      <c r="AP395" s="708" cm="1">
        <f t="array" ref="AP395">_xlfn.XLOOKUP($B395,$B$96:$B$176,_xlfn.XLOOKUP(AP$181,$D$5:$AX$5,$D$96:$AX$176))</f>
        <v>51.294850854999879</v>
      </c>
      <c r="AQ395" s="708" cm="1">
        <f t="array" ref="AQ395">_xlfn.XLOOKUP($B395,$B$96:$B$176,_xlfn.XLOOKUP(AQ$181,$D$5:$AX$5,$D$96:$AX$176))</f>
        <v>97.80361791876453</v>
      </c>
      <c r="AR395" s="708" cm="1">
        <f t="array" ref="AR395">_xlfn.XLOOKUP($B395,$B$96:$B$176,_xlfn.XLOOKUP(AR$181,$D$5:$AX$5,$D$96:$AX$176))</f>
        <v>137.12312221260078</v>
      </c>
      <c r="AS395" s="708" cm="1">
        <f t="array" ref="AS395">_xlfn.XLOOKUP($B395,$B$96:$B$176,_xlfn.XLOOKUP(AS$181,$D$5:$AX$5,$D$96:$AX$176))</f>
        <v>174.14946124866725</v>
      </c>
      <c r="AT395" s="708" cm="1">
        <f t="array" ref="AT395">_xlfn.XLOOKUP($B395,$B$96:$B$176,_xlfn.XLOOKUP(AT$181,$D$5:$AX$5,$D$96:$AX$176))</f>
        <v>189.22496831648351</v>
      </c>
      <c r="AU395" s="708" cm="1">
        <f t="array" ref="AU395">_xlfn.XLOOKUP($B395,$B$96:$B$176,_xlfn.XLOOKUP(AU$181,$D$5:$AX$5,$D$96:$AX$176))</f>
        <v>203.20037258482859</v>
      </c>
      <c r="AV395" s="708" cm="1">
        <f t="array" ref="AV395">_xlfn.XLOOKUP($B395,$B$96:$B$176,_xlfn.XLOOKUP(AV$181,$D$5:$AX$5,$D$96:$AX$176))</f>
        <v>216.73963710297573</v>
      </c>
      <c r="AW395" s="708" cm="1">
        <f t="array" ref="AW395">_xlfn.XLOOKUP($B395,$B$96:$B$176,_xlfn.XLOOKUP(AW$181,$D$5:$AX$5,$D$96:$AX$176))</f>
        <v>225.19128830437054</v>
      </c>
      <c r="AX395" s="708" cm="1">
        <f t="array" ref="AX395">_xlfn.XLOOKUP($B395,$B$96:$B$176,_xlfn.XLOOKUP(AX$181,$D$5:$AX$5,$D$96:$AX$176))</f>
        <v>233.44771118643612</v>
      </c>
    </row>
    <row r="396" spans="2:50">
      <c r="B396" s="305" t="s">
        <v>1458</v>
      </c>
      <c r="C396" s="318" t="str">
        <f>_xlfn.TEXTAFTER($B396,$C$344)&amp;" - New"</f>
        <v>Statutory NPAT - New</v>
      </c>
      <c r="D396" s="311" t="str" cm="1">
        <f t="array" ref="D396">_xlfn.XLOOKUP($B396,$B$11:$B$91,_xlfn.XLOOKUP(D$181,$D$5:$AX$5,$D$11:$AX$91))</f>
        <v>A$m</v>
      </c>
      <c r="E396" s="311"/>
      <c r="F396" s="311"/>
      <c r="G396" s="312"/>
      <c r="H396" s="312"/>
      <c r="I396" s="312" cm="1">
        <f t="array" ref="I396">_xlfn.XLOOKUP($B396,$B$11:$B$91,_xlfn.XLOOKUP(I$181,$D$5:$AX$5,$D$11:$AX$91))</f>
        <v>51.7</v>
      </c>
      <c r="J396" s="312" cm="1">
        <f t="array" ref="J396">_xlfn.XLOOKUP($B396,$B$11:$B$91,_xlfn.XLOOKUP(J$181,$D$5:$AX$5,$D$11:$AX$91))</f>
        <v>14.799999999999997</v>
      </c>
      <c r="K396" s="312" cm="1">
        <f t="array" ref="K396">_xlfn.XLOOKUP($B396,$B$11:$B$91,_xlfn.XLOOKUP(K$181,$D$5:$AX$5,$D$11:$AX$91))</f>
        <v>-636.79999999999995</v>
      </c>
      <c r="L396" s="312" cm="1">
        <f t="array" ref="L396">_xlfn.XLOOKUP($B396,$B$11:$B$91,_xlfn.XLOOKUP(L$181,$D$5:$AX$5,$D$11:$AX$91))</f>
        <v>-722.90000000000009</v>
      </c>
      <c r="M396" s="312" cm="1">
        <f t="array" ref="M396">_xlfn.XLOOKUP($B396,$B$11:$B$91,_xlfn.XLOOKUP(M$181,$D$5:$AX$5,$D$11:$AX$91))</f>
        <v>25.3</v>
      </c>
      <c r="N396" s="312" cm="1">
        <f t="array" ref="N396">_xlfn.XLOOKUP($B396,$B$11:$B$91,_xlfn.XLOOKUP(N$181,$D$5:$AX$5,$D$11:$AX$91))</f>
        <v>11.3</v>
      </c>
      <c r="O396" s="312" cm="1">
        <f t="array" ref="O396">_xlfn.XLOOKUP($B396,$B$11:$B$91,_xlfn.XLOOKUP(O$181,$D$5:$AX$5,$D$11:$AX$91))</f>
        <v>21.7</v>
      </c>
      <c r="P396" s="312" cm="1">
        <f t="array" ref="P396">_xlfn.XLOOKUP($B396,$B$11:$B$91,_xlfn.XLOOKUP(P$181,$D$5:$AX$5,$D$11:$AX$91))</f>
        <v>24.599999999999998</v>
      </c>
      <c r="Q396" s="312" cm="1">
        <f t="array" ref="Q396">_xlfn.XLOOKUP($B396,$B$11:$B$91,_xlfn.XLOOKUP(Q$181,$D$5:$AX$5,$D$11:$AX$91))</f>
        <v>39.806622169093551</v>
      </c>
      <c r="R396" s="312" cm="1">
        <f t="array" ref="R396">_xlfn.XLOOKUP($B396,$B$11:$B$91,_xlfn.XLOOKUP(R$181,$D$5:$AX$5,$D$11:$AX$91))</f>
        <v>12.903641853343856</v>
      </c>
      <c r="S396" s="312" cm="1">
        <f t="array" ref="S396">_xlfn.XLOOKUP($B396,$B$11:$B$91,_xlfn.XLOOKUP(S$181,$D$5:$AX$5,$D$11:$AX$91))</f>
        <v>55.298586013679376</v>
      </c>
      <c r="T396" s="312" cm="1">
        <f t="array" ref="T396">_xlfn.XLOOKUP($B396,$B$11:$B$91,_xlfn.XLOOKUP(T$181,$D$5:$AX$5,$D$11:$AX$91))</f>
        <v>49.789047721038912</v>
      </c>
      <c r="U396" s="312" cm="1">
        <f t="array" ref="U396">_xlfn.XLOOKUP($B396,$B$11:$B$91,_xlfn.XLOOKUP(U$181,$D$5:$AX$5,$D$11:$AX$91))</f>
        <v>67.481102516836003</v>
      </c>
      <c r="V396" s="312" cm="1">
        <f t="array" ref="V396">_xlfn.XLOOKUP($B396,$B$11:$B$91,_xlfn.XLOOKUP(V$181,$D$5:$AX$5,$D$11:$AX$91))</f>
        <v>53.17652627642525</v>
      </c>
      <c r="W396" s="312" cm="1">
        <f t="array" ref="W396">_xlfn.XLOOKUP($B396,$B$11:$B$91,_xlfn.XLOOKUP(W$181,$D$5:$AX$5,$D$11:$AX$91))</f>
        <v>76.343837390427836</v>
      </c>
      <c r="X396" s="312" cm="1">
        <f t="array" ref="X396">_xlfn.XLOOKUP($B396,$B$11:$B$91,_xlfn.XLOOKUP(X$181,$D$5:$AX$5,$D$11:$AX$91))</f>
        <v>61.147419506426196</v>
      </c>
      <c r="Y396" s="312" cm="1">
        <f t="array" ref="Y396">_xlfn.XLOOKUP($B396,$B$11:$B$91,_xlfn.XLOOKUP(Y$181,$D$5:$AX$5,$D$11:$AX$91))</f>
        <v>82.465210512982253</v>
      </c>
      <c r="Z396" s="312" cm="1">
        <f t="array" ref="Z396">_xlfn.XLOOKUP($B396,$B$11:$B$91,_xlfn.XLOOKUP(Z$181,$D$5:$AX$5,$D$11:$AX$91))</f>
        <v>66.576466025732145</v>
      </c>
      <c r="AA396" s="312" cm="1">
        <f t="array" ref="AA396">_xlfn.XLOOKUP($B396,$B$11:$B$91,_xlfn.XLOOKUP(AA$181,$D$5:$AX$5,$D$11:$AX$91))</f>
        <v>87.235700017335745</v>
      </c>
      <c r="AB396" s="312" cm="1">
        <f t="array" ref="AB396">_xlfn.XLOOKUP($B396,$B$11:$B$91,_xlfn.XLOOKUP(AB$181,$D$5:$AX$5,$D$11:$AX$91))</f>
        <v>71.125374062495212</v>
      </c>
      <c r="AC396" s="312" cm="1">
        <f t="array" ref="AC396">_xlfn.XLOOKUP($B396,$B$11:$B$91,_xlfn.XLOOKUP(AC$181,$D$5:$AX$5,$D$11:$AX$91))</f>
        <v>92.189228182089437</v>
      </c>
      <c r="AD396" s="312" cm="1">
        <f t="array" ref="AD396">_xlfn.XLOOKUP($B396,$B$11:$B$91,_xlfn.XLOOKUP(AD$181,$D$5:$AX$5,$D$11:$AX$91))</f>
        <v>75.76722147796329</v>
      </c>
      <c r="AE396" s="312" cm="1">
        <f t="array" ref="AE396">_xlfn.XLOOKUP($B396,$B$11:$B$91,_xlfn.XLOOKUP(AE$181,$D$5:$AX$5,$D$11:$AX$91))</f>
        <v>109.44937046441444</v>
      </c>
      <c r="AF396" s="312" cm="1">
        <f t="array" ref="AF396">_xlfn.XLOOKUP($B396,$B$11:$B$91,_xlfn.XLOOKUP(AF$181,$D$5:$AX$5,$D$11:$AX$91))</f>
        <v>93.618213854589527</v>
      </c>
      <c r="AG396" s="312"/>
      <c r="AH396" s="310" t="str">
        <f t="shared" si="228"/>
        <v>Statutory NPAT - New</v>
      </c>
      <c r="AI396" s="311" t="str" cm="1">
        <f t="array" ref="AI396">_xlfn.XLOOKUP($B396,$B$11:$B$91,_xlfn.XLOOKUP(AI$181,$D$5:$AX$5,$D$11:$AX$91))</f>
        <v>A$m</v>
      </c>
      <c r="AJ396" s="311"/>
      <c r="AK396" s="311"/>
      <c r="AL396" s="312" cm="1">
        <f t="array" ref="AL396">_xlfn.XLOOKUP($B396,$B$11:$B$91,_xlfn.XLOOKUP(AL$181,$D$5:$AX$5,$D$11:$AX$91))</f>
        <v>0</v>
      </c>
      <c r="AM396" s="312" cm="1">
        <f t="array" ref="AM396">_xlfn.XLOOKUP($B396,$B$11:$B$91,_xlfn.XLOOKUP(AM$181,$D$5:$AX$5,$D$11:$AX$91))</f>
        <v>66.5</v>
      </c>
      <c r="AN396" s="312" cm="1">
        <f t="array" ref="AN396">_xlfn.XLOOKUP($B396,$B$11:$B$91,_xlfn.XLOOKUP(AN$181,$D$5:$AX$5,$D$11:$AX$91))</f>
        <v>-1359.7</v>
      </c>
      <c r="AO396" s="312" cm="1">
        <f t="array" ref="AO396">_xlfn.XLOOKUP($B396,$B$11:$B$91,_xlfn.XLOOKUP(AO$181,$D$5:$AX$5,$D$11:$AX$91))</f>
        <v>36.6</v>
      </c>
      <c r="AP396" s="312" cm="1">
        <f t="array" ref="AP396">_xlfn.XLOOKUP($B396,$B$11:$B$91,_xlfn.XLOOKUP(AP$181,$D$5:$AX$5,$D$11:$AX$91))</f>
        <v>46.3</v>
      </c>
      <c r="AQ396" s="312" cm="1">
        <f t="array" ref="AQ396">_xlfn.XLOOKUP($B396,$B$11:$B$91,_xlfn.XLOOKUP(AQ$181,$D$5:$AX$5,$D$11:$AX$91))</f>
        <v>52.710264022437407</v>
      </c>
      <c r="AR396" s="312" cm="1">
        <f t="array" ref="AR396">_xlfn.XLOOKUP($B396,$B$11:$B$91,_xlfn.XLOOKUP(AR$181,$D$5:$AX$5,$D$11:$AX$91))</f>
        <v>105.08763373471828</v>
      </c>
      <c r="AS396" s="312" cm="1">
        <f t="array" ref="AS396">_xlfn.XLOOKUP($B396,$B$11:$B$91,_xlfn.XLOOKUP(AS$181,$D$5:$AX$5,$D$11:$AX$91))</f>
        <v>120.65762879326125</v>
      </c>
      <c r="AT396" s="312" cm="1">
        <f t="array" ref="AT396">_xlfn.XLOOKUP($B396,$B$11:$B$91,_xlfn.XLOOKUP(AT$181,$D$5:$AX$5,$D$11:$AX$91))</f>
        <v>137.49125689685403</v>
      </c>
      <c r="AU396" s="312" cm="1">
        <f t="array" ref="AU396">_xlfn.XLOOKUP($B396,$B$11:$B$91,_xlfn.XLOOKUP(AU$181,$D$5:$AX$5,$D$11:$AX$91))</f>
        <v>149.0416765387144</v>
      </c>
      <c r="AV396" s="312" cm="1">
        <f t="array" ref="AV396">_xlfn.XLOOKUP($B396,$B$11:$B$91,_xlfn.XLOOKUP(AV$181,$D$5:$AX$5,$D$11:$AX$91))</f>
        <v>158.36107407983096</v>
      </c>
      <c r="AW396" s="312" cm="1">
        <f t="array" ref="AW396">_xlfn.XLOOKUP($B396,$B$11:$B$91,_xlfn.XLOOKUP(AW$181,$D$5:$AX$5,$D$11:$AX$91))</f>
        <v>167.95644966005273</v>
      </c>
      <c r="AX396" s="312" cm="1">
        <f t="array" ref="AX396">_xlfn.XLOOKUP($B396,$B$11:$B$91,_xlfn.XLOOKUP(AX$181,$D$5:$AX$5,$D$11:$AX$91))</f>
        <v>203.06758431900397</v>
      </c>
    </row>
    <row r="397" spans="2:50" hidden="1" outlineLevel="1">
      <c r="B397" s="305"/>
      <c r="C397" s="313" t="s">
        <v>1121</v>
      </c>
      <c r="D397" s="307" t="s">
        <v>842</v>
      </c>
      <c r="E397" s="307"/>
      <c r="F397" s="307"/>
      <c r="G397" s="314"/>
      <c r="H397" s="314"/>
      <c r="I397" s="314" t="s">
        <v>967</v>
      </c>
      <c r="J397" s="314" t="s">
        <v>967</v>
      </c>
      <c r="K397" s="314">
        <f t="shared" ref="K397:AF397" si="245">K396/I396-1</f>
        <v>-13.317214700193421</v>
      </c>
      <c r="L397" s="314">
        <f t="shared" si="245"/>
        <v>-49.844594594594611</v>
      </c>
      <c r="M397" s="314">
        <f t="shared" si="245"/>
        <v>-1.0397298994974875</v>
      </c>
      <c r="N397" s="314">
        <f t="shared" si="245"/>
        <v>-1.0156314842993499</v>
      </c>
      <c r="O397" s="314">
        <f t="shared" si="245"/>
        <v>-0.14229249011857714</v>
      </c>
      <c r="P397" s="314">
        <f t="shared" si="245"/>
        <v>1.1769911504424777</v>
      </c>
      <c r="Q397" s="314">
        <f t="shared" si="245"/>
        <v>0.83440655157113142</v>
      </c>
      <c r="R397" s="314">
        <f t="shared" si="245"/>
        <v>-0.47546171327870501</v>
      </c>
      <c r="S397" s="314">
        <f t="shared" si="245"/>
        <v>0.38918056846868088</v>
      </c>
      <c r="T397" s="314">
        <f t="shared" si="245"/>
        <v>2.858526785454492</v>
      </c>
      <c r="U397" s="314">
        <f t="shared" si="245"/>
        <v>0.22030430398605483</v>
      </c>
      <c r="V397" s="314">
        <f t="shared" si="245"/>
        <v>6.8036620711565021E-2</v>
      </c>
      <c r="W397" s="314">
        <f t="shared" si="245"/>
        <v>0.13133654524065674</v>
      </c>
      <c r="X397" s="314">
        <f t="shared" si="245"/>
        <v>0.14989495907585604</v>
      </c>
      <c r="Y397" s="314">
        <f t="shared" si="245"/>
        <v>8.0181627382041043E-2</v>
      </c>
      <c r="Z397" s="314">
        <f t="shared" si="245"/>
        <v>8.8786191847971541E-2</v>
      </c>
      <c r="AA397" s="314">
        <f t="shared" si="245"/>
        <v>5.7848509385693969E-2</v>
      </c>
      <c r="AB397" s="314">
        <f t="shared" si="245"/>
        <v>6.8326066376140915E-2</v>
      </c>
      <c r="AC397" s="314">
        <f t="shared" si="245"/>
        <v>5.6783268361110251E-2</v>
      </c>
      <c r="AD397" s="314">
        <f t="shared" si="245"/>
        <v>6.5262889322584838E-2</v>
      </c>
      <c r="AE397" s="314">
        <f t="shared" si="245"/>
        <v>0.18722515225133773</v>
      </c>
      <c r="AF397" s="314">
        <f t="shared" si="245"/>
        <v>0.2356031015578175</v>
      </c>
      <c r="AG397" s="315"/>
      <c r="AH397" s="313" t="str">
        <f t="shared" si="228"/>
        <v>- Growth</v>
      </c>
      <c r="AI397" s="307" t="str">
        <f>D397</f>
        <v>%</v>
      </c>
      <c r="AJ397" s="307"/>
      <c r="AK397" s="307"/>
      <c r="AL397" s="314" t="s">
        <v>967</v>
      </c>
      <c r="AM397" s="314" t="s">
        <v>967</v>
      </c>
      <c r="AN397" s="314">
        <f t="shared" ref="AN397:AX397" si="246">AN396/AM396-1</f>
        <v>-21.446616541353386</v>
      </c>
      <c r="AO397" s="314">
        <f t="shared" si="246"/>
        <v>-1.0269177024343605</v>
      </c>
      <c r="AP397" s="314">
        <f t="shared" si="246"/>
        <v>0.26502732240437155</v>
      </c>
      <c r="AQ397" s="314">
        <f t="shared" si="246"/>
        <v>0.13845062683450138</v>
      </c>
      <c r="AR397" s="314">
        <f t="shared" si="246"/>
        <v>0.9936844499580797</v>
      </c>
      <c r="AS397" s="314">
        <f t="shared" si="246"/>
        <v>0.14816201017379127</v>
      </c>
      <c r="AT397" s="314">
        <f t="shared" si="246"/>
        <v>0.13951565493165852</v>
      </c>
      <c r="AU397" s="314">
        <f t="shared" si="246"/>
        <v>8.4008393715721885E-2</v>
      </c>
      <c r="AV397" s="314">
        <f t="shared" si="246"/>
        <v>6.2528802396394134E-2</v>
      </c>
      <c r="AW397" s="314">
        <f t="shared" si="246"/>
        <v>6.0591756124265039E-2</v>
      </c>
      <c r="AX397" s="314">
        <f t="shared" si="246"/>
        <v>0.20904904056984353</v>
      </c>
    </row>
    <row r="398" spans="2:50" collapsed="1">
      <c r="B398" s="305"/>
      <c r="C398" s="313" t="s">
        <v>1122</v>
      </c>
      <c r="D398" s="307" t="s">
        <v>842</v>
      </c>
      <c r="E398" s="307"/>
      <c r="F398" s="307"/>
      <c r="G398" s="314"/>
      <c r="H398" s="314"/>
      <c r="I398" s="314">
        <f t="shared" ref="I398:AF398" si="247" xml:space="preserve"> IFERROR(ROUND( I396 / I395,3) - 1, 0)</f>
        <v>0</v>
      </c>
      <c r="J398" s="314">
        <f t="shared" si="247"/>
        <v>0</v>
      </c>
      <c r="K398" s="314">
        <f t="shared" si="247"/>
        <v>0</v>
      </c>
      <c r="L398" s="314">
        <f t="shared" si="247"/>
        <v>0</v>
      </c>
      <c r="M398" s="314">
        <f t="shared" si="247"/>
        <v>0</v>
      </c>
      <c r="N398" s="314">
        <f t="shared" si="247"/>
        <v>0</v>
      </c>
      <c r="O398" s="314">
        <f t="shared" si="247"/>
        <v>0</v>
      </c>
      <c r="P398" s="314">
        <f t="shared" si="247"/>
        <v>-0.16900000000000004</v>
      </c>
      <c r="Q398" s="314">
        <f t="shared" si="247"/>
        <v>-0.27400000000000002</v>
      </c>
      <c r="R398" s="314">
        <f t="shared" si="247"/>
        <v>-0.7</v>
      </c>
      <c r="S398" s="314">
        <f t="shared" si="247"/>
        <v>-0.27</v>
      </c>
      <c r="T398" s="314">
        <f t="shared" si="247"/>
        <v>-0.18799999999999994</v>
      </c>
      <c r="U398" s="314">
        <f t="shared" si="247"/>
        <v>-0.27700000000000002</v>
      </c>
      <c r="V398" s="314">
        <f t="shared" si="247"/>
        <v>-0.34199999999999997</v>
      </c>
      <c r="W398" s="314">
        <f t="shared" si="247"/>
        <v>-0.246</v>
      </c>
      <c r="X398" s="314">
        <f t="shared" si="247"/>
        <v>-0.30500000000000005</v>
      </c>
      <c r="Y398" s="314">
        <f t="shared" si="247"/>
        <v>-0.24</v>
      </c>
      <c r="Z398" s="314">
        <f t="shared" si="247"/>
        <v>-0.29700000000000004</v>
      </c>
      <c r="AA398" s="314">
        <f t="shared" si="247"/>
        <v>-0.24399999999999999</v>
      </c>
      <c r="AB398" s="314">
        <f t="shared" si="247"/>
        <v>-0.29800000000000004</v>
      </c>
      <c r="AC398" s="314">
        <f t="shared" si="247"/>
        <v>-0.22999999999999998</v>
      </c>
      <c r="AD398" s="314">
        <f t="shared" si="247"/>
        <v>-0.28100000000000003</v>
      </c>
      <c r="AE398" s="314">
        <f t="shared" si="247"/>
        <v>-0.11699999999999999</v>
      </c>
      <c r="AF398" s="314">
        <f t="shared" si="247"/>
        <v>-0.14500000000000002</v>
      </c>
      <c r="AG398" s="314"/>
      <c r="AH398" s="313" t="str">
        <f t="shared" si="228"/>
        <v>- Revision</v>
      </c>
      <c r="AI398" s="307" t="str">
        <f>D398</f>
        <v>%</v>
      </c>
      <c r="AJ398" s="307"/>
      <c r="AK398" s="307"/>
      <c r="AL398" s="314">
        <f t="shared" ref="AL398:AX398" si="248" xml:space="preserve"> IFERROR(ROUND( AL396 / AL395,3) - 1, 0)</f>
        <v>0</v>
      </c>
      <c r="AM398" s="314">
        <f t="shared" si="248"/>
        <v>0</v>
      </c>
      <c r="AN398" s="314">
        <f t="shared" si="248"/>
        <v>0</v>
      </c>
      <c r="AO398" s="314">
        <f t="shared" si="248"/>
        <v>0</v>
      </c>
      <c r="AP398" s="314">
        <f t="shared" si="248"/>
        <v>-9.6999999999999975E-2</v>
      </c>
      <c r="AQ398" s="314">
        <f t="shared" si="248"/>
        <v>-0.46099999999999997</v>
      </c>
      <c r="AR398" s="314">
        <f t="shared" si="248"/>
        <v>-0.23399999999999999</v>
      </c>
      <c r="AS398" s="314">
        <f t="shared" si="248"/>
        <v>-0.30700000000000005</v>
      </c>
      <c r="AT398" s="314">
        <f t="shared" si="248"/>
        <v>-0.27300000000000002</v>
      </c>
      <c r="AU398" s="314">
        <f t="shared" si="248"/>
        <v>-0.26700000000000002</v>
      </c>
      <c r="AV398" s="314">
        <f t="shared" si="248"/>
        <v>-0.26900000000000002</v>
      </c>
      <c r="AW398" s="314">
        <f t="shared" si="248"/>
        <v>-0.254</v>
      </c>
      <c r="AX398" s="314">
        <f t="shared" si="248"/>
        <v>-0.13</v>
      </c>
    </row>
    <row r="399" spans="2:50" s="704" customFormat="1">
      <c r="B399" s="705" t="s">
        <v>1459</v>
      </c>
      <c r="C399" s="706" t="str">
        <f>_xlfn.TEXTAFTER($B399,$C$344)&amp;" - old"</f>
        <v>EPS (statutory) - old</v>
      </c>
      <c r="D399" s="707" t="str" cm="1">
        <f t="array" ref="D399">_xlfn.XLOOKUP($B399,$B$96:$B$176,_xlfn.XLOOKUP(D$181,$D$5:$AX$5,$D$96:$AX$176))</f>
        <v>cps</v>
      </c>
      <c r="E399" s="707"/>
      <c r="F399" s="707"/>
      <c r="G399" s="720"/>
      <c r="H399" s="720"/>
      <c r="I399" s="720" cm="1">
        <f t="array" ref="I399">_xlfn.XLOOKUP($B399,$B$96:$B$176,_xlfn.XLOOKUP(I$181,$D$5:$AX$5,$D$96:$AX$176))</f>
        <v>2.2999999999999998</v>
      </c>
      <c r="J399" s="720" cm="1">
        <f t="array" ref="J399">_xlfn.XLOOKUP($B399,$B$96:$B$176,_xlfn.XLOOKUP(J$181,$D$5:$AX$5,$D$96:$AX$176))</f>
        <v>0.60000000000000009</v>
      </c>
      <c r="K399" s="720" cm="1">
        <f t="array" ref="K399">_xlfn.XLOOKUP($B399,$B$96:$B$176,_xlfn.XLOOKUP(K$181,$D$5:$AX$5,$D$96:$AX$176))</f>
        <v>-28.2</v>
      </c>
      <c r="L399" s="720" cm="1">
        <f t="array" ref="L399">_xlfn.XLOOKUP($B399,$B$96:$B$176,_xlfn.XLOOKUP(L$181,$D$5:$AX$5,$D$96:$AX$176))</f>
        <v>-31.400000000000002</v>
      </c>
      <c r="M399" s="720" cm="1">
        <f t="array" ref="M399">_xlfn.XLOOKUP($B399,$B$96:$B$176,_xlfn.XLOOKUP(M$181,$D$5:$AX$5,$D$96:$AX$176))</f>
        <v>1.1000000000000001</v>
      </c>
      <c r="N399" s="720" cm="1">
        <f t="array" ref="N399">_xlfn.XLOOKUP($B399,$B$96:$B$176,_xlfn.XLOOKUP(N$181,$D$5:$AX$5,$D$96:$AX$176))</f>
        <v>0.5</v>
      </c>
      <c r="O399" s="720" cm="1">
        <f t="array" ref="O399">_xlfn.XLOOKUP($B399,$B$96:$B$176,_xlfn.XLOOKUP(O$181,$D$5:$AX$5,$D$96:$AX$176))</f>
        <v>0.9</v>
      </c>
      <c r="P399" s="720" cm="1">
        <f t="array" ref="P399">_xlfn.XLOOKUP($B399,$B$96:$B$176,_xlfn.XLOOKUP(P$181,$D$5:$AX$5,$D$96:$AX$176))</f>
        <v>1.2928032000262051</v>
      </c>
      <c r="Q399" s="720" cm="1">
        <f t="array" ref="Q399">_xlfn.XLOOKUP($B399,$B$96:$B$176,_xlfn.XLOOKUP(Q$181,$D$5:$AX$5,$D$96:$AX$176))</f>
        <v>2.394441823370367</v>
      </c>
      <c r="R399" s="720" cm="1">
        <f t="array" ref="R399">_xlfn.XLOOKUP($B399,$B$96:$B$176,_xlfn.XLOOKUP(R$181,$D$5:$AX$5,$D$96:$AX$176))</f>
        <v>1.8779510614262667</v>
      </c>
      <c r="S399" s="720" cm="1">
        <f t="array" ref="S399">_xlfn.XLOOKUP($B399,$B$96:$B$176,_xlfn.XLOOKUP(S$181,$D$5:$AX$5,$D$96:$AX$176))</f>
        <v>3.3102895631130611</v>
      </c>
      <c r="T399" s="720" cm="1">
        <f t="array" ref="T399">_xlfn.XLOOKUP($B399,$B$96:$B$176,_xlfn.XLOOKUP(T$181,$D$5:$AX$5,$D$96:$AX$176))</f>
        <v>2.6797122808761396</v>
      </c>
      <c r="U399" s="720" cm="1">
        <f t="array" ref="U399">_xlfn.XLOOKUP($B399,$B$96:$B$176,_xlfn.XLOOKUP(U$181,$D$5:$AX$5,$D$96:$AX$176))</f>
        <v>4.0787312736530534</v>
      </c>
      <c r="V399" s="720" cm="1">
        <f t="array" ref="V399">_xlfn.XLOOKUP($B399,$B$96:$B$176,_xlfn.XLOOKUP(V$181,$D$5:$AX$5,$D$96:$AX$176))</f>
        <v>3.528706313655495</v>
      </c>
      <c r="W399" s="720" cm="1">
        <f t="array" ref="W399">_xlfn.XLOOKUP($B399,$B$96:$B$176,_xlfn.XLOOKUP(W$181,$D$5:$AX$5,$D$96:$AX$176))</f>
        <v>4.4231976476564743</v>
      </c>
      <c r="X399" s="720" cm="1">
        <f t="array" ref="X399">_xlfn.XLOOKUP($B399,$B$96:$B$176,_xlfn.XLOOKUP(X$181,$D$5:$AX$5,$D$96:$AX$176))</f>
        <v>3.8427890864202139</v>
      </c>
      <c r="Y399" s="720" cm="1">
        <f t="array" ref="Y399">_xlfn.XLOOKUP($B399,$B$96:$B$176,_xlfn.XLOOKUP(Y$181,$D$5:$AX$5,$D$96:$AX$176))</f>
        <v>4.7421039689441873</v>
      </c>
      <c r="Z399" s="720" cm="1">
        <f t="array" ref="Z399">_xlfn.XLOOKUP($B399,$B$96:$B$176,_xlfn.XLOOKUP(Z$181,$D$5:$AX$5,$D$96:$AX$176))</f>
        <v>4.134375700146701</v>
      </c>
      <c r="AA399" s="720" cm="1">
        <f t="array" ref="AA399">_xlfn.XLOOKUP($B399,$B$96:$B$176,_xlfn.XLOOKUP(AA$181,$D$5:$AX$5,$D$96:$AX$176))</f>
        <v>5.0412511874574548</v>
      </c>
      <c r="AB399" s="720" cm="1">
        <f t="array" ref="AB399">_xlfn.XLOOKUP($B399,$B$96:$B$176,_xlfn.XLOOKUP(AB$181,$D$5:$AX$5,$D$96:$AX$176))</f>
        <v>4.4266693569674862</v>
      </c>
      <c r="AC399" s="720" cm="1">
        <f t="array" ref="AC399">_xlfn.XLOOKUP($B399,$B$96:$B$176,_xlfn.XLOOKUP(AC$181,$D$5:$AX$5,$D$96:$AX$176))</f>
        <v>5.2310542277831056</v>
      </c>
      <c r="AD399" s="720" cm="1">
        <f t="array" ref="AD399">_xlfn.XLOOKUP($B399,$B$96:$B$176,_xlfn.XLOOKUP(AD$181,$D$5:$AX$5,$D$96:$AX$176))</f>
        <v>4.6060630317123756</v>
      </c>
      <c r="AE399" s="720" cm="1">
        <f t="array" ref="AE399">_xlfn.XLOOKUP($B399,$B$96:$B$176,_xlfn.XLOOKUP(AE$181,$D$5:$AX$5,$D$96:$AX$176))</f>
        <v>5.4172337858472588</v>
      </c>
      <c r="AF399" s="720" cm="1">
        <f t="array" ref="AF399">_xlfn.XLOOKUP($B399,$B$96:$B$176,_xlfn.XLOOKUP(AF$181,$D$5:$AX$5,$D$96:$AX$176))</f>
        <v>4.780551955304067</v>
      </c>
      <c r="AG399" s="709"/>
      <c r="AH399" s="706" t="str">
        <f t="shared" si="228"/>
        <v>EPS (statutory) - old</v>
      </c>
      <c r="AI399" s="707" t="str" cm="1">
        <f t="array" ref="AI399">_xlfn.XLOOKUP($B399,$B$96:$B$176,_xlfn.XLOOKUP(AI$181,$D$5:$AX$5,$D$96:$AX$176))</f>
        <v>cps</v>
      </c>
      <c r="AJ399" s="707"/>
      <c r="AK399" s="707"/>
      <c r="AL399" s="720" cm="1">
        <f t="array" ref="AL399">_xlfn.XLOOKUP($B399,$B$96:$B$176,_xlfn.XLOOKUP(AL$181,$D$5:$AX$5,$D$96:$AX$176))</f>
        <v>0</v>
      </c>
      <c r="AM399" s="720" cm="1">
        <f t="array" ref="AM399">_xlfn.XLOOKUP($B399,$B$96:$B$176,_xlfn.XLOOKUP(AM$181,$D$5:$AX$5,$D$96:$AX$176))</f>
        <v>2.9</v>
      </c>
      <c r="AN399" s="720" cm="1">
        <f t="array" ref="AN399">_xlfn.XLOOKUP($B399,$B$96:$B$176,_xlfn.XLOOKUP(AN$181,$D$5:$AX$5,$D$96:$AX$176))</f>
        <v>-59.6</v>
      </c>
      <c r="AO399" s="720" cm="1">
        <f t="array" ref="AO399">_xlfn.XLOOKUP($B399,$B$96:$B$176,_xlfn.XLOOKUP(AO$181,$D$5:$AX$5,$D$96:$AX$176))</f>
        <v>1.6</v>
      </c>
      <c r="AP399" s="720" cm="1">
        <f t="array" ref="AP399">_xlfn.XLOOKUP($B399,$B$96:$B$176,_xlfn.XLOOKUP(AP$181,$D$5:$AX$5,$D$96:$AX$176))</f>
        <v>2.192803200026205</v>
      </c>
      <c r="AQ399" s="720" cm="1">
        <f t="array" ref="AQ399">_xlfn.XLOOKUP($B399,$B$96:$B$176,_xlfn.XLOOKUP(AQ$181,$D$5:$AX$5,$D$96:$AX$176))</f>
        <v>4.2723928847966341</v>
      </c>
      <c r="AR399" s="720" cm="1">
        <f t="array" ref="AR399">_xlfn.XLOOKUP($B399,$B$96:$B$176,_xlfn.XLOOKUP(AR$181,$D$5:$AX$5,$D$96:$AX$176))</f>
        <v>5.9900018439892007</v>
      </c>
      <c r="AS399" s="720" cm="1">
        <f t="array" ref="AS399">_xlfn.XLOOKUP($B399,$B$96:$B$176,_xlfn.XLOOKUP(AS$181,$D$5:$AX$5,$D$96:$AX$176))</f>
        <v>7.6074375873085485</v>
      </c>
      <c r="AT399" s="720" cm="1">
        <f t="array" ref="AT399">_xlfn.XLOOKUP($B399,$B$96:$B$176,_xlfn.XLOOKUP(AT$181,$D$5:$AX$5,$D$96:$AX$176))</f>
        <v>8.2659867340766873</v>
      </c>
      <c r="AU399" s="720" cm="1">
        <f t="array" ref="AU399">_xlfn.XLOOKUP($B399,$B$96:$B$176,_xlfn.XLOOKUP(AU$181,$D$5:$AX$5,$D$96:$AX$176))</f>
        <v>8.8764796690908874</v>
      </c>
      <c r="AV399" s="720" cm="1">
        <f t="array" ref="AV399">_xlfn.XLOOKUP($B399,$B$96:$B$176,_xlfn.XLOOKUP(AV$181,$D$5:$AX$5,$D$96:$AX$176))</f>
        <v>9.4679205444249419</v>
      </c>
      <c r="AW399" s="720" cm="1">
        <f t="array" ref="AW399">_xlfn.XLOOKUP($B399,$B$96:$B$176,_xlfn.XLOOKUP(AW$181,$D$5:$AX$5,$D$96:$AX$176))</f>
        <v>9.8371172594954821</v>
      </c>
      <c r="AX399" s="720" cm="1">
        <f t="array" ref="AX399">_xlfn.XLOOKUP($B399,$B$96:$B$176,_xlfn.XLOOKUP(AX$181,$D$5:$AX$5,$D$96:$AX$176))</f>
        <v>10.197785741151325</v>
      </c>
    </row>
    <row r="400" spans="2:50">
      <c r="B400" s="305" t="s">
        <v>1459</v>
      </c>
      <c r="C400" s="318" t="str">
        <f>_xlfn.TEXTAFTER($B400,$C$344)&amp;" - New"</f>
        <v>EPS (statutory) - New</v>
      </c>
      <c r="D400" s="311" t="str" cm="1">
        <f t="array" ref="D400">_xlfn.XLOOKUP($B400,$B$11:$B$91,_xlfn.XLOOKUP(D$181,$D$5:$AX$5,$D$11:$AX$91))</f>
        <v>cps</v>
      </c>
      <c r="E400" s="311"/>
      <c r="F400" s="311"/>
      <c r="G400" s="721"/>
      <c r="H400" s="721"/>
      <c r="I400" s="721" cm="1">
        <f t="array" ref="I400">_xlfn.XLOOKUP($B400,$B$11:$B$91,_xlfn.XLOOKUP(I$181,$D$5:$AX$5,$D$11:$AX$91))</f>
        <v>2.2999999999999998</v>
      </c>
      <c r="J400" s="721" cm="1">
        <f t="array" ref="J400">_xlfn.XLOOKUP($B400,$B$11:$B$91,_xlfn.XLOOKUP(J$181,$D$5:$AX$5,$D$11:$AX$91))</f>
        <v>0.60000000000000009</v>
      </c>
      <c r="K400" s="721" cm="1">
        <f t="array" ref="K400">_xlfn.XLOOKUP($B400,$B$11:$B$91,_xlfn.XLOOKUP(K$181,$D$5:$AX$5,$D$11:$AX$91))</f>
        <v>-28.2</v>
      </c>
      <c r="L400" s="721" cm="1">
        <f t="array" ref="L400">_xlfn.XLOOKUP($B400,$B$11:$B$91,_xlfn.XLOOKUP(L$181,$D$5:$AX$5,$D$11:$AX$91))</f>
        <v>-31.400000000000002</v>
      </c>
      <c r="M400" s="721" cm="1">
        <f t="array" ref="M400">_xlfn.XLOOKUP($B400,$B$11:$B$91,_xlfn.XLOOKUP(M$181,$D$5:$AX$5,$D$11:$AX$91))</f>
        <v>1.1000000000000001</v>
      </c>
      <c r="N400" s="721" cm="1">
        <f t="array" ref="N400">_xlfn.XLOOKUP($B400,$B$11:$B$91,_xlfn.XLOOKUP(N$181,$D$5:$AX$5,$D$11:$AX$91))</f>
        <v>0.5</v>
      </c>
      <c r="O400" s="721" cm="1">
        <f t="array" ref="O400">_xlfn.XLOOKUP($B400,$B$11:$B$91,_xlfn.XLOOKUP(O$181,$D$5:$AX$5,$D$11:$AX$91))</f>
        <v>0.9</v>
      </c>
      <c r="P400" s="721" cm="1">
        <f t="array" ref="P400">_xlfn.XLOOKUP($B400,$B$11:$B$91,_xlfn.XLOOKUP(P$181,$D$5:$AX$5,$D$11:$AX$91))</f>
        <v>1.1000000000000001</v>
      </c>
      <c r="Q400" s="721" cm="1">
        <f t="array" ref="Q400">_xlfn.XLOOKUP($B400,$B$11:$B$91,_xlfn.XLOOKUP(Q$181,$D$5:$AX$5,$D$11:$AX$91))</f>
        <v>1.7363090887679296</v>
      </c>
      <c r="R400" s="721" cm="1">
        <f t="array" ref="R400">_xlfn.XLOOKUP($B400,$B$11:$B$91,_xlfn.XLOOKUP(R$181,$D$5:$AX$5,$D$11:$AX$91))</f>
        <v>0.56283877926126924</v>
      </c>
      <c r="S400" s="721" cm="1">
        <f t="array" ref="S400">_xlfn.XLOOKUP($B400,$B$11:$B$91,_xlfn.XLOOKUP(S$181,$D$5:$AX$5,$D$11:$AX$91))</f>
        <v>2.4120468469719696</v>
      </c>
      <c r="T400" s="721" cm="1">
        <f t="array" ref="T400">_xlfn.XLOOKUP($B400,$B$11:$B$91,_xlfn.XLOOKUP(T$181,$D$5:$AX$5,$D$11:$AX$91))</f>
        <v>2.1717285056721152</v>
      </c>
      <c r="U400" s="721" cm="1">
        <f t="array" ref="U400">_xlfn.XLOOKUP($B400,$B$11:$B$91,_xlfn.XLOOKUP(U$181,$D$5:$AX$5,$D$11:$AX$91))</f>
        <v>2.943431148775888</v>
      </c>
      <c r="V400" s="721" cm="1">
        <f t="array" ref="V400">_xlfn.XLOOKUP($B400,$B$11:$B$91,_xlfn.XLOOKUP(V$181,$D$5:$AX$5,$D$11:$AX$91))</f>
        <v>2.319485574301023</v>
      </c>
      <c r="W400" s="721" cm="1">
        <f t="array" ref="W400">_xlfn.XLOOKUP($B400,$B$11:$B$91,_xlfn.XLOOKUP(W$181,$D$5:$AX$5,$D$11:$AX$91))</f>
        <v>3.3300112270098507</v>
      </c>
      <c r="X400" s="721" cm="1">
        <f t="array" ref="X400">_xlfn.XLOOKUP($B400,$B$11:$B$91,_xlfn.XLOOKUP(X$181,$D$5:$AX$5,$D$11:$AX$91))</f>
        <v>2.667164769537913</v>
      </c>
      <c r="Y400" s="721" cm="1">
        <f t="array" ref="Y400">_xlfn.XLOOKUP($B400,$B$11:$B$91,_xlfn.XLOOKUP(Y$181,$D$5:$AX$5,$D$11:$AX$91))</f>
        <v>3.5970169463919675</v>
      </c>
      <c r="Z400" s="721" cm="1">
        <f t="array" ref="Z400">_xlfn.XLOOKUP($B400,$B$11:$B$91,_xlfn.XLOOKUP(Z$181,$D$5:$AX$5,$D$11:$AX$91))</f>
        <v>2.9039721724562573</v>
      </c>
      <c r="AA400" s="721" cm="1">
        <f t="array" ref="AA400">_xlfn.XLOOKUP($B400,$B$11:$B$91,_xlfn.XLOOKUP(AA$181,$D$5:$AX$5,$D$11:$AX$91))</f>
        <v>3.8050990149758239</v>
      </c>
      <c r="AB400" s="721" cm="1">
        <f t="array" ref="AB400">_xlfn.XLOOKUP($B400,$B$11:$B$91,_xlfn.XLOOKUP(AB$181,$D$5:$AX$5,$D$11:$AX$91))</f>
        <v>3.1023891678659692</v>
      </c>
      <c r="AC400" s="721" cm="1">
        <f t="array" ref="AC400">_xlfn.XLOOKUP($B400,$B$11:$B$91,_xlfn.XLOOKUP(AC$181,$D$5:$AX$5,$D$11:$AX$91))</f>
        <v>4.0211649734837929</v>
      </c>
      <c r="AD400" s="721" cm="1">
        <f t="array" ref="AD400">_xlfn.XLOOKUP($B400,$B$11:$B$91,_xlfn.XLOOKUP(AD$181,$D$5:$AX$5,$D$11:$AX$91))</f>
        <v>3.3048600487639925</v>
      </c>
      <c r="AE400" s="721" cm="1">
        <f t="array" ref="AE400">_xlfn.XLOOKUP($B400,$B$11:$B$91,_xlfn.XLOOKUP(AE$181,$D$5:$AX$5,$D$11:$AX$91))</f>
        <v>4.7740281978720427</v>
      </c>
      <c r="AF400" s="721" cm="1">
        <f t="array" ref="AF400">_xlfn.XLOOKUP($B400,$B$11:$B$91,_xlfn.XLOOKUP(AF$181,$D$5:$AX$5,$D$11:$AX$91))</f>
        <v>4.0834953264673093</v>
      </c>
      <c r="AG400" s="312"/>
      <c r="AH400" s="310" t="str">
        <f t="shared" si="228"/>
        <v>EPS (statutory) - New</v>
      </c>
      <c r="AI400" s="311" t="str" cm="1">
        <f t="array" ref="AI400">_xlfn.XLOOKUP($B400,$B$11:$B$91,_xlfn.XLOOKUP(AI$181,$D$5:$AX$5,$D$11:$AX$91))</f>
        <v>cps</v>
      </c>
      <c r="AJ400" s="311"/>
      <c r="AK400" s="311"/>
      <c r="AL400" s="721" cm="1">
        <f t="array" ref="AL400">_xlfn.XLOOKUP($B400,$B$11:$B$91,_xlfn.XLOOKUP(AL$181,$D$5:$AX$5,$D$11:$AX$91))</f>
        <v>0</v>
      </c>
      <c r="AM400" s="721" cm="1">
        <f t="array" ref="AM400">_xlfn.XLOOKUP($B400,$B$11:$B$91,_xlfn.XLOOKUP(AM$181,$D$5:$AX$5,$D$11:$AX$91))</f>
        <v>2.9</v>
      </c>
      <c r="AN400" s="721" cm="1">
        <f t="array" ref="AN400">_xlfn.XLOOKUP($B400,$B$11:$B$91,_xlfn.XLOOKUP(AN$181,$D$5:$AX$5,$D$11:$AX$91))</f>
        <v>-59.6</v>
      </c>
      <c r="AO400" s="721" cm="1">
        <f t="array" ref="AO400">_xlfn.XLOOKUP($B400,$B$11:$B$91,_xlfn.XLOOKUP(AO$181,$D$5:$AX$5,$D$11:$AX$91))</f>
        <v>1.6</v>
      </c>
      <c r="AP400" s="721" cm="1">
        <f t="array" ref="AP400">_xlfn.XLOOKUP($B400,$B$11:$B$91,_xlfn.XLOOKUP(AP$181,$D$5:$AX$5,$D$11:$AX$91))</f>
        <v>2</v>
      </c>
      <c r="AQ400" s="721" cm="1">
        <f t="array" ref="AQ400">_xlfn.XLOOKUP($B400,$B$11:$B$91,_xlfn.XLOOKUP(AQ$181,$D$5:$AX$5,$D$11:$AX$91))</f>
        <v>2.2991478680291988</v>
      </c>
      <c r="AR400" s="721" cm="1">
        <f t="array" ref="AR400">_xlfn.XLOOKUP($B400,$B$11:$B$91,_xlfn.XLOOKUP(AR$181,$D$5:$AX$5,$D$11:$AX$91))</f>
        <v>4.5837753526440848</v>
      </c>
      <c r="AS400" s="721" cm="1">
        <f t="array" ref="AS400">_xlfn.XLOOKUP($B400,$B$11:$B$91,_xlfn.XLOOKUP(AS$181,$D$5:$AX$5,$D$11:$AX$91))</f>
        <v>5.2629167230769109</v>
      </c>
      <c r="AT400" s="721" cm="1">
        <f t="array" ref="AT400">_xlfn.XLOOKUP($B400,$B$11:$B$91,_xlfn.XLOOKUP(AT$181,$D$5:$AX$5,$D$11:$AX$91))</f>
        <v>5.9971759965477638</v>
      </c>
      <c r="AU400" s="721" cm="1">
        <f t="array" ref="AU400">_xlfn.XLOOKUP($B400,$B$11:$B$91,_xlfn.XLOOKUP(AU$181,$D$5:$AX$5,$D$11:$AX$91))</f>
        <v>6.5009891188482243</v>
      </c>
      <c r="AV400" s="721" cm="1">
        <f t="array" ref="AV400">_xlfn.XLOOKUP($B400,$B$11:$B$91,_xlfn.XLOOKUP(AV$181,$D$5:$AX$5,$D$11:$AX$91))</f>
        <v>6.9074881828417931</v>
      </c>
      <c r="AW400" s="721" cm="1">
        <f t="array" ref="AW400">_xlfn.XLOOKUP($B400,$B$11:$B$91,_xlfn.XLOOKUP(AW$181,$D$5:$AX$5,$D$11:$AX$91))</f>
        <v>7.3260250222477854</v>
      </c>
      <c r="AX400" s="721" cm="1">
        <f t="array" ref="AX400">_xlfn.XLOOKUP($B400,$B$11:$B$91,_xlfn.XLOOKUP(AX$181,$D$5:$AX$5,$D$11:$AX$91))</f>
        <v>8.8575235243393529</v>
      </c>
    </row>
    <row r="401" spans="1:50" hidden="1" outlineLevel="1">
      <c r="C401" s="313" t="s">
        <v>1121</v>
      </c>
      <c r="D401" s="307" t="s">
        <v>842</v>
      </c>
      <c r="E401" s="307"/>
      <c r="F401" s="307"/>
      <c r="G401" s="314"/>
      <c r="H401" s="314"/>
      <c r="I401" s="314" t="s">
        <v>967</v>
      </c>
      <c r="J401" s="314" t="s">
        <v>967</v>
      </c>
      <c r="K401" s="314">
        <f t="shared" ref="K401:AF401" si="249">K400/I400-1</f>
        <v>-13.260869565217392</v>
      </c>
      <c r="L401" s="314">
        <f t="shared" si="249"/>
        <v>-53.333333333333329</v>
      </c>
      <c r="M401" s="314">
        <f t="shared" si="249"/>
        <v>-1.0390070921985815</v>
      </c>
      <c r="N401" s="314">
        <f t="shared" si="249"/>
        <v>-1.015923566878981</v>
      </c>
      <c r="O401" s="314">
        <f t="shared" si="249"/>
        <v>-0.18181818181818188</v>
      </c>
      <c r="P401" s="314">
        <f t="shared" si="249"/>
        <v>1.2000000000000002</v>
      </c>
      <c r="Q401" s="314">
        <f t="shared" si="249"/>
        <v>0.92923232085325491</v>
      </c>
      <c r="R401" s="314">
        <f t="shared" si="249"/>
        <v>-0.4883283824897553</v>
      </c>
      <c r="S401" s="314">
        <f t="shared" si="249"/>
        <v>0.38918056846868088</v>
      </c>
      <c r="T401" s="314">
        <f t="shared" si="249"/>
        <v>2.8585267854544911</v>
      </c>
      <c r="U401" s="314">
        <f t="shared" si="249"/>
        <v>0.22030430398605505</v>
      </c>
      <c r="V401" s="314">
        <f t="shared" si="249"/>
        <v>6.8036620711565021E-2</v>
      </c>
      <c r="W401" s="314">
        <f t="shared" si="249"/>
        <v>0.13133654524065674</v>
      </c>
      <c r="X401" s="314">
        <f t="shared" si="249"/>
        <v>0.14989495907585604</v>
      </c>
      <c r="Y401" s="314">
        <f t="shared" si="249"/>
        <v>8.0181627382040821E-2</v>
      </c>
      <c r="Z401" s="314">
        <f t="shared" si="249"/>
        <v>8.8786191847971541E-2</v>
      </c>
      <c r="AA401" s="314">
        <f t="shared" si="249"/>
        <v>5.7848509385694191E-2</v>
      </c>
      <c r="AB401" s="314">
        <f t="shared" si="249"/>
        <v>6.8326066376140693E-2</v>
      </c>
      <c r="AC401" s="314">
        <f t="shared" si="249"/>
        <v>5.6783268361110473E-2</v>
      </c>
      <c r="AD401" s="314">
        <f t="shared" si="249"/>
        <v>6.526288932258506E-2</v>
      </c>
      <c r="AE401" s="314">
        <f t="shared" si="249"/>
        <v>0.18722515225133773</v>
      </c>
      <c r="AF401" s="314">
        <f t="shared" si="249"/>
        <v>0.2356031015578175</v>
      </c>
      <c r="AG401" s="315"/>
      <c r="AH401" s="313" t="str">
        <f t="shared" si="228"/>
        <v>- Growth</v>
      </c>
      <c r="AI401" s="307" t="str">
        <f>D401</f>
        <v>%</v>
      </c>
      <c r="AJ401" s="307"/>
      <c r="AK401" s="307"/>
      <c r="AL401" s="314" t="s">
        <v>967</v>
      </c>
      <c r="AM401" s="314" t="s">
        <v>967</v>
      </c>
      <c r="AN401" s="314">
        <f t="shared" ref="AN401:AX401" si="250">AN400/AM400-1</f>
        <v>-21.551724137931036</v>
      </c>
      <c r="AO401" s="314">
        <f t="shared" si="250"/>
        <v>-1.0268456375838926</v>
      </c>
      <c r="AP401" s="314">
        <f t="shared" si="250"/>
        <v>0.25</v>
      </c>
      <c r="AQ401" s="314">
        <f t="shared" si="250"/>
        <v>0.1495739340145994</v>
      </c>
      <c r="AR401" s="314">
        <f t="shared" si="250"/>
        <v>0.9936844499580797</v>
      </c>
      <c r="AS401" s="314">
        <f t="shared" si="250"/>
        <v>0.14816201017379127</v>
      </c>
      <c r="AT401" s="314">
        <f t="shared" si="250"/>
        <v>0.13951565493165852</v>
      </c>
      <c r="AU401" s="314">
        <f t="shared" si="250"/>
        <v>8.4008393715721663E-2</v>
      </c>
      <c r="AV401" s="314">
        <f t="shared" si="250"/>
        <v>6.2528802396394134E-2</v>
      </c>
      <c r="AW401" s="314">
        <f t="shared" si="250"/>
        <v>6.0591756124265039E-2</v>
      </c>
      <c r="AX401" s="314">
        <f t="shared" si="250"/>
        <v>0.20904904056984375</v>
      </c>
    </row>
    <row r="402" spans="1:50" collapsed="1">
      <c r="C402" s="313" t="s">
        <v>1122</v>
      </c>
      <c r="D402" s="307" t="s">
        <v>842</v>
      </c>
      <c r="E402" s="307"/>
      <c r="F402" s="307"/>
      <c r="G402" s="314"/>
      <c r="H402" s="314"/>
      <c r="I402" s="314">
        <f t="shared" ref="I402:AF402" si="251" xml:space="preserve"> IFERROR(ROUND( I400 / I399,3) - 1, 0)</f>
        <v>0</v>
      </c>
      <c r="J402" s="314">
        <f t="shared" si="251"/>
        <v>0</v>
      </c>
      <c r="K402" s="314">
        <f t="shared" si="251"/>
        <v>0</v>
      </c>
      <c r="L402" s="314">
        <f t="shared" si="251"/>
        <v>0</v>
      </c>
      <c r="M402" s="314">
        <f t="shared" si="251"/>
        <v>0</v>
      </c>
      <c r="N402" s="314">
        <f t="shared" si="251"/>
        <v>0</v>
      </c>
      <c r="O402" s="314">
        <f t="shared" si="251"/>
        <v>0</v>
      </c>
      <c r="P402" s="314">
        <f t="shared" si="251"/>
        <v>-0.14900000000000002</v>
      </c>
      <c r="Q402" s="314">
        <f t="shared" si="251"/>
        <v>-0.27500000000000002</v>
      </c>
      <c r="R402" s="314">
        <f t="shared" si="251"/>
        <v>-0.7</v>
      </c>
      <c r="S402" s="314">
        <f t="shared" si="251"/>
        <v>-0.27100000000000002</v>
      </c>
      <c r="T402" s="314">
        <f t="shared" si="251"/>
        <v>-0.18999999999999995</v>
      </c>
      <c r="U402" s="314">
        <f t="shared" si="251"/>
        <v>-0.27800000000000002</v>
      </c>
      <c r="V402" s="314">
        <f t="shared" si="251"/>
        <v>-0.34299999999999997</v>
      </c>
      <c r="W402" s="314">
        <f t="shared" si="251"/>
        <v>-0.247</v>
      </c>
      <c r="X402" s="314">
        <f t="shared" si="251"/>
        <v>-0.30600000000000005</v>
      </c>
      <c r="Y402" s="314">
        <f t="shared" si="251"/>
        <v>-0.24099999999999999</v>
      </c>
      <c r="Z402" s="314">
        <f t="shared" si="251"/>
        <v>-0.29800000000000004</v>
      </c>
      <c r="AA402" s="314">
        <f t="shared" si="251"/>
        <v>-0.245</v>
      </c>
      <c r="AB402" s="314">
        <f t="shared" si="251"/>
        <v>-0.29900000000000004</v>
      </c>
      <c r="AC402" s="314">
        <f t="shared" si="251"/>
        <v>-0.23099999999999998</v>
      </c>
      <c r="AD402" s="314">
        <f t="shared" si="251"/>
        <v>-0.28200000000000003</v>
      </c>
      <c r="AE402" s="314">
        <f t="shared" si="251"/>
        <v>-0.11899999999999999</v>
      </c>
      <c r="AF402" s="314">
        <f t="shared" si="251"/>
        <v>-0.14600000000000002</v>
      </c>
      <c r="AG402" s="314"/>
      <c r="AH402" s="313" t="str">
        <f t="shared" si="228"/>
        <v>- Revision</v>
      </c>
      <c r="AI402" s="307" t="str">
        <f>D402</f>
        <v>%</v>
      </c>
      <c r="AJ402" s="307"/>
      <c r="AK402" s="307"/>
      <c r="AL402" s="314">
        <f t="shared" ref="AL402:AX402" si="252" xml:space="preserve"> IFERROR(ROUND( AL400 / AL399,3) - 1, 0)</f>
        <v>0</v>
      </c>
      <c r="AM402" s="314">
        <f t="shared" si="252"/>
        <v>0</v>
      </c>
      <c r="AN402" s="314">
        <f t="shared" si="252"/>
        <v>0</v>
      </c>
      <c r="AO402" s="314">
        <f t="shared" si="252"/>
        <v>0</v>
      </c>
      <c r="AP402" s="314">
        <f t="shared" si="252"/>
        <v>-8.7999999999999967E-2</v>
      </c>
      <c r="AQ402" s="314">
        <f t="shared" si="252"/>
        <v>-0.46199999999999997</v>
      </c>
      <c r="AR402" s="314">
        <f t="shared" si="252"/>
        <v>-0.23499999999999999</v>
      </c>
      <c r="AS402" s="314">
        <f t="shared" si="252"/>
        <v>-0.30800000000000005</v>
      </c>
      <c r="AT402" s="314">
        <f t="shared" si="252"/>
        <v>-0.27400000000000002</v>
      </c>
      <c r="AU402" s="314">
        <f t="shared" si="252"/>
        <v>-0.26800000000000002</v>
      </c>
      <c r="AV402" s="314">
        <f t="shared" si="252"/>
        <v>-0.27</v>
      </c>
      <c r="AW402" s="314">
        <f t="shared" si="252"/>
        <v>-0.255</v>
      </c>
      <c r="AX402" s="314">
        <f t="shared" si="252"/>
        <v>-0.13100000000000001</v>
      </c>
    </row>
    <row r="403" spans="1:50">
      <c r="B403" s="305" t="s">
        <v>1460</v>
      </c>
      <c r="C403" s="706" t="str">
        <f>_xlfn.TEXTAFTER($B403,$C$344)&amp;" - old"</f>
        <v>EPS (NPAT before significant items and equity accounted loss) - old</v>
      </c>
      <c r="D403" s="707" t="str" cm="1">
        <f t="array" ref="D403">_xlfn.XLOOKUP($B403,$B$96:$B$176,_xlfn.XLOOKUP(D$181,$D$5:$AX$5,$D$96:$AX$176))</f>
        <v>cps</v>
      </c>
      <c r="E403" s="307"/>
      <c r="F403" s="307"/>
      <c r="G403" s="720"/>
      <c r="H403" s="720"/>
      <c r="I403" s="720" cm="1">
        <f t="array" ref="I403">_xlfn.XLOOKUP($B403,$B$96:$B$176,_xlfn.XLOOKUP(I$181,$D$5:$AX$5,$D$96:$AX$176))</f>
        <v>2.2000000000000002</v>
      </c>
      <c r="J403" s="720" cm="1">
        <f t="array" ref="J403">_xlfn.XLOOKUP($B403,$B$96:$B$176,_xlfn.XLOOKUP(J$181,$D$5:$AX$5,$D$96:$AX$176))</f>
        <v>1.5999999999999996</v>
      </c>
      <c r="K403" s="720" cm="1">
        <f t="array" ref="K403">_xlfn.XLOOKUP($B403,$B$96:$B$176,_xlfn.XLOOKUP(K$181,$D$5:$AX$5,$D$96:$AX$176))</f>
        <v>0.9</v>
      </c>
      <c r="L403" s="720" cm="1">
        <f t="array" ref="L403">_xlfn.XLOOKUP($B403,$B$96:$B$176,_xlfn.XLOOKUP(L$181,$D$5:$AX$5,$D$96:$AX$176))</f>
        <v>0.49999999999999989</v>
      </c>
      <c r="M403" s="720" cm="1">
        <f t="array" ref="M403">_xlfn.XLOOKUP($B403,$B$96:$B$176,_xlfn.XLOOKUP(M$181,$D$5:$AX$5,$D$96:$AX$176))</f>
        <v>1.9</v>
      </c>
      <c r="N403" s="720" cm="1">
        <f t="array" ref="N403">_xlfn.XLOOKUP($B403,$B$96:$B$176,_xlfn.XLOOKUP(N$181,$D$5:$AX$5,$D$96:$AX$176))</f>
        <v>2</v>
      </c>
      <c r="O403" s="720" cm="1">
        <f t="array" ref="O403">_xlfn.XLOOKUP($B403,$B$96:$B$176,_xlfn.XLOOKUP(O$181,$D$5:$AX$5,$D$96:$AX$176))</f>
        <v>2.7</v>
      </c>
      <c r="P403" s="720" cm="1">
        <f t="array" ref="P403">_xlfn.XLOOKUP($B403,$B$96:$B$176,_xlfn.XLOOKUP(P$181,$D$5:$AX$5,$D$96:$AX$176))</f>
        <v>1.7296370284378773</v>
      </c>
      <c r="Q403" s="720" cm="1">
        <f t="array" ref="Q403">_xlfn.XLOOKUP($B403,$B$96:$B$176,_xlfn.XLOOKUP(Q$181,$D$5:$AX$5,$D$96:$AX$176))</f>
        <v>2.6565421204173703</v>
      </c>
      <c r="R403" s="720" cm="1">
        <f t="array" ref="R403">_xlfn.XLOOKUP($B403,$B$96:$B$176,_xlfn.XLOOKUP(R$181,$D$5:$AX$5,$D$96:$AX$176))</f>
        <v>1.9653178271086011</v>
      </c>
      <c r="S403" s="720" cm="1">
        <f t="array" ref="S403">_xlfn.XLOOKUP($B403,$B$96:$B$176,_xlfn.XLOOKUP(S$181,$D$5:$AX$5,$D$96:$AX$176))</f>
        <v>2.8734557347013889</v>
      </c>
      <c r="T403" s="720" cm="1">
        <f t="array" ref="T403">_xlfn.XLOOKUP($B403,$B$96:$B$176,_xlfn.XLOOKUP(T$181,$D$5:$AX$5,$D$96:$AX$176))</f>
        <v>2.1555116867821327</v>
      </c>
      <c r="U403" s="720" cm="1">
        <f t="array" ref="U403">_xlfn.XLOOKUP($B403,$B$96:$B$176,_xlfn.XLOOKUP(U$181,$D$5:$AX$5,$D$96:$AX$176))</f>
        <v>3.4671639138767119</v>
      </c>
      <c r="V403" s="720" cm="1">
        <f t="array" ref="V403">_xlfn.XLOOKUP($B403,$B$96:$B$176,_xlfn.XLOOKUP(V$181,$D$5:$AX$5,$D$96:$AX$176))</f>
        <v>2.8297721881968192</v>
      </c>
      <c r="W403" s="720" cm="1">
        <f t="array" ref="W403">_xlfn.XLOOKUP($B403,$B$96:$B$176,_xlfn.XLOOKUP(W$181,$D$5:$AX$5,$D$96:$AX$176))</f>
        <v>3.7932832670868422</v>
      </c>
      <c r="X403" s="720" cm="1">
        <f t="array" ref="X403">_xlfn.XLOOKUP($B403,$B$96:$B$176,_xlfn.XLOOKUP(X$181,$D$5:$AX$5,$D$96:$AX$176))</f>
        <v>3.1228869371977779</v>
      </c>
      <c r="Y403" s="720" cm="1">
        <f t="array" ref="Y403">_xlfn.XLOOKUP($B403,$B$96:$B$176,_xlfn.XLOOKUP(Y$181,$D$5:$AX$5,$D$96:$AX$176))</f>
        <v>4.0932921569574674</v>
      </c>
      <c r="Z403" s="720" cm="1">
        <f t="array" ref="Z403">_xlfn.XLOOKUP($B403,$B$96:$B$176,_xlfn.XLOOKUP(Z$181,$D$5:$AX$5,$D$96:$AX$176))</f>
        <v>3.3928764864475922</v>
      </c>
      <c r="AA403" s="720" cm="1">
        <f t="array" ref="AA403">_xlfn.XLOOKUP($B403,$B$96:$B$176,_xlfn.XLOOKUP(AA$181,$D$5:$AX$5,$D$96:$AX$176))</f>
        <v>4.3729750211111318</v>
      </c>
      <c r="AB403" s="720" cm="1">
        <f t="array" ref="AB403">_xlfn.XLOOKUP($B403,$B$96:$B$176,_xlfn.XLOOKUP(AB$181,$D$5:$AX$5,$D$96:$AX$176))</f>
        <v>3.6629251668574043</v>
      </c>
      <c r="AC403" s="720" cm="1">
        <f t="array" ref="AC403">_xlfn.XLOOKUP($B403,$B$96:$B$176,_xlfn.XLOOKUP(AC$181,$D$5:$AX$5,$D$96:$AX$176))</f>
        <v>4.5427297764463939</v>
      </c>
      <c r="AD403" s="720" cm="1">
        <f t="array" ref="AD403">_xlfn.XLOOKUP($B403,$B$96:$B$176,_xlfn.XLOOKUP(AD$181,$D$5:$AX$5,$D$96:$AX$176))</f>
        <v>3.8194065158989905</v>
      </c>
      <c r="AE403" s="720" cm="1">
        <f t="array" ref="AE403">_xlfn.XLOOKUP($B403,$B$96:$B$176,_xlfn.XLOOKUP(AE$181,$D$5:$AX$5,$D$96:$AX$176))</f>
        <v>4.7082596009704458</v>
      </c>
      <c r="AF403" s="720" cm="1">
        <f t="array" ref="AF403">_xlfn.XLOOKUP($B403,$B$96:$B$176,_xlfn.XLOOKUP(AF$181,$D$5:$AX$5,$D$96:$AX$176))</f>
        <v>3.9702957440162807</v>
      </c>
      <c r="AG403" s="309"/>
      <c r="AH403" s="306" t="str">
        <f t="shared" si="228"/>
        <v>EPS (NPAT before significant items and equity accounted loss) - old</v>
      </c>
      <c r="AI403" s="707" t="str" cm="1">
        <f t="array" ref="AI403">_xlfn.XLOOKUP($B403,$B$96:$B$176,_xlfn.XLOOKUP(AI$181,$D$5:$AX$5,$D$96:$AX$176))</f>
        <v>cps</v>
      </c>
      <c r="AJ403" s="307"/>
      <c r="AK403" s="307"/>
      <c r="AL403" s="720" cm="1">
        <f t="array" ref="AL403">_xlfn.XLOOKUP($B403,$B$96:$B$176,_xlfn.XLOOKUP(AL$181,$D$5:$AX$5,$D$96:$AX$176))</f>
        <v>0</v>
      </c>
      <c r="AM403" s="720" cm="1">
        <f t="array" ref="AM403">_xlfn.XLOOKUP($B403,$B$96:$B$176,_xlfn.XLOOKUP(AM$181,$D$5:$AX$5,$D$96:$AX$176))</f>
        <v>3.8</v>
      </c>
      <c r="AN403" s="720" cm="1">
        <f t="array" ref="AN403">_xlfn.XLOOKUP($B403,$B$96:$B$176,_xlfn.XLOOKUP(AN$181,$D$5:$AX$5,$D$96:$AX$176))</f>
        <v>1.4</v>
      </c>
      <c r="AO403" s="720" cm="1">
        <f t="array" ref="AO403">_xlfn.XLOOKUP($B403,$B$96:$B$176,_xlfn.XLOOKUP(AO$181,$D$5:$AX$5,$D$96:$AX$176))</f>
        <v>3.9</v>
      </c>
      <c r="AP403" s="720" cm="1">
        <f t="array" ref="AP403">_xlfn.XLOOKUP($B403,$B$96:$B$176,_xlfn.XLOOKUP(AP$181,$D$5:$AX$5,$D$96:$AX$176))</f>
        <v>4.4296370284378774</v>
      </c>
      <c r="AQ403" s="720" cm="1">
        <f t="array" ref="AQ403">_xlfn.XLOOKUP($B403,$B$96:$B$176,_xlfn.XLOOKUP(AQ$181,$D$5:$AX$5,$D$96:$AX$176))</f>
        <v>4.6218599475259712</v>
      </c>
      <c r="AR403" s="720" cm="1">
        <f t="array" ref="AR403">_xlfn.XLOOKUP($B403,$B$96:$B$176,_xlfn.XLOOKUP(AR$181,$D$5:$AX$5,$D$96:$AX$176))</f>
        <v>5.0289674214835216</v>
      </c>
      <c r="AS403" s="720" cm="1">
        <f t="array" ref="AS403">_xlfn.XLOOKUP($B403,$B$96:$B$176,_xlfn.XLOOKUP(AS$181,$D$5:$AX$5,$D$96:$AX$176))</f>
        <v>6.2969361020735306</v>
      </c>
      <c r="AT403" s="720" cm="1">
        <f t="array" ref="AT403">_xlfn.XLOOKUP($B403,$B$96:$B$176,_xlfn.XLOOKUP(AT$181,$D$5:$AX$5,$D$96:$AX$176))</f>
        <v>6.9161702042846205</v>
      </c>
      <c r="AU403" s="720" cm="1">
        <f t="array" ref="AU403">_xlfn.XLOOKUP($B403,$B$96:$B$176,_xlfn.XLOOKUP(AU$181,$D$5:$AX$5,$D$96:$AX$176))</f>
        <v>7.4861686434050601</v>
      </c>
      <c r="AV403" s="720" cm="1">
        <f t="array" ref="AV403">_xlfn.XLOOKUP($B403,$B$96:$B$176,_xlfn.XLOOKUP(AV$181,$D$5:$AX$5,$D$96:$AX$176))</f>
        <v>8.0359001879685366</v>
      </c>
      <c r="AW403" s="720" cm="1">
        <f t="array" ref="AW403">_xlfn.XLOOKUP($B403,$B$96:$B$176,_xlfn.XLOOKUP(AW$181,$D$5:$AX$5,$D$96:$AX$176))</f>
        <v>8.3621362923453848</v>
      </c>
      <c r="AX403" s="720" cm="1">
        <f t="array" ref="AX403">_xlfn.XLOOKUP($B403,$B$96:$B$176,_xlfn.XLOOKUP(AX$181,$D$5:$AX$5,$D$96:$AX$176))</f>
        <v>8.6785553449867265</v>
      </c>
    </row>
    <row r="404" spans="1:50">
      <c r="B404" s="305" t="s">
        <v>1460</v>
      </c>
      <c r="C404" s="318" t="str">
        <f>_xlfn.TEXTAFTER($B404,$C$344)&amp;" - New"</f>
        <v>EPS (NPAT before significant items and equity accounted loss) - New</v>
      </c>
      <c r="D404" s="311" t="str" cm="1">
        <f t="array" ref="D404">_xlfn.XLOOKUP($B404,$B$11:$B$91,_xlfn.XLOOKUP(D$181,$D$5:$AX$5,$D$11:$AX$91))</f>
        <v>cps</v>
      </c>
      <c r="E404" s="311"/>
      <c r="F404" s="311"/>
      <c r="G404" s="721"/>
      <c r="H404" s="721"/>
      <c r="I404" s="721" cm="1">
        <f t="array" ref="I404">_xlfn.XLOOKUP($B404,$B$11:$B$91,_xlfn.XLOOKUP(I$181,$D$5:$AX$5,$D$11:$AX$91))</f>
        <v>2.2000000000000002</v>
      </c>
      <c r="J404" s="721" cm="1">
        <f t="array" ref="J404">_xlfn.XLOOKUP($B404,$B$11:$B$91,_xlfn.XLOOKUP(J$181,$D$5:$AX$5,$D$11:$AX$91))</f>
        <v>1.5999999999999996</v>
      </c>
      <c r="K404" s="721" cm="1">
        <f t="array" ref="K404">_xlfn.XLOOKUP($B404,$B$11:$B$91,_xlfn.XLOOKUP(K$181,$D$5:$AX$5,$D$11:$AX$91))</f>
        <v>0.9</v>
      </c>
      <c r="L404" s="721" cm="1">
        <f t="array" ref="L404">_xlfn.XLOOKUP($B404,$B$11:$B$91,_xlfn.XLOOKUP(L$181,$D$5:$AX$5,$D$11:$AX$91))</f>
        <v>0.49999999999999989</v>
      </c>
      <c r="M404" s="721" cm="1">
        <f t="array" ref="M404">_xlfn.XLOOKUP($B404,$B$11:$B$91,_xlfn.XLOOKUP(M$181,$D$5:$AX$5,$D$11:$AX$91))</f>
        <v>1.9</v>
      </c>
      <c r="N404" s="721" cm="1">
        <f t="array" ref="N404">_xlfn.XLOOKUP($B404,$B$11:$B$91,_xlfn.XLOOKUP(N$181,$D$5:$AX$5,$D$11:$AX$91))</f>
        <v>2</v>
      </c>
      <c r="O404" s="721" cm="1">
        <f t="array" ref="O404">_xlfn.XLOOKUP($B404,$B$11:$B$91,_xlfn.XLOOKUP(O$181,$D$5:$AX$5,$D$11:$AX$91))</f>
        <v>2.7</v>
      </c>
      <c r="P404" s="721" cm="1">
        <f t="array" ref="P404">_xlfn.XLOOKUP($B404,$B$11:$B$91,_xlfn.XLOOKUP(P$181,$D$5:$AX$5,$D$11:$AX$91))</f>
        <v>2.5</v>
      </c>
      <c r="Q404" s="721" cm="1">
        <f t="array" ref="Q404">_xlfn.XLOOKUP($B404,$B$11:$B$91,_xlfn.XLOOKUP(Q$181,$D$5:$AX$5,$D$11:$AX$91))</f>
        <v>3.3022167918125076</v>
      </c>
      <c r="R404" s="721" cm="1">
        <f t="array" ref="R404">_xlfn.XLOOKUP($B404,$B$11:$B$91,_xlfn.XLOOKUP(R$181,$D$5:$AX$5,$D$11:$AX$91))</f>
        <v>2.4776952740706562</v>
      </c>
      <c r="S404" s="721" cm="1">
        <f t="array" ref="S404">_xlfn.XLOOKUP($B404,$B$11:$B$91,_xlfn.XLOOKUP(S$181,$D$5:$AX$5,$D$11:$AX$91))</f>
        <v>3.4109127633987337</v>
      </c>
      <c r="T404" s="721" cm="1">
        <f t="array" ref="T404">_xlfn.XLOOKUP($B404,$B$11:$B$91,_xlfn.XLOOKUP(T$181,$D$5:$AX$5,$D$11:$AX$91))</f>
        <v>2.7780270313634703</v>
      </c>
      <c r="U404" s="721" cm="1">
        <f t="array" ref="U404">_xlfn.XLOOKUP($B404,$B$11:$B$91,_xlfn.XLOOKUP(U$181,$D$5:$AX$5,$D$11:$AX$91))</f>
        <v>3.4624924765260405</v>
      </c>
      <c r="V404" s="721" cm="1">
        <f t="array" ref="V404">_xlfn.XLOOKUP($B404,$B$11:$B$91,_xlfn.XLOOKUP(V$181,$D$5:$AX$5,$D$11:$AX$91))</f>
        <v>2.7513097041099734</v>
      </c>
      <c r="W404" s="721" cm="1">
        <f t="array" ref="W404">_xlfn.XLOOKUP($B404,$B$11:$B$91,_xlfn.XLOOKUP(W$181,$D$5:$AX$5,$D$11:$AX$91))</f>
        <v>3.6745981588775996</v>
      </c>
      <c r="X404" s="721" cm="1">
        <f t="array" ref="X404">_xlfn.XLOOKUP($B404,$B$11:$B$91,_xlfn.XLOOKUP(X$181,$D$5:$AX$5,$D$11:$AX$91))</f>
        <v>2.9245145034644593</v>
      </c>
      <c r="Y404" s="721" cm="1">
        <f t="array" ref="Y404">_xlfn.XLOOKUP($B404,$B$11:$B$91,_xlfn.XLOOKUP(Y$181,$D$5:$AX$5,$D$11:$AX$91))</f>
        <v>3.9232840666920636</v>
      </c>
      <c r="Z404" s="721" cm="1">
        <f t="array" ref="Z404">_xlfn.XLOOKUP($B404,$B$11:$B$91,_xlfn.XLOOKUP(Z$181,$D$5:$AX$5,$D$11:$AX$91))</f>
        <v>3.1403849788769147</v>
      </c>
      <c r="AA404" s="721" cm="1">
        <f t="array" ref="AA404">_xlfn.XLOOKUP($B404,$B$11:$B$91,_xlfn.XLOOKUP(AA$181,$D$5:$AX$5,$D$11:$AX$91))</f>
        <v>4.1124967293612391</v>
      </c>
      <c r="AB404" s="721" cm="1">
        <f t="array" ref="AB404">_xlfn.XLOOKUP($B404,$B$11:$B$91,_xlfn.XLOOKUP(AB$181,$D$5:$AX$5,$D$11:$AX$91))</f>
        <v>3.3172369389555625</v>
      </c>
      <c r="AC404" s="721" cm="1">
        <f t="array" ref="AC404">_xlfn.XLOOKUP($B404,$B$11:$B$91,_xlfn.XLOOKUP(AC$181,$D$5:$AX$5,$D$11:$AX$91))</f>
        <v>4.3091271997770848</v>
      </c>
      <c r="AD404" s="721" cm="1">
        <f t="array" ref="AD404">_xlfn.XLOOKUP($B404,$B$11:$B$91,_xlfn.XLOOKUP(AD$181,$D$5:$AX$5,$D$11:$AX$91))</f>
        <v>3.4974958334625885</v>
      </c>
      <c r="AE404" s="721" cm="1">
        <f t="array" ref="AE404">_xlfn.XLOOKUP($B404,$B$11:$B$91,_xlfn.XLOOKUP(AE$181,$D$5:$AX$5,$D$11:$AX$91))</f>
        <v>5.0419718714304471</v>
      </c>
      <c r="AF404" s="721" cm="1">
        <f t="array" ref="AF404">_xlfn.XLOOKUP($B404,$B$11:$B$91,_xlfn.XLOOKUP(AF$181,$D$5:$AX$5,$D$11:$AX$91))</f>
        <v>4.2532527651831771</v>
      </c>
      <c r="AG404" s="312"/>
      <c r="AH404" s="310" t="str">
        <f t="shared" si="228"/>
        <v>EPS (NPAT before significant items and equity accounted loss) - New</v>
      </c>
      <c r="AI404" s="311" t="str" cm="1">
        <f t="array" ref="AI404">_xlfn.XLOOKUP($B404,$B$11:$B$91,_xlfn.XLOOKUP(AI$181,$D$5:$AX$5,$D$11:$AX$91))</f>
        <v>cps</v>
      </c>
      <c r="AJ404" s="311"/>
      <c r="AK404" s="311"/>
      <c r="AL404" s="721" cm="1">
        <f t="array" ref="AL404">_xlfn.XLOOKUP($B404,$B$11:$B$91,_xlfn.XLOOKUP(AL$181,$D$5:$AX$5,$D$11:$AX$91))</f>
        <v>0</v>
      </c>
      <c r="AM404" s="721" cm="1">
        <f t="array" ref="AM404">_xlfn.XLOOKUP($B404,$B$11:$B$91,_xlfn.XLOOKUP(AM$181,$D$5:$AX$5,$D$11:$AX$91))</f>
        <v>3.8</v>
      </c>
      <c r="AN404" s="721" cm="1">
        <f t="array" ref="AN404">_xlfn.XLOOKUP($B404,$B$11:$B$91,_xlfn.XLOOKUP(AN$181,$D$5:$AX$5,$D$11:$AX$91))</f>
        <v>1.4</v>
      </c>
      <c r="AO404" s="721" cm="1">
        <f t="array" ref="AO404">_xlfn.XLOOKUP($B404,$B$11:$B$91,_xlfn.XLOOKUP(AO$181,$D$5:$AX$5,$D$11:$AX$91))</f>
        <v>3.9</v>
      </c>
      <c r="AP404" s="721" cm="1">
        <f t="array" ref="AP404">_xlfn.XLOOKUP($B404,$B$11:$B$91,_xlfn.XLOOKUP(AP$181,$D$5:$AX$5,$D$11:$AX$91))</f>
        <v>5.2</v>
      </c>
      <c r="AQ404" s="721" cm="1">
        <f t="array" ref="AQ404">_xlfn.XLOOKUP($B404,$B$11:$B$91,_xlfn.XLOOKUP(AQ$181,$D$5:$AX$5,$D$11:$AX$91))</f>
        <v>5.7799120658831633</v>
      </c>
      <c r="AR404" s="721" cm="1">
        <f t="array" ref="AR404">_xlfn.XLOOKUP($B404,$B$11:$B$91,_xlfn.XLOOKUP(AR$181,$D$5:$AX$5,$D$11:$AX$91))</f>
        <v>6.188939794762204</v>
      </c>
      <c r="AS404" s="721" cm="1">
        <f t="array" ref="AS404">_xlfn.XLOOKUP($B404,$B$11:$B$91,_xlfn.XLOOKUP(AS$181,$D$5:$AX$5,$D$11:$AX$91))</f>
        <v>6.213802180636014</v>
      </c>
      <c r="AT404" s="721" cm="1">
        <f t="array" ref="AT404">_xlfn.XLOOKUP($B404,$B$11:$B$91,_xlfn.XLOOKUP(AT$181,$D$5:$AX$5,$D$11:$AX$91))</f>
        <v>6.5991126623420584</v>
      </c>
      <c r="AU404" s="721" cm="1">
        <f t="array" ref="AU404">_xlfn.XLOOKUP($B404,$B$11:$B$91,_xlfn.XLOOKUP(AU$181,$D$5:$AX$5,$D$11:$AX$91))</f>
        <v>7.0636690455689788</v>
      </c>
      <c r="AV404" s="721" cm="1">
        <f t="array" ref="AV404">_xlfn.XLOOKUP($B404,$B$11:$B$91,_xlfn.XLOOKUP(AV$181,$D$5:$AX$5,$D$11:$AX$91))</f>
        <v>7.4297336683168016</v>
      </c>
      <c r="AW404" s="721" cm="1">
        <f t="array" ref="AW404">_xlfn.XLOOKUP($B404,$B$11:$B$91,_xlfn.XLOOKUP(AW$181,$D$5:$AX$5,$D$11:$AX$91))</f>
        <v>7.8066230332396733</v>
      </c>
      <c r="AX404" s="721" cm="1">
        <f t="array" ref="AX404">_xlfn.XLOOKUP($B404,$B$11:$B$91,_xlfn.XLOOKUP(AX$181,$D$5:$AX$5,$D$11:$AX$91))</f>
        <v>9.2952246366136251</v>
      </c>
    </row>
    <row r="405" spans="1:50" hidden="1" outlineLevel="1">
      <c r="C405" s="313" t="s">
        <v>1121</v>
      </c>
      <c r="D405" s="307" t="s">
        <v>842</v>
      </c>
      <c r="E405" s="307"/>
      <c r="F405" s="307"/>
      <c r="G405" s="314"/>
      <c r="H405" s="314"/>
      <c r="I405" s="314" t="s">
        <v>967</v>
      </c>
      <c r="J405" s="314" t="s">
        <v>967</v>
      </c>
      <c r="K405" s="314">
        <f t="shared" ref="K405:AF405" si="253">K404/I404-1</f>
        <v>-0.59090909090909094</v>
      </c>
      <c r="L405" s="314">
        <f t="shared" si="253"/>
        <v>-0.6875</v>
      </c>
      <c r="M405" s="314">
        <f t="shared" si="253"/>
        <v>1.1111111111111112</v>
      </c>
      <c r="N405" s="314">
        <f t="shared" si="253"/>
        <v>3.0000000000000009</v>
      </c>
      <c r="O405" s="314">
        <f t="shared" si="253"/>
        <v>0.42105263157894757</v>
      </c>
      <c r="P405" s="314">
        <f t="shared" si="253"/>
        <v>0.25</v>
      </c>
      <c r="Q405" s="314">
        <f t="shared" si="253"/>
        <v>0.2230432562268545</v>
      </c>
      <c r="R405" s="314">
        <f t="shared" si="253"/>
        <v>-8.9218903717375175E-3</v>
      </c>
      <c r="S405" s="314">
        <f t="shared" si="253"/>
        <v>3.2916061675819064E-2</v>
      </c>
      <c r="T405" s="314">
        <f t="shared" si="253"/>
        <v>0.12121416238543037</v>
      </c>
      <c r="U405" s="314">
        <f t="shared" si="253"/>
        <v>1.5121967844147211E-2</v>
      </c>
      <c r="V405" s="314">
        <f t="shared" si="253"/>
        <v>-9.6173748318005847E-3</v>
      </c>
      <c r="W405" s="314">
        <f t="shared" si="253"/>
        <v>6.125809190620024E-2</v>
      </c>
      <c r="X405" s="314">
        <f t="shared" si="253"/>
        <v>6.2953581378260903E-2</v>
      </c>
      <c r="Y405" s="314">
        <f t="shared" si="253"/>
        <v>6.767703489255128E-2</v>
      </c>
      <c r="Z405" s="314">
        <f t="shared" si="253"/>
        <v>7.3814123731213988E-2</v>
      </c>
      <c r="AA405" s="314">
        <f t="shared" si="253"/>
        <v>4.8228132210857533E-2</v>
      </c>
      <c r="AB405" s="314">
        <f t="shared" si="253"/>
        <v>5.6315375747942431E-2</v>
      </c>
      <c r="AC405" s="314">
        <f t="shared" si="253"/>
        <v>4.7812918369514845E-2</v>
      </c>
      <c r="AD405" s="314">
        <f t="shared" si="253"/>
        <v>5.4340072121523253E-2</v>
      </c>
      <c r="AE405" s="314">
        <f t="shared" si="253"/>
        <v>0.17006800627544094</v>
      </c>
      <c r="AF405" s="314">
        <f t="shared" si="253"/>
        <v>0.21608515569620401</v>
      </c>
      <c r="AG405" s="315"/>
      <c r="AH405" s="313" t="str">
        <f t="shared" si="228"/>
        <v>- Growth</v>
      </c>
      <c r="AI405" s="307" t="str">
        <f>D405</f>
        <v>%</v>
      </c>
      <c r="AJ405" s="307"/>
      <c r="AK405" s="307"/>
      <c r="AL405" s="314" t="s">
        <v>967</v>
      </c>
      <c r="AM405" s="314" t="s">
        <v>967</v>
      </c>
      <c r="AN405" s="314">
        <f t="shared" ref="AN405:AX405" si="254">AN404/AM404-1</f>
        <v>-0.63157894736842102</v>
      </c>
      <c r="AO405" s="314">
        <f t="shared" si="254"/>
        <v>1.785714285714286</v>
      </c>
      <c r="AP405" s="314">
        <f t="shared" si="254"/>
        <v>0.33333333333333348</v>
      </c>
      <c r="AQ405" s="314">
        <f t="shared" si="254"/>
        <v>0.11152155113137763</v>
      </c>
      <c r="AR405" s="314">
        <f t="shared" si="254"/>
        <v>7.076711967529592E-2</v>
      </c>
      <c r="AS405" s="314">
        <f t="shared" si="254"/>
        <v>4.017228588142352E-3</v>
      </c>
      <c r="AT405" s="314">
        <f t="shared" si="254"/>
        <v>6.2008810468215714E-2</v>
      </c>
      <c r="AU405" s="314">
        <f t="shared" si="254"/>
        <v>7.0396795296118864E-2</v>
      </c>
      <c r="AV405" s="314">
        <f t="shared" si="254"/>
        <v>5.1823580689621007E-2</v>
      </c>
      <c r="AW405" s="314">
        <f t="shared" si="254"/>
        <v>5.0727170279342593E-2</v>
      </c>
      <c r="AX405" s="314">
        <f t="shared" si="254"/>
        <v>0.19068444794063488</v>
      </c>
    </row>
    <row r="406" spans="1:50" collapsed="1">
      <c r="C406" s="313" t="s">
        <v>1122</v>
      </c>
      <c r="D406" s="307" t="s">
        <v>842</v>
      </c>
      <c r="E406" s="307"/>
      <c r="F406" s="307"/>
      <c r="G406" s="314"/>
      <c r="H406" s="314"/>
      <c r="I406" s="314">
        <f t="shared" ref="I406:AF406" si="255" xml:space="preserve"> IFERROR(ROUND( I404 / I403,3) - 1, 0)</f>
        <v>0</v>
      </c>
      <c r="J406" s="314">
        <f t="shared" si="255"/>
        <v>0</v>
      </c>
      <c r="K406" s="314">
        <f t="shared" si="255"/>
        <v>0</v>
      </c>
      <c r="L406" s="314">
        <f t="shared" si="255"/>
        <v>0</v>
      </c>
      <c r="M406" s="314">
        <f t="shared" si="255"/>
        <v>0</v>
      </c>
      <c r="N406" s="314">
        <f t="shared" si="255"/>
        <v>0</v>
      </c>
      <c r="O406" s="314">
        <f t="shared" si="255"/>
        <v>0</v>
      </c>
      <c r="P406" s="314">
        <f t="shared" si="255"/>
        <v>0.44500000000000006</v>
      </c>
      <c r="Q406" s="314">
        <f t="shared" si="255"/>
        <v>0.2430000000000001</v>
      </c>
      <c r="R406" s="314">
        <f t="shared" si="255"/>
        <v>0.2609999999999999</v>
      </c>
      <c r="S406" s="314">
        <f t="shared" si="255"/>
        <v>0.18700000000000006</v>
      </c>
      <c r="T406" s="314">
        <f t="shared" si="255"/>
        <v>0.28899999999999992</v>
      </c>
      <c r="U406" s="314">
        <f t="shared" si="255"/>
        <v>-1.0000000000000009E-3</v>
      </c>
      <c r="V406" s="314">
        <f t="shared" si="255"/>
        <v>-2.8000000000000025E-2</v>
      </c>
      <c r="W406" s="314">
        <f t="shared" si="255"/>
        <v>-3.1000000000000028E-2</v>
      </c>
      <c r="X406" s="314">
        <f t="shared" si="255"/>
        <v>-6.3999999999999946E-2</v>
      </c>
      <c r="Y406" s="314">
        <f t="shared" si="255"/>
        <v>-4.2000000000000037E-2</v>
      </c>
      <c r="Z406" s="314">
        <f t="shared" si="255"/>
        <v>-7.3999999999999955E-2</v>
      </c>
      <c r="AA406" s="314">
        <f t="shared" si="255"/>
        <v>-6.0000000000000053E-2</v>
      </c>
      <c r="AB406" s="314">
        <f t="shared" si="255"/>
        <v>-9.3999999999999972E-2</v>
      </c>
      <c r="AC406" s="314">
        <f t="shared" si="255"/>
        <v>-5.1000000000000045E-2</v>
      </c>
      <c r="AD406" s="314">
        <f t="shared" si="255"/>
        <v>-8.3999999999999964E-2</v>
      </c>
      <c r="AE406" s="314">
        <f t="shared" si="255"/>
        <v>7.0999999999999952E-2</v>
      </c>
      <c r="AF406" s="314">
        <f t="shared" si="255"/>
        <v>7.0999999999999952E-2</v>
      </c>
      <c r="AG406" s="314"/>
      <c r="AH406" s="313" t="str">
        <f t="shared" si="228"/>
        <v>- Revision</v>
      </c>
      <c r="AI406" s="307" t="str">
        <f>D406</f>
        <v>%</v>
      </c>
      <c r="AJ406" s="307"/>
      <c r="AK406" s="307"/>
      <c r="AL406" s="314">
        <f t="shared" ref="AL406:AX406" si="256" xml:space="preserve"> IFERROR(ROUND( AL404 / AL403,3) - 1, 0)</f>
        <v>0</v>
      </c>
      <c r="AM406" s="314">
        <f t="shared" si="256"/>
        <v>0</v>
      </c>
      <c r="AN406" s="314">
        <f t="shared" si="256"/>
        <v>0</v>
      </c>
      <c r="AO406" s="314">
        <f t="shared" si="256"/>
        <v>0</v>
      </c>
      <c r="AP406" s="314">
        <f t="shared" si="256"/>
        <v>0.17399999999999993</v>
      </c>
      <c r="AQ406" s="314">
        <f t="shared" si="256"/>
        <v>0.25099999999999989</v>
      </c>
      <c r="AR406" s="314">
        <f t="shared" si="256"/>
        <v>0.23100000000000009</v>
      </c>
      <c r="AS406" s="314">
        <f t="shared" si="256"/>
        <v>-1.3000000000000012E-2</v>
      </c>
      <c r="AT406" s="314">
        <f t="shared" si="256"/>
        <v>-4.6000000000000041E-2</v>
      </c>
      <c r="AU406" s="314">
        <f t="shared" si="256"/>
        <v>-5.600000000000005E-2</v>
      </c>
      <c r="AV406" s="314">
        <f t="shared" si="256"/>
        <v>-7.4999999999999956E-2</v>
      </c>
      <c r="AW406" s="314">
        <f t="shared" si="256"/>
        <v>-6.5999999999999948E-2</v>
      </c>
      <c r="AX406" s="314">
        <f t="shared" si="256"/>
        <v>7.0999999999999952E-2</v>
      </c>
    </row>
    <row r="407" spans="1:50">
      <c r="B407" s="305" t="s">
        <v>1130</v>
      </c>
      <c r="C407" s="706" t="str">
        <f>_xlfn.TEXTAFTER($B407,$C$344)&amp;" - old"</f>
        <v>DPS - old</v>
      </c>
      <c r="D407" s="707" t="str" cm="1">
        <f t="array" ref="D407">_xlfn.XLOOKUP($B407,$B$96:$B$176,_xlfn.XLOOKUP(D$181,$D$5:$AX$5,$D$96:$AX$176))</f>
        <v>cps</v>
      </c>
      <c r="E407" s="307"/>
      <c r="F407" s="307"/>
      <c r="G407" s="720"/>
      <c r="H407" s="720"/>
      <c r="I407" s="720" cm="1">
        <f t="array" ref="I407">_xlfn.XLOOKUP($B407,$B$96:$B$176,_xlfn.XLOOKUP(I$181,$D$5:$AX$5,$D$96:$AX$176))</f>
        <v>1.3</v>
      </c>
      <c r="J407" s="720" cm="1">
        <f t="array" ref="J407">_xlfn.XLOOKUP($B407,$B$96:$B$176,_xlfn.XLOOKUP(J$181,$D$5:$AX$5,$D$96:$AX$176))</f>
        <v>0.99999999999999978</v>
      </c>
      <c r="K407" s="720" cm="1">
        <f t="array" ref="K407">_xlfn.XLOOKUP($B407,$B$96:$B$176,_xlfn.XLOOKUP(K$181,$D$5:$AX$5,$D$96:$AX$176))</f>
        <v>1</v>
      </c>
      <c r="L407" s="720" cm="1">
        <f t="array" ref="L407">_xlfn.XLOOKUP($B407,$B$96:$B$176,_xlfn.XLOOKUP(L$181,$D$5:$AX$5,$D$96:$AX$176))</f>
        <v>0.30000000000000004</v>
      </c>
      <c r="M407" s="720" cm="1">
        <f t="array" ref="M407">_xlfn.XLOOKUP($B407,$B$96:$B$176,_xlfn.XLOOKUP(M$181,$D$5:$AX$5,$D$96:$AX$176))</f>
        <v>1</v>
      </c>
      <c r="N407" s="720" cm="1">
        <f t="array" ref="N407">_xlfn.XLOOKUP($B407,$B$96:$B$176,_xlfn.XLOOKUP(N$181,$D$5:$AX$5,$D$96:$AX$176))</f>
        <v>1.2999999999999998</v>
      </c>
      <c r="O407" s="720" cm="1">
        <f t="array" ref="O407">_xlfn.XLOOKUP($B407,$B$96:$B$176,_xlfn.XLOOKUP(O$181,$D$5:$AX$5,$D$96:$AX$176))</f>
        <v>1.5</v>
      </c>
      <c r="P407" s="720" cm="1">
        <f t="array" ref="P407">_xlfn.XLOOKUP($B407,$B$96:$B$176,_xlfn.XLOOKUP(P$181,$D$5:$AX$5,$D$96:$AX$176))</f>
        <v>1.3837096227503018</v>
      </c>
      <c r="Q407" s="720" cm="1">
        <f t="array" ref="Q407">_xlfn.XLOOKUP($B407,$B$96:$B$176,_xlfn.XLOOKUP(Q$181,$D$5:$AX$5,$D$96:$AX$176))</f>
        <v>2.1252336963338965</v>
      </c>
      <c r="R407" s="720" cm="1">
        <f t="array" ref="R407">_xlfn.XLOOKUP($B407,$B$96:$B$176,_xlfn.XLOOKUP(R$181,$D$5:$AX$5,$D$96:$AX$176))</f>
        <v>1.5722542616868811</v>
      </c>
      <c r="S407" s="720" cm="1">
        <f t="array" ref="S407">_xlfn.XLOOKUP($B407,$B$96:$B$176,_xlfn.XLOOKUP(S$181,$D$5:$AX$5,$D$96:$AX$176))</f>
        <v>1.7240734408208336</v>
      </c>
      <c r="T407" s="720" cm="1">
        <f t="array" ref="T407">_xlfn.XLOOKUP($B407,$B$96:$B$176,_xlfn.XLOOKUP(T$181,$D$5:$AX$5,$D$96:$AX$176))</f>
        <v>1.2933070120692796</v>
      </c>
      <c r="U407" s="720" cm="1">
        <f t="array" ref="U407">_xlfn.XLOOKUP($B407,$B$96:$B$176,_xlfn.XLOOKUP(U$181,$D$5:$AX$5,$D$96:$AX$176))</f>
        <v>2.0802983483260271</v>
      </c>
      <c r="V407" s="720" cm="1">
        <f t="array" ref="V407">_xlfn.XLOOKUP($B407,$B$96:$B$176,_xlfn.XLOOKUP(V$181,$D$5:$AX$5,$D$96:$AX$176))</f>
        <v>1.6978633129180913</v>
      </c>
      <c r="W407" s="720" cm="1">
        <f t="array" ref="W407">_xlfn.XLOOKUP($B407,$B$96:$B$176,_xlfn.XLOOKUP(W$181,$D$5:$AX$5,$D$96:$AX$176))</f>
        <v>1.8966416335434211</v>
      </c>
      <c r="X407" s="720" cm="1">
        <f t="array" ref="X407">_xlfn.XLOOKUP($B407,$B$96:$B$176,_xlfn.XLOOKUP(X$181,$D$5:$AX$5,$D$96:$AX$176))</f>
        <v>1.5614434685988889</v>
      </c>
      <c r="Y407" s="720" cm="1">
        <f t="array" ref="Y407">_xlfn.XLOOKUP($B407,$B$96:$B$176,_xlfn.XLOOKUP(Y$181,$D$5:$AX$5,$D$96:$AX$176))</f>
        <v>2.0466460784787337</v>
      </c>
      <c r="Z407" s="720" cm="1">
        <f t="array" ref="Z407">_xlfn.XLOOKUP($B407,$B$96:$B$176,_xlfn.XLOOKUP(Z$181,$D$5:$AX$5,$D$96:$AX$176))</f>
        <v>1.6964382432237961</v>
      </c>
      <c r="AA407" s="720" cm="1">
        <f t="array" ref="AA407">_xlfn.XLOOKUP($B407,$B$96:$B$176,_xlfn.XLOOKUP(AA$181,$D$5:$AX$5,$D$96:$AX$176))</f>
        <v>0</v>
      </c>
      <c r="AB407" s="720" cm="1">
        <f t="array" ref="AB407">_xlfn.XLOOKUP($B407,$B$96:$B$176,_xlfn.XLOOKUP(AB$181,$D$5:$AX$5,$D$96:$AX$176))</f>
        <v>0</v>
      </c>
      <c r="AC407" s="720" cm="1">
        <f t="array" ref="AC407">_xlfn.XLOOKUP($B407,$B$96:$B$176,_xlfn.XLOOKUP(AC$181,$D$5:$AX$5,$D$96:$AX$176))</f>
        <v>0</v>
      </c>
      <c r="AD407" s="720" cm="1">
        <f t="array" ref="AD407">_xlfn.XLOOKUP($B407,$B$96:$B$176,_xlfn.XLOOKUP(AD$181,$D$5:$AX$5,$D$96:$AX$176))</f>
        <v>0</v>
      </c>
      <c r="AE407" s="720" cm="1">
        <f t="array" ref="AE407">_xlfn.XLOOKUP($B407,$B$96:$B$176,_xlfn.XLOOKUP(AE$181,$D$5:$AX$5,$D$96:$AX$176))</f>
        <v>0</v>
      </c>
      <c r="AF407" s="720" cm="1">
        <f t="array" ref="AF407">_xlfn.XLOOKUP($B407,$B$96:$B$176,_xlfn.XLOOKUP(AF$181,$D$5:$AX$5,$D$96:$AX$176))</f>
        <v>0</v>
      </c>
      <c r="AG407" s="309"/>
      <c r="AH407" s="306" t="str">
        <f t="shared" si="228"/>
        <v>DPS - old</v>
      </c>
      <c r="AI407" s="707" t="str" cm="1">
        <f t="array" ref="AI407">_xlfn.XLOOKUP($B407,$B$96:$B$176,_xlfn.XLOOKUP(AI$181,$D$5:$AX$5,$D$96:$AX$176))</f>
        <v>cps</v>
      </c>
      <c r="AJ407" s="307"/>
      <c r="AK407" s="307"/>
      <c r="AL407" s="720" cm="1">
        <f t="array" ref="AL407">_xlfn.XLOOKUP($B407,$B$96:$B$176,_xlfn.XLOOKUP(AL$181,$D$5:$AX$5,$D$96:$AX$176))</f>
        <v>0</v>
      </c>
      <c r="AM407" s="720" cm="1">
        <f t="array" ref="AM407">_xlfn.XLOOKUP($B407,$B$96:$B$176,_xlfn.XLOOKUP(AM$181,$D$5:$AX$5,$D$96:$AX$176))</f>
        <v>2.2999999999999998</v>
      </c>
      <c r="AN407" s="720" cm="1">
        <f t="array" ref="AN407">_xlfn.XLOOKUP($B407,$B$96:$B$176,_xlfn.XLOOKUP(AN$181,$D$5:$AX$5,$D$96:$AX$176))</f>
        <v>1.3</v>
      </c>
      <c r="AO407" s="720" cm="1">
        <f t="array" ref="AO407">_xlfn.XLOOKUP($B407,$B$96:$B$176,_xlfn.XLOOKUP(AO$181,$D$5:$AX$5,$D$96:$AX$176))</f>
        <v>2.2999999999999998</v>
      </c>
      <c r="AP407" s="720" cm="1">
        <f t="array" ref="AP407">_xlfn.XLOOKUP($B407,$B$96:$B$176,_xlfn.XLOOKUP(AP$181,$D$5:$AX$5,$D$96:$AX$176))</f>
        <v>2.8837096227503016</v>
      </c>
      <c r="AQ407" s="720" cm="1">
        <f t="array" ref="AQ407">_xlfn.XLOOKUP($B407,$B$96:$B$176,_xlfn.XLOOKUP(AQ$181,$D$5:$AX$5,$D$96:$AX$176))</f>
        <v>3.6974879580207776</v>
      </c>
      <c r="AR407" s="720" cm="1">
        <f t="array" ref="AR407">_xlfn.XLOOKUP($B407,$B$96:$B$176,_xlfn.XLOOKUP(AR$181,$D$5:$AX$5,$D$96:$AX$176))</f>
        <v>3.0173804528901131</v>
      </c>
      <c r="AS407" s="720" cm="1">
        <f t="array" ref="AS407">_xlfn.XLOOKUP($B407,$B$96:$B$176,_xlfn.XLOOKUP(AS$181,$D$5:$AX$5,$D$96:$AX$176))</f>
        <v>3.7781616612441185</v>
      </c>
      <c r="AT407" s="720" cm="1">
        <f t="array" ref="AT407">_xlfn.XLOOKUP($B407,$B$96:$B$176,_xlfn.XLOOKUP(AT$181,$D$5:$AX$5,$D$96:$AX$176))</f>
        <v>3.4580851021423102</v>
      </c>
      <c r="AU407" s="720" cm="1">
        <f t="array" ref="AU407">_xlfn.XLOOKUP($B407,$B$96:$B$176,_xlfn.XLOOKUP(AU$181,$D$5:$AX$5,$D$96:$AX$176))</f>
        <v>3.74308432170253</v>
      </c>
      <c r="AV407" s="720" cm="1">
        <f t="array" ref="AV407">_xlfn.XLOOKUP($B407,$B$96:$B$176,_xlfn.XLOOKUP(AV$181,$D$5:$AX$5,$D$96:$AX$176))</f>
        <v>0</v>
      </c>
      <c r="AW407" s="720" cm="1">
        <f t="array" ref="AW407">_xlfn.XLOOKUP($B407,$B$96:$B$176,_xlfn.XLOOKUP(AW$181,$D$5:$AX$5,$D$96:$AX$176))</f>
        <v>0</v>
      </c>
      <c r="AX407" s="720" cm="1">
        <f t="array" ref="AX407">_xlfn.XLOOKUP($B407,$B$96:$B$176,_xlfn.XLOOKUP(AX$181,$D$5:$AX$5,$D$96:$AX$176))</f>
        <v>0</v>
      </c>
    </row>
    <row r="408" spans="1:50">
      <c r="B408" s="305" t="s">
        <v>1130</v>
      </c>
      <c r="C408" s="318" t="str">
        <f>_xlfn.TEXTAFTER($B408,$C$344)&amp;" - New"</f>
        <v>DPS - New</v>
      </c>
      <c r="D408" s="311" t="str" cm="1">
        <f t="array" ref="D408">_xlfn.XLOOKUP($B408,$B$11:$B$91,_xlfn.XLOOKUP(D$181,$D$5:$AX$5,$D$11:$AX$91))</f>
        <v>cps</v>
      </c>
      <c r="E408" s="311"/>
      <c r="F408" s="311"/>
      <c r="G408" s="721"/>
      <c r="H408" s="721"/>
      <c r="I408" s="721" cm="1">
        <f t="array" ref="I408">_xlfn.XLOOKUP($B408,$B$11:$B$91,_xlfn.XLOOKUP(I$181,$D$5:$AX$5,$D$11:$AX$91))</f>
        <v>1.3</v>
      </c>
      <c r="J408" s="721" cm="1">
        <f t="array" ref="J408">_xlfn.XLOOKUP($B408,$B$11:$B$91,_xlfn.XLOOKUP(J$181,$D$5:$AX$5,$D$11:$AX$91))</f>
        <v>0.99999999999999978</v>
      </c>
      <c r="K408" s="721" cm="1">
        <f t="array" ref="K408">_xlfn.XLOOKUP($B408,$B$11:$B$91,_xlfn.XLOOKUP(K$181,$D$5:$AX$5,$D$11:$AX$91))</f>
        <v>1</v>
      </c>
      <c r="L408" s="721" cm="1">
        <f t="array" ref="L408">_xlfn.XLOOKUP($B408,$B$11:$B$91,_xlfn.XLOOKUP(L$181,$D$5:$AX$5,$D$11:$AX$91))</f>
        <v>0.30000000000000004</v>
      </c>
      <c r="M408" s="721" cm="1">
        <f t="array" ref="M408">_xlfn.XLOOKUP($B408,$B$11:$B$91,_xlfn.XLOOKUP(M$181,$D$5:$AX$5,$D$11:$AX$91))</f>
        <v>1</v>
      </c>
      <c r="N408" s="721" cm="1">
        <f t="array" ref="N408">_xlfn.XLOOKUP($B408,$B$11:$B$91,_xlfn.XLOOKUP(N$181,$D$5:$AX$5,$D$11:$AX$91))</f>
        <v>1</v>
      </c>
      <c r="O408" s="721" cm="1">
        <f t="array" ref="O408">_xlfn.XLOOKUP($B408,$B$11:$B$91,_xlfn.XLOOKUP(O$181,$D$5:$AX$5,$D$11:$AX$91))</f>
        <v>1.5</v>
      </c>
      <c r="P408" s="721" cm="1">
        <f t="array" ref="P408">_xlfn.XLOOKUP($B408,$B$11:$B$91,_xlfn.XLOOKUP(P$181,$D$5:$AX$5,$D$11:$AX$91))</f>
        <v>1.5</v>
      </c>
      <c r="Q408" s="721" cm="1">
        <f t="array" ref="Q408">_xlfn.XLOOKUP($B408,$B$11:$B$91,_xlfn.XLOOKUP(Q$181,$D$5:$AX$5,$D$11:$AX$91))</f>
        <v>1.6</v>
      </c>
      <c r="R408" s="721" cm="1">
        <f t="array" ref="R408">_xlfn.XLOOKUP($B408,$B$11:$B$91,_xlfn.XLOOKUP(R$181,$D$5:$AX$5,$D$11:$AX$91))</f>
        <v>1.6</v>
      </c>
      <c r="S408" s="721" cm="1">
        <f t="array" ref="S408">_xlfn.XLOOKUP($B408,$B$11:$B$91,_xlfn.XLOOKUP(S$181,$D$5:$AX$5,$D$11:$AX$91))</f>
        <v>1.6</v>
      </c>
      <c r="T408" s="721" cm="1">
        <f t="array" ref="T408">_xlfn.XLOOKUP($B408,$B$11:$B$91,_xlfn.XLOOKUP(T$181,$D$5:$AX$5,$D$11:$AX$91))</f>
        <v>1.6</v>
      </c>
      <c r="U408" s="721" cm="1">
        <f t="array" ref="U408">_xlfn.XLOOKUP($B408,$B$11:$B$91,_xlfn.XLOOKUP(U$181,$D$5:$AX$5,$D$11:$AX$91))</f>
        <v>2.0774954859156241</v>
      </c>
      <c r="V408" s="721" cm="1">
        <f t="array" ref="V408">_xlfn.XLOOKUP($B408,$B$11:$B$91,_xlfn.XLOOKUP(V$181,$D$5:$AX$5,$D$11:$AX$91))</f>
        <v>1.6507858224659839</v>
      </c>
      <c r="W408" s="721" cm="1">
        <f t="array" ref="W408">_xlfn.XLOOKUP($B408,$B$11:$B$91,_xlfn.XLOOKUP(W$181,$D$5:$AX$5,$D$11:$AX$91))</f>
        <v>1.8372990794387998</v>
      </c>
      <c r="X408" s="721" cm="1">
        <f t="array" ref="X408">_xlfn.XLOOKUP($B408,$B$11:$B$91,_xlfn.XLOOKUP(X$181,$D$5:$AX$5,$D$11:$AX$91))</f>
        <v>1.4622572517322296</v>
      </c>
      <c r="Y408" s="721" cm="1">
        <f t="array" ref="Y408">_xlfn.XLOOKUP($B408,$B$11:$B$91,_xlfn.XLOOKUP(Y$181,$D$5:$AX$5,$D$11:$AX$91))</f>
        <v>1.9616420333460318</v>
      </c>
      <c r="Z408" s="721" cm="1">
        <f t="array" ref="Z408">_xlfn.XLOOKUP($B408,$B$11:$B$91,_xlfn.XLOOKUP(Z$181,$D$5:$AX$5,$D$11:$AX$91))</f>
        <v>1.5701924894384574</v>
      </c>
      <c r="AA408" s="721" cm="1">
        <f t="array" ref="AA408">_xlfn.XLOOKUP($B408,$B$11:$B$91,_xlfn.XLOOKUP(AA$181,$D$5:$AX$5,$D$11:$AX$91))</f>
        <v>0</v>
      </c>
      <c r="AB408" s="721" cm="1">
        <f t="array" ref="AB408">_xlfn.XLOOKUP($B408,$B$11:$B$91,_xlfn.XLOOKUP(AB$181,$D$5:$AX$5,$D$11:$AX$91))</f>
        <v>0</v>
      </c>
      <c r="AC408" s="721" cm="1">
        <f t="array" ref="AC408">_xlfn.XLOOKUP($B408,$B$11:$B$91,_xlfn.XLOOKUP(AC$181,$D$5:$AX$5,$D$11:$AX$91))</f>
        <v>0</v>
      </c>
      <c r="AD408" s="721" cm="1">
        <f t="array" ref="AD408">_xlfn.XLOOKUP($B408,$B$11:$B$91,_xlfn.XLOOKUP(AD$181,$D$5:$AX$5,$D$11:$AX$91))</f>
        <v>0</v>
      </c>
      <c r="AE408" s="721" cm="1">
        <f t="array" ref="AE408">_xlfn.XLOOKUP($B408,$B$11:$B$91,_xlfn.XLOOKUP(AE$181,$D$5:$AX$5,$D$11:$AX$91))</f>
        <v>0</v>
      </c>
      <c r="AF408" s="721" cm="1">
        <f t="array" ref="AF408">_xlfn.XLOOKUP($B408,$B$11:$B$91,_xlfn.XLOOKUP(AF$181,$D$5:$AX$5,$D$11:$AX$91))</f>
        <v>0</v>
      </c>
      <c r="AG408" s="312"/>
      <c r="AH408" s="310" t="str">
        <f t="shared" si="228"/>
        <v>DPS - New</v>
      </c>
      <c r="AI408" s="311" t="str" cm="1">
        <f t="array" ref="AI408">_xlfn.XLOOKUP($B408,$B$11:$B$91,_xlfn.XLOOKUP(AI$181,$D$5:$AX$5,$D$11:$AX$91))</f>
        <v>cps</v>
      </c>
      <c r="AJ408" s="311"/>
      <c r="AK408" s="311"/>
      <c r="AL408" s="721" cm="1">
        <f t="array" ref="AL408">_xlfn.XLOOKUP($B408,$B$11:$B$91,_xlfn.XLOOKUP(AL$181,$D$5:$AX$5,$D$11:$AX$91))</f>
        <v>0</v>
      </c>
      <c r="AM408" s="721" cm="1">
        <f t="array" ref="AM408">_xlfn.XLOOKUP($B408,$B$11:$B$91,_xlfn.XLOOKUP(AM$181,$D$5:$AX$5,$D$11:$AX$91))</f>
        <v>2.2999999999999998</v>
      </c>
      <c r="AN408" s="721" cm="1">
        <f t="array" ref="AN408">_xlfn.XLOOKUP($B408,$B$11:$B$91,_xlfn.XLOOKUP(AN$181,$D$5:$AX$5,$D$11:$AX$91))</f>
        <v>1.3</v>
      </c>
      <c r="AO408" s="721" cm="1">
        <f t="array" ref="AO408">_xlfn.XLOOKUP($B408,$B$11:$B$91,_xlfn.XLOOKUP(AO$181,$D$5:$AX$5,$D$11:$AX$91))</f>
        <v>2</v>
      </c>
      <c r="AP408" s="721" cm="1">
        <f t="array" ref="AP408">_xlfn.XLOOKUP($B408,$B$11:$B$91,_xlfn.XLOOKUP(AP$181,$D$5:$AX$5,$D$11:$AX$91))</f>
        <v>3</v>
      </c>
      <c r="AQ408" s="721" cm="1">
        <f t="array" ref="AQ408">_xlfn.XLOOKUP($B408,$B$11:$B$91,_xlfn.XLOOKUP(AQ$181,$D$5:$AX$5,$D$11:$AX$91))</f>
        <v>3.2</v>
      </c>
      <c r="AR408" s="721" cm="1">
        <f t="array" ref="AR408">_xlfn.XLOOKUP($B408,$B$11:$B$91,_xlfn.XLOOKUP(AR$181,$D$5:$AX$5,$D$11:$AX$91))</f>
        <v>3.2</v>
      </c>
      <c r="AS408" s="721" cm="1">
        <f t="array" ref="AS408">_xlfn.XLOOKUP($B408,$B$11:$B$91,_xlfn.XLOOKUP(AS$181,$D$5:$AX$5,$D$11:$AX$91))</f>
        <v>3.7282813083816082</v>
      </c>
      <c r="AT408" s="721" cm="1">
        <f t="array" ref="AT408">_xlfn.XLOOKUP($B408,$B$11:$B$91,_xlfn.XLOOKUP(AT$181,$D$5:$AX$5,$D$11:$AX$91))</f>
        <v>3.2995563311710292</v>
      </c>
      <c r="AU408" s="721" cm="1">
        <f t="array" ref="AU408">_xlfn.XLOOKUP($B408,$B$11:$B$91,_xlfn.XLOOKUP(AU$181,$D$5:$AX$5,$D$11:$AX$91))</f>
        <v>3.5318345227844894</v>
      </c>
      <c r="AV408" s="721" cm="1">
        <f t="array" ref="AV408">_xlfn.XLOOKUP($B408,$B$11:$B$91,_xlfn.XLOOKUP(AV$181,$D$5:$AX$5,$D$11:$AX$91))</f>
        <v>0</v>
      </c>
      <c r="AW408" s="721" cm="1">
        <f t="array" ref="AW408">_xlfn.XLOOKUP($B408,$B$11:$B$91,_xlfn.XLOOKUP(AW$181,$D$5:$AX$5,$D$11:$AX$91))</f>
        <v>0</v>
      </c>
      <c r="AX408" s="721" cm="1">
        <f t="array" ref="AX408">_xlfn.XLOOKUP($B408,$B$11:$B$91,_xlfn.XLOOKUP(AX$181,$D$5:$AX$5,$D$11:$AX$91))</f>
        <v>0</v>
      </c>
    </row>
    <row r="409" spans="1:50" hidden="1" outlineLevel="1">
      <c r="B409" s="305"/>
      <c r="C409" s="313" t="s">
        <v>1121</v>
      </c>
      <c r="D409" s="307" t="s">
        <v>842</v>
      </c>
      <c r="E409" s="307"/>
      <c r="F409" s="307"/>
      <c r="G409" s="314"/>
      <c r="H409" s="314"/>
      <c r="I409" s="314" t="s">
        <v>967</v>
      </c>
      <c r="J409" s="314" t="s">
        <v>967</v>
      </c>
      <c r="K409" s="314">
        <f t="shared" ref="K409:AF409" si="257">K408/I408-1</f>
        <v>-0.23076923076923084</v>
      </c>
      <c r="L409" s="314">
        <f t="shared" si="257"/>
        <v>-0.7</v>
      </c>
      <c r="M409" s="314">
        <f t="shared" si="257"/>
        <v>0</v>
      </c>
      <c r="N409" s="314">
        <f t="shared" si="257"/>
        <v>2.333333333333333</v>
      </c>
      <c r="O409" s="314">
        <f t="shared" si="257"/>
        <v>0.5</v>
      </c>
      <c r="P409" s="314">
        <f t="shared" si="257"/>
        <v>0.5</v>
      </c>
      <c r="Q409" s="314">
        <f t="shared" si="257"/>
        <v>6.6666666666666652E-2</v>
      </c>
      <c r="R409" s="314">
        <f t="shared" si="257"/>
        <v>6.6666666666666652E-2</v>
      </c>
      <c r="S409" s="314">
        <f t="shared" si="257"/>
        <v>0</v>
      </c>
      <c r="T409" s="314">
        <f t="shared" si="257"/>
        <v>0</v>
      </c>
      <c r="U409" s="314">
        <f t="shared" si="257"/>
        <v>0.29843467869726492</v>
      </c>
      <c r="V409" s="314">
        <f t="shared" si="257"/>
        <v>3.1741139041239874E-2</v>
      </c>
      <c r="W409" s="314">
        <f t="shared" si="257"/>
        <v>-0.11561825674483306</v>
      </c>
      <c r="X409" s="314">
        <f t="shared" si="257"/>
        <v>-0.11420534885144928</v>
      </c>
      <c r="Y409" s="314">
        <f t="shared" si="257"/>
        <v>6.767703489255128E-2</v>
      </c>
      <c r="Z409" s="314">
        <f t="shared" si="257"/>
        <v>7.3814123731213988E-2</v>
      </c>
      <c r="AA409" s="314">
        <f t="shared" si="257"/>
        <v>-1</v>
      </c>
      <c r="AB409" s="314">
        <f t="shared" si="257"/>
        <v>-1</v>
      </c>
      <c r="AC409" s="314" t="e">
        <f t="shared" si="257"/>
        <v>#DIV/0!</v>
      </c>
      <c r="AD409" s="314" t="e">
        <f t="shared" si="257"/>
        <v>#DIV/0!</v>
      </c>
      <c r="AE409" s="314" t="e">
        <f t="shared" si="257"/>
        <v>#DIV/0!</v>
      </c>
      <c r="AF409" s="314" t="e">
        <f t="shared" si="257"/>
        <v>#DIV/0!</v>
      </c>
      <c r="AG409" s="315"/>
      <c r="AH409" s="313" t="str">
        <f t="shared" si="228"/>
        <v>- Growth</v>
      </c>
      <c r="AI409" s="307" t="str">
        <f>D409</f>
        <v>%</v>
      </c>
      <c r="AJ409" s="307"/>
      <c r="AK409" s="307"/>
      <c r="AL409" s="314" t="s">
        <v>967</v>
      </c>
      <c r="AM409" s="314" t="s">
        <v>967</v>
      </c>
      <c r="AN409" s="314">
        <f t="shared" ref="AN409:AX409" si="258">AN408/AM408-1</f>
        <v>-0.43478260869565211</v>
      </c>
      <c r="AO409" s="314">
        <f t="shared" si="258"/>
        <v>0.53846153846153832</v>
      </c>
      <c r="AP409" s="314">
        <f t="shared" si="258"/>
        <v>0.5</v>
      </c>
      <c r="AQ409" s="314">
        <f t="shared" si="258"/>
        <v>6.6666666666666652E-2</v>
      </c>
      <c r="AR409" s="314">
        <f t="shared" si="258"/>
        <v>0</v>
      </c>
      <c r="AS409" s="314">
        <f t="shared" si="258"/>
        <v>0.16508790886925251</v>
      </c>
      <c r="AT409" s="314">
        <f t="shared" si="258"/>
        <v>-0.1149926579431535</v>
      </c>
      <c r="AU409" s="314">
        <f t="shared" si="258"/>
        <v>7.0396795296118864E-2</v>
      </c>
      <c r="AV409" s="314">
        <f t="shared" si="258"/>
        <v>-1</v>
      </c>
      <c r="AW409" s="314" t="e">
        <f t="shared" si="258"/>
        <v>#DIV/0!</v>
      </c>
      <c r="AX409" s="314" t="e">
        <f t="shared" si="258"/>
        <v>#DIV/0!</v>
      </c>
    </row>
    <row r="410" spans="1:50" collapsed="1">
      <c r="B410" s="305"/>
      <c r="C410" s="313" t="s">
        <v>1122</v>
      </c>
      <c r="D410" s="307" t="s">
        <v>842</v>
      </c>
      <c r="E410" s="307"/>
      <c r="F410" s="307"/>
      <c r="G410" s="314"/>
      <c r="H410" s="314"/>
      <c r="I410" s="314">
        <f t="shared" ref="I410:AF410" si="259" xml:space="preserve"> IFERROR(ROUND( I408 / I407,3) - 1, 0)</f>
        <v>0</v>
      </c>
      <c r="J410" s="314">
        <f t="shared" si="259"/>
        <v>0</v>
      </c>
      <c r="K410" s="314">
        <f t="shared" si="259"/>
        <v>0</v>
      </c>
      <c r="L410" s="314">
        <f t="shared" si="259"/>
        <v>0</v>
      </c>
      <c r="M410" s="314">
        <f t="shared" si="259"/>
        <v>0</v>
      </c>
      <c r="N410" s="314">
        <f t="shared" si="259"/>
        <v>-0.23099999999999998</v>
      </c>
      <c r="O410" s="314">
        <f t="shared" si="259"/>
        <v>0</v>
      </c>
      <c r="P410" s="314">
        <f t="shared" si="259"/>
        <v>8.4000000000000075E-2</v>
      </c>
      <c r="Q410" s="314">
        <f t="shared" si="259"/>
        <v>-0.247</v>
      </c>
      <c r="R410" s="314">
        <f t="shared" si="259"/>
        <v>1.8000000000000016E-2</v>
      </c>
      <c r="S410" s="314">
        <f t="shared" si="259"/>
        <v>-7.1999999999999953E-2</v>
      </c>
      <c r="T410" s="314">
        <f t="shared" si="259"/>
        <v>0.2370000000000001</v>
      </c>
      <c r="U410" s="314">
        <f t="shared" si="259"/>
        <v>-1.0000000000000009E-3</v>
      </c>
      <c r="V410" s="314">
        <f t="shared" si="259"/>
        <v>-2.8000000000000025E-2</v>
      </c>
      <c r="W410" s="314">
        <f t="shared" si="259"/>
        <v>-3.1000000000000028E-2</v>
      </c>
      <c r="X410" s="314">
        <f t="shared" si="259"/>
        <v>-6.3999999999999946E-2</v>
      </c>
      <c r="Y410" s="314">
        <f t="shared" si="259"/>
        <v>-4.2000000000000037E-2</v>
      </c>
      <c r="Z410" s="314">
        <f t="shared" si="259"/>
        <v>-7.3999999999999955E-2</v>
      </c>
      <c r="AA410" s="314">
        <f t="shared" si="259"/>
        <v>0</v>
      </c>
      <c r="AB410" s="314">
        <f t="shared" si="259"/>
        <v>0</v>
      </c>
      <c r="AC410" s="314">
        <f t="shared" si="259"/>
        <v>0</v>
      </c>
      <c r="AD410" s="314">
        <f t="shared" si="259"/>
        <v>0</v>
      </c>
      <c r="AE410" s="314">
        <f t="shared" si="259"/>
        <v>0</v>
      </c>
      <c r="AF410" s="314">
        <f t="shared" si="259"/>
        <v>0</v>
      </c>
      <c r="AG410" s="314"/>
      <c r="AH410" s="313" t="str">
        <f t="shared" si="228"/>
        <v>- Revision</v>
      </c>
      <c r="AI410" s="307" t="str">
        <f>D410</f>
        <v>%</v>
      </c>
      <c r="AJ410" s="307"/>
      <c r="AK410" s="307"/>
      <c r="AL410" s="314">
        <f t="shared" ref="AL410:AX410" si="260" xml:space="preserve"> IFERROR(ROUND( AL408 / AL407,3) - 1, 0)</f>
        <v>0</v>
      </c>
      <c r="AM410" s="314">
        <f t="shared" si="260"/>
        <v>0</v>
      </c>
      <c r="AN410" s="314">
        <f t="shared" si="260"/>
        <v>0</v>
      </c>
      <c r="AO410" s="314">
        <f t="shared" si="260"/>
        <v>-0.13</v>
      </c>
      <c r="AP410" s="314">
        <f t="shared" si="260"/>
        <v>4.0000000000000036E-2</v>
      </c>
      <c r="AQ410" s="314">
        <f t="shared" si="260"/>
        <v>-0.13500000000000001</v>
      </c>
      <c r="AR410" s="314">
        <f t="shared" si="260"/>
        <v>6.0999999999999943E-2</v>
      </c>
      <c r="AS410" s="314">
        <f t="shared" si="260"/>
        <v>-1.3000000000000012E-2</v>
      </c>
      <c r="AT410" s="314">
        <f t="shared" si="260"/>
        <v>-4.6000000000000041E-2</v>
      </c>
      <c r="AU410" s="314">
        <f t="shared" si="260"/>
        <v>-5.600000000000005E-2</v>
      </c>
      <c r="AV410" s="314">
        <f t="shared" si="260"/>
        <v>0</v>
      </c>
      <c r="AW410" s="314">
        <f t="shared" si="260"/>
        <v>0</v>
      </c>
      <c r="AX410" s="314">
        <f t="shared" si="260"/>
        <v>0</v>
      </c>
    </row>
    <row r="411" spans="1:50">
      <c r="C411" s="313"/>
      <c r="D411" s="307"/>
      <c r="E411" s="307"/>
      <c r="F411" s="307"/>
      <c r="G411" s="314"/>
      <c r="H411" s="314"/>
      <c r="I411" s="314"/>
      <c r="J411" s="314"/>
      <c r="K411" s="314"/>
      <c r="L411" s="314"/>
      <c r="M411" s="314"/>
      <c r="N411" s="314"/>
      <c r="O411" s="314"/>
      <c r="P411" s="314"/>
      <c r="Q411" s="314"/>
      <c r="R411" s="314"/>
      <c r="S411" s="314"/>
      <c r="T411" s="314"/>
      <c r="U411" s="314"/>
      <c r="V411" s="314"/>
      <c r="W411" s="314"/>
      <c r="X411" s="314"/>
      <c r="Y411" s="314"/>
      <c r="Z411" s="314"/>
      <c r="AA411" s="314"/>
      <c r="AB411" s="314"/>
      <c r="AC411" s="314"/>
      <c r="AD411" s="314"/>
      <c r="AE411" s="314"/>
      <c r="AF411" s="314"/>
      <c r="AG411" s="314"/>
      <c r="AH411" s="313"/>
      <c r="AI411" s="307"/>
      <c r="AJ411" s="307"/>
      <c r="AK411" s="307"/>
      <c r="AL411" s="314"/>
      <c r="AM411" s="314"/>
      <c r="AN411" s="314"/>
      <c r="AO411" s="314"/>
      <c r="AP411" s="314"/>
      <c r="AQ411" s="314"/>
      <c r="AR411" s="314"/>
      <c r="AS411" s="314"/>
      <c r="AT411" s="314"/>
      <c r="AU411" s="314"/>
      <c r="AV411" s="314"/>
      <c r="AW411" s="314"/>
      <c r="AX411" s="314"/>
    </row>
    <row r="412" spans="1:50">
      <c r="A412" t="s">
        <v>971</v>
      </c>
      <c r="C412" s="291" t="s">
        <v>1419</v>
      </c>
      <c r="D412" s="292"/>
      <c r="E412" s="292"/>
      <c r="F412" s="292"/>
      <c r="G412" s="292"/>
      <c r="H412" s="292"/>
      <c r="I412" s="292"/>
      <c r="J412" s="292"/>
      <c r="K412" s="292"/>
      <c r="L412" s="292"/>
      <c r="M412" s="292"/>
      <c r="N412" s="292"/>
      <c r="O412" s="292"/>
      <c r="P412" s="293"/>
      <c r="Q412" s="293"/>
      <c r="R412" s="293"/>
      <c r="S412" s="293"/>
      <c r="T412" s="293"/>
      <c r="U412" s="293"/>
      <c r="V412" s="293"/>
      <c r="W412" s="293"/>
      <c r="X412" s="293"/>
      <c r="Y412" s="293"/>
      <c r="Z412" s="293"/>
      <c r="AA412" s="293"/>
      <c r="AB412" s="293"/>
      <c r="AC412" s="293"/>
      <c r="AD412" s="293"/>
      <c r="AE412" s="293"/>
      <c r="AF412" s="293"/>
      <c r="AG412" s="293"/>
      <c r="AH412" s="293"/>
      <c r="AI412" s="293"/>
      <c r="AJ412" s="292"/>
      <c r="AK412" s="292"/>
      <c r="AL412" s="292"/>
      <c r="AM412" s="292"/>
      <c r="AN412" s="292"/>
      <c r="AO412" s="292"/>
      <c r="AP412" s="292"/>
      <c r="AQ412" s="292"/>
      <c r="AR412" s="292"/>
      <c r="AS412" s="292"/>
      <c r="AT412" s="292"/>
      <c r="AU412" s="292"/>
      <c r="AV412" s="292"/>
      <c r="AW412" s="292"/>
      <c r="AX412" s="292"/>
    </row>
    <row r="413" spans="1:50">
      <c r="C413" s="296"/>
      <c r="D413" s="296" t="s">
        <v>960</v>
      </c>
      <c r="E413" s="296"/>
      <c r="F413" s="296" t="str">
        <f>F$5</f>
        <v>VAL</v>
      </c>
      <c r="G413" s="297" t="str">
        <f t="shared" ref="G413:AF413" si="261">G$5</f>
        <v>1H22A</v>
      </c>
      <c r="H413" s="298" t="str">
        <f t="shared" si="261"/>
        <v>2H22A</v>
      </c>
      <c r="I413" s="297" t="str">
        <f t="shared" si="261"/>
        <v>1H23A</v>
      </c>
      <c r="J413" s="298" t="str">
        <f t="shared" si="261"/>
        <v>2H23A</v>
      </c>
      <c r="K413" s="297" t="str">
        <f t="shared" si="261"/>
        <v>1H24E</v>
      </c>
      <c r="L413" s="298" t="str">
        <f t="shared" si="261"/>
        <v>2H24E</v>
      </c>
      <c r="M413" s="297" t="str">
        <f t="shared" si="261"/>
        <v>1H25E</v>
      </c>
      <c r="N413" s="298" t="str">
        <f t="shared" si="261"/>
        <v>2H25E</v>
      </c>
      <c r="O413" s="297" t="str">
        <f t="shared" si="261"/>
        <v>1H26E</v>
      </c>
      <c r="P413" s="298" t="str">
        <f t="shared" si="261"/>
        <v>2H26E</v>
      </c>
      <c r="Q413" s="297" t="str">
        <f t="shared" si="261"/>
        <v>1H27E</v>
      </c>
      <c r="R413" s="298" t="str">
        <f t="shared" si="261"/>
        <v>2H27E</v>
      </c>
      <c r="S413" s="297" t="str">
        <f t="shared" si="261"/>
        <v>1H28E</v>
      </c>
      <c r="T413" s="298" t="str">
        <f t="shared" si="261"/>
        <v>2H28E</v>
      </c>
      <c r="U413" s="297" t="str">
        <f t="shared" si="261"/>
        <v>1H29E</v>
      </c>
      <c r="V413" s="298" t="str">
        <f t="shared" si="261"/>
        <v>2H29E</v>
      </c>
      <c r="W413" s="297" t="str">
        <f t="shared" si="261"/>
        <v>1H30E</v>
      </c>
      <c r="X413" s="298" t="str">
        <f t="shared" si="261"/>
        <v>2H30E</v>
      </c>
      <c r="Y413" s="298" t="str">
        <f t="shared" si="261"/>
        <v>1H31E</v>
      </c>
      <c r="Z413" s="298" t="str">
        <f t="shared" si="261"/>
        <v>2H31E</v>
      </c>
      <c r="AA413" s="298" t="str">
        <f t="shared" si="261"/>
        <v>1H32E</v>
      </c>
      <c r="AB413" s="298" t="str">
        <f t="shared" si="261"/>
        <v>2H32E</v>
      </c>
      <c r="AC413" s="298" t="str">
        <f t="shared" si="261"/>
        <v>1H33E</v>
      </c>
      <c r="AD413" s="298" t="str">
        <f t="shared" si="261"/>
        <v>2H33E</v>
      </c>
      <c r="AE413" s="298" t="str">
        <f t="shared" si="261"/>
        <v>1H34E</v>
      </c>
      <c r="AF413" s="298" t="str">
        <f t="shared" si="261"/>
        <v>2H34E</v>
      </c>
      <c r="AG413" s="299"/>
      <c r="AH413" s="723"/>
      <c r="AI413" s="723" t="s">
        <v>960</v>
      </c>
      <c r="AJ413" s="723"/>
      <c r="AK413" s="723" t="str">
        <f>AK$5</f>
        <v>VAL</v>
      </c>
      <c r="AL413" s="723" t="str">
        <f t="shared" ref="AL413:AX413" si="262">AL$5</f>
        <v>FY22A</v>
      </c>
      <c r="AM413" s="723" t="str">
        <f t="shared" si="262"/>
        <v>FY23A</v>
      </c>
      <c r="AN413" s="723" t="str">
        <f t="shared" si="262"/>
        <v>FY24A</v>
      </c>
      <c r="AO413" s="723" t="str">
        <f t="shared" si="262"/>
        <v>FY25A</v>
      </c>
      <c r="AP413" s="723" t="str">
        <f t="shared" si="262"/>
        <v>FY26A</v>
      </c>
      <c r="AQ413" s="723" t="str">
        <f t="shared" si="262"/>
        <v>FY27A</v>
      </c>
      <c r="AR413" s="723" t="str">
        <f t="shared" si="262"/>
        <v>FY28A</v>
      </c>
      <c r="AS413" s="723" t="str">
        <f t="shared" si="262"/>
        <v>FY29A</v>
      </c>
      <c r="AT413" s="723" t="str">
        <f t="shared" si="262"/>
        <v>FY30A</v>
      </c>
      <c r="AU413" s="723" t="str">
        <f t="shared" si="262"/>
        <v>FY31A</v>
      </c>
      <c r="AV413" s="723" t="str">
        <f t="shared" si="262"/>
        <v>FY32A</v>
      </c>
      <c r="AW413" s="723" t="str">
        <f t="shared" si="262"/>
        <v>FY33A</v>
      </c>
      <c r="AX413" s="723" t="str">
        <f t="shared" si="262"/>
        <v>FY34A</v>
      </c>
    </row>
    <row r="414" spans="1:50">
      <c r="C414" s="300"/>
      <c r="D414" s="300"/>
      <c r="E414" s="300"/>
      <c r="F414" s="300"/>
      <c r="G414" s="301">
        <f t="shared" ref="G414:AF414" si="263">G$6</f>
        <v>44561</v>
      </c>
      <c r="H414" s="302">
        <f t="shared" si="263"/>
        <v>44742</v>
      </c>
      <c r="I414" s="301">
        <f t="shared" si="263"/>
        <v>44926</v>
      </c>
      <c r="J414" s="302">
        <f t="shared" si="263"/>
        <v>45107</v>
      </c>
      <c r="K414" s="301">
        <f t="shared" si="263"/>
        <v>45291</v>
      </c>
      <c r="L414" s="302">
        <f t="shared" si="263"/>
        <v>45473</v>
      </c>
      <c r="M414" s="301">
        <f t="shared" si="263"/>
        <v>45657</v>
      </c>
      <c r="N414" s="302">
        <f t="shared" si="263"/>
        <v>45838</v>
      </c>
      <c r="O414" s="301">
        <f t="shared" si="263"/>
        <v>46022</v>
      </c>
      <c r="P414" s="302">
        <f t="shared" si="263"/>
        <v>46203</v>
      </c>
      <c r="Q414" s="301">
        <f t="shared" si="263"/>
        <v>46387</v>
      </c>
      <c r="R414" s="302">
        <f t="shared" si="263"/>
        <v>46568</v>
      </c>
      <c r="S414" s="301">
        <f t="shared" si="263"/>
        <v>46752</v>
      </c>
      <c r="T414" s="302">
        <f t="shared" si="263"/>
        <v>46934</v>
      </c>
      <c r="U414" s="301">
        <f t="shared" si="263"/>
        <v>47118</v>
      </c>
      <c r="V414" s="302">
        <f t="shared" si="263"/>
        <v>47299</v>
      </c>
      <c r="W414" s="301">
        <f t="shared" si="263"/>
        <v>47483</v>
      </c>
      <c r="X414" s="300">
        <f t="shared" si="263"/>
        <v>47664</v>
      </c>
      <c r="Y414" s="300">
        <f t="shared" si="263"/>
        <v>47848</v>
      </c>
      <c r="Z414" s="300">
        <f t="shared" si="263"/>
        <v>48029</v>
      </c>
      <c r="AA414" s="300">
        <f t="shared" si="263"/>
        <v>48213</v>
      </c>
      <c r="AB414" s="300">
        <f t="shared" si="263"/>
        <v>48395</v>
      </c>
      <c r="AC414" s="300">
        <f t="shared" si="263"/>
        <v>48579</v>
      </c>
      <c r="AD414" s="300">
        <f t="shared" si="263"/>
        <v>48760</v>
      </c>
      <c r="AE414" s="300">
        <f t="shared" si="263"/>
        <v>48944</v>
      </c>
      <c r="AF414" s="300">
        <f t="shared" si="263"/>
        <v>49125</v>
      </c>
      <c r="AG414" s="303"/>
      <c r="AH414" s="724"/>
      <c r="AI414" s="724"/>
      <c r="AJ414" s="724"/>
      <c r="AK414" s="724"/>
      <c r="AL414" s="724">
        <f t="shared" ref="AL414:AX414" si="264">AL$6</f>
        <v>44742</v>
      </c>
      <c r="AM414" s="724">
        <f t="shared" si="264"/>
        <v>45107</v>
      </c>
      <c r="AN414" s="724">
        <f t="shared" si="264"/>
        <v>45473</v>
      </c>
      <c r="AO414" s="724">
        <f t="shared" si="264"/>
        <v>45838</v>
      </c>
      <c r="AP414" s="724">
        <f t="shared" si="264"/>
        <v>46203</v>
      </c>
      <c r="AQ414" s="724">
        <f t="shared" si="264"/>
        <v>46568</v>
      </c>
      <c r="AR414" s="724">
        <f t="shared" si="264"/>
        <v>46934</v>
      </c>
      <c r="AS414" s="724">
        <f t="shared" si="264"/>
        <v>47299</v>
      </c>
      <c r="AT414" s="724">
        <f t="shared" si="264"/>
        <v>47664</v>
      </c>
      <c r="AU414" s="724">
        <f t="shared" si="264"/>
        <v>48029</v>
      </c>
      <c r="AV414" s="724">
        <f t="shared" si="264"/>
        <v>48395</v>
      </c>
      <c r="AW414" s="724">
        <f t="shared" si="264"/>
        <v>48760</v>
      </c>
      <c r="AX414" s="724">
        <f t="shared" si="264"/>
        <v>49125</v>
      </c>
    </row>
    <row r="415" spans="1:50" s="704" customFormat="1">
      <c r="B415" s="705" t="s">
        <v>1462</v>
      </c>
      <c r="C415" s="706" t="str">
        <f>_xlfn.TEXTAFTER($B415,$C$412)&amp;" - old"</f>
        <v>Operating cash flow - old</v>
      </c>
      <c r="D415" s="707" t="str" cm="1">
        <f t="array" ref="D415">_xlfn.XLOOKUP($B415,$B$96:$B$176,_xlfn.XLOOKUP(D$181,$D$5:$AX$5,$D$96:$AX$176))</f>
        <v>A$m</v>
      </c>
      <c r="E415" s="707"/>
      <c r="F415" s="707"/>
      <c r="G415" s="708"/>
      <c r="H415" s="708"/>
      <c r="I415" s="708" cm="1">
        <f t="array" ref="I415">_xlfn.XLOOKUP($B415,$B$96:$B$176,_xlfn.XLOOKUP(I$181,$D$5:$AX$5,$D$96:$AX$176))</f>
        <v>-125</v>
      </c>
      <c r="J415" s="708" cm="1">
        <f t="array" ref="J415">_xlfn.XLOOKUP($B415,$B$96:$B$176,_xlfn.XLOOKUP(J$181,$D$5:$AX$5,$D$96:$AX$176))</f>
        <v>244.3</v>
      </c>
      <c r="K415" s="708" cm="1">
        <f t="array" ref="K415">_xlfn.XLOOKUP($B415,$B$96:$B$176,_xlfn.XLOOKUP(K$181,$D$5:$AX$5,$D$96:$AX$176))</f>
        <v>121.3</v>
      </c>
      <c r="L415" s="708" cm="1">
        <f t="array" ref="L415">_xlfn.XLOOKUP($B415,$B$96:$B$176,_xlfn.XLOOKUP(L$181,$D$5:$AX$5,$D$96:$AX$176))</f>
        <v>123.89999999999999</v>
      </c>
      <c r="M415" s="708" cm="1">
        <f t="array" ref="M415">_xlfn.XLOOKUP($B415,$B$96:$B$176,_xlfn.XLOOKUP(M$181,$D$5:$AX$5,$D$96:$AX$176))</f>
        <v>172</v>
      </c>
      <c r="N415" s="708" cm="1">
        <f t="array" ref="N415">_xlfn.XLOOKUP($B415,$B$96:$B$176,_xlfn.XLOOKUP(N$181,$D$5:$AX$5,$D$96:$AX$176))</f>
        <v>234.5</v>
      </c>
      <c r="O415" s="708" cm="1">
        <f t="array" ref="O415">_xlfn.XLOOKUP($B415,$B$96:$B$176,_xlfn.XLOOKUP(O$181,$D$5:$AX$5,$D$96:$AX$176))</f>
        <v>95.3</v>
      </c>
      <c r="P415" s="708" cm="1">
        <f t="array" ref="P415">_xlfn.XLOOKUP($B415,$B$96:$B$176,_xlfn.XLOOKUP(P$181,$D$5:$AX$5,$D$96:$AX$176))</f>
        <v>138.35829749941456</v>
      </c>
      <c r="Q415" s="708" cm="1">
        <f t="array" ref="Q415">_xlfn.XLOOKUP($B415,$B$96:$B$176,_xlfn.XLOOKUP(Q$181,$D$5:$AX$5,$D$96:$AX$176))</f>
        <v>193.31940261886646</v>
      </c>
      <c r="R415" s="708" cm="1">
        <f t="array" ref="R415">_xlfn.XLOOKUP($B415,$B$96:$B$176,_xlfn.XLOOKUP(R$181,$D$5:$AX$5,$D$96:$AX$176))</f>
        <v>134.19834095699724</v>
      </c>
      <c r="S415" s="708" cm="1">
        <f t="array" ref="S415">_xlfn.XLOOKUP($B415,$B$96:$B$176,_xlfn.XLOOKUP(S$181,$D$5:$AX$5,$D$96:$AX$176))</f>
        <v>202.10777600193657</v>
      </c>
      <c r="T415" s="708" cm="1">
        <f t="array" ref="T415">_xlfn.XLOOKUP($B415,$B$96:$B$176,_xlfn.XLOOKUP(T$181,$D$5:$AX$5,$D$96:$AX$176))</f>
        <v>137.23993435550636</v>
      </c>
      <c r="U415" s="708" cm="1">
        <f t="array" ref="U415">_xlfn.XLOOKUP($B415,$B$96:$B$176,_xlfn.XLOOKUP(U$181,$D$5:$AX$5,$D$96:$AX$176))</f>
        <v>218.47816664737221</v>
      </c>
      <c r="V415" s="708" cm="1">
        <f t="array" ref="V415">_xlfn.XLOOKUP($B415,$B$96:$B$176,_xlfn.XLOOKUP(V$181,$D$5:$AX$5,$D$96:$AX$176))</f>
        <v>152.2568099299736</v>
      </c>
      <c r="W415" s="708" cm="1">
        <f t="array" ref="W415">_xlfn.XLOOKUP($B415,$B$96:$B$176,_xlfn.XLOOKUP(W$181,$D$5:$AX$5,$D$96:$AX$176))</f>
        <v>220.37487853149966</v>
      </c>
      <c r="X415" s="708" cm="1">
        <f t="array" ref="X415">_xlfn.XLOOKUP($B415,$B$96:$B$176,_xlfn.XLOOKUP(X$181,$D$5:$AX$5,$D$96:$AX$176))</f>
        <v>155.57213243688508</v>
      </c>
      <c r="Y415" s="708" cm="1">
        <f t="array" ref="Y415">_xlfn.XLOOKUP($B415,$B$96:$B$176,_xlfn.XLOOKUP(Y$181,$D$5:$AX$5,$D$96:$AX$176))</f>
        <v>225.41157369621408</v>
      </c>
      <c r="Z415" s="708" cm="1">
        <f t="array" ref="Z415">_xlfn.XLOOKUP($B415,$B$96:$B$176,_xlfn.XLOOKUP(Z$181,$D$5:$AX$5,$D$96:$AX$176))</f>
        <v>159.34916977570373</v>
      </c>
      <c r="AA415" s="708" cm="1">
        <f t="array" ref="AA415">_xlfn.XLOOKUP($B415,$B$96:$B$176,_xlfn.XLOOKUP(AA$181,$D$5:$AX$5,$D$96:$AX$176))</f>
        <v>230.85700025133144</v>
      </c>
      <c r="AB415" s="708" cm="1">
        <f t="array" ref="AB415">_xlfn.XLOOKUP($B415,$B$96:$B$176,_xlfn.XLOOKUP(AB$181,$D$5:$AX$5,$D$96:$AX$176))</f>
        <v>161.06378618557579</v>
      </c>
      <c r="AC415" s="708" cm="1">
        <f t="array" ref="AC415">_xlfn.XLOOKUP($B415,$B$96:$B$176,_xlfn.XLOOKUP(AC$181,$D$5:$AX$5,$D$96:$AX$176))</f>
        <v>233.21606927527358</v>
      </c>
      <c r="AD415" s="708" cm="1">
        <f t="array" ref="AD415">_xlfn.XLOOKUP($B415,$B$96:$B$176,_xlfn.XLOOKUP(AD$181,$D$5:$AX$5,$D$96:$AX$176))</f>
        <v>166.45054006921129</v>
      </c>
      <c r="AE415" s="708" cm="1">
        <f t="array" ref="AE415">_xlfn.XLOOKUP($B415,$B$96:$B$176,_xlfn.XLOOKUP(AE$181,$D$5:$AX$5,$D$96:$AX$176))</f>
        <v>234.15134454334833</v>
      </c>
      <c r="AF415" s="708" cm="1">
        <f t="array" ref="AF415">_xlfn.XLOOKUP($B415,$B$96:$B$176,_xlfn.XLOOKUP(AF$181,$D$5:$AX$5,$D$96:$AX$176))</f>
        <v>169.26846884987057</v>
      </c>
      <c r="AG415" s="709"/>
      <c r="AH415" s="706" t="str">
        <f t="shared" ref="AH415:AH450" si="265">C415</f>
        <v>Operating cash flow - old</v>
      </c>
      <c r="AI415" s="707" t="str" cm="1">
        <f t="array" ref="AI415">_xlfn.XLOOKUP($B415,$B$96:$B$176,_xlfn.XLOOKUP(AI$181,$D$5:$AX$5,$D$96:$AX$176))</f>
        <v>A$m</v>
      </c>
      <c r="AJ415" s="707"/>
      <c r="AK415" s="707"/>
      <c r="AL415" s="708"/>
      <c r="AM415" s="708" cm="1">
        <f t="array" ref="AM415">_xlfn.XLOOKUP($B415,$B$96:$B$176,_xlfn.XLOOKUP(AM$181,$D$5:$AX$5,$D$96:$AX$176))</f>
        <v>119.30000000000001</v>
      </c>
      <c r="AN415" s="708" cm="1">
        <f t="array" ref="AN415">_xlfn.XLOOKUP($B415,$B$96:$B$176,_xlfn.XLOOKUP(AN$181,$D$5:$AX$5,$D$96:$AX$176))</f>
        <v>245.2</v>
      </c>
      <c r="AO415" s="708" cm="1">
        <f t="array" ref="AO415">_xlfn.XLOOKUP($B415,$B$96:$B$176,_xlfn.XLOOKUP(AO$181,$D$5:$AX$5,$D$96:$AX$176))</f>
        <v>406.5</v>
      </c>
      <c r="AP415" s="708" cm="1">
        <f t="array" ref="AP415">_xlfn.XLOOKUP($B415,$B$96:$B$176,_xlfn.XLOOKUP(AP$181,$D$5:$AX$5,$D$96:$AX$176))</f>
        <v>233.65829749941457</v>
      </c>
      <c r="AQ415" s="708" cm="1">
        <f t="array" ref="AQ415">_xlfn.XLOOKUP($B415,$B$96:$B$176,_xlfn.XLOOKUP(AQ$181,$D$5:$AX$5,$D$96:$AX$176))</f>
        <v>327.51774357586373</v>
      </c>
      <c r="AR415" s="708" cm="1">
        <f t="array" ref="AR415">_xlfn.XLOOKUP($B415,$B$96:$B$176,_xlfn.XLOOKUP(AR$181,$D$5:$AX$5,$D$96:$AX$176))</f>
        <v>339.34771035744291</v>
      </c>
      <c r="AS415" s="708" cm="1">
        <f t="array" ref="AS415">_xlfn.XLOOKUP($B415,$B$96:$B$176,_xlfn.XLOOKUP(AS$181,$D$5:$AX$5,$D$96:$AX$176))</f>
        <v>370.73497657734583</v>
      </c>
      <c r="AT415" s="708" cm="1">
        <f t="array" ref="AT415">_xlfn.XLOOKUP($B415,$B$96:$B$176,_xlfn.XLOOKUP(AT$181,$D$5:$AX$5,$D$96:$AX$176))</f>
        <v>375.94701096838475</v>
      </c>
      <c r="AU415" s="708" cm="1">
        <f t="array" ref="AU415">_xlfn.XLOOKUP($B415,$B$96:$B$176,_xlfn.XLOOKUP(AU$181,$D$5:$AX$5,$D$96:$AX$176))</f>
        <v>384.76074347191781</v>
      </c>
      <c r="AV415" s="708" cm="1">
        <f t="array" ref="AV415">_xlfn.XLOOKUP($B415,$B$96:$B$176,_xlfn.XLOOKUP(AV$181,$D$5:$AX$5,$D$96:$AX$176))</f>
        <v>391.92078643690724</v>
      </c>
      <c r="AW415" s="708" cm="1">
        <f t="array" ref="AW415">_xlfn.XLOOKUP($B415,$B$96:$B$176,_xlfn.XLOOKUP(AW$181,$D$5:$AX$5,$D$96:$AX$176))</f>
        <v>399.66660934448487</v>
      </c>
      <c r="AX415" s="708" cm="1">
        <f t="array" ref="AX415">_xlfn.XLOOKUP($B415,$B$96:$B$176,_xlfn.XLOOKUP(AX$181,$D$5:$AX$5,$D$96:$AX$176))</f>
        <v>403.41981339321887</v>
      </c>
    </row>
    <row r="416" spans="1:50">
      <c r="B416" s="305" t="s">
        <v>1462</v>
      </c>
      <c r="C416" s="318" t="str">
        <f>_xlfn.TEXTAFTER($B416,$C$412)&amp;" - New"</f>
        <v>Operating cash flow - New</v>
      </c>
      <c r="D416" s="311" t="str" cm="1">
        <f t="array" ref="D416">_xlfn.XLOOKUP($B416,$B$11:$B$91,_xlfn.XLOOKUP(D$181,$D$5:$AX$5,$D$11:$AX$91))</f>
        <v>A$m</v>
      </c>
      <c r="E416" s="311"/>
      <c r="F416" s="311"/>
      <c r="G416" s="312"/>
      <c r="H416" s="312"/>
      <c r="I416" s="312" cm="1">
        <f t="array" ref="I416">_xlfn.XLOOKUP($B416,$B$11:$B$91,_xlfn.XLOOKUP(I$181,$D$5:$AX$5,$D$11:$AX$91))</f>
        <v>-125</v>
      </c>
      <c r="J416" s="312" cm="1">
        <f t="array" ref="J416">_xlfn.XLOOKUP($B416,$B$11:$B$91,_xlfn.XLOOKUP(J$181,$D$5:$AX$5,$D$11:$AX$91))</f>
        <v>244.3</v>
      </c>
      <c r="K416" s="312" cm="1">
        <f t="array" ref="K416">_xlfn.XLOOKUP($B416,$B$11:$B$91,_xlfn.XLOOKUP(K$181,$D$5:$AX$5,$D$11:$AX$91))</f>
        <v>121.3</v>
      </c>
      <c r="L416" s="312" cm="1">
        <f t="array" ref="L416">_xlfn.XLOOKUP($B416,$B$11:$B$91,_xlfn.XLOOKUP(L$181,$D$5:$AX$5,$D$11:$AX$91))</f>
        <v>123.89999999999999</v>
      </c>
      <c r="M416" s="312" cm="1">
        <f t="array" ref="M416">_xlfn.XLOOKUP($B416,$B$11:$B$91,_xlfn.XLOOKUP(M$181,$D$5:$AX$5,$D$11:$AX$91))</f>
        <v>172</v>
      </c>
      <c r="N416" s="312" cm="1">
        <f t="array" ref="N416">_xlfn.XLOOKUP($B416,$B$11:$B$91,_xlfn.XLOOKUP(N$181,$D$5:$AX$5,$D$11:$AX$91))</f>
        <v>234.5</v>
      </c>
      <c r="O416" s="312" cm="1">
        <f t="array" ref="O416">_xlfn.XLOOKUP($B416,$B$11:$B$91,_xlfn.XLOOKUP(O$181,$D$5:$AX$5,$D$11:$AX$91))</f>
        <v>95.3</v>
      </c>
      <c r="P416" s="312" cm="1">
        <f t="array" ref="P416">_xlfn.XLOOKUP($B416,$B$11:$B$91,_xlfn.XLOOKUP(P$181,$D$5:$AX$5,$D$11:$AX$91))</f>
        <v>214</v>
      </c>
      <c r="Q416" s="312" cm="1">
        <f t="array" ref="Q416">_xlfn.XLOOKUP($B416,$B$11:$B$91,_xlfn.XLOOKUP(Q$181,$D$5:$AX$5,$D$11:$AX$91))</f>
        <v>203.23296514633546</v>
      </c>
      <c r="R416" s="312" cm="1">
        <f t="array" ref="R416">_xlfn.XLOOKUP($B416,$B$11:$B$91,_xlfn.XLOOKUP(R$181,$D$5:$AX$5,$D$11:$AX$91))</f>
        <v>130.46966961852291</v>
      </c>
      <c r="S416" s="312" cm="1">
        <f t="array" ref="S416">_xlfn.XLOOKUP($B416,$B$11:$B$91,_xlfn.XLOOKUP(S$181,$D$5:$AX$5,$D$11:$AX$91))</f>
        <v>196.33969538827259</v>
      </c>
      <c r="T416" s="312" cm="1">
        <f t="array" ref="T416">_xlfn.XLOOKUP($B416,$B$11:$B$91,_xlfn.XLOOKUP(T$181,$D$5:$AX$5,$D$11:$AX$91))</f>
        <v>128.60762038602437</v>
      </c>
      <c r="U416" s="312" cm="1">
        <f t="array" ref="U416">_xlfn.XLOOKUP($B416,$B$11:$B$91,_xlfn.XLOOKUP(U$181,$D$5:$AX$5,$D$11:$AX$91))</f>
        <v>196.85874480367468</v>
      </c>
      <c r="V416" s="312" cm="1">
        <f t="array" ref="V416">_xlfn.XLOOKUP($B416,$B$11:$B$91,_xlfn.XLOOKUP(V$181,$D$5:$AX$5,$D$11:$AX$91))</f>
        <v>131.97488037399904</v>
      </c>
      <c r="W416" s="312" cm="1">
        <f t="array" ref="W416">_xlfn.XLOOKUP($B416,$B$11:$B$91,_xlfn.XLOOKUP(W$181,$D$5:$AX$5,$D$11:$AX$91))</f>
        <v>203.08464175414284</v>
      </c>
      <c r="X416" s="312" cm="1">
        <f t="array" ref="X416">_xlfn.XLOOKUP($B416,$B$11:$B$91,_xlfn.XLOOKUP(X$181,$D$5:$AX$5,$D$11:$AX$91))</f>
        <v>131.11185585446131</v>
      </c>
      <c r="Y416" s="312" cm="1">
        <f t="array" ref="Y416">_xlfn.XLOOKUP($B416,$B$11:$B$91,_xlfn.XLOOKUP(Y$181,$D$5:$AX$5,$D$11:$AX$91))</f>
        <v>201.30441536907014</v>
      </c>
      <c r="Z416" s="312" cm="1">
        <f t="array" ref="Z416">_xlfn.XLOOKUP($B416,$B$11:$B$91,_xlfn.XLOOKUP(Z$181,$D$5:$AX$5,$D$11:$AX$91))</f>
        <v>132.9220796255303</v>
      </c>
      <c r="AA416" s="312" cm="1">
        <f t="array" ref="AA416">_xlfn.XLOOKUP($B416,$B$11:$B$91,_xlfn.XLOOKUP(AA$181,$D$5:$AX$5,$D$11:$AX$91))</f>
        <v>203.39613476299391</v>
      </c>
      <c r="AB416" s="312" cm="1">
        <f t="array" ref="AB416">_xlfn.XLOOKUP($B416,$B$11:$B$91,_xlfn.XLOOKUP(AB$181,$D$5:$AX$5,$D$11:$AX$91))</f>
        <v>132.03024546328388</v>
      </c>
      <c r="AC416" s="312" cm="1">
        <f t="array" ref="AC416">_xlfn.XLOOKUP($B416,$B$11:$B$91,_xlfn.XLOOKUP(AC$181,$D$5:$AX$5,$D$11:$AX$91))</f>
        <v>209.60022166484751</v>
      </c>
      <c r="AD416" s="312" cm="1">
        <f t="array" ref="AD416">_xlfn.XLOOKUP($B416,$B$11:$B$91,_xlfn.XLOOKUP(AD$181,$D$5:$AX$5,$D$11:$AX$91))</f>
        <v>137.94635036058719</v>
      </c>
      <c r="AE416" s="312" cm="1">
        <f t="array" ref="AE416">_xlfn.XLOOKUP($B416,$B$11:$B$91,_xlfn.XLOOKUP(AE$181,$D$5:$AX$5,$D$11:$AX$91))</f>
        <v>222.95035689174793</v>
      </c>
      <c r="AF416" s="312" cm="1">
        <f t="array" ref="AF416">_xlfn.XLOOKUP($B416,$B$11:$B$91,_xlfn.XLOOKUP(AF$181,$D$5:$AX$5,$D$11:$AX$91))</f>
        <v>154.73343473154935</v>
      </c>
      <c r="AG416" s="312"/>
      <c r="AH416" s="310" t="str">
        <f t="shared" si="265"/>
        <v>Operating cash flow - New</v>
      </c>
      <c r="AI416" s="311" t="str" cm="1">
        <f t="array" ref="AI416">_xlfn.XLOOKUP($B416,$B$11:$B$91,_xlfn.XLOOKUP(AI$181,$D$5:$AX$5,$D$11:$AX$91))</f>
        <v>A$m</v>
      </c>
      <c r="AJ416" s="311"/>
      <c r="AK416" s="311"/>
      <c r="AL416" s="312"/>
      <c r="AM416" s="312" cm="1">
        <f t="array" ref="AM416">_xlfn.XLOOKUP($B416,$B$11:$B$91,_xlfn.XLOOKUP(AM$181,$D$5:$AX$5,$D$11:$AX$91))</f>
        <v>119.30000000000001</v>
      </c>
      <c r="AN416" s="312" cm="1">
        <f t="array" ref="AN416">_xlfn.XLOOKUP($B416,$B$11:$B$91,_xlfn.XLOOKUP(AN$181,$D$5:$AX$5,$D$11:$AX$91))</f>
        <v>245.2</v>
      </c>
      <c r="AO416" s="312" cm="1">
        <f t="array" ref="AO416">_xlfn.XLOOKUP($B416,$B$11:$B$91,_xlfn.XLOOKUP(AO$181,$D$5:$AX$5,$D$11:$AX$91))</f>
        <v>406.5</v>
      </c>
      <c r="AP416" s="312" cm="1">
        <f t="array" ref="AP416">_xlfn.XLOOKUP($B416,$B$11:$B$91,_xlfn.XLOOKUP(AP$181,$D$5:$AX$5,$D$11:$AX$91))</f>
        <v>309.3</v>
      </c>
      <c r="AQ416" s="312" cm="1">
        <f t="array" ref="AQ416">_xlfn.XLOOKUP($B416,$B$11:$B$91,_xlfn.XLOOKUP(AQ$181,$D$5:$AX$5,$D$11:$AX$91))</f>
        <v>333.70263476485837</v>
      </c>
      <c r="AR416" s="312" cm="1">
        <f t="array" ref="AR416">_xlfn.XLOOKUP($B416,$B$11:$B$91,_xlfn.XLOOKUP(AR$181,$D$5:$AX$5,$D$11:$AX$91))</f>
        <v>324.94731577429695</v>
      </c>
      <c r="AS416" s="312" cm="1">
        <f t="array" ref="AS416">_xlfn.XLOOKUP($B416,$B$11:$B$91,_xlfn.XLOOKUP(AS$181,$D$5:$AX$5,$D$11:$AX$91))</f>
        <v>328.83362517767375</v>
      </c>
      <c r="AT416" s="312" cm="1">
        <f t="array" ref="AT416">_xlfn.XLOOKUP($B416,$B$11:$B$91,_xlfn.XLOOKUP(AT$181,$D$5:$AX$5,$D$11:$AX$91))</f>
        <v>334.19649760860415</v>
      </c>
      <c r="AU416" s="312" cm="1">
        <f t="array" ref="AU416">_xlfn.XLOOKUP($B416,$B$11:$B$91,_xlfn.XLOOKUP(AU$181,$D$5:$AX$5,$D$11:$AX$91))</f>
        <v>334.22649499460044</v>
      </c>
      <c r="AV416" s="312" cm="1">
        <f t="array" ref="AV416">_xlfn.XLOOKUP($B416,$B$11:$B$91,_xlfn.XLOOKUP(AV$181,$D$5:$AX$5,$D$11:$AX$91))</f>
        <v>335.42638022627779</v>
      </c>
      <c r="AW416" s="312" cm="1">
        <f t="array" ref="AW416">_xlfn.XLOOKUP($B416,$B$11:$B$91,_xlfn.XLOOKUP(AW$181,$D$5:$AX$5,$D$11:$AX$91))</f>
        <v>347.54657202543467</v>
      </c>
      <c r="AX416" s="312" cm="1">
        <f t="array" ref="AX416">_xlfn.XLOOKUP($B416,$B$11:$B$91,_xlfn.XLOOKUP(AX$181,$D$5:$AX$5,$D$11:$AX$91))</f>
        <v>377.68379162329728</v>
      </c>
    </row>
    <row r="417" spans="2:50" hidden="1" outlineLevel="1">
      <c r="C417" s="313" t="s">
        <v>1121</v>
      </c>
      <c r="D417" s="307" t="s">
        <v>842</v>
      </c>
      <c r="E417" s="307"/>
      <c r="F417" s="307"/>
      <c r="G417" s="314"/>
      <c r="H417" s="314"/>
      <c r="I417" s="314" t="s">
        <v>967</v>
      </c>
      <c r="J417" s="314" t="s">
        <v>967</v>
      </c>
      <c r="K417" s="314">
        <f t="shared" ref="K417:AF417" si="266">K416/I416-1</f>
        <v>-1.9703999999999999</v>
      </c>
      <c r="L417" s="314">
        <f t="shared" si="266"/>
        <v>-0.49283667621776506</v>
      </c>
      <c r="M417" s="314">
        <f t="shared" si="266"/>
        <v>0.41797197032151701</v>
      </c>
      <c r="N417" s="314">
        <f t="shared" si="266"/>
        <v>0.89265536723163863</v>
      </c>
      <c r="O417" s="314">
        <f t="shared" si="266"/>
        <v>-0.44593023255813957</v>
      </c>
      <c r="P417" s="314">
        <f t="shared" si="266"/>
        <v>-8.7420042643923224E-2</v>
      </c>
      <c r="Q417" s="314">
        <f t="shared" si="266"/>
        <v>1.1325599700559859</v>
      </c>
      <c r="R417" s="314">
        <f t="shared" si="266"/>
        <v>-0.39032864664241629</v>
      </c>
      <c r="S417" s="314">
        <f t="shared" si="266"/>
        <v>-3.3918069113932692E-2</v>
      </c>
      <c r="T417" s="314">
        <f t="shared" si="266"/>
        <v>-1.4271893520869217E-2</v>
      </c>
      <c r="U417" s="314">
        <f t="shared" si="266"/>
        <v>2.6436295236968999E-3</v>
      </c>
      <c r="V417" s="314">
        <f t="shared" si="266"/>
        <v>2.6182429764796344E-2</v>
      </c>
      <c r="W417" s="314">
        <f t="shared" si="266"/>
        <v>3.1626214810407172E-2</v>
      </c>
      <c r="X417" s="314">
        <f t="shared" si="266"/>
        <v>-6.5393089737383336E-3</v>
      </c>
      <c r="Y417" s="314">
        <f t="shared" si="266"/>
        <v>-8.765933108953905E-3</v>
      </c>
      <c r="Z417" s="314">
        <f t="shared" si="266"/>
        <v>1.3806713048730046E-2</v>
      </c>
      <c r="AA417" s="314">
        <f t="shared" si="266"/>
        <v>1.0390827196158803E-2</v>
      </c>
      <c r="AB417" s="314">
        <f t="shared" si="266"/>
        <v>-6.7094508659427676E-3</v>
      </c>
      <c r="AC417" s="314">
        <f t="shared" si="266"/>
        <v>3.0502481815020133E-2</v>
      </c>
      <c r="AD417" s="314">
        <f t="shared" si="266"/>
        <v>4.4808709372190947E-2</v>
      </c>
      <c r="AE417" s="314">
        <f t="shared" si="266"/>
        <v>6.3693325898516395E-2</v>
      </c>
      <c r="AF417" s="314">
        <f t="shared" si="266"/>
        <v>0.12169284890162935</v>
      </c>
      <c r="AG417" s="315"/>
      <c r="AH417" s="313" t="str">
        <f t="shared" si="265"/>
        <v>- Growth</v>
      </c>
      <c r="AI417" s="307" t="str">
        <f>D417</f>
        <v>%</v>
      </c>
      <c r="AJ417" s="307"/>
      <c r="AK417" s="307"/>
      <c r="AL417" s="314"/>
      <c r="AM417" s="314" t="s">
        <v>967</v>
      </c>
      <c r="AN417" s="314">
        <f t="shared" ref="AN417:AX417" si="267">AN416/AM416-1</f>
        <v>1.0553227158424137</v>
      </c>
      <c r="AO417" s="314">
        <f t="shared" si="267"/>
        <v>0.65783034257748785</v>
      </c>
      <c r="AP417" s="314">
        <f t="shared" si="267"/>
        <v>-0.23911439114391142</v>
      </c>
      <c r="AQ417" s="314">
        <f t="shared" si="267"/>
        <v>7.8896329663298959E-2</v>
      </c>
      <c r="AR417" s="314">
        <f t="shared" si="267"/>
        <v>-2.6236889009674136E-2</v>
      </c>
      <c r="AS417" s="314">
        <f t="shared" si="267"/>
        <v>1.195981383664102E-2</v>
      </c>
      <c r="AT417" s="314">
        <f t="shared" si="267"/>
        <v>1.6308771428203972E-2</v>
      </c>
      <c r="AU417" s="314">
        <f t="shared" si="267"/>
        <v>8.9759725822924352E-5</v>
      </c>
      <c r="AV417" s="314">
        <f t="shared" si="267"/>
        <v>3.5900362468173075E-3</v>
      </c>
      <c r="AW417" s="314">
        <f t="shared" si="267"/>
        <v>3.6133686894217032E-2</v>
      </c>
      <c r="AX417" s="314">
        <f t="shared" si="267"/>
        <v>8.6714190337797481E-2</v>
      </c>
    </row>
    <row r="418" spans="2:50" collapsed="1">
      <c r="C418" s="313" t="s">
        <v>1122</v>
      </c>
      <c r="D418" s="307" t="s">
        <v>842</v>
      </c>
      <c r="E418" s="307"/>
      <c r="F418" s="307"/>
      <c r="G418" s="314"/>
      <c r="H418" s="314"/>
      <c r="I418" s="314">
        <f t="shared" ref="I418:AF418" si="268" xml:space="preserve"> IFERROR(ROUND( I416 / I415,3) - 1, 0)</f>
        <v>0</v>
      </c>
      <c r="J418" s="314">
        <f t="shared" si="268"/>
        <v>0</v>
      </c>
      <c r="K418" s="314">
        <f t="shared" si="268"/>
        <v>0</v>
      </c>
      <c r="L418" s="314">
        <f t="shared" si="268"/>
        <v>0</v>
      </c>
      <c r="M418" s="314">
        <f t="shared" si="268"/>
        <v>0</v>
      </c>
      <c r="N418" s="314">
        <f t="shared" si="268"/>
        <v>0</v>
      </c>
      <c r="O418" s="314">
        <f t="shared" si="268"/>
        <v>0</v>
      </c>
      <c r="P418" s="314">
        <f t="shared" si="268"/>
        <v>0.54699999999999993</v>
      </c>
      <c r="Q418" s="314">
        <f t="shared" si="268"/>
        <v>5.0999999999999934E-2</v>
      </c>
      <c r="R418" s="314">
        <f t="shared" si="268"/>
        <v>-2.8000000000000025E-2</v>
      </c>
      <c r="S418" s="314">
        <f t="shared" si="268"/>
        <v>-2.9000000000000026E-2</v>
      </c>
      <c r="T418" s="314">
        <f t="shared" si="268"/>
        <v>-6.2999999999999945E-2</v>
      </c>
      <c r="U418" s="314">
        <f t="shared" si="268"/>
        <v>-9.8999999999999977E-2</v>
      </c>
      <c r="V418" s="314">
        <f t="shared" si="268"/>
        <v>-0.13300000000000001</v>
      </c>
      <c r="W418" s="314">
        <f t="shared" si="268"/>
        <v>-7.7999999999999958E-2</v>
      </c>
      <c r="X418" s="314">
        <f t="shared" si="268"/>
        <v>-0.15700000000000003</v>
      </c>
      <c r="Y418" s="314">
        <f t="shared" si="268"/>
        <v>-0.10699999999999998</v>
      </c>
      <c r="Z418" s="314">
        <f t="shared" si="268"/>
        <v>-0.16600000000000004</v>
      </c>
      <c r="AA418" s="314">
        <f t="shared" si="268"/>
        <v>-0.11899999999999999</v>
      </c>
      <c r="AB418" s="314">
        <f t="shared" si="268"/>
        <v>-0.18000000000000005</v>
      </c>
      <c r="AC418" s="314">
        <f t="shared" si="268"/>
        <v>-0.10099999999999998</v>
      </c>
      <c r="AD418" s="314">
        <f t="shared" si="268"/>
        <v>-0.17100000000000004</v>
      </c>
      <c r="AE418" s="314">
        <f t="shared" si="268"/>
        <v>-4.8000000000000043E-2</v>
      </c>
      <c r="AF418" s="314">
        <f t="shared" si="268"/>
        <v>-8.5999999999999965E-2</v>
      </c>
      <c r="AG418" s="314"/>
      <c r="AH418" s="313" t="str">
        <f t="shared" si="265"/>
        <v>- Revision</v>
      </c>
      <c r="AI418" s="307" t="str">
        <f>D418</f>
        <v>%</v>
      </c>
      <c r="AJ418" s="307"/>
      <c r="AK418" s="307"/>
      <c r="AL418" s="314"/>
      <c r="AM418" s="314">
        <f t="shared" ref="AM418:AX418" si="269" xml:space="preserve"> IFERROR(ROUND( AM416 / AM415,3) - 1, 0)</f>
        <v>0</v>
      </c>
      <c r="AN418" s="314">
        <f t="shared" si="269"/>
        <v>0</v>
      </c>
      <c r="AO418" s="314">
        <f t="shared" si="269"/>
        <v>0</v>
      </c>
      <c r="AP418" s="314">
        <f t="shared" si="269"/>
        <v>0.32400000000000007</v>
      </c>
      <c r="AQ418" s="314">
        <f t="shared" si="269"/>
        <v>1.8999999999999906E-2</v>
      </c>
      <c r="AR418" s="314">
        <f t="shared" si="269"/>
        <v>-4.2000000000000037E-2</v>
      </c>
      <c r="AS418" s="314">
        <f t="shared" si="269"/>
        <v>-0.11299999999999999</v>
      </c>
      <c r="AT418" s="314">
        <f t="shared" si="269"/>
        <v>-0.11099999999999999</v>
      </c>
      <c r="AU418" s="314">
        <f t="shared" si="269"/>
        <v>-0.13100000000000001</v>
      </c>
      <c r="AV418" s="314">
        <f t="shared" si="269"/>
        <v>-0.14400000000000002</v>
      </c>
      <c r="AW418" s="314">
        <f t="shared" si="269"/>
        <v>-0.13</v>
      </c>
      <c r="AX418" s="314">
        <f t="shared" si="269"/>
        <v>-6.3999999999999946E-2</v>
      </c>
    </row>
    <row r="419" spans="2:50">
      <c r="B419" s="305" t="s">
        <v>1469</v>
      </c>
      <c r="C419" s="706" t="str">
        <f>_xlfn.TEXTAFTER($B419,$C$412)&amp;" - old"</f>
        <v>Investing cash flow - old</v>
      </c>
      <c r="D419" s="707" t="str" cm="1">
        <f t="array" ref="D419">_xlfn.XLOOKUP($B419,$B$96:$B$176,_xlfn.XLOOKUP(D$181,$D$5:$AX$5,$D$96:$AX$176))</f>
        <v>A$m</v>
      </c>
      <c r="E419" s="307"/>
      <c r="F419" s="307"/>
      <c r="G419" s="708"/>
      <c r="H419" s="708"/>
      <c r="I419" s="708" cm="1">
        <f t="array" ref="I419">_xlfn.XLOOKUP($B419,$B$96:$B$176,_xlfn.XLOOKUP(I$181,$D$5:$AX$5,$D$96:$AX$176))</f>
        <v>-112.2</v>
      </c>
      <c r="J419" s="708" cm="1">
        <f t="array" ref="J419">_xlfn.XLOOKUP($B419,$B$96:$B$176,_xlfn.XLOOKUP(J$181,$D$5:$AX$5,$D$96:$AX$176))</f>
        <v>-17.800000000000011</v>
      </c>
      <c r="K419" s="708" cm="1">
        <f t="array" ref="K419">_xlfn.XLOOKUP($B419,$B$96:$B$176,_xlfn.XLOOKUP(K$181,$D$5:$AX$5,$D$96:$AX$176))</f>
        <v>-53.2</v>
      </c>
      <c r="L419" s="708" cm="1">
        <f t="array" ref="L419">_xlfn.XLOOKUP($B419,$B$96:$B$176,_xlfn.XLOOKUP(L$181,$D$5:$AX$5,$D$96:$AX$176))</f>
        <v>-686.5</v>
      </c>
      <c r="M419" s="708" cm="1">
        <f t="array" ref="M419">_xlfn.XLOOKUP($B419,$B$96:$B$176,_xlfn.XLOOKUP(M$181,$D$5:$AX$5,$D$96:$AX$176))</f>
        <v>-66.3</v>
      </c>
      <c r="N419" s="708" cm="1">
        <f t="array" ref="N419">_xlfn.XLOOKUP($B419,$B$96:$B$176,_xlfn.XLOOKUP(N$181,$D$5:$AX$5,$D$96:$AX$176))</f>
        <v>-50.7</v>
      </c>
      <c r="O419" s="708" cm="1">
        <f t="array" ref="O419">_xlfn.XLOOKUP($B419,$B$96:$B$176,_xlfn.XLOOKUP(O$181,$D$5:$AX$5,$D$96:$AX$176))</f>
        <v>-71</v>
      </c>
      <c r="P419" s="708" cm="1">
        <f t="array" ref="P419">_xlfn.XLOOKUP($B419,$B$96:$B$176,_xlfn.XLOOKUP(P$181,$D$5:$AX$5,$D$96:$AX$176))</f>
        <v>-99.772152977655992</v>
      </c>
      <c r="Q419" s="708" cm="1">
        <f t="array" ref="Q419">_xlfn.XLOOKUP($B419,$B$96:$B$176,_xlfn.XLOOKUP(Q$181,$D$5:$AX$5,$D$96:$AX$176))</f>
        <v>-91.978229358229996</v>
      </c>
      <c r="R419" s="708" cm="1">
        <f t="array" ref="R419">_xlfn.XLOOKUP($B419,$B$96:$B$176,_xlfn.XLOOKUP(R$181,$D$5:$AX$5,$D$96:$AX$176))</f>
        <v>-86.388986607947999</v>
      </c>
      <c r="S419" s="708" cm="1">
        <f t="array" ref="S419">_xlfn.XLOOKUP($B419,$B$96:$B$176,_xlfn.XLOOKUP(S$181,$D$5:$AX$5,$D$96:$AX$176))</f>
        <v>-69.684366664917505</v>
      </c>
      <c r="T419" s="708" cm="1">
        <f t="array" ref="T419">_xlfn.XLOOKUP($B419,$B$96:$B$176,_xlfn.XLOOKUP(T$181,$D$5:$AX$5,$D$96:$AX$176))</f>
        <v>-66.260920418958307</v>
      </c>
      <c r="U419" s="708" cm="1">
        <f t="array" ref="U419">_xlfn.XLOOKUP($B419,$B$96:$B$176,_xlfn.XLOOKUP(U$181,$D$5:$AX$5,$D$96:$AX$176))</f>
        <v>-66.338272140231808</v>
      </c>
      <c r="V419" s="708" cm="1">
        <f t="array" ref="V419">_xlfn.XLOOKUP($B419,$B$96:$B$176,_xlfn.XLOOKUP(V$181,$D$5:$AX$5,$D$96:$AX$176))</f>
        <v>-62.885669673102939</v>
      </c>
      <c r="W419" s="708" cm="1">
        <f t="array" ref="W419">_xlfn.XLOOKUP($B419,$B$96:$B$176,_xlfn.XLOOKUP(W$181,$D$5:$AX$5,$D$96:$AX$176))</f>
        <v>-66.590280448496699</v>
      </c>
      <c r="X419" s="708" cm="1">
        <f t="array" ref="X419">_xlfn.XLOOKUP($B419,$B$96:$B$176,_xlfn.XLOOKUP(X$181,$D$5:$AX$5,$D$96:$AX$176))</f>
        <v>-63.047783977065151</v>
      </c>
      <c r="Y419" s="708" cm="1">
        <f t="array" ref="Y419">_xlfn.XLOOKUP($B419,$B$96:$B$176,_xlfn.XLOOKUP(Y$181,$D$5:$AX$5,$D$96:$AX$176))</f>
        <v>-66.848345414369987</v>
      </c>
      <c r="Z419" s="708" cm="1">
        <f t="array" ref="Z419">_xlfn.XLOOKUP($B419,$B$96:$B$176,_xlfn.XLOOKUP(Z$181,$D$5:$AX$5,$D$96:$AX$176))</f>
        <v>-63.213396406701406</v>
      </c>
      <c r="AA419" s="708" cm="1">
        <f t="array" ref="AA419">_xlfn.XLOOKUP($B419,$B$96:$B$176,_xlfn.XLOOKUP(AA$181,$D$5:$AX$5,$D$96:$AX$176))</f>
        <v>-67.112660699867959</v>
      </c>
      <c r="AB419" s="708" cm="1">
        <f t="array" ref="AB419">_xlfn.XLOOKUP($B419,$B$96:$B$176,_xlfn.XLOOKUP(AB$181,$D$5:$AX$5,$D$96:$AX$176))</f>
        <v>-63.38262526640348</v>
      </c>
      <c r="AC419" s="708" cm="1">
        <f t="array" ref="AC419">_xlfn.XLOOKUP($B419,$B$96:$B$176,_xlfn.XLOOKUP(AC$181,$D$5:$AX$5,$D$96:$AX$176))</f>
        <v>-67.163781047367152</v>
      </c>
      <c r="AD419" s="708" cm="1">
        <f t="array" ref="AD419">_xlfn.XLOOKUP($B419,$B$96:$B$176,_xlfn.XLOOKUP(AD$181,$D$5:$AX$5,$D$96:$AX$176))</f>
        <v>-63.349850910891959</v>
      </c>
      <c r="AE419" s="708" cm="1">
        <f t="array" ref="AE419">_xlfn.XLOOKUP($B419,$B$96:$B$176,_xlfn.XLOOKUP(AE$181,$D$5:$AX$5,$D$96:$AX$176))</f>
        <v>-67.221560584885594</v>
      </c>
      <c r="AF419" s="708" cm="1">
        <f t="array" ref="AF419">_xlfn.XLOOKUP($B419,$B$96:$B$176,_xlfn.XLOOKUP(AF$181,$D$5:$AX$5,$D$96:$AX$176))</f>
        <v>-63.320944332364945</v>
      </c>
      <c r="AG419" s="309"/>
      <c r="AH419" s="306" t="str">
        <f t="shared" si="265"/>
        <v>Investing cash flow - old</v>
      </c>
      <c r="AI419" s="707" t="str" cm="1">
        <f t="array" ref="AI419">_xlfn.XLOOKUP($B419,$B$96:$B$176,_xlfn.XLOOKUP(AI$181,$D$5:$AX$5,$D$96:$AX$176))</f>
        <v>A$m</v>
      </c>
      <c r="AJ419" s="307"/>
      <c r="AK419" s="307"/>
      <c r="AL419" s="708"/>
      <c r="AM419" s="708" cm="1">
        <f t="array" ref="AM419">_xlfn.XLOOKUP($B419,$B$96:$B$176,_xlfn.XLOOKUP(AM$181,$D$5:$AX$5,$D$96:$AX$176))</f>
        <v>-130</v>
      </c>
      <c r="AN419" s="708" cm="1">
        <f t="array" ref="AN419">_xlfn.XLOOKUP($B419,$B$96:$B$176,_xlfn.XLOOKUP(AN$181,$D$5:$AX$5,$D$96:$AX$176))</f>
        <v>-739.7</v>
      </c>
      <c r="AO419" s="708" cm="1">
        <f t="array" ref="AO419">_xlfn.XLOOKUP($B419,$B$96:$B$176,_xlfn.XLOOKUP(AO$181,$D$5:$AX$5,$D$96:$AX$176))</f>
        <v>-117</v>
      </c>
      <c r="AP419" s="708" cm="1">
        <f t="array" ref="AP419">_xlfn.XLOOKUP($B419,$B$96:$B$176,_xlfn.XLOOKUP(AP$181,$D$5:$AX$5,$D$96:$AX$176))</f>
        <v>-170.77215297765599</v>
      </c>
      <c r="AQ419" s="708" cm="1">
        <f t="array" ref="AQ419">_xlfn.XLOOKUP($B419,$B$96:$B$176,_xlfn.XLOOKUP(AQ$181,$D$5:$AX$5,$D$96:$AX$176))</f>
        <v>-178.36721596617798</v>
      </c>
      <c r="AR419" s="708" cm="1">
        <f t="array" ref="AR419">_xlfn.XLOOKUP($B419,$B$96:$B$176,_xlfn.XLOOKUP(AR$181,$D$5:$AX$5,$D$96:$AX$176))</f>
        <v>-135.94528708387583</v>
      </c>
      <c r="AS419" s="708" cm="1">
        <f t="array" ref="AS419">_xlfn.XLOOKUP($B419,$B$96:$B$176,_xlfn.XLOOKUP(AS$181,$D$5:$AX$5,$D$96:$AX$176))</f>
        <v>-129.22394181333476</v>
      </c>
      <c r="AT419" s="708" cm="1">
        <f t="array" ref="AT419">_xlfn.XLOOKUP($B419,$B$96:$B$176,_xlfn.XLOOKUP(AT$181,$D$5:$AX$5,$D$96:$AX$176))</f>
        <v>-129.63806442556185</v>
      </c>
      <c r="AU419" s="708" cm="1">
        <f t="array" ref="AU419">_xlfn.XLOOKUP($B419,$B$96:$B$176,_xlfn.XLOOKUP(AU$181,$D$5:$AX$5,$D$96:$AX$176))</f>
        <v>-130.06174182107139</v>
      </c>
      <c r="AV419" s="708" cm="1">
        <f t="array" ref="AV419">_xlfn.XLOOKUP($B419,$B$96:$B$176,_xlfn.XLOOKUP(AV$181,$D$5:$AX$5,$D$96:$AX$176))</f>
        <v>-130.49528596627144</v>
      </c>
      <c r="AW419" s="708" cm="1">
        <f t="array" ref="AW419">_xlfn.XLOOKUP($B419,$B$96:$B$176,_xlfn.XLOOKUP(AW$181,$D$5:$AX$5,$D$96:$AX$176))</f>
        <v>-130.51363195825911</v>
      </c>
      <c r="AX419" s="708" cm="1">
        <f t="array" ref="AX419">_xlfn.XLOOKUP($B419,$B$96:$B$176,_xlfn.XLOOKUP(AX$181,$D$5:$AX$5,$D$96:$AX$176))</f>
        <v>-130.54250491725054</v>
      </c>
    </row>
    <row r="420" spans="2:50">
      <c r="B420" s="305" t="s">
        <v>1469</v>
      </c>
      <c r="C420" s="318" t="str">
        <f>_xlfn.TEXTAFTER($B420,$C$412)&amp;" - New"</f>
        <v>Investing cash flow - New</v>
      </c>
      <c r="D420" s="311" t="str" cm="1">
        <f t="array" ref="D420">_xlfn.XLOOKUP($B420,$B$11:$B$91,_xlfn.XLOOKUP(D$181,$D$5:$AX$5,$D$11:$AX$91))</f>
        <v>A$m</v>
      </c>
      <c r="E420" s="311"/>
      <c r="F420" s="311"/>
      <c r="G420" s="312"/>
      <c r="H420" s="312"/>
      <c r="I420" s="312" cm="1">
        <f t="array" ref="I420">_xlfn.XLOOKUP($B420,$B$11:$B$91,_xlfn.XLOOKUP(I$181,$D$5:$AX$5,$D$11:$AX$91))</f>
        <v>-112.2</v>
      </c>
      <c r="J420" s="312" cm="1">
        <f t="array" ref="J420">_xlfn.XLOOKUP($B420,$B$11:$B$91,_xlfn.XLOOKUP(J$181,$D$5:$AX$5,$D$11:$AX$91))</f>
        <v>-17.800000000000011</v>
      </c>
      <c r="K420" s="312" cm="1">
        <f t="array" ref="K420">_xlfn.XLOOKUP($B420,$B$11:$B$91,_xlfn.XLOOKUP(K$181,$D$5:$AX$5,$D$11:$AX$91))</f>
        <v>-53.2</v>
      </c>
      <c r="L420" s="312" cm="1">
        <f t="array" ref="L420">_xlfn.XLOOKUP($B420,$B$11:$B$91,_xlfn.XLOOKUP(L$181,$D$5:$AX$5,$D$11:$AX$91))</f>
        <v>-686.5</v>
      </c>
      <c r="M420" s="312" cm="1">
        <f t="array" ref="M420">_xlfn.XLOOKUP($B420,$B$11:$B$91,_xlfn.XLOOKUP(M$181,$D$5:$AX$5,$D$11:$AX$91))</f>
        <v>-66.3</v>
      </c>
      <c r="N420" s="312" cm="1">
        <f t="array" ref="N420">_xlfn.XLOOKUP($B420,$B$11:$B$91,_xlfn.XLOOKUP(N$181,$D$5:$AX$5,$D$11:$AX$91))</f>
        <v>-50.7</v>
      </c>
      <c r="O420" s="312" cm="1">
        <f t="array" ref="O420">_xlfn.XLOOKUP($B420,$B$11:$B$91,_xlfn.XLOOKUP(O$181,$D$5:$AX$5,$D$11:$AX$91))</f>
        <v>-71</v>
      </c>
      <c r="P420" s="312" cm="1">
        <f t="array" ref="P420">_xlfn.XLOOKUP($B420,$B$11:$B$91,_xlfn.XLOOKUP(P$181,$D$5:$AX$5,$D$11:$AX$91))</f>
        <v>-79.699999999999989</v>
      </c>
      <c r="Q420" s="312" cm="1">
        <f t="array" ref="Q420">_xlfn.XLOOKUP($B420,$B$11:$B$91,_xlfn.XLOOKUP(Q$181,$D$5:$AX$5,$D$11:$AX$91))</f>
        <v>-95</v>
      </c>
      <c r="R420" s="312" cm="1">
        <f t="array" ref="R420">_xlfn.XLOOKUP($B420,$B$11:$B$91,_xlfn.XLOOKUP(R$181,$D$5:$AX$5,$D$11:$AX$91))</f>
        <v>-377</v>
      </c>
      <c r="S420" s="312" cm="1">
        <f t="array" ref="S420">_xlfn.XLOOKUP($B420,$B$11:$B$91,_xlfn.XLOOKUP(S$181,$D$5:$AX$5,$D$11:$AX$91))</f>
        <v>-86</v>
      </c>
      <c r="T420" s="312" cm="1">
        <f t="array" ref="T420">_xlfn.XLOOKUP($B420,$B$11:$B$91,_xlfn.XLOOKUP(T$181,$D$5:$AX$5,$D$11:$AX$91))</f>
        <v>-82</v>
      </c>
      <c r="U420" s="312" cm="1">
        <f t="array" ref="U420">_xlfn.XLOOKUP($B420,$B$11:$B$91,_xlfn.XLOOKUP(U$181,$D$5:$AX$5,$D$11:$AX$91))</f>
        <v>-71.373602538648484</v>
      </c>
      <c r="V420" s="312" cm="1">
        <f t="array" ref="V420">_xlfn.XLOOKUP($B420,$B$11:$B$91,_xlfn.XLOOKUP(V$181,$D$5:$AX$5,$D$11:$AX$91))</f>
        <v>-66.136697713851603</v>
      </c>
      <c r="W420" s="312" cm="1">
        <f t="array" ref="W420">_xlfn.XLOOKUP($B420,$B$11:$B$91,_xlfn.XLOOKUP(W$181,$D$5:$AX$5,$D$11:$AX$91))</f>
        <v>-67.382876892268953</v>
      </c>
      <c r="X420" s="312" cm="1">
        <f t="array" ref="X420">_xlfn.XLOOKUP($B420,$B$11:$B$91,_xlfn.XLOOKUP(X$181,$D$5:$AX$5,$D$11:$AX$91))</f>
        <v>-62.164624381602252</v>
      </c>
      <c r="Y420" s="312" cm="1">
        <f t="array" ref="Y420">_xlfn.XLOOKUP($B420,$B$11:$B$91,_xlfn.XLOOKUP(Y$181,$D$5:$AX$5,$D$11:$AX$91))</f>
        <v>-68.026678747106303</v>
      </c>
      <c r="Z420" s="312" cm="1">
        <f t="array" ref="Z420">_xlfn.XLOOKUP($B420,$B$11:$B$91,_xlfn.XLOOKUP(Z$181,$D$5:$AX$5,$D$11:$AX$91))</f>
        <v>-62.736052675190265</v>
      </c>
      <c r="AA420" s="312" cm="1">
        <f t="array" ref="AA420">_xlfn.XLOOKUP($B420,$B$11:$B$91,_xlfn.XLOOKUP(AA$181,$D$5:$AX$5,$D$11:$AX$91))</f>
        <v>-68.699002862108088</v>
      </c>
      <c r="AB420" s="312" cm="1">
        <f t="array" ref="AB420">_xlfn.XLOOKUP($B420,$B$11:$B$91,_xlfn.XLOOKUP(AB$181,$D$5:$AX$5,$D$11:$AX$91))</f>
        <v>-63.332990281964555</v>
      </c>
      <c r="AC420" s="312" cm="1">
        <f t="array" ref="AC420">_xlfn.XLOOKUP($B420,$B$11:$B$91,_xlfn.XLOOKUP(AC$181,$D$5:$AX$5,$D$11:$AX$91))</f>
        <v>-69.40061282303401</v>
      </c>
      <c r="AD420" s="312" cm="1">
        <f t="array" ref="AD420">_xlfn.XLOOKUP($B420,$B$11:$B$91,_xlfn.XLOOKUP(AD$181,$D$5:$AX$5,$D$11:$AX$91))</f>
        <v>-63.956118816676906</v>
      </c>
      <c r="AE420" s="312" cm="1">
        <f t="array" ref="AE420">_xlfn.XLOOKUP($B420,$B$11:$B$91,_xlfn.XLOOKUP(AE$181,$D$5:$AX$5,$D$11:$AX$91))</f>
        <v>-70.132296044037133</v>
      </c>
      <c r="AF420" s="312" cm="1">
        <f t="array" ref="AF420">_xlfn.XLOOKUP($B420,$B$11:$B$91,_xlfn.XLOOKUP(AF$181,$D$5:$AX$5,$D$11:$AX$91))</f>
        <v>-64.606141179168063</v>
      </c>
      <c r="AG420" s="312"/>
      <c r="AH420" s="310" t="str">
        <f t="shared" si="265"/>
        <v>Investing cash flow - New</v>
      </c>
      <c r="AI420" s="311" t="str" cm="1">
        <f t="array" ref="AI420">_xlfn.XLOOKUP($B420,$B$11:$B$91,_xlfn.XLOOKUP(AI$181,$D$5:$AX$5,$D$11:$AX$91))</f>
        <v>A$m</v>
      </c>
      <c r="AJ420" s="311"/>
      <c r="AK420" s="311"/>
      <c r="AL420" s="312"/>
      <c r="AM420" s="312" cm="1">
        <f t="array" ref="AM420">_xlfn.XLOOKUP($B420,$B$11:$B$91,_xlfn.XLOOKUP(AM$181,$D$5:$AX$5,$D$11:$AX$91))</f>
        <v>-130</v>
      </c>
      <c r="AN420" s="312" cm="1">
        <f t="array" ref="AN420">_xlfn.XLOOKUP($B420,$B$11:$B$91,_xlfn.XLOOKUP(AN$181,$D$5:$AX$5,$D$11:$AX$91))</f>
        <v>-739.7</v>
      </c>
      <c r="AO420" s="312" cm="1">
        <f t="array" ref="AO420">_xlfn.XLOOKUP($B420,$B$11:$B$91,_xlfn.XLOOKUP(AO$181,$D$5:$AX$5,$D$11:$AX$91))</f>
        <v>-117</v>
      </c>
      <c r="AP420" s="312" cm="1">
        <f t="array" ref="AP420">_xlfn.XLOOKUP($B420,$B$11:$B$91,_xlfn.XLOOKUP(AP$181,$D$5:$AX$5,$D$11:$AX$91))</f>
        <v>-150.69999999999999</v>
      </c>
      <c r="AQ420" s="312" cm="1">
        <f t="array" ref="AQ420">_xlfn.XLOOKUP($B420,$B$11:$B$91,_xlfn.XLOOKUP(AQ$181,$D$5:$AX$5,$D$11:$AX$91))</f>
        <v>-472</v>
      </c>
      <c r="AR420" s="312" cm="1">
        <f t="array" ref="AR420">_xlfn.XLOOKUP($B420,$B$11:$B$91,_xlfn.XLOOKUP(AR$181,$D$5:$AX$5,$D$11:$AX$91))</f>
        <v>-168</v>
      </c>
      <c r="AS420" s="312" cm="1">
        <f t="array" ref="AS420">_xlfn.XLOOKUP($B420,$B$11:$B$91,_xlfn.XLOOKUP(AS$181,$D$5:$AX$5,$D$11:$AX$91))</f>
        <v>-137.51030025250009</v>
      </c>
      <c r="AT420" s="312" cm="1">
        <f t="array" ref="AT420">_xlfn.XLOOKUP($B420,$B$11:$B$91,_xlfn.XLOOKUP(AT$181,$D$5:$AX$5,$D$11:$AX$91))</f>
        <v>-129.54750127387121</v>
      </c>
      <c r="AU420" s="312" cm="1">
        <f t="array" ref="AU420">_xlfn.XLOOKUP($B420,$B$11:$B$91,_xlfn.XLOOKUP(AU$181,$D$5:$AX$5,$D$11:$AX$91))</f>
        <v>-130.76273142229655</v>
      </c>
      <c r="AV420" s="312" cm="1">
        <f t="array" ref="AV420">_xlfn.XLOOKUP($B420,$B$11:$B$91,_xlfn.XLOOKUP(AV$181,$D$5:$AX$5,$D$11:$AX$91))</f>
        <v>-132.03199314407266</v>
      </c>
      <c r="AW420" s="312" cm="1">
        <f t="array" ref="AW420">_xlfn.XLOOKUP($B420,$B$11:$B$91,_xlfn.XLOOKUP(AW$181,$D$5:$AX$5,$D$11:$AX$91))</f>
        <v>-133.35673163971092</v>
      </c>
      <c r="AX420" s="312" cm="1">
        <f t="array" ref="AX420">_xlfn.XLOOKUP($B420,$B$11:$B$91,_xlfn.XLOOKUP(AX$181,$D$5:$AX$5,$D$11:$AX$91))</f>
        <v>-134.73843722320521</v>
      </c>
    </row>
    <row r="421" spans="2:50" hidden="1" outlineLevel="1">
      <c r="C421" s="313" t="s">
        <v>1121</v>
      </c>
      <c r="D421" s="307" t="s">
        <v>842</v>
      </c>
      <c r="E421" s="307"/>
      <c r="F421" s="307"/>
      <c r="G421" s="314"/>
      <c r="H421" s="314"/>
      <c r="I421" s="314" t="s">
        <v>967</v>
      </c>
      <c r="J421" s="314" t="s">
        <v>967</v>
      </c>
      <c r="K421" s="314">
        <f t="shared" ref="K421:AF421" si="270">K420/I420-1</f>
        <v>-0.52584670231729058</v>
      </c>
      <c r="L421" s="314">
        <f t="shared" si="270"/>
        <v>37.567415730337054</v>
      </c>
      <c r="M421" s="314">
        <f t="shared" si="270"/>
        <v>0.24624060150375926</v>
      </c>
      <c r="N421" s="314">
        <f t="shared" si="270"/>
        <v>-0.92614712308812819</v>
      </c>
      <c r="O421" s="314">
        <f t="shared" si="270"/>
        <v>7.0889894419306154E-2</v>
      </c>
      <c r="P421" s="314">
        <f t="shared" si="270"/>
        <v>0.57199211045364851</v>
      </c>
      <c r="Q421" s="314">
        <f t="shared" si="270"/>
        <v>0.3380281690140845</v>
      </c>
      <c r="R421" s="314">
        <f t="shared" si="270"/>
        <v>3.730238393977416</v>
      </c>
      <c r="S421" s="314">
        <f t="shared" si="270"/>
        <v>-9.4736842105263119E-2</v>
      </c>
      <c r="T421" s="314">
        <f t="shared" si="270"/>
        <v>-0.78249336870026531</v>
      </c>
      <c r="U421" s="314">
        <f t="shared" si="270"/>
        <v>-0.17007438908548278</v>
      </c>
      <c r="V421" s="314">
        <f t="shared" si="270"/>
        <v>-0.19345490592863901</v>
      </c>
      <c r="W421" s="314">
        <f t="shared" si="270"/>
        <v>-5.5913187851468926E-2</v>
      </c>
      <c r="X421" s="314">
        <f t="shared" si="270"/>
        <v>-6.0058537386233013E-2</v>
      </c>
      <c r="Y421" s="314">
        <f t="shared" si="270"/>
        <v>9.5543836139060367E-3</v>
      </c>
      <c r="Z421" s="314">
        <f t="shared" si="270"/>
        <v>9.1921780155905797E-3</v>
      </c>
      <c r="AA421" s="314">
        <f t="shared" si="270"/>
        <v>9.883241801370346E-3</v>
      </c>
      <c r="AB421" s="314">
        <f t="shared" si="270"/>
        <v>9.5150648043618169E-3</v>
      </c>
      <c r="AC421" s="314">
        <f t="shared" si="270"/>
        <v>1.0212811419318291E-2</v>
      </c>
      <c r="AD421" s="314">
        <f t="shared" si="270"/>
        <v>9.838924894247425E-3</v>
      </c>
      <c r="AE421" s="314">
        <f t="shared" si="270"/>
        <v>1.054289279647791E-2</v>
      </c>
      <c r="AF421" s="314">
        <f t="shared" si="270"/>
        <v>1.0163567998151546E-2</v>
      </c>
      <c r="AG421" s="315"/>
      <c r="AH421" s="313" t="str">
        <f t="shared" si="265"/>
        <v>- Growth</v>
      </c>
      <c r="AI421" s="307" t="str">
        <f>D421</f>
        <v>%</v>
      </c>
      <c r="AJ421" s="307"/>
      <c r="AK421" s="307"/>
      <c r="AL421" s="314"/>
      <c r="AM421" s="314" t="s">
        <v>967</v>
      </c>
      <c r="AN421" s="314">
        <f t="shared" ref="AN421:AX421" si="271">AN420/AM420-1</f>
        <v>4.6900000000000004</v>
      </c>
      <c r="AO421" s="314">
        <f t="shared" si="271"/>
        <v>-0.84182776801405979</v>
      </c>
      <c r="AP421" s="314">
        <f t="shared" si="271"/>
        <v>0.2880341880341879</v>
      </c>
      <c r="AQ421" s="314">
        <f t="shared" si="271"/>
        <v>2.1320504313205046</v>
      </c>
      <c r="AR421" s="314">
        <f t="shared" si="271"/>
        <v>-0.64406779661016955</v>
      </c>
      <c r="AS421" s="314">
        <f t="shared" si="271"/>
        <v>-0.18148630802083277</v>
      </c>
      <c r="AT421" s="314">
        <f t="shared" si="271"/>
        <v>-5.7906927437489264E-2</v>
      </c>
      <c r="AU421" s="314">
        <f t="shared" si="271"/>
        <v>9.3805757461602468E-3</v>
      </c>
      <c r="AV421" s="314">
        <f t="shared" si="271"/>
        <v>9.7066014755919916E-3</v>
      </c>
      <c r="AW421" s="314">
        <f t="shared" si="271"/>
        <v>1.0033465859995871E-2</v>
      </c>
      <c r="AX421" s="314">
        <f t="shared" si="271"/>
        <v>1.0360973656937222E-2</v>
      </c>
    </row>
    <row r="422" spans="2:50" collapsed="1">
      <c r="C422" s="313" t="s">
        <v>1122</v>
      </c>
      <c r="D422" s="307" t="s">
        <v>842</v>
      </c>
      <c r="E422" s="307"/>
      <c r="F422" s="307"/>
      <c r="G422" s="314"/>
      <c r="H422" s="314"/>
      <c r="I422" s="314">
        <f t="shared" ref="I422:AF422" si="272" xml:space="preserve"> IFERROR(ROUND( I420 / I419,3) - 1, 0)</f>
        <v>0</v>
      </c>
      <c r="J422" s="314">
        <f t="shared" si="272"/>
        <v>0</v>
      </c>
      <c r="K422" s="314">
        <f t="shared" si="272"/>
        <v>0</v>
      </c>
      <c r="L422" s="314">
        <f t="shared" si="272"/>
        <v>0</v>
      </c>
      <c r="M422" s="314">
        <f t="shared" si="272"/>
        <v>0</v>
      </c>
      <c r="N422" s="314">
        <f t="shared" si="272"/>
        <v>0</v>
      </c>
      <c r="O422" s="314">
        <f t="shared" si="272"/>
        <v>0</v>
      </c>
      <c r="P422" s="314">
        <f t="shared" si="272"/>
        <v>-0.20099999999999996</v>
      </c>
      <c r="Q422" s="314">
        <f t="shared" si="272"/>
        <v>3.2999999999999918E-2</v>
      </c>
      <c r="R422" s="314">
        <f t="shared" si="272"/>
        <v>3.3639999999999999</v>
      </c>
      <c r="S422" s="314">
        <f t="shared" si="272"/>
        <v>0.23399999999999999</v>
      </c>
      <c r="T422" s="314">
        <f t="shared" si="272"/>
        <v>0.23799999999999999</v>
      </c>
      <c r="U422" s="314">
        <f t="shared" si="272"/>
        <v>7.6000000000000068E-2</v>
      </c>
      <c r="V422" s="314">
        <f t="shared" si="272"/>
        <v>5.2000000000000046E-2</v>
      </c>
      <c r="W422" s="314">
        <f t="shared" si="272"/>
        <v>1.2000000000000011E-2</v>
      </c>
      <c r="X422" s="314">
        <f t="shared" si="272"/>
        <v>-1.4000000000000012E-2</v>
      </c>
      <c r="Y422" s="314">
        <f t="shared" si="272"/>
        <v>1.8000000000000016E-2</v>
      </c>
      <c r="Z422" s="314">
        <f t="shared" si="272"/>
        <v>-8.0000000000000071E-3</v>
      </c>
      <c r="AA422" s="314">
        <f t="shared" si="272"/>
        <v>2.4000000000000021E-2</v>
      </c>
      <c r="AB422" s="314">
        <f t="shared" si="272"/>
        <v>-1.0000000000000009E-3</v>
      </c>
      <c r="AC422" s="314">
        <f t="shared" si="272"/>
        <v>3.2999999999999918E-2</v>
      </c>
      <c r="AD422" s="314">
        <f t="shared" si="272"/>
        <v>1.0000000000000009E-2</v>
      </c>
      <c r="AE422" s="314">
        <f t="shared" si="272"/>
        <v>4.2999999999999927E-2</v>
      </c>
      <c r="AF422" s="314">
        <f t="shared" si="272"/>
        <v>2.0000000000000018E-2</v>
      </c>
      <c r="AG422" s="314"/>
      <c r="AH422" s="313" t="str">
        <f t="shared" si="265"/>
        <v>- Revision</v>
      </c>
      <c r="AI422" s="307" t="str">
        <f>D422</f>
        <v>%</v>
      </c>
      <c r="AJ422" s="307"/>
      <c r="AK422" s="307"/>
      <c r="AL422" s="314"/>
      <c r="AM422" s="314">
        <f t="shared" ref="AM422:AX422" si="273" xml:space="preserve"> IFERROR(ROUND( AM420 / AM419,3) - 1, 0)</f>
        <v>0</v>
      </c>
      <c r="AN422" s="314">
        <f t="shared" si="273"/>
        <v>0</v>
      </c>
      <c r="AO422" s="314">
        <f t="shared" si="273"/>
        <v>0</v>
      </c>
      <c r="AP422" s="314">
        <f t="shared" si="273"/>
        <v>-0.11799999999999999</v>
      </c>
      <c r="AQ422" s="314">
        <f t="shared" si="273"/>
        <v>1.6459999999999999</v>
      </c>
      <c r="AR422" s="314">
        <f t="shared" si="273"/>
        <v>0.23599999999999999</v>
      </c>
      <c r="AS422" s="314">
        <f t="shared" si="273"/>
        <v>6.4000000000000057E-2</v>
      </c>
      <c r="AT422" s="314">
        <f t="shared" si="273"/>
        <v>-1.0000000000000009E-3</v>
      </c>
      <c r="AU422" s="314">
        <f t="shared" si="273"/>
        <v>4.9999999999998934E-3</v>
      </c>
      <c r="AV422" s="314">
        <f t="shared" si="273"/>
        <v>1.2000000000000011E-2</v>
      </c>
      <c r="AW422" s="314">
        <f t="shared" si="273"/>
        <v>2.200000000000002E-2</v>
      </c>
      <c r="AX422" s="314">
        <f t="shared" si="273"/>
        <v>3.2000000000000028E-2</v>
      </c>
    </row>
    <row r="423" spans="2:50">
      <c r="B423" s="305" t="s">
        <v>1470</v>
      </c>
      <c r="C423" s="706" t="str">
        <f>_xlfn.TEXTAFTER($B423,$C$412)&amp;" - old"</f>
        <v>Financing cash flow - old</v>
      </c>
      <c r="D423" s="707" t="str" cm="1">
        <f t="array" ref="D423">_xlfn.XLOOKUP($B423,$B$96:$B$176,_xlfn.XLOOKUP(D$181,$D$5:$AX$5,$D$96:$AX$176))</f>
        <v>A$m</v>
      </c>
      <c r="E423" s="307"/>
      <c r="F423" s="307"/>
      <c r="G423" s="708"/>
      <c r="H423" s="708"/>
      <c r="I423" s="708" cm="1">
        <f t="array" ref="I423">_xlfn.XLOOKUP($B423,$B$96:$B$176,_xlfn.XLOOKUP(I$181,$D$5:$AX$5,$D$96:$AX$176))</f>
        <v>294.2</v>
      </c>
      <c r="J423" s="708" cm="1">
        <f t="array" ref="J423">_xlfn.XLOOKUP($B423,$B$96:$B$176,_xlfn.XLOOKUP(J$181,$D$5:$AX$5,$D$96:$AX$176))</f>
        <v>-192.2</v>
      </c>
      <c r="K423" s="708" cm="1">
        <f t="array" ref="K423">_xlfn.XLOOKUP($B423,$B$96:$B$176,_xlfn.XLOOKUP(K$181,$D$5:$AX$5,$D$96:$AX$176))</f>
        <v>-45.4</v>
      </c>
      <c r="L423" s="708" cm="1">
        <f t="array" ref="L423">_xlfn.XLOOKUP($B423,$B$96:$B$176,_xlfn.XLOOKUP(L$181,$D$5:$AX$5,$D$96:$AX$176))</f>
        <v>562.9</v>
      </c>
      <c r="M423" s="708" cm="1">
        <f t="array" ref="M423">_xlfn.XLOOKUP($B423,$B$96:$B$176,_xlfn.XLOOKUP(M$181,$D$5:$AX$5,$D$96:$AX$176))</f>
        <v>-159.1</v>
      </c>
      <c r="N423" s="708" cm="1">
        <f t="array" ref="N423">_xlfn.XLOOKUP($B423,$B$96:$B$176,_xlfn.XLOOKUP(N$181,$D$5:$AX$5,$D$96:$AX$176))</f>
        <v>-207.6</v>
      </c>
      <c r="O423" s="708" cm="1">
        <f t="array" ref="O423">_xlfn.XLOOKUP($B423,$B$96:$B$176,_xlfn.XLOOKUP(O$181,$D$5:$AX$5,$D$96:$AX$176))</f>
        <v>-42.5</v>
      </c>
      <c r="P423" s="708" cm="1">
        <f t="array" ref="P423">_xlfn.XLOOKUP($B423,$B$96:$B$176,_xlfn.XLOOKUP(P$181,$D$5:$AX$5,$D$96:$AX$176))</f>
        <v>-31.675880683999907</v>
      </c>
      <c r="Q423" s="708" cm="1">
        <f t="array" ref="Q423">_xlfn.XLOOKUP($B423,$B$96:$B$176,_xlfn.XLOOKUP(Q$181,$D$5:$AX$5,$D$96:$AX$176))</f>
        <v>-48.650849776475553</v>
      </c>
      <c r="R423" s="708" cm="1">
        <f t="array" ref="R423">_xlfn.XLOOKUP($B423,$B$96:$B$176,_xlfn.XLOOKUP(R$181,$D$5:$AX$5,$D$96:$AX$176))</f>
        <v>-35.99204455853608</v>
      </c>
      <c r="S423" s="708" cm="1">
        <f t="array" ref="S423">_xlfn.XLOOKUP($B423,$B$96:$B$176,_xlfn.XLOOKUP(S$181,$D$5:$AX$5,$D$96:$AX$176))</f>
        <v>-39.467489207270518</v>
      </c>
      <c r="T423" s="708" cm="1">
        <f t="array" ref="T423">_xlfn.XLOOKUP($B423,$B$96:$B$176,_xlfn.XLOOKUP(T$181,$D$5:$AX$5,$D$96:$AX$176))</f>
        <v>-29.606384120289945</v>
      </c>
      <c r="U423" s="708" cm="1">
        <f t="array" ref="U423">_xlfn.XLOOKUP($B423,$B$96:$B$176,_xlfn.XLOOKUP(U$181,$D$5:$AX$5,$D$96:$AX$176))</f>
        <v>-47.622189789879414</v>
      </c>
      <c r="V423" s="708" cm="1">
        <f t="array" ref="V423">_xlfn.XLOOKUP($B423,$B$96:$B$176,_xlfn.XLOOKUP(V$181,$D$5:$AX$5,$D$96:$AX$176))</f>
        <v>-38.867486959320942</v>
      </c>
      <c r="W423" s="708" cm="1">
        <f t="array" ref="W423">_xlfn.XLOOKUP($B423,$B$96:$B$176,_xlfn.XLOOKUP(W$181,$D$5:$AX$5,$D$96:$AX$176))</f>
        <v>-43.417920275075993</v>
      </c>
      <c r="X423" s="708" cm="1">
        <f t="array" ref="X423">_xlfn.XLOOKUP($B423,$B$96:$B$176,_xlfn.XLOOKUP(X$181,$D$5:$AX$5,$D$96:$AX$176))</f>
        <v>-35.74456388316576</v>
      </c>
      <c r="Y423" s="708" cm="1">
        <f t="array" ref="Y423">_xlfn.XLOOKUP($B423,$B$96:$B$176,_xlfn.XLOOKUP(Y$181,$D$5:$AX$5,$D$96:$AX$176))</f>
        <v>-46.851822028535167</v>
      </c>
      <c r="Z423" s="708" cm="1">
        <f t="array" ref="Z423">_xlfn.XLOOKUP($B423,$B$96:$B$176,_xlfn.XLOOKUP(Z$181,$D$5:$AX$5,$D$96:$AX$176))</f>
        <v>-38.834864263879133</v>
      </c>
      <c r="AA423" s="708" cm="1">
        <f t="array" ref="AA423">_xlfn.XLOOKUP($B423,$B$96:$B$176,_xlfn.XLOOKUP(AA$181,$D$5:$AX$5,$D$96:$AX$176))</f>
        <v>0</v>
      </c>
      <c r="AB423" s="708" cm="1">
        <f t="array" ref="AB423">_xlfn.XLOOKUP($B423,$B$96:$B$176,_xlfn.XLOOKUP(AB$181,$D$5:$AX$5,$D$96:$AX$176))</f>
        <v>0</v>
      </c>
      <c r="AC423" s="708" cm="1">
        <f t="array" ref="AC423">_xlfn.XLOOKUP($B423,$B$96:$B$176,_xlfn.XLOOKUP(AC$181,$D$5:$AX$5,$D$96:$AX$176))</f>
        <v>0</v>
      </c>
      <c r="AD423" s="708" cm="1">
        <f t="array" ref="AD423">_xlfn.XLOOKUP($B423,$B$96:$B$176,_xlfn.XLOOKUP(AD$181,$D$5:$AX$5,$D$96:$AX$176))</f>
        <v>0</v>
      </c>
      <c r="AE423" s="708" cm="1">
        <f t="array" ref="AE423">_xlfn.XLOOKUP($B423,$B$96:$B$176,_xlfn.XLOOKUP(AE$181,$D$5:$AX$5,$D$96:$AX$176))</f>
        <v>0</v>
      </c>
      <c r="AF423" s="708" cm="1">
        <f t="array" ref="AF423">_xlfn.XLOOKUP($B423,$B$96:$B$176,_xlfn.XLOOKUP(AF$181,$D$5:$AX$5,$D$96:$AX$176))</f>
        <v>0</v>
      </c>
      <c r="AG423" s="309"/>
      <c r="AH423" s="306" t="str">
        <f t="shared" si="265"/>
        <v>Financing cash flow - old</v>
      </c>
      <c r="AI423" s="707" t="str" cm="1">
        <f t="array" ref="AI423">_xlfn.XLOOKUP($B423,$B$96:$B$176,_xlfn.XLOOKUP(AI$181,$D$5:$AX$5,$D$96:$AX$176))</f>
        <v>A$m</v>
      </c>
      <c r="AJ423" s="307"/>
      <c r="AK423" s="307"/>
      <c r="AL423" s="708"/>
      <c r="AM423" s="708" cm="1">
        <f t="array" ref="AM423">_xlfn.XLOOKUP($B423,$B$96:$B$176,_xlfn.XLOOKUP(AM$181,$D$5:$AX$5,$D$96:$AX$176))</f>
        <v>102</v>
      </c>
      <c r="AN423" s="708" cm="1">
        <f t="array" ref="AN423">_xlfn.XLOOKUP($B423,$B$96:$B$176,_xlfn.XLOOKUP(AN$181,$D$5:$AX$5,$D$96:$AX$176))</f>
        <v>517.5</v>
      </c>
      <c r="AO423" s="708" cm="1">
        <f t="array" ref="AO423">_xlfn.XLOOKUP($B423,$B$96:$B$176,_xlfn.XLOOKUP(AO$181,$D$5:$AX$5,$D$96:$AX$176))</f>
        <v>-366.7</v>
      </c>
      <c r="AP423" s="708" cm="1">
        <f t="array" ref="AP423">_xlfn.XLOOKUP($B423,$B$96:$B$176,_xlfn.XLOOKUP(AP$181,$D$5:$AX$5,$D$96:$AX$176))</f>
        <v>-74.175880683999907</v>
      </c>
      <c r="AQ423" s="708" cm="1">
        <f t="array" ref="AQ423">_xlfn.XLOOKUP($B423,$B$96:$B$176,_xlfn.XLOOKUP(AQ$181,$D$5:$AX$5,$D$96:$AX$176))</f>
        <v>-84.642894335011633</v>
      </c>
      <c r="AR423" s="708" cm="1">
        <f t="array" ref="AR423">_xlfn.XLOOKUP($B423,$B$96:$B$176,_xlfn.XLOOKUP(AR$181,$D$5:$AX$5,$D$96:$AX$176))</f>
        <v>-69.073873327560463</v>
      </c>
      <c r="AS423" s="708" cm="1">
        <f t="array" ref="AS423">_xlfn.XLOOKUP($B423,$B$96:$B$176,_xlfn.XLOOKUP(AS$181,$D$5:$AX$5,$D$96:$AX$176))</f>
        <v>-86.489676749200356</v>
      </c>
      <c r="AT423" s="708" cm="1">
        <f t="array" ref="AT423">_xlfn.XLOOKUP($B423,$B$96:$B$176,_xlfn.XLOOKUP(AT$181,$D$5:$AX$5,$D$96:$AX$176))</f>
        <v>-79.162484158241753</v>
      </c>
      <c r="AU423" s="708" cm="1">
        <f t="array" ref="AU423">_xlfn.XLOOKUP($B423,$B$96:$B$176,_xlfn.XLOOKUP(AU$181,$D$5:$AX$5,$D$96:$AX$176))</f>
        <v>-85.686686292414294</v>
      </c>
      <c r="AV423" s="708" cm="1">
        <f t="array" ref="AV423">_xlfn.XLOOKUP($B423,$B$96:$B$176,_xlfn.XLOOKUP(AV$181,$D$5:$AX$5,$D$96:$AX$176))</f>
        <v>0</v>
      </c>
      <c r="AW423" s="708" cm="1">
        <f t="array" ref="AW423">_xlfn.XLOOKUP($B423,$B$96:$B$176,_xlfn.XLOOKUP(AW$181,$D$5:$AX$5,$D$96:$AX$176))</f>
        <v>0</v>
      </c>
      <c r="AX423" s="708" cm="1">
        <f t="array" ref="AX423">_xlfn.XLOOKUP($B423,$B$96:$B$176,_xlfn.XLOOKUP(AX$181,$D$5:$AX$5,$D$96:$AX$176))</f>
        <v>0</v>
      </c>
    </row>
    <row r="424" spans="2:50">
      <c r="B424" s="305" t="s">
        <v>1470</v>
      </c>
      <c r="C424" s="318" t="str">
        <f>_xlfn.TEXTAFTER($B424,$C$412)&amp;" - New"</f>
        <v>Financing cash flow - New</v>
      </c>
      <c r="D424" s="311" t="str" cm="1">
        <f t="array" ref="D424">_xlfn.XLOOKUP($B424,$B$11:$B$91,_xlfn.XLOOKUP(D$181,$D$5:$AX$5,$D$11:$AX$91))</f>
        <v>A$m</v>
      </c>
      <c r="E424" s="311"/>
      <c r="F424" s="311"/>
      <c r="G424" s="312"/>
      <c r="H424" s="312"/>
      <c r="I424" s="312" cm="1">
        <f t="array" ref="I424">_xlfn.XLOOKUP($B424,$B$11:$B$91,_xlfn.XLOOKUP(I$181,$D$5:$AX$5,$D$11:$AX$91))</f>
        <v>294.2</v>
      </c>
      <c r="J424" s="312" cm="1">
        <f t="array" ref="J424">_xlfn.XLOOKUP($B424,$B$11:$B$91,_xlfn.XLOOKUP(J$181,$D$5:$AX$5,$D$11:$AX$91))</f>
        <v>-192.2</v>
      </c>
      <c r="K424" s="312" cm="1">
        <f t="array" ref="K424">_xlfn.XLOOKUP($B424,$B$11:$B$91,_xlfn.XLOOKUP(K$181,$D$5:$AX$5,$D$11:$AX$91))</f>
        <v>-45.4</v>
      </c>
      <c r="L424" s="312" cm="1">
        <f t="array" ref="L424">_xlfn.XLOOKUP($B424,$B$11:$B$91,_xlfn.XLOOKUP(L$181,$D$5:$AX$5,$D$11:$AX$91))</f>
        <v>562.9</v>
      </c>
      <c r="M424" s="312" cm="1">
        <f t="array" ref="M424">_xlfn.XLOOKUP($B424,$B$11:$B$91,_xlfn.XLOOKUP(M$181,$D$5:$AX$5,$D$11:$AX$91))</f>
        <v>-159.1</v>
      </c>
      <c r="N424" s="312" cm="1">
        <f t="array" ref="N424">_xlfn.XLOOKUP($B424,$B$11:$B$91,_xlfn.XLOOKUP(N$181,$D$5:$AX$5,$D$11:$AX$91))</f>
        <v>-207.6</v>
      </c>
      <c r="O424" s="312" cm="1">
        <f t="array" ref="O424">_xlfn.XLOOKUP($B424,$B$11:$B$91,_xlfn.XLOOKUP(O$181,$D$5:$AX$5,$D$11:$AX$91))</f>
        <v>-42.5</v>
      </c>
      <c r="P424" s="312" cm="1">
        <f t="array" ref="P424">_xlfn.XLOOKUP($B424,$B$11:$B$91,_xlfn.XLOOKUP(P$181,$D$5:$AX$5,$D$11:$AX$91))</f>
        <v>-46.8</v>
      </c>
      <c r="Q424" s="312" cm="1">
        <f t="array" ref="Q424">_xlfn.XLOOKUP($B424,$B$11:$B$91,_xlfn.XLOOKUP(Q$181,$D$5:$AX$5,$D$11:$AX$91))</f>
        <v>-36.681599999999996</v>
      </c>
      <c r="R424" s="312" cm="1">
        <f t="array" ref="R424">_xlfn.XLOOKUP($B424,$B$11:$B$91,_xlfn.XLOOKUP(R$181,$D$5:$AX$5,$D$11:$AX$91))</f>
        <v>138.3184</v>
      </c>
      <c r="S424" s="312" cm="1">
        <f t="array" ref="S424">_xlfn.XLOOKUP($B424,$B$11:$B$91,_xlfn.XLOOKUP(S$181,$D$5:$AX$5,$D$11:$AX$91))</f>
        <v>-36.681599999999996</v>
      </c>
      <c r="T424" s="312" cm="1">
        <f t="array" ref="T424">_xlfn.XLOOKUP($B424,$B$11:$B$91,_xlfn.XLOOKUP(T$181,$D$5:$AX$5,$D$11:$AX$91))</f>
        <v>-36.681599999999996</v>
      </c>
      <c r="U424" s="312" cm="1">
        <f t="array" ref="U424">_xlfn.XLOOKUP($B424,$B$11:$B$91,_xlfn.XLOOKUP(U$181,$D$5:$AX$5,$D$11:$AX$91))</f>
        <v>-47.628661510101594</v>
      </c>
      <c r="V424" s="312" cm="1">
        <f t="array" ref="V424">_xlfn.XLOOKUP($B424,$B$11:$B$91,_xlfn.XLOOKUP(V$181,$D$5:$AX$5,$D$11:$AX$91))</f>
        <v>-37.845915765855146</v>
      </c>
      <c r="W424" s="312" cm="1">
        <f t="array" ref="W424">_xlfn.XLOOKUP($B424,$B$11:$B$91,_xlfn.XLOOKUP(W$181,$D$5:$AX$5,$D$11:$AX$91))</f>
        <v>-42.121918695213928</v>
      </c>
      <c r="X424" s="312" cm="1">
        <f t="array" ref="X424">_xlfn.XLOOKUP($B424,$B$11:$B$91,_xlfn.XLOOKUP(X$181,$D$5:$AX$5,$D$11:$AX$91))</f>
        <v>-33.523709753213097</v>
      </c>
      <c r="Y424" s="312" cm="1">
        <f t="array" ref="Y424">_xlfn.XLOOKUP($B424,$B$11:$B$91,_xlfn.XLOOKUP(Y$181,$D$5:$AX$5,$D$11:$AX$91))</f>
        <v>-44.972605256491121</v>
      </c>
      <c r="Z424" s="312" cm="1">
        <f t="array" ref="Z424">_xlfn.XLOOKUP($B424,$B$11:$B$91,_xlfn.XLOOKUP(Z$181,$D$5:$AX$5,$D$11:$AX$91))</f>
        <v>-35.998233012866073</v>
      </c>
      <c r="AA424" s="312" cm="1">
        <f t="array" ref="AA424">_xlfn.XLOOKUP($B424,$B$11:$B$91,_xlfn.XLOOKUP(AA$181,$D$5:$AX$5,$D$11:$AX$91))</f>
        <v>0</v>
      </c>
      <c r="AB424" s="312" cm="1">
        <f t="array" ref="AB424">_xlfn.XLOOKUP($B424,$B$11:$B$91,_xlfn.XLOOKUP(AB$181,$D$5:$AX$5,$D$11:$AX$91))</f>
        <v>0</v>
      </c>
      <c r="AC424" s="312" cm="1">
        <f t="array" ref="AC424">_xlfn.XLOOKUP($B424,$B$11:$B$91,_xlfn.XLOOKUP(AC$181,$D$5:$AX$5,$D$11:$AX$91))</f>
        <v>0</v>
      </c>
      <c r="AD424" s="312" cm="1">
        <f t="array" ref="AD424">_xlfn.XLOOKUP($B424,$B$11:$B$91,_xlfn.XLOOKUP(AD$181,$D$5:$AX$5,$D$11:$AX$91))</f>
        <v>0</v>
      </c>
      <c r="AE424" s="312" cm="1">
        <f t="array" ref="AE424">_xlfn.XLOOKUP($B424,$B$11:$B$91,_xlfn.XLOOKUP(AE$181,$D$5:$AX$5,$D$11:$AX$91))</f>
        <v>0</v>
      </c>
      <c r="AF424" s="312" cm="1">
        <f t="array" ref="AF424">_xlfn.XLOOKUP($B424,$B$11:$B$91,_xlfn.XLOOKUP(AF$181,$D$5:$AX$5,$D$11:$AX$91))</f>
        <v>0</v>
      </c>
      <c r="AG424" s="312"/>
      <c r="AH424" s="310" t="str">
        <f t="shared" si="265"/>
        <v>Financing cash flow - New</v>
      </c>
      <c r="AI424" s="311" t="str" cm="1">
        <f t="array" ref="AI424">_xlfn.XLOOKUP($B424,$B$11:$B$91,_xlfn.XLOOKUP(AI$181,$D$5:$AX$5,$D$11:$AX$91))</f>
        <v>A$m</v>
      </c>
      <c r="AJ424" s="311"/>
      <c r="AK424" s="311"/>
      <c r="AL424" s="312"/>
      <c r="AM424" s="312" cm="1">
        <f t="array" ref="AM424">_xlfn.XLOOKUP($B424,$B$11:$B$91,_xlfn.XLOOKUP(AM$181,$D$5:$AX$5,$D$11:$AX$91))</f>
        <v>102</v>
      </c>
      <c r="AN424" s="312" cm="1">
        <f t="array" ref="AN424">_xlfn.XLOOKUP($B424,$B$11:$B$91,_xlfn.XLOOKUP(AN$181,$D$5:$AX$5,$D$11:$AX$91))</f>
        <v>517.5</v>
      </c>
      <c r="AO424" s="312" cm="1">
        <f t="array" ref="AO424">_xlfn.XLOOKUP($B424,$B$11:$B$91,_xlfn.XLOOKUP(AO$181,$D$5:$AX$5,$D$11:$AX$91))</f>
        <v>-366.7</v>
      </c>
      <c r="AP424" s="312" cm="1">
        <f t="array" ref="AP424">_xlfn.XLOOKUP($B424,$B$11:$B$91,_xlfn.XLOOKUP(AP$181,$D$5:$AX$5,$D$11:$AX$91))</f>
        <v>-89.3</v>
      </c>
      <c r="AQ424" s="312" cm="1">
        <f t="array" ref="AQ424">_xlfn.XLOOKUP($B424,$B$11:$B$91,_xlfn.XLOOKUP(AQ$181,$D$5:$AX$5,$D$11:$AX$91))</f>
        <v>101.63679999999999</v>
      </c>
      <c r="AR424" s="312" cm="1">
        <f t="array" ref="AR424">_xlfn.XLOOKUP($B424,$B$11:$B$91,_xlfn.XLOOKUP(AR$181,$D$5:$AX$5,$D$11:$AX$91))</f>
        <v>-73.363199999999992</v>
      </c>
      <c r="AS424" s="312" cm="1">
        <f t="array" ref="AS424">_xlfn.XLOOKUP($B424,$B$11:$B$91,_xlfn.XLOOKUP(AS$181,$D$5:$AX$5,$D$11:$AX$91))</f>
        <v>-85.474577275956733</v>
      </c>
      <c r="AT424" s="312" cm="1">
        <f t="array" ref="AT424">_xlfn.XLOOKUP($B424,$B$11:$B$91,_xlfn.XLOOKUP(AT$181,$D$5:$AX$5,$D$11:$AX$91))</f>
        <v>-75.645628448427033</v>
      </c>
      <c r="AU424" s="312" cm="1">
        <f t="array" ref="AU424">_xlfn.XLOOKUP($B424,$B$11:$B$91,_xlfn.XLOOKUP(AU$181,$D$5:$AX$5,$D$11:$AX$91))</f>
        <v>-80.970838269357188</v>
      </c>
      <c r="AV424" s="312" cm="1">
        <f t="array" ref="AV424">_xlfn.XLOOKUP($B424,$B$11:$B$91,_xlfn.XLOOKUP(AV$181,$D$5:$AX$5,$D$11:$AX$91))</f>
        <v>0</v>
      </c>
      <c r="AW424" s="312" cm="1">
        <f t="array" ref="AW424">_xlfn.XLOOKUP($B424,$B$11:$B$91,_xlfn.XLOOKUP(AW$181,$D$5:$AX$5,$D$11:$AX$91))</f>
        <v>0</v>
      </c>
      <c r="AX424" s="312" cm="1">
        <f t="array" ref="AX424">_xlfn.XLOOKUP($B424,$B$11:$B$91,_xlfn.XLOOKUP(AX$181,$D$5:$AX$5,$D$11:$AX$91))</f>
        <v>0</v>
      </c>
    </row>
    <row r="425" spans="2:50" hidden="1" outlineLevel="1">
      <c r="B425" s="305"/>
      <c r="C425" s="313" t="s">
        <v>1121</v>
      </c>
      <c r="D425" s="307" t="s">
        <v>842</v>
      </c>
      <c r="E425" s="307"/>
      <c r="F425" s="307"/>
      <c r="G425" s="314"/>
      <c r="H425" s="314"/>
      <c r="I425" s="314" t="s">
        <v>967</v>
      </c>
      <c r="J425" s="314" t="s">
        <v>967</v>
      </c>
      <c r="K425" s="314">
        <f t="shared" ref="K425:AF425" si="274">K424/I424-1</f>
        <v>-1.1543167912984365</v>
      </c>
      <c r="L425" s="314">
        <f t="shared" si="274"/>
        <v>-3.9287200832466183</v>
      </c>
      <c r="M425" s="314">
        <f t="shared" si="274"/>
        <v>2.5044052863436121</v>
      </c>
      <c r="N425" s="314">
        <f t="shared" si="274"/>
        <v>-1.368804405755907</v>
      </c>
      <c r="O425" s="314">
        <f t="shared" si="274"/>
        <v>-0.732872407291012</v>
      </c>
      <c r="P425" s="314">
        <f t="shared" si="274"/>
        <v>-0.77456647398843925</v>
      </c>
      <c r="Q425" s="314">
        <f t="shared" si="274"/>
        <v>-0.13690352941176476</v>
      </c>
      <c r="R425" s="314">
        <f t="shared" si="274"/>
        <v>-3.9555213675213676</v>
      </c>
      <c r="S425" s="314">
        <f t="shared" si="274"/>
        <v>0</v>
      </c>
      <c r="T425" s="314">
        <f t="shared" si="274"/>
        <v>-1.2651968212472093</v>
      </c>
      <c r="U425" s="314">
        <f t="shared" si="274"/>
        <v>0.29843467869726514</v>
      </c>
      <c r="V425" s="314">
        <f t="shared" si="274"/>
        <v>3.1741139041240096E-2</v>
      </c>
      <c r="W425" s="314">
        <f t="shared" si="274"/>
        <v>-0.11561825674483284</v>
      </c>
      <c r="X425" s="314">
        <f t="shared" si="274"/>
        <v>-0.11420534885144917</v>
      </c>
      <c r="Y425" s="314">
        <f t="shared" si="274"/>
        <v>6.7677034892551058E-2</v>
      </c>
      <c r="Z425" s="314">
        <f t="shared" si="274"/>
        <v>7.3814123731213988E-2</v>
      </c>
      <c r="AA425" s="314">
        <f t="shared" si="274"/>
        <v>-1</v>
      </c>
      <c r="AB425" s="314">
        <f t="shared" si="274"/>
        <v>-1</v>
      </c>
      <c r="AC425" s="314" t="e">
        <f t="shared" si="274"/>
        <v>#DIV/0!</v>
      </c>
      <c r="AD425" s="314" t="e">
        <f t="shared" si="274"/>
        <v>#DIV/0!</v>
      </c>
      <c r="AE425" s="314" t="e">
        <f t="shared" si="274"/>
        <v>#DIV/0!</v>
      </c>
      <c r="AF425" s="314" t="e">
        <f t="shared" si="274"/>
        <v>#DIV/0!</v>
      </c>
      <c r="AG425" s="315"/>
      <c r="AH425" s="313" t="str">
        <f t="shared" si="265"/>
        <v>- Growth</v>
      </c>
      <c r="AI425" s="307" t="str">
        <f>D425</f>
        <v>%</v>
      </c>
      <c r="AJ425" s="307"/>
      <c r="AK425" s="307"/>
      <c r="AL425" s="314"/>
      <c r="AM425" s="314" t="s">
        <v>967</v>
      </c>
      <c r="AN425" s="314">
        <f t="shared" ref="AN425:AX425" si="275">AN424/AM424-1</f>
        <v>4.0735294117647056</v>
      </c>
      <c r="AO425" s="314">
        <f t="shared" si="275"/>
        <v>-1.7085990338164252</v>
      </c>
      <c r="AP425" s="314">
        <f t="shared" si="275"/>
        <v>-0.75647668393782386</v>
      </c>
      <c r="AQ425" s="314">
        <f t="shared" si="275"/>
        <v>-2.1381500559910416</v>
      </c>
      <c r="AR425" s="314">
        <f t="shared" si="275"/>
        <v>-1.7218172945232435</v>
      </c>
      <c r="AS425" s="314">
        <f t="shared" si="275"/>
        <v>0.16508790886925251</v>
      </c>
      <c r="AT425" s="314">
        <f t="shared" si="275"/>
        <v>-0.11499265794315316</v>
      </c>
      <c r="AU425" s="314">
        <f t="shared" si="275"/>
        <v>7.039679529611842E-2</v>
      </c>
      <c r="AV425" s="314">
        <f t="shared" si="275"/>
        <v>-1</v>
      </c>
      <c r="AW425" s="314" t="e">
        <f t="shared" si="275"/>
        <v>#DIV/0!</v>
      </c>
      <c r="AX425" s="314" t="e">
        <f t="shared" si="275"/>
        <v>#DIV/0!</v>
      </c>
    </row>
    <row r="426" spans="2:50" collapsed="1">
      <c r="B426" s="305"/>
      <c r="C426" s="313" t="s">
        <v>1122</v>
      </c>
      <c r="D426" s="307" t="s">
        <v>842</v>
      </c>
      <c r="E426" s="307"/>
      <c r="F426" s="307"/>
      <c r="G426" s="314"/>
      <c r="H426" s="314"/>
      <c r="I426" s="314">
        <f t="shared" ref="I426:AF426" si="276" xml:space="preserve"> IFERROR(ROUND( I424 / I423,3) - 1, 0)</f>
        <v>0</v>
      </c>
      <c r="J426" s="314">
        <f t="shared" si="276"/>
        <v>0</v>
      </c>
      <c r="K426" s="314">
        <f t="shared" si="276"/>
        <v>0</v>
      </c>
      <c r="L426" s="314">
        <f t="shared" si="276"/>
        <v>0</v>
      </c>
      <c r="M426" s="314">
        <f t="shared" si="276"/>
        <v>0</v>
      </c>
      <c r="N426" s="314">
        <f t="shared" si="276"/>
        <v>0</v>
      </c>
      <c r="O426" s="314">
        <f t="shared" si="276"/>
        <v>0</v>
      </c>
      <c r="P426" s="314">
        <f t="shared" si="276"/>
        <v>0.47700000000000009</v>
      </c>
      <c r="Q426" s="314">
        <f t="shared" si="276"/>
        <v>-0.246</v>
      </c>
      <c r="R426" s="314">
        <f t="shared" si="276"/>
        <v>-4.843</v>
      </c>
      <c r="S426" s="314">
        <f t="shared" si="276"/>
        <v>-7.0999999999999952E-2</v>
      </c>
      <c r="T426" s="314">
        <f t="shared" si="276"/>
        <v>0.2390000000000001</v>
      </c>
      <c r="U426" s="314">
        <f t="shared" si="276"/>
        <v>0</v>
      </c>
      <c r="V426" s="314">
        <f t="shared" si="276"/>
        <v>-2.6000000000000023E-2</v>
      </c>
      <c r="W426" s="314">
        <f t="shared" si="276"/>
        <v>-3.0000000000000027E-2</v>
      </c>
      <c r="X426" s="314">
        <f t="shared" si="276"/>
        <v>-6.2000000000000055E-2</v>
      </c>
      <c r="Y426" s="314">
        <f t="shared" si="276"/>
        <v>-4.0000000000000036E-2</v>
      </c>
      <c r="Z426" s="314">
        <f t="shared" si="276"/>
        <v>-7.2999999999999954E-2</v>
      </c>
      <c r="AA426" s="314">
        <f t="shared" si="276"/>
        <v>0</v>
      </c>
      <c r="AB426" s="314">
        <f t="shared" si="276"/>
        <v>0</v>
      </c>
      <c r="AC426" s="314">
        <f t="shared" si="276"/>
        <v>0</v>
      </c>
      <c r="AD426" s="314">
        <f t="shared" si="276"/>
        <v>0</v>
      </c>
      <c r="AE426" s="314">
        <f t="shared" si="276"/>
        <v>0</v>
      </c>
      <c r="AF426" s="314">
        <f t="shared" si="276"/>
        <v>0</v>
      </c>
      <c r="AG426" s="314"/>
      <c r="AH426" s="313" t="str">
        <f t="shared" si="265"/>
        <v>- Revision</v>
      </c>
      <c r="AI426" s="307" t="str">
        <f>D426</f>
        <v>%</v>
      </c>
      <c r="AJ426" s="307"/>
      <c r="AK426" s="307"/>
      <c r="AL426" s="314"/>
      <c r="AM426" s="314">
        <f t="shared" ref="AM426:AX426" si="277" xml:space="preserve"> IFERROR(ROUND( AM424 / AM423,3) - 1, 0)</f>
        <v>0</v>
      </c>
      <c r="AN426" s="314">
        <f t="shared" si="277"/>
        <v>0</v>
      </c>
      <c r="AO426" s="314">
        <f t="shared" si="277"/>
        <v>0</v>
      </c>
      <c r="AP426" s="314">
        <f t="shared" si="277"/>
        <v>0.20399999999999996</v>
      </c>
      <c r="AQ426" s="314">
        <f t="shared" si="277"/>
        <v>-2.2010000000000001</v>
      </c>
      <c r="AR426" s="314">
        <f t="shared" si="277"/>
        <v>6.2000000000000055E-2</v>
      </c>
      <c r="AS426" s="314">
        <f t="shared" si="277"/>
        <v>-1.2000000000000011E-2</v>
      </c>
      <c r="AT426" s="314">
        <f t="shared" si="277"/>
        <v>-4.4000000000000039E-2</v>
      </c>
      <c r="AU426" s="314">
        <f t="shared" si="277"/>
        <v>-5.5000000000000049E-2</v>
      </c>
      <c r="AV426" s="314">
        <f t="shared" si="277"/>
        <v>0</v>
      </c>
      <c r="AW426" s="314">
        <f t="shared" si="277"/>
        <v>0</v>
      </c>
      <c r="AX426" s="314">
        <f t="shared" si="277"/>
        <v>0</v>
      </c>
    </row>
    <row r="427" spans="2:50" s="704" customFormat="1">
      <c r="B427" s="705" t="s">
        <v>1471</v>
      </c>
      <c r="C427" s="706" t="str">
        <f>_xlfn.TEXTAFTER($B427,$C$412)&amp;" - old"</f>
        <v>Net cash flow - old</v>
      </c>
      <c r="D427" s="707" t="str" cm="1">
        <f t="array" ref="D427">_xlfn.XLOOKUP($B427,$B$96:$B$176,_xlfn.XLOOKUP(D$181,$D$5:$AX$5,$D$96:$AX$176))</f>
        <v>A$m</v>
      </c>
      <c r="E427" s="707"/>
      <c r="F427" s="707"/>
      <c r="G427" s="708"/>
      <c r="H427" s="708"/>
      <c r="I427" s="708" cm="1">
        <f t="array" ref="I427">_xlfn.XLOOKUP($B427,$B$96:$B$176,_xlfn.XLOOKUP(I$181,$D$5:$AX$5,$D$96:$AX$176))</f>
        <v>57</v>
      </c>
      <c r="J427" s="708" cm="1">
        <f t="array" ref="J427">_xlfn.XLOOKUP($B427,$B$96:$B$176,_xlfn.XLOOKUP(J$181,$D$5:$AX$5,$D$96:$AX$176))</f>
        <v>34.300000000000011</v>
      </c>
      <c r="K427" s="708" cm="1">
        <f t="array" ref="K427">_xlfn.XLOOKUP($B427,$B$96:$B$176,_xlfn.XLOOKUP(K$181,$D$5:$AX$5,$D$96:$AX$176))</f>
        <v>22.700000000000003</v>
      </c>
      <c r="L427" s="708" cm="1">
        <f t="array" ref="L427">_xlfn.XLOOKUP($B427,$B$96:$B$176,_xlfn.XLOOKUP(L$181,$D$5:$AX$5,$D$96:$AX$176))</f>
        <v>0.29999999999996874</v>
      </c>
      <c r="M427" s="708" cm="1">
        <f t="array" ref="M427">_xlfn.XLOOKUP($B427,$B$96:$B$176,_xlfn.XLOOKUP(M$181,$D$5:$AX$5,$D$96:$AX$176))</f>
        <v>-53.399999999999977</v>
      </c>
      <c r="N427" s="708" cm="1">
        <f t="array" ref="N427">_xlfn.XLOOKUP($B427,$B$96:$B$176,_xlfn.XLOOKUP(N$181,$D$5:$AX$5,$D$96:$AX$176))</f>
        <v>-23.800000000000011</v>
      </c>
      <c r="O427" s="708" cm="1">
        <f t="array" ref="O427">_xlfn.XLOOKUP($B427,$B$96:$B$176,_xlfn.XLOOKUP(O$181,$D$5:$AX$5,$D$96:$AX$176))</f>
        <v>-18.200000000000003</v>
      </c>
      <c r="P427" s="708" cm="1">
        <f t="array" ref="P427">_xlfn.XLOOKUP($B427,$B$96:$B$176,_xlfn.XLOOKUP(P$181,$D$5:$AX$5,$D$96:$AX$176))</f>
        <v>6.9102638377586629</v>
      </c>
      <c r="Q427" s="708" cm="1">
        <f t="array" ref="Q427">_xlfn.XLOOKUP($B427,$B$96:$B$176,_xlfn.XLOOKUP(Q$181,$D$5:$AX$5,$D$96:$AX$176))</f>
        <v>52.690323484160928</v>
      </c>
      <c r="R427" s="708" cm="1">
        <f t="array" ref="R427">_xlfn.XLOOKUP($B427,$B$96:$B$176,_xlfn.XLOOKUP(R$181,$D$5:$AX$5,$D$96:$AX$176))</f>
        <v>11.817309790513164</v>
      </c>
      <c r="S427" s="708" cm="1">
        <f t="array" ref="S427">_xlfn.XLOOKUP($B427,$B$96:$B$176,_xlfn.XLOOKUP(S$181,$D$5:$AX$5,$D$96:$AX$176))</f>
        <v>92.955920129748549</v>
      </c>
      <c r="T427" s="708" cm="1">
        <f t="array" ref="T427">_xlfn.XLOOKUP($B427,$B$96:$B$176,_xlfn.XLOOKUP(T$181,$D$5:$AX$5,$D$96:$AX$176))</f>
        <v>41.372629816258112</v>
      </c>
      <c r="U427" s="708" cm="1">
        <f t="array" ref="U427">_xlfn.XLOOKUP($B427,$B$96:$B$176,_xlfn.XLOOKUP(U$181,$D$5:$AX$5,$D$96:$AX$176))</f>
        <v>104.51770471726098</v>
      </c>
      <c r="V427" s="708" cm="1">
        <f t="array" ref="V427">_xlfn.XLOOKUP($B427,$B$96:$B$176,_xlfn.XLOOKUP(V$181,$D$5:$AX$5,$D$96:$AX$176))</f>
        <v>50.503653297549718</v>
      </c>
      <c r="W427" s="708" cm="1">
        <f t="array" ref="W427">_xlfn.XLOOKUP($B427,$B$96:$B$176,_xlfn.XLOOKUP(W$181,$D$5:$AX$5,$D$96:$AX$176))</f>
        <v>110.36667780792698</v>
      </c>
      <c r="X427" s="708" cm="1">
        <f t="array" ref="X427">_xlfn.XLOOKUP($B427,$B$96:$B$176,_xlfn.XLOOKUP(X$181,$D$5:$AX$5,$D$96:$AX$176))</f>
        <v>56.77978457665418</v>
      </c>
      <c r="Y427" s="708" cm="1">
        <f t="array" ref="Y427">_xlfn.XLOOKUP($B427,$B$96:$B$176,_xlfn.XLOOKUP(Y$181,$D$5:$AX$5,$D$96:$AX$176))</f>
        <v>111.71140625330892</v>
      </c>
      <c r="Z427" s="708" cm="1">
        <f t="array" ref="Z427">_xlfn.XLOOKUP($B427,$B$96:$B$176,_xlfn.XLOOKUP(Z$181,$D$5:$AX$5,$D$96:$AX$176))</f>
        <v>57.300909105123196</v>
      </c>
      <c r="AA427" s="708" cm="1">
        <f t="array" ref="AA427">_xlfn.XLOOKUP($B427,$B$96:$B$176,_xlfn.XLOOKUP(AA$181,$D$5:$AX$5,$D$96:$AX$176))</f>
        <v>163.7443395514635</v>
      </c>
      <c r="AB427" s="708" cm="1">
        <f t="array" ref="AB427">_xlfn.XLOOKUP($B427,$B$96:$B$176,_xlfn.XLOOKUP(AB$181,$D$5:$AX$5,$D$96:$AX$176))</f>
        <v>97.681160919172314</v>
      </c>
      <c r="AC427" s="708" cm="1">
        <f t="array" ref="AC427">_xlfn.XLOOKUP($B427,$B$96:$B$176,_xlfn.XLOOKUP(AC$181,$D$5:$AX$5,$D$96:$AX$176))</f>
        <v>166.05228822790644</v>
      </c>
      <c r="AD427" s="708" cm="1">
        <f t="array" ref="AD427">_xlfn.XLOOKUP($B427,$B$96:$B$176,_xlfn.XLOOKUP(AD$181,$D$5:$AX$5,$D$96:$AX$176))</f>
        <v>103.10068915831933</v>
      </c>
      <c r="AE427" s="708" cm="1">
        <f t="array" ref="AE427">_xlfn.XLOOKUP($B427,$B$96:$B$176,_xlfn.XLOOKUP(AE$181,$D$5:$AX$5,$D$96:$AX$176))</f>
        <v>166.92978395846274</v>
      </c>
      <c r="AF427" s="708" cm="1">
        <f t="array" ref="AF427">_xlfn.XLOOKUP($B427,$B$96:$B$176,_xlfn.XLOOKUP(AF$181,$D$5:$AX$5,$D$96:$AX$176))</f>
        <v>105.94752451750563</v>
      </c>
      <c r="AG427" s="709"/>
      <c r="AH427" s="706" t="str">
        <f t="shared" si="265"/>
        <v>Net cash flow - old</v>
      </c>
      <c r="AI427" s="707" t="str" cm="1">
        <f t="array" ref="AI427">_xlfn.XLOOKUP($B427,$B$96:$B$176,_xlfn.XLOOKUP(AI$181,$D$5:$AX$5,$D$96:$AX$176))</f>
        <v>A$m</v>
      </c>
      <c r="AJ427" s="707"/>
      <c r="AK427" s="707"/>
      <c r="AL427" s="708"/>
      <c r="AM427" s="708" cm="1">
        <f t="array" ref="AM427">_xlfn.XLOOKUP($B427,$B$96:$B$176,_xlfn.XLOOKUP(AM$181,$D$5:$AX$5,$D$96:$AX$176))</f>
        <v>91.300000000000011</v>
      </c>
      <c r="AN427" s="708" cm="1">
        <f t="array" ref="AN427">_xlfn.XLOOKUP($B427,$B$96:$B$176,_xlfn.XLOOKUP(AN$181,$D$5:$AX$5,$D$96:$AX$176))</f>
        <v>22.999999999999972</v>
      </c>
      <c r="AO427" s="708" cm="1">
        <f t="array" ref="AO427">_xlfn.XLOOKUP($B427,$B$96:$B$176,_xlfn.XLOOKUP(AO$181,$D$5:$AX$5,$D$96:$AX$176))</f>
        <v>-77.199999999999989</v>
      </c>
      <c r="AP427" s="708" cm="1">
        <f t="array" ref="AP427">_xlfn.XLOOKUP($B427,$B$96:$B$176,_xlfn.XLOOKUP(AP$181,$D$5:$AX$5,$D$96:$AX$176))</f>
        <v>-11.28973616224134</v>
      </c>
      <c r="AQ427" s="708" cm="1">
        <f t="array" ref="AQ427">_xlfn.XLOOKUP($B427,$B$96:$B$176,_xlfn.XLOOKUP(AQ$181,$D$5:$AX$5,$D$96:$AX$176))</f>
        <v>64.507633274674092</v>
      </c>
      <c r="AR427" s="708" cm="1">
        <f t="array" ref="AR427">_xlfn.XLOOKUP($B427,$B$96:$B$176,_xlfn.XLOOKUP(AR$181,$D$5:$AX$5,$D$96:$AX$176))</f>
        <v>134.32854994600666</v>
      </c>
      <c r="AS427" s="708" cm="1">
        <f t="array" ref="AS427">_xlfn.XLOOKUP($B427,$B$96:$B$176,_xlfn.XLOOKUP(AS$181,$D$5:$AX$5,$D$96:$AX$176))</f>
        <v>155.02135801481069</v>
      </c>
      <c r="AT427" s="708" cm="1">
        <f t="array" ref="AT427">_xlfn.XLOOKUP($B427,$B$96:$B$176,_xlfn.XLOOKUP(AT$181,$D$5:$AX$5,$D$96:$AX$176))</f>
        <v>167.14646238458116</v>
      </c>
      <c r="AU427" s="708" cm="1">
        <f t="array" ref="AU427">_xlfn.XLOOKUP($B427,$B$96:$B$176,_xlfn.XLOOKUP(AU$181,$D$5:$AX$5,$D$96:$AX$176))</f>
        <v>169.01231535843212</v>
      </c>
      <c r="AV427" s="708" cm="1">
        <f t="array" ref="AV427">_xlfn.XLOOKUP($B427,$B$96:$B$176,_xlfn.XLOOKUP(AV$181,$D$5:$AX$5,$D$96:$AX$176))</f>
        <v>261.42550047063582</v>
      </c>
      <c r="AW427" s="708" cm="1">
        <f t="array" ref="AW427">_xlfn.XLOOKUP($B427,$B$96:$B$176,_xlfn.XLOOKUP(AW$181,$D$5:$AX$5,$D$96:$AX$176))</f>
        <v>269.15297738622576</v>
      </c>
      <c r="AX427" s="708" cm="1">
        <f t="array" ref="AX427">_xlfn.XLOOKUP($B427,$B$96:$B$176,_xlfn.XLOOKUP(AX$181,$D$5:$AX$5,$D$96:$AX$176))</f>
        <v>272.87730847596833</v>
      </c>
    </row>
    <row r="428" spans="2:50">
      <c r="B428" s="305" t="s">
        <v>1471</v>
      </c>
      <c r="C428" s="318" t="str">
        <f>_xlfn.TEXTAFTER($B428,$C$412)&amp;" - New"</f>
        <v>Net cash flow - New</v>
      </c>
      <c r="D428" s="311" t="str" cm="1">
        <f t="array" ref="D428">_xlfn.XLOOKUP($B428,$B$11:$B$91,_xlfn.XLOOKUP(D$181,$D$5:$AX$5,$D$11:$AX$91))</f>
        <v>A$m</v>
      </c>
      <c r="E428" s="311"/>
      <c r="F428" s="311"/>
      <c r="G428" s="312"/>
      <c r="H428" s="312"/>
      <c r="I428" s="312" cm="1">
        <f t="array" ref="I428">_xlfn.XLOOKUP($B428,$B$11:$B$91,_xlfn.XLOOKUP(I$181,$D$5:$AX$5,$D$11:$AX$91))</f>
        <v>57</v>
      </c>
      <c r="J428" s="312" cm="1">
        <f t="array" ref="J428">_xlfn.XLOOKUP($B428,$B$11:$B$91,_xlfn.XLOOKUP(J$181,$D$5:$AX$5,$D$11:$AX$91))</f>
        <v>34.300000000000011</v>
      </c>
      <c r="K428" s="312" cm="1">
        <f t="array" ref="K428">_xlfn.XLOOKUP($B428,$B$11:$B$91,_xlfn.XLOOKUP(K$181,$D$5:$AX$5,$D$11:$AX$91))</f>
        <v>22.700000000000003</v>
      </c>
      <c r="L428" s="312" cm="1">
        <f t="array" ref="L428">_xlfn.XLOOKUP($B428,$B$11:$B$91,_xlfn.XLOOKUP(L$181,$D$5:$AX$5,$D$11:$AX$91))</f>
        <v>0.29999999999996874</v>
      </c>
      <c r="M428" s="312" cm="1">
        <f t="array" ref="M428">_xlfn.XLOOKUP($B428,$B$11:$B$91,_xlfn.XLOOKUP(M$181,$D$5:$AX$5,$D$11:$AX$91))</f>
        <v>-53.399999999999977</v>
      </c>
      <c r="N428" s="312" cm="1">
        <f t="array" ref="N428">_xlfn.XLOOKUP($B428,$B$11:$B$91,_xlfn.XLOOKUP(N$181,$D$5:$AX$5,$D$11:$AX$91))</f>
        <v>-23.800000000000011</v>
      </c>
      <c r="O428" s="312" cm="1">
        <f t="array" ref="O428">_xlfn.XLOOKUP($B428,$B$11:$B$91,_xlfn.XLOOKUP(O$181,$D$5:$AX$5,$D$11:$AX$91))</f>
        <v>-18.200000000000003</v>
      </c>
      <c r="P428" s="312" cm="1">
        <f t="array" ref="P428">_xlfn.XLOOKUP($B428,$B$11:$B$91,_xlfn.XLOOKUP(P$181,$D$5:$AX$5,$D$11:$AX$91))</f>
        <v>87.500000000000014</v>
      </c>
      <c r="Q428" s="312" cm="1">
        <f t="array" ref="Q428">_xlfn.XLOOKUP($B428,$B$11:$B$91,_xlfn.XLOOKUP(Q$181,$D$5:$AX$5,$D$11:$AX$91))</f>
        <v>71.551365146335456</v>
      </c>
      <c r="R428" s="312" cm="1">
        <f t="array" ref="R428">_xlfn.XLOOKUP($B428,$B$11:$B$91,_xlfn.XLOOKUP(R$181,$D$5:$AX$5,$D$11:$AX$91))</f>
        <v>-108.21193038147709</v>
      </c>
      <c r="S428" s="312" cm="1">
        <f t="array" ref="S428">_xlfn.XLOOKUP($B428,$B$11:$B$91,_xlfn.XLOOKUP(S$181,$D$5:$AX$5,$D$11:$AX$91))</f>
        <v>73.658095388272585</v>
      </c>
      <c r="T428" s="312" cm="1">
        <f t="array" ref="T428">_xlfn.XLOOKUP($B428,$B$11:$B$91,_xlfn.XLOOKUP(T$181,$D$5:$AX$5,$D$11:$AX$91))</f>
        <v>9.9260203860243621</v>
      </c>
      <c r="U428" s="312" cm="1">
        <f t="array" ref="U428">_xlfn.XLOOKUP($B428,$B$11:$B$91,_xlfn.XLOOKUP(U$181,$D$5:$AX$5,$D$11:$AX$91))</f>
        <v>77.856480754924604</v>
      </c>
      <c r="V428" s="312" cm="1">
        <f t="array" ref="V428">_xlfn.XLOOKUP($B428,$B$11:$B$91,_xlfn.XLOOKUP(V$181,$D$5:$AX$5,$D$11:$AX$91))</f>
        <v>27.9922668942923</v>
      </c>
      <c r="W428" s="312" cm="1">
        <f t="array" ref="W428">_xlfn.XLOOKUP($B428,$B$11:$B$91,_xlfn.XLOOKUP(W$181,$D$5:$AX$5,$D$11:$AX$91))</f>
        <v>93.579846166659962</v>
      </c>
      <c r="X428" s="312" cm="1">
        <f t="array" ref="X428">_xlfn.XLOOKUP($B428,$B$11:$B$91,_xlfn.XLOOKUP(X$181,$D$5:$AX$5,$D$11:$AX$91))</f>
        <v>35.423521719645962</v>
      </c>
      <c r="Y428" s="312" cm="1">
        <f t="array" ref="Y428">_xlfn.XLOOKUP($B428,$B$11:$B$91,_xlfn.XLOOKUP(Y$181,$D$5:$AX$5,$D$11:$AX$91))</f>
        <v>88.305131365472718</v>
      </c>
      <c r="Z428" s="312" cm="1">
        <f t="array" ref="Z428">_xlfn.XLOOKUP($B428,$B$11:$B$91,_xlfn.XLOOKUP(Z$181,$D$5:$AX$5,$D$11:$AX$91))</f>
        <v>34.18779393747397</v>
      </c>
      <c r="AA428" s="312" cm="1">
        <f t="array" ref="AA428">_xlfn.XLOOKUP($B428,$B$11:$B$91,_xlfn.XLOOKUP(AA$181,$D$5:$AX$5,$D$11:$AX$91))</f>
        <v>134.69713190088584</v>
      </c>
      <c r="AB428" s="312" cm="1">
        <f t="array" ref="AB428">_xlfn.XLOOKUP($B428,$B$11:$B$91,_xlfn.XLOOKUP(AB$181,$D$5:$AX$5,$D$11:$AX$91))</f>
        <v>68.697255181319321</v>
      </c>
      <c r="AC428" s="312" cm="1">
        <f t="array" ref="AC428">_xlfn.XLOOKUP($B428,$B$11:$B$91,_xlfn.XLOOKUP(AC$181,$D$5:$AX$5,$D$11:$AX$91))</f>
        <v>140.1996088418135</v>
      </c>
      <c r="AD428" s="312" cm="1">
        <f t="array" ref="AD428">_xlfn.XLOOKUP($B428,$B$11:$B$91,_xlfn.XLOOKUP(AD$181,$D$5:$AX$5,$D$11:$AX$91))</f>
        <v>73.990231543910284</v>
      </c>
      <c r="AE428" s="312" cm="1">
        <f t="array" ref="AE428">_xlfn.XLOOKUP($B428,$B$11:$B$91,_xlfn.XLOOKUP(AE$181,$D$5:$AX$5,$D$11:$AX$91))</f>
        <v>152.8180608477108</v>
      </c>
      <c r="AF428" s="312" cm="1">
        <f t="array" ref="AF428">_xlfn.XLOOKUP($B428,$B$11:$B$91,_xlfn.XLOOKUP(AF$181,$D$5:$AX$5,$D$11:$AX$91))</f>
        <v>90.127293552381289</v>
      </c>
      <c r="AG428" s="312"/>
      <c r="AH428" s="310" t="str">
        <f t="shared" si="265"/>
        <v>Net cash flow - New</v>
      </c>
      <c r="AI428" s="311" t="str" cm="1">
        <f t="array" ref="AI428">_xlfn.XLOOKUP($B428,$B$11:$B$91,_xlfn.XLOOKUP(AI$181,$D$5:$AX$5,$D$11:$AX$91))</f>
        <v>A$m</v>
      </c>
      <c r="AJ428" s="311"/>
      <c r="AK428" s="311"/>
      <c r="AL428" s="312"/>
      <c r="AM428" s="312" cm="1">
        <f t="array" ref="AM428">_xlfn.XLOOKUP($B428,$B$11:$B$91,_xlfn.XLOOKUP(AM$181,$D$5:$AX$5,$D$11:$AX$91))</f>
        <v>91.300000000000011</v>
      </c>
      <c r="AN428" s="312" cm="1">
        <f t="array" ref="AN428">_xlfn.XLOOKUP($B428,$B$11:$B$91,_xlfn.XLOOKUP(AN$181,$D$5:$AX$5,$D$11:$AX$91))</f>
        <v>22.999999999999972</v>
      </c>
      <c r="AO428" s="312" cm="1">
        <f t="array" ref="AO428">_xlfn.XLOOKUP($B428,$B$11:$B$91,_xlfn.XLOOKUP(AO$181,$D$5:$AX$5,$D$11:$AX$91))</f>
        <v>-77.199999999999989</v>
      </c>
      <c r="AP428" s="312" cm="1">
        <f t="array" ref="AP428">_xlfn.XLOOKUP($B428,$B$11:$B$91,_xlfn.XLOOKUP(AP$181,$D$5:$AX$5,$D$11:$AX$91))</f>
        <v>69.300000000000011</v>
      </c>
      <c r="AQ428" s="312" cm="1">
        <f t="array" ref="AQ428">_xlfn.XLOOKUP($B428,$B$11:$B$91,_xlfn.XLOOKUP(AQ$181,$D$5:$AX$5,$D$11:$AX$91))</f>
        <v>-36.660565235141632</v>
      </c>
      <c r="AR428" s="312" cm="1">
        <f t="array" ref="AR428">_xlfn.XLOOKUP($B428,$B$11:$B$91,_xlfn.XLOOKUP(AR$181,$D$5:$AX$5,$D$11:$AX$91))</f>
        <v>83.584115774296947</v>
      </c>
      <c r="AS428" s="312" cm="1">
        <f t="array" ref="AS428">_xlfn.XLOOKUP($B428,$B$11:$B$91,_xlfn.XLOOKUP(AS$181,$D$5:$AX$5,$D$11:$AX$91))</f>
        <v>105.8487476492169</v>
      </c>
      <c r="AT428" s="312" cm="1">
        <f t="array" ref="AT428">_xlfn.XLOOKUP($B428,$B$11:$B$91,_xlfn.XLOOKUP(AT$181,$D$5:$AX$5,$D$11:$AX$91))</f>
        <v>129.00336788630591</v>
      </c>
      <c r="AU428" s="312" cm="1">
        <f t="array" ref="AU428">_xlfn.XLOOKUP($B428,$B$11:$B$91,_xlfn.XLOOKUP(AU$181,$D$5:$AX$5,$D$11:$AX$91))</f>
        <v>122.49292530294669</v>
      </c>
      <c r="AV428" s="312" cm="1">
        <f t="array" ref="AV428">_xlfn.XLOOKUP($B428,$B$11:$B$91,_xlfn.XLOOKUP(AV$181,$D$5:$AX$5,$D$11:$AX$91))</f>
        <v>203.39438708220516</v>
      </c>
      <c r="AW428" s="312" cm="1">
        <f t="array" ref="AW428">_xlfn.XLOOKUP($B428,$B$11:$B$91,_xlfn.XLOOKUP(AW$181,$D$5:$AX$5,$D$11:$AX$91))</f>
        <v>214.18984038572378</v>
      </c>
      <c r="AX428" s="312" cm="1">
        <f t="array" ref="AX428">_xlfn.XLOOKUP($B428,$B$11:$B$91,_xlfn.XLOOKUP(AX$181,$D$5:$AX$5,$D$11:$AX$91))</f>
        <v>242.94535440009207</v>
      </c>
    </row>
    <row r="429" spans="2:50" hidden="1" outlineLevel="1">
      <c r="C429" s="313" t="s">
        <v>1121</v>
      </c>
      <c r="D429" s="307" t="s">
        <v>842</v>
      </c>
      <c r="E429" s="307"/>
      <c r="F429" s="307"/>
      <c r="G429" s="314"/>
      <c r="H429" s="314"/>
      <c r="I429" s="314" t="s">
        <v>967</v>
      </c>
      <c r="J429" s="314" t="s">
        <v>967</v>
      </c>
      <c r="K429" s="314">
        <f t="shared" ref="K429:AF429" si="278">K428/I428-1</f>
        <v>-0.60175438596491215</v>
      </c>
      <c r="L429" s="314">
        <f t="shared" si="278"/>
        <v>-0.99125364431486973</v>
      </c>
      <c r="M429" s="314">
        <f t="shared" si="278"/>
        <v>-3.3524229074889855</v>
      </c>
      <c r="N429" s="314">
        <f t="shared" si="278"/>
        <v>-80.333333333341642</v>
      </c>
      <c r="O429" s="314">
        <f t="shared" si="278"/>
        <v>-0.65917602996254665</v>
      </c>
      <c r="P429" s="314">
        <f t="shared" si="278"/>
        <v>-4.6764705882352935</v>
      </c>
      <c r="Q429" s="314">
        <f t="shared" si="278"/>
        <v>-4.9313936893590906</v>
      </c>
      <c r="R429" s="314">
        <f t="shared" si="278"/>
        <v>-2.2367077757883091</v>
      </c>
      <c r="S429" s="314">
        <f t="shared" si="278"/>
        <v>2.9443606528379851E-2</v>
      </c>
      <c r="T429" s="314">
        <f t="shared" si="278"/>
        <v>-1.0917275974195486</v>
      </c>
      <c r="U429" s="314">
        <f t="shared" si="278"/>
        <v>5.6998288436880484E-2</v>
      </c>
      <c r="V429" s="314">
        <f t="shared" si="278"/>
        <v>1.8200896034532481</v>
      </c>
      <c r="W429" s="314">
        <f t="shared" si="278"/>
        <v>0.20195319977574022</v>
      </c>
      <c r="X429" s="314">
        <f t="shared" si="278"/>
        <v>0.26547527763351364</v>
      </c>
      <c r="Y429" s="314">
        <f t="shared" si="278"/>
        <v>-5.6365927250973447E-2</v>
      </c>
      <c r="Z429" s="314">
        <f t="shared" si="278"/>
        <v>-3.4884385351404923E-2</v>
      </c>
      <c r="AA429" s="314">
        <f t="shared" si="278"/>
        <v>0.5253601893576072</v>
      </c>
      <c r="AB429" s="314">
        <f t="shared" si="278"/>
        <v>1.0094088348303396</v>
      </c>
      <c r="AC429" s="314">
        <f t="shared" si="278"/>
        <v>4.0850735745260991E-2</v>
      </c>
      <c r="AD429" s="314">
        <f t="shared" si="278"/>
        <v>7.7047858005690362E-2</v>
      </c>
      <c r="AE429" s="314">
        <f t="shared" si="278"/>
        <v>9.0003475117641951E-2</v>
      </c>
      <c r="AF429" s="314">
        <f t="shared" si="278"/>
        <v>0.21809719569392483</v>
      </c>
      <c r="AG429" s="315"/>
      <c r="AH429" s="313" t="str">
        <f t="shared" si="265"/>
        <v>- Growth</v>
      </c>
      <c r="AI429" s="307" t="str">
        <f>D429</f>
        <v>%</v>
      </c>
      <c r="AJ429" s="307"/>
      <c r="AK429" s="307"/>
      <c r="AL429" s="314"/>
      <c r="AM429" s="314" t="s">
        <v>967</v>
      </c>
      <c r="AN429" s="314">
        <f t="shared" ref="AN429:AX429" si="279">AN428/AM428-1</f>
        <v>-0.748083242059146</v>
      </c>
      <c r="AO429" s="314">
        <f t="shared" si="279"/>
        <v>-4.3565217391304385</v>
      </c>
      <c r="AP429" s="314">
        <f t="shared" si="279"/>
        <v>-1.8976683937823837</v>
      </c>
      <c r="AQ429" s="314">
        <f t="shared" si="279"/>
        <v>-1.5290124853555791</v>
      </c>
      <c r="AR429" s="314">
        <f t="shared" si="279"/>
        <v>-3.279946182994907</v>
      </c>
      <c r="AS429" s="314">
        <f t="shared" si="279"/>
        <v>0.26637395955759557</v>
      </c>
      <c r="AT429" s="314">
        <f t="shared" si="279"/>
        <v>0.21875195268085257</v>
      </c>
      <c r="AU429" s="314">
        <f t="shared" si="279"/>
        <v>-5.0467229577270012E-2</v>
      </c>
      <c r="AV429" s="314">
        <f t="shared" si="279"/>
        <v>0.66045823935688386</v>
      </c>
      <c r="AW429" s="314">
        <f t="shared" si="279"/>
        <v>5.307645632893232E-2</v>
      </c>
      <c r="AX429" s="314">
        <f t="shared" si="279"/>
        <v>0.1342524648348582</v>
      </c>
    </row>
    <row r="430" spans="2:50" collapsed="1">
      <c r="C430" s="313" t="s">
        <v>1122</v>
      </c>
      <c r="D430" s="307" t="s">
        <v>842</v>
      </c>
      <c r="E430" s="307"/>
      <c r="F430" s="307"/>
      <c r="G430" s="314"/>
      <c r="H430" s="314"/>
      <c r="I430" s="314">
        <f t="shared" ref="I430:AF430" si="280" xml:space="preserve"> IFERROR(ROUND( I428 / I427,3) - 1, 0)</f>
        <v>0</v>
      </c>
      <c r="J430" s="314">
        <f t="shared" si="280"/>
        <v>0</v>
      </c>
      <c r="K430" s="314">
        <f t="shared" si="280"/>
        <v>0</v>
      </c>
      <c r="L430" s="314">
        <f t="shared" si="280"/>
        <v>0</v>
      </c>
      <c r="M430" s="314">
        <f t="shared" si="280"/>
        <v>0</v>
      </c>
      <c r="N430" s="314">
        <f t="shared" si="280"/>
        <v>0</v>
      </c>
      <c r="O430" s="314">
        <f t="shared" si="280"/>
        <v>0</v>
      </c>
      <c r="P430" s="314">
        <f t="shared" si="280"/>
        <v>11.662000000000001</v>
      </c>
      <c r="Q430" s="314">
        <f t="shared" si="280"/>
        <v>0.3580000000000001</v>
      </c>
      <c r="R430" s="314">
        <f t="shared" si="280"/>
        <v>-10.157</v>
      </c>
      <c r="S430" s="314">
        <f t="shared" si="280"/>
        <v>-0.20799999999999996</v>
      </c>
      <c r="T430" s="314">
        <f t="shared" si="280"/>
        <v>-0.76</v>
      </c>
      <c r="U430" s="314">
        <f t="shared" si="280"/>
        <v>-0.255</v>
      </c>
      <c r="V430" s="314">
        <f t="shared" si="280"/>
        <v>-0.44599999999999995</v>
      </c>
      <c r="W430" s="314">
        <f t="shared" si="280"/>
        <v>-0.15200000000000002</v>
      </c>
      <c r="X430" s="314">
        <f t="shared" si="280"/>
        <v>-0.376</v>
      </c>
      <c r="Y430" s="314">
        <f t="shared" si="280"/>
        <v>-0.20999999999999996</v>
      </c>
      <c r="Z430" s="314">
        <f t="shared" si="280"/>
        <v>-0.40300000000000002</v>
      </c>
      <c r="AA430" s="314">
        <f t="shared" si="280"/>
        <v>-0.17700000000000005</v>
      </c>
      <c r="AB430" s="314">
        <f t="shared" si="280"/>
        <v>-0.29700000000000004</v>
      </c>
      <c r="AC430" s="314">
        <f t="shared" si="280"/>
        <v>-0.15600000000000003</v>
      </c>
      <c r="AD430" s="314">
        <f t="shared" si="280"/>
        <v>-0.28200000000000003</v>
      </c>
      <c r="AE430" s="314">
        <f t="shared" si="280"/>
        <v>-8.4999999999999964E-2</v>
      </c>
      <c r="AF430" s="314">
        <f t="shared" si="280"/>
        <v>-0.14900000000000002</v>
      </c>
      <c r="AG430" s="314"/>
      <c r="AH430" s="313" t="str">
        <f t="shared" si="265"/>
        <v>- Revision</v>
      </c>
      <c r="AI430" s="307" t="str">
        <f>D430</f>
        <v>%</v>
      </c>
      <c r="AJ430" s="307"/>
      <c r="AK430" s="307"/>
      <c r="AL430" s="314"/>
      <c r="AM430" s="314">
        <f t="shared" ref="AM430:AX430" si="281" xml:space="preserve"> IFERROR(ROUND( AM428 / AM427,3) - 1, 0)</f>
        <v>0</v>
      </c>
      <c r="AN430" s="314">
        <f t="shared" si="281"/>
        <v>0</v>
      </c>
      <c r="AO430" s="314">
        <f t="shared" si="281"/>
        <v>0</v>
      </c>
      <c r="AP430" s="314">
        <f t="shared" si="281"/>
        <v>-7.1379999999999999</v>
      </c>
      <c r="AQ430" s="314">
        <f t="shared" si="281"/>
        <v>-1.5680000000000001</v>
      </c>
      <c r="AR430" s="314">
        <f t="shared" si="281"/>
        <v>-0.378</v>
      </c>
      <c r="AS430" s="314">
        <f t="shared" si="281"/>
        <v>-0.31699999999999995</v>
      </c>
      <c r="AT430" s="314">
        <f t="shared" si="281"/>
        <v>-0.22799999999999998</v>
      </c>
      <c r="AU430" s="314">
        <f t="shared" si="281"/>
        <v>-0.27500000000000002</v>
      </c>
      <c r="AV430" s="314">
        <f t="shared" si="281"/>
        <v>-0.22199999999999998</v>
      </c>
      <c r="AW430" s="314">
        <f t="shared" si="281"/>
        <v>-0.20399999999999996</v>
      </c>
      <c r="AX430" s="314">
        <f t="shared" si="281"/>
        <v>-0.10999999999999999</v>
      </c>
    </row>
    <row r="431" spans="2:50">
      <c r="B431" s="305" t="s">
        <v>1472</v>
      </c>
      <c r="C431" s="706" t="str">
        <f>_xlfn.TEXTAFTER($B431,$C$412)&amp;" - old"</f>
        <v>Total Capex - old</v>
      </c>
      <c r="D431" s="707" t="str" cm="1">
        <f t="array" ref="D431">_xlfn.XLOOKUP($B431,$B$96:$B$176,_xlfn.XLOOKUP(D$181,$D$5:$AX$5,$D$96:$AX$176))</f>
        <v>A$m</v>
      </c>
      <c r="E431" s="307"/>
      <c r="F431" s="307"/>
      <c r="G431" s="708"/>
      <c r="H431" s="708"/>
      <c r="I431" s="708" cm="1">
        <f t="array" ref="I431">_xlfn.XLOOKUP($B431,$B$96:$B$176,_xlfn.XLOOKUP(I$181,$D$5:$AX$5,$D$96:$AX$176))</f>
        <v>69.900000000000006</v>
      </c>
      <c r="J431" s="708" cm="1">
        <f t="array" ref="J431">_xlfn.XLOOKUP($B431,$B$96:$B$176,_xlfn.XLOOKUP(J$181,$D$5:$AX$5,$D$96:$AX$176))</f>
        <v>85.5</v>
      </c>
      <c r="K431" s="708" cm="1">
        <f t="array" ref="K431">_xlfn.XLOOKUP($B431,$B$96:$B$176,_xlfn.XLOOKUP(K$181,$D$5:$AX$5,$D$96:$AX$176))</f>
        <v>84.1</v>
      </c>
      <c r="L431" s="708" cm="1">
        <f t="array" ref="L431">_xlfn.XLOOKUP($B431,$B$96:$B$176,_xlfn.XLOOKUP(L$181,$D$5:$AX$5,$D$96:$AX$176))</f>
        <v>84.1</v>
      </c>
      <c r="M431" s="708" cm="1">
        <f t="array" ref="M431">_xlfn.XLOOKUP($B431,$B$96:$B$176,_xlfn.XLOOKUP(M$181,$D$5:$AX$5,$D$96:$AX$176))</f>
        <v>57</v>
      </c>
      <c r="N431" s="708" cm="1">
        <f t="array" ref="N431">_xlfn.XLOOKUP($B431,$B$96:$B$176,_xlfn.XLOOKUP(N$181,$D$5:$AX$5,$D$96:$AX$176))</f>
        <v>57.800000000000004</v>
      </c>
      <c r="O431" s="708" cm="1">
        <f t="array" ref="O431">_xlfn.XLOOKUP($B431,$B$96:$B$176,_xlfn.XLOOKUP(O$181,$D$5:$AX$5,$D$96:$AX$176))</f>
        <v>51</v>
      </c>
      <c r="P431" s="708" cm="1">
        <f t="array" ref="P431">_xlfn.XLOOKUP($B431,$B$96:$B$176,_xlfn.XLOOKUP(P$181,$D$5:$AX$5,$D$96:$AX$176))</f>
        <v>78.772152977655992</v>
      </c>
      <c r="Q431" s="708" cm="1">
        <f t="array" ref="Q431">_xlfn.XLOOKUP($B431,$B$96:$B$176,_xlfn.XLOOKUP(Q$181,$D$5:$AX$5,$D$96:$AX$176))</f>
        <v>80.978229358229996</v>
      </c>
      <c r="R431" s="708" cm="1">
        <f t="array" ref="R431">_xlfn.XLOOKUP($B431,$B$96:$B$176,_xlfn.XLOOKUP(R$181,$D$5:$AX$5,$D$96:$AX$176))</f>
        <v>79.388986607947999</v>
      </c>
      <c r="S431" s="708" cm="1">
        <f t="array" ref="S431">_xlfn.XLOOKUP($B431,$B$96:$B$176,_xlfn.XLOOKUP(S$181,$D$5:$AX$5,$D$96:$AX$176))</f>
        <v>64.684366664917505</v>
      </c>
      <c r="T431" s="708" cm="1">
        <f t="array" ref="T431">_xlfn.XLOOKUP($B431,$B$96:$B$176,_xlfn.XLOOKUP(T$181,$D$5:$AX$5,$D$96:$AX$176))</f>
        <v>63.260920418958307</v>
      </c>
      <c r="U431" s="708" cm="1">
        <f t="array" ref="U431">_xlfn.XLOOKUP($B431,$B$96:$B$176,_xlfn.XLOOKUP(U$181,$D$5:$AX$5,$D$96:$AX$176))</f>
        <v>65.338272140231808</v>
      </c>
      <c r="V431" s="708" cm="1">
        <f t="array" ref="V431">_xlfn.XLOOKUP($B431,$B$96:$B$176,_xlfn.XLOOKUP(V$181,$D$5:$AX$5,$D$96:$AX$176))</f>
        <v>63.885669673102939</v>
      </c>
      <c r="W431" s="708" cm="1">
        <f t="array" ref="W431">_xlfn.XLOOKUP($B431,$B$96:$B$176,_xlfn.XLOOKUP(W$181,$D$5:$AX$5,$D$96:$AX$176))</f>
        <v>66.010280448496701</v>
      </c>
      <c r="X431" s="708" cm="1">
        <f t="array" ref="X431">_xlfn.XLOOKUP($B431,$B$96:$B$176,_xlfn.XLOOKUP(X$181,$D$5:$AX$5,$D$96:$AX$176))</f>
        <v>64.527783977065155</v>
      </c>
      <c r="Y431" s="708" cm="1">
        <f t="array" ref="Y431">_xlfn.XLOOKUP($B431,$B$96:$B$176,_xlfn.XLOOKUP(Y$181,$D$5:$AX$5,$D$96:$AX$176))</f>
        <v>66.700945414369983</v>
      </c>
      <c r="Z431" s="708" cm="1">
        <f t="array" ref="Z431">_xlfn.XLOOKUP($B431,$B$96:$B$176,_xlfn.XLOOKUP(Z$181,$D$5:$AX$5,$D$96:$AX$176))</f>
        <v>65.187796406701409</v>
      </c>
      <c r="AA431" s="708" cm="1">
        <f t="array" ref="AA431">_xlfn.XLOOKUP($B431,$B$96:$B$176,_xlfn.XLOOKUP(AA$181,$D$5:$AX$5,$D$96:$AX$176))</f>
        <v>67.410838699867966</v>
      </c>
      <c r="AB431" s="708" cm="1">
        <f t="array" ref="AB431">_xlfn.XLOOKUP($B431,$B$96:$B$176,_xlfn.XLOOKUP(AB$181,$D$5:$AX$5,$D$96:$AX$176))</f>
        <v>65.86625726640348</v>
      </c>
      <c r="AC431" s="708" cm="1">
        <f t="array" ref="AC431">_xlfn.XLOOKUP($B431,$B$96:$B$176,_xlfn.XLOOKUP(AC$181,$D$5:$AX$5,$D$96:$AX$176))</f>
        <v>67.920904387367159</v>
      </c>
      <c r="AD431" s="708" cm="1">
        <f t="array" ref="AD431">_xlfn.XLOOKUP($B431,$B$96:$B$176,_xlfn.XLOOKUP(AD$181,$D$5:$AX$5,$D$96:$AX$176))</f>
        <v>66.357991870891965</v>
      </c>
      <c r="AE431" s="708" cm="1">
        <f t="array" ref="AE431">_xlfn.XLOOKUP($B431,$B$96:$B$176,_xlfn.XLOOKUP(AE$181,$D$5:$AX$5,$D$96:$AX$176))</f>
        <v>68.451397625085605</v>
      </c>
      <c r="AF431" s="708" cm="1">
        <f t="array" ref="AF431">_xlfn.XLOOKUP($B431,$B$96:$B$176,_xlfn.XLOOKUP(AF$181,$D$5:$AX$5,$D$96:$AX$176))</f>
        <v>66.869329521164943</v>
      </c>
      <c r="AG431" s="309"/>
      <c r="AH431" s="306" t="str">
        <f t="shared" si="265"/>
        <v>Total Capex - old</v>
      </c>
      <c r="AI431" s="707" t="str" cm="1">
        <f t="array" ref="AI431">_xlfn.XLOOKUP($B431,$B$96:$B$176,_xlfn.XLOOKUP(AI$181,$D$5:$AX$5,$D$96:$AX$176))</f>
        <v>A$m</v>
      </c>
      <c r="AJ431" s="307"/>
      <c r="AK431" s="307"/>
      <c r="AL431" s="708"/>
      <c r="AM431" s="708" cm="1">
        <f t="array" ref="AM431">_xlfn.XLOOKUP($B431,$B$96:$B$176,_xlfn.XLOOKUP(AM$181,$D$5:$AX$5,$D$96:$AX$176))</f>
        <v>155.4</v>
      </c>
      <c r="AN431" s="708" cm="1">
        <f t="array" ref="AN431">_xlfn.XLOOKUP($B431,$B$96:$B$176,_xlfn.XLOOKUP(AN$181,$D$5:$AX$5,$D$96:$AX$176))</f>
        <v>168.2</v>
      </c>
      <c r="AO431" s="708" cm="1">
        <f t="array" ref="AO431">_xlfn.XLOOKUP($B431,$B$96:$B$176,_xlfn.XLOOKUP(AO$181,$D$5:$AX$5,$D$96:$AX$176))</f>
        <v>114.80000000000001</v>
      </c>
      <c r="AP431" s="708" cm="1">
        <f t="array" ref="AP431">_xlfn.XLOOKUP($B431,$B$96:$B$176,_xlfn.XLOOKUP(AP$181,$D$5:$AX$5,$D$96:$AX$176))</f>
        <v>129.77215297765599</v>
      </c>
      <c r="AQ431" s="708" cm="1">
        <f t="array" ref="AQ431">_xlfn.XLOOKUP($B431,$B$96:$B$176,_xlfn.XLOOKUP(AQ$181,$D$5:$AX$5,$D$96:$AX$176))</f>
        <v>160.36721596617798</v>
      </c>
      <c r="AR431" s="708" cm="1">
        <f t="array" ref="AR431">_xlfn.XLOOKUP($B431,$B$96:$B$176,_xlfn.XLOOKUP(AR$181,$D$5:$AX$5,$D$96:$AX$176))</f>
        <v>127.94528708387581</v>
      </c>
      <c r="AS431" s="708" cm="1">
        <f t="array" ref="AS431">_xlfn.XLOOKUP($B431,$B$96:$B$176,_xlfn.XLOOKUP(AS$181,$D$5:$AX$5,$D$96:$AX$176))</f>
        <v>129.22394181333476</v>
      </c>
      <c r="AT431" s="708" cm="1">
        <f t="array" ref="AT431">_xlfn.XLOOKUP($B431,$B$96:$B$176,_xlfn.XLOOKUP(AT$181,$D$5:$AX$5,$D$96:$AX$176))</f>
        <v>130.53806442556186</v>
      </c>
      <c r="AU431" s="708" cm="1">
        <f t="array" ref="AU431">_xlfn.XLOOKUP($B431,$B$96:$B$176,_xlfn.XLOOKUP(AU$181,$D$5:$AX$5,$D$96:$AX$176))</f>
        <v>131.88874182107139</v>
      </c>
      <c r="AV431" s="708" cm="1">
        <f t="array" ref="AV431">_xlfn.XLOOKUP($B431,$B$96:$B$176,_xlfn.XLOOKUP(AV$181,$D$5:$AX$5,$D$96:$AX$176))</f>
        <v>133.27709596627145</v>
      </c>
      <c r="AW431" s="708" cm="1">
        <f t="array" ref="AW431">_xlfn.XLOOKUP($B431,$B$96:$B$176,_xlfn.XLOOKUP(AW$181,$D$5:$AX$5,$D$96:$AX$176))</f>
        <v>134.27889625825912</v>
      </c>
      <c r="AX431" s="708" cm="1">
        <f t="array" ref="AX431">_xlfn.XLOOKUP($B431,$B$96:$B$176,_xlfn.XLOOKUP(AX$181,$D$5:$AX$5,$D$96:$AX$176))</f>
        <v>135.32072714625053</v>
      </c>
    </row>
    <row r="432" spans="2:50">
      <c r="B432" s="305" t="s">
        <v>1472</v>
      </c>
      <c r="C432" s="318" t="str">
        <f>_xlfn.TEXTAFTER($B432,$C$412)&amp;" - New"</f>
        <v>Total Capex - New</v>
      </c>
      <c r="D432" s="311" t="str" cm="1">
        <f t="array" ref="D432">_xlfn.XLOOKUP($B432,$B$11:$B$91,_xlfn.XLOOKUP(D$181,$D$5:$AX$5,$D$11:$AX$91))</f>
        <v>A$m</v>
      </c>
      <c r="E432" s="311"/>
      <c r="F432" s="311"/>
      <c r="G432" s="312"/>
      <c r="H432" s="312"/>
      <c r="I432" s="312" cm="1">
        <f t="array" ref="I432">_xlfn.XLOOKUP($B432,$B$11:$B$91,_xlfn.XLOOKUP(I$181,$D$5:$AX$5,$D$11:$AX$91))</f>
        <v>69.900000000000006</v>
      </c>
      <c r="J432" s="312" cm="1">
        <f t="array" ref="J432">_xlfn.XLOOKUP($B432,$B$11:$B$91,_xlfn.XLOOKUP(J$181,$D$5:$AX$5,$D$11:$AX$91))</f>
        <v>85.5</v>
      </c>
      <c r="K432" s="312" cm="1">
        <f t="array" ref="K432">_xlfn.XLOOKUP($B432,$B$11:$B$91,_xlfn.XLOOKUP(K$181,$D$5:$AX$5,$D$11:$AX$91))</f>
        <v>84.1</v>
      </c>
      <c r="L432" s="312" cm="1">
        <f t="array" ref="L432">_xlfn.XLOOKUP($B432,$B$11:$B$91,_xlfn.XLOOKUP(L$181,$D$5:$AX$5,$D$11:$AX$91))</f>
        <v>84.1</v>
      </c>
      <c r="M432" s="312" cm="1">
        <f t="array" ref="M432">_xlfn.XLOOKUP($B432,$B$11:$B$91,_xlfn.XLOOKUP(M$181,$D$5:$AX$5,$D$11:$AX$91))</f>
        <v>57</v>
      </c>
      <c r="N432" s="312" cm="1">
        <f t="array" ref="N432">_xlfn.XLOOKUP($B432,$B$11:$B$91,_xlfn.XLOOKUP(N$181,$D$5:$AX$5,$D$11:$AX$91))</f>
        <v>57.800000000000004</v>
      </c>
      <c r="O432" s="312" cm="1">
        <f t="array" ref="O432">_xlfn.XLOOKUP($B432,$B$11:$B$91,_xlfn.XLOOKUP(O$181,$D$5:$AX$5,$D$11:$AX$91))</f>
        <v>51</v>
      </c>
      <c r="P432" s="312" cm="1">
        <f t="array" ref="P432">_xlfn.XLOOKUP($B432,$B$11:$B$91,_xlfn.XLOOKUP(P$181,$D$5:$AX$5,$D$11:$AX$91))</f>
        <v>89</v>
      </c>
      <c r="Q432" s="312" cm="1">
        <f t="array" ref="Q432">_xlfn.XLOOKUP($B432,$B$11:$B$91,_xlfn.XLOOKUP(Q$181,$D$5:$AX$5,$D$11:$AX$91))</f>
        <v>80</v>
      </c>
      <c r="R432" s="312" cm="1">
        <f t="array" ref="R432">_xlfn.XLOOKUP($B432,$B$11:$B$91,_xlfn.XLOOKUP(R$181,$D$5:$AX$5,$D$11:$AX$91))</f>
        <v>80</v>
      </c>
      <c r="S432" s="312" cm="1">
        <f t="array" ref="S432">_xlfn.XLOOKUP($B432,$B$11:$B$91,_xlfn.XLOOKUP(S$181,$D$5:$AX$5,$D$11:$AX$91))</f>
        <v>75</v>
      </c>
      <c r="T432" s="312" cm="1">
        <f t="array" ref="T432">_xlfn.XLOOKUP($B432,$B$11:$B$91,_xlfn.XLOOKUP(T$181,$D$5:$AX$5,$D$11:$AX$91))</f>
        <v>75</v>
      </c>
      <c r="U432" s="312" cm="1">
        <f t="array" ref="U432">_xlfn.XLOOKUP($B432,$B$11:$B$91,_xlfn.XLOOKUP(U$181,$D$5:$AX$5,$D$11:$AX$91))</f>
        <v>66.373602538648484</v>
      </c>
      <c r="V432" s="312" cm="1">
        <f t="array" ref="V432">_xlfn.XLOOKUP($B432,$B$11:$B$91,_xlfn.XLOOKUP(V$181,$D$5:$AX$5,$D$11:$AX$91))</f>
        <v>63.136697713851603</v>
      </c>
      <c r="W432" s="312" cm="1">
        <f t="array" ref="W432">_xlfn.XLOOKUP($B432,$B$11:$B$91,_xlfn.XLOOKUP(W$181,$D$5:$AX$5,$D$11:$AX$91))</f>
        <v>66.382876892268953</v>
      </c>
      <c r="X432" s="312" cm="1">
        <f t="array" ref="X432">_xlfn.XLOOKUP($B432,$B$11:$B$91,_xlfn.XLOOKUP(X$181,$D$5:$AX$5,$D$11:$AX$91))</f>
        <v>63.164624381602252</v>
      </c>
      <c r="Y432" s="312" cm="1">
        <f t="array" ref="Y432">_xlfn.XLOOKUP($B432,$B$11:$B$91,_xlfn.XLOOKUP(Y$181,$D$5:$AX$5,$D$11:$AX$91))</f>
        <v>67.446678747106304</v>
      </c>
      <c r="Z432" s="312" cm="1">
        <f t="array" ref="Z432">_xlfn.XLOOKUP($B432,$B$11:$B$91,_xlfn.XLOOKUP(Z$181,$D$5:$AX$5,$D$11:$AX$91))</f>
        <v>64.216052675190269</v>
      </c>
      <c r="AA432" s="312" cm="1">
        <f t="array" ref="AA432">_xlfn.XLOOKUP($B432,$B$11:$B$91,_xlfn.XLOOKUP(AA$181,$D$5:$AX$5,$D$11:$AX$91))</f>
        <v>68.551602862108084</v>
      </c>
      <c r="AB432" s="312" cm="1">
        <f t="array" ref="AB432">_xlfn.XLOOKUP($B432,$B$11:$B$91,_xlfn.XLOOKUP(AB$181,$D$5:$AX$5,$D$11:$AX$91))</f>
        <v>65.307390281964558</v>
      </c>
      <c r="AC432" s="312" cm="1">
        <f t="array" ref="AC432">_xlfn.XLOOKUP($B432,$B$11:$B$91,_xlfn.XLOOKUP(AC$181,$D$5:$AX$5,$D$11:$AX$91))</f>
        <v>69.698790823034017</v>
      </c>
      <c r="AD432" s="312" cm="1">
        <f t="array" ref="AD432">_xlfn.XLOOKUP($B432,$B$11:$B$91,_xlfn.XLOOKUP(AD$181,$D$5:$AX$5,$D$11:$AX$91))</f>
        <v>66.439750816676906</v>
      </c>
      <c r="AE432" s="312" cm="1">
        <f t="array" ref="AE432">_xlfn.XLOOKUP($B432,$B$11:$B$91,_xlfn.XLOOKUP(AE$181,$D$5:$AX$5,$D$11:$AX$91))</f>
        <v>70.88941938403714</v>
      </c>
      <c r="AF432" s="312" cm="1">
        <f t="array" ref="AF432">_xlfn.XLOOKUP($B432,$B$11:$B$91,_xlfn.XLOOKUP(AF$181,$D$5:$AX$5,$D$11:$AX$91))</f>
        <v>67.614282139168068</v>
      </c>
      <c r="AG432" s="312"/>
      <c r="AH432" s="310" t="str">
        <f t="shared" si="265"/>
        <v>Total Capex - New</v>
      </c>
      <c r="AI432" s="311" t="str" cm="1">
        <f t="array" ref="AI432">_xlfn.XLOOKUP($B432,$B$11:$B$91,_xlfn.XLOOKUP(AI$181,$D$5:$AX$5,$D$11:$AX$91))</f>
        <v>A$m</v>
      </c>
      <c r="AJ432" s="311"/>
      <c r="AK432" s="311"/>
      <c r="AL432" s="312"/>
      <c r="AM432" s="312" cm="1">
        <f t="array" ref="AM432">_xlfn.XLOOKUP($B432,$B$11:$B$91,_xlfn.XLOOKUP(AM$181,$D$5:$AX$5,$D$11:$AX$91))</f>
        <v>155.4</v>
      </c>
      <c r="AN432" s="312" cm="1">
        <f t="array" ref="AN432">_xlfn.XLOOKUP($B432,$B$11:$B$91,_xlfn.XLOOKUP(AN$181,$D$5:$AX$5,$D$11:$AX$91))</f>
        <v>168.2</v>
      </c>
      <c r="AO432" s="312" cm="1">
        <f t="array" ref="AO432">_xlfn.XLOOKUP($B432,$B$11:$B$91,_xlfn.XLOOKUP(AO$181,$D$5:$AX$5,$D$11:$AX$91))</f>
        <v>114.80000000000001</v>
      </c>
      <c r="AP432" s="312" cm="1">
        <f t="array" ref="AP432">_xlfn.XLOOKUP($B432,$B$11:$B$91,_xlfn.XLOOKUP(AP$181,$D$5:$AX$5,$D$11:$AX$91))</f>
        <v>140</v>
      </c>
      <c r="AQ432" s="312" cm="1">
        <f t="array" ref="AQ432">_xlfn.XLOOKUP($B432,$B$11:$B$91,_xlfn.XLOOKUP(AQ$181,$D$5:$AX$5,$D$11:$AX$91))</f>
        <v>160</v>
      </c>
      <c r="AR432" s="312" cm="1">
        <f t="array" ref="AR432">_xlfn.XLOOKUP($B432,$B$11:$B$91,_xlfn.XLOOKUP(AR$181,$D$5:$AX$5,$D$11:$AX$91))</f>
        <v>150</v>
      </c>
      <c r="AS432" s="312" cm="1">
        <f t="array" ref="AS432">_xlfn.XLOOKUP($B432,$B$11:$B$91,_xlfn.XLOOKUP(AS$181,$D$5:$AX$5,$D$11:$AX$91))</f>
        <v>129.51030025250009</v>
      </c>
      <c r="AT432" s="312" cm="1">
        <f t="array" ref="AT432">_xlfn.XLOOKUP($B432,$B$11:$B$91,_xlfn.XLOOKUP(AT$181,$D$5:$AX$5,$D$11:$AX$91))</f>
        <v>129.54750127387121</v>
      </c>
      <c r="AU432" s="312" cm="1">
        <f t="array" ref="AU432">_xlfn.XLOOKUP($B432,$B$11:$B$91,_xlfn.XLOOKUP(AU$181,$D$5:$AX$5,$D$11:$AX$91))</f>
        <v>131.66273142229659</v>
      </c>
      <c r="AV432" s="312" cm="1">
        <f t="array" ref="AV432">_xlfn.XLOOKUP($B432,$B$11:$B$91,_xlfn.XLOOKUP(AV$181,$D$5:$AX$5,$D$11:$AX$91))</f>
        <v>133.85899314407266</v>
      </c>
      <c r="AW432" s="312" cm="1">
        <f t="array" ref="AW432">_xlfn.XLOOKUP($B432,$B$11:$B$91,_xlfn.XLOOKUP(AW$181,$D$5:$AX$5,$D$11:$AX$91))</f>
        <v>136.13854163971092</v>
      </c>
      <c r="AX432" s="312" cm="1">
        <f t="array" ref="AX432">_xlfn.XLOOKUP($B432,$B$11:$B$91,_xlfn.XLOOKUP(AX$181,$D$5:$AX$5,$D$11:$AX$91))</f>
        <v>138.50370152320522</v>
      </c>
    </row>
    <row r="433" spans="2:50" hidden="1" outlineLevel="1">
      <c r="C433" s="313" t="s">
        <v>1121</v>
      </c>
      <c r="D433" s="307" t="s">
        <v>842</v>
      </c>
      <c r="E433" s="307"/>
      <c r="F433" s="307"/>
      <c r="G433" s="314"/>
      <c r="H433" s="314"/>
      <c r="I433" s="314" t="s">
        <v>967</v>
      </c>
      <c r="J433" s="314" t="s">
        <v>967</v>
      </c>
      <c r="K433" s="314">
        <f t="shared" ref="K433:AF433" si="282">K432/I432-1</f>
        <v>0.20314735336194545</v>
      </c>
      <c r="L433" s="314">
        <f t="shared" si="282"/>
        <v>-1.6374269005848041E-2</v>
      </c>
      <c r="M433" s="314">
        <f t="shared" si="282"/>
        <v>-0.32223543400713428</v>
      </c>
      <c r="N433" s="314">
        <f t="shared" si="282"/>
        <v>-0.31272294887039231</v>
      </c>
      <c r="O433" s="314">
        <f t="shared" si="282"/>
        <v>-0.10526315789473684</v>
      </c>
      <c r="P433" s="314">
        <f t="shared" si="282"/>
        <v>0.53979238754325243</v>
      </c>
      <c r="Q433" s="314">
        <f t="shared" si="282"/>
        <v>0.56862745098039214</v>
      </c>
      <c r="R433" s="314">
        <f t="shared" si="282"/>
        <v>-0.101123595505618</v>
      </c>
      <c r="S433" s="314">
        <f t="shared" si="282"/>
        <v>-6.25E-2</v>
      </c>
      <c r="T433" s="314">
        <f t="shared" si="282"/>
        <v>-6.25E-2</v>
      </c>
      <c r="U433" s="314">
        <f t="shared" si="282"/>
        <v>-0.11501863281802016</v>
      </c>
      <c r="V433" s="314">
        <f t="shared" si="282"/>
        <v>-0.158177363815312</v>
      </c>
      <c r="W433" s="314">
        <f t="shared" si="282"/>
        <v>1.3972955008845211E-4</v>
      </c>
      <c r="X433" s="314">
        <f t="shared" si="282"/>
        <v>4.4232069084793046E-4</v>
      </c>
      <c r="Y433" s="314">
        <f t="shared" si="282"/>
        <v>1.6025244831792573E-2</v>
      </c>
      <c r="Z433" s="314">
        <f t="shared" si="282"/>
        <v>1.664584098903088E-2</v>
      </c>
      <c r="AA433" s="314">
        <f t="shared" si="282"/>
        <v>1.638218716661699E-2</v>
      </c>
      <c r="AB433" s="314">
        <f t="shared" si="282"/>
        <v>1.699477874005062E-2</v>
      </c>
      <c r="AC433" s="314">
        <f t="shared" si="282"/>
        <v>1.6734662838351344E-2</v>
      </c>
      <c r="AD433" s="314">
        <f t="shared" si="282"/>
        <v>1.7338934075046941E-2</v>
      </c>
      <c r="AE433" s="314">
        <f t="shared" si="282"/>
        <v>1.7082485175763606E-2</v>
      </c>
      <c r="AF433" s="314">
        <f t="shared" si="282"/>
        <v>1.7678141595262264E-2</v>
      </c>
      <c r="AG433" s="315"/>
      <c r="AH433" s="313" t="str">
        <f t="shared" si="265"/>
        <v>- Growth</v>
      </c>
      <c r="AI433" s="307" t="str">
        <f>D433</f>
        <v>%</v>
      </c>
      <c r="AJ433" s="307"/>
      <c r="AK433" s="307"/>
      <c r="AL433" s="314"/>
      <c r="AM433" s="314" t="s">
        <v>967</v>
      </c>
      <c r="AN433" s="314">
        <f t="shared" ref="AN433:AX433" si="283">AN432/AM432-1</f>
        <v>8.2368082368082352E-2</v>
      </c>
      <c r="AO433" s="314">
        <f t="shared" si="283"/>
        <v>-0.31747919143876324</v>
      </c>
      <c r="AP433" s="314">
        <f t="shared" si="283"/>
        <v>0.21951219512195119</v>
      </c>
      <c r="AQ433" s="314">
        <f t="shared" si="283"/>
        <v>0.14285714285714279</v>
      </c>
      <c r="AR433" s="314">
        <f t="shared" si="283"/>
        <v>-6.25E-2</v>
      </c>
      <c r="AS433" s="314">
        <f t="shared" si="283"/>
        <v>-0.13659799831666608</v>
      </c>
      <c r="AT433" s="314">
        <f t="shared" si="283"/>
        <v>2.8724372732202852E-4</v>
      </c>
      <c r="AU433" s="314">
        <f t="shared" si="283"/>
        <v>1.6327834405340358E-2</v>
      </c>
      <c r="AV433" s="314">
        <f t="shared" si="283"/>
        <v>1.6680967332598939E-2</v>
      </c>
      <c r="AW433" s="314">
        <f t="shared" si="283"/>
        <v>1.7029475884259737E-2</v>
      </c>
      <c r="AX433" s="314">
        <f t="shared" si="283"/>
        <v>1.7373183633431877E-2</v>
      </c>
    </row>
    <row r="434" spans="2:50" collapsed="1">
      <c r="C434" s="313" t="s">
        <v>1122</v>
      </c>
      <c r="D434" s="307" t="s">
        <v>842</v>
      </c>
      <c r="E434" s="307"/>
      <c r="F434" s="307"/>
      <c r="G434" s="314"/>
      <c r="H434" s="314"/>
      <c r="I434" s="314">
        <f t="shared" ref="I434:AF434" si="284" xml:space="preserve"> IFERROR(ROUND( I432 / I431,3) - 1, 0)</f>
        <v>0</v>
      </c>
      <c r="J434" s="314">
        <f t="shared" si="284"/>
        <v>0</v>
      </c>
      <c r="K434" s="314">
        <f t="shared" si="284"/>
        <v>0</v>
      </c>
      <c r="L434" s="314">
        <f t="shared" si="284"/>
        <v>0</v>
      </c>
      <c r="M434" s="314">
        <f t="shared" si="284"/>
        <v>0</v>
      </c>
      <c r="N434" s="314">
        <f t="shared" si="284"/>
        <v>0</v>
      </c>
      <c r="O434" s="314">
        <f t="shared" si="284"/>
        <v>0</v>
      </c>
      <c r="P434" s="314">
        <f t="shared" si="284"/>
        <v>0.12999999999999989</v>
      </c>
      <c r="Q434" s="314">
        <f t="shared" si="284"/>
        <v>-1.2000000000000011E-2</v>
      </c>
      <c r="R434" s="314">
        <f t="shared" si="284"/>
        <v>8.0000000000000071E-3</v>
      </c>
      <c r="S434" s="314">
        <f t="shared" si="284"/>
        <v>0.15900000000000003</v>
      </c>
      <c r="T434" s="314">
        <f t="shared" si="284"/>
        <v>0.18599999999999994</v>
      </c>
      <c r="U434" s="314">
        <f t="shared" si="284"/>
        <v>1.6000000000000014E-2</v>
      </c>
      <c r="V434" s="314">
        <f t="shared" si="284"/>
        <v>-1.2000000000000011E-2</v>
      </c>
      <c r="W434" s="314">
        <f t="shared" si="284"/>
        <v>6.0000000000000053E-3</v>
      </c>
      <c r="X434" s="314">
        <f t="shared" si="284"/>
        <v>-2.1000000000000019E-2</v>
      </c>
      <c r="Y434" s="314">
        <f t="shared" si="284"/>
        <v>1.0999999999999899E-2</v>
      </c>
      <c r="Z434" s="314">
        <f t="shared" si="284"/>
        <v>-1.5000000000000013E-2</v>
      </c>
      <c r="AA434" s="314">
        <f t="shared" si="284"/>
        <v>1.6999999999999904E-2</v>
      </c>
      <c r="AB434" s="314">
        <f t="shared" si="284"/>
        <v>-8.0000000000000071E-3</v>
      </c>
      <c r="AC434" s="314">
        <f t="shared" si="284"/>
        <v>2.6000000000000023E-2</v>
      </c>
      <c r="AD434" s="314">
        <f t="shared" si="284"/>
        <v>9.9999999999988987E-4</v>
      </c>
      <c r="AE434" s="314">
        <f t="shared" si="284"/>
        <v>3.6000000000000032E-2</v>
      </c>
      <c r="AF434" s="314">
        <f t="shared" si="284"/>
        <v>1.0999999999999899E-2</v>
      </c>
      <c r="AG434" s="314"/>
      <c r="AH434" s="313" t="str">
        <f t="shared" si="265"/>
        <v>- Revision</v>
      </c>
      <c r="AI434" s="307" t="str">
        <f>D434</f>
        <v>%</v>
      </c>
      <c r="AJ434" s="307"/>
      <c r="AK434" s="307"/>
      <c r="AL434" s="314"/>
      <c r="AM434" s="314">
        <f t="shared" ref="AM434:AX434" si="285" xml:space="preserve"> IFERROR(ROUND( AM432 / AM431,3) - 1, 0)</f>
        <v>0</v>
      </c>
      <c r="AN434" s="314">
        <f t="shared" si="285"/>
        <v>0</v>
      </c>
      <c r="AO434" s="314">
        <f t="shared" si="285"/>
        <v>0</v>
      </c>
      <c r="AP434" s="314">
        <f t="shared" si="285"/>
        <v>7.8999999999999959E-2</v>
      </c>
      <c r="AQ434" s="314">
        <f t="shared" si="285"/>
        <v>-2.0000000000000018E-3</v>
      </c>
      <c r="AR434" s="314">
        <f t="shared" si="285"/>
        <v>0.17199999999999993</v>
      </c>
      <c r="AS434" s="314">
        <f t="shared" si="285"/>
        <v>2.0000000000000018E-3</v>
      </c>
      <c r="AT434" s="314">
        <f t="shared" si="285"/>
        <v>-8.0000000000000071E-3</v>
      </c>
      <c r="AU434" s="314">
        <f t="shared" si="285"/>
        <v>-2.0000000000000018E-3</v>
      </c>
      <c r="AV434" s="314">
        <f t="shared" si="285"/>
        <v>4.0000000000000036E-3</v>
      </c>
      <c r="AW434" s="314">
        <f t="shared" si="285"/>
        <v>1.4000000000000012E-2</v>
      </c>
      <c r="AX434" s="314">
        <f t="shared" si="285"/>
        <v>2.4000000000000021E-2</v>
      </c>
    </row>
    <row r="435" spans="2:50">
      <c r="B435" s="305" t="s">
        <v>1473</v>
      </c>
      <c r="C435" s="706" t="str">
        <f>_xlfn.TEXTAFTER($B435,$C$412)&amp;" - old"</f>
        <v>Closing cash - old</v>
      </c>
      <c r="D435" s="707" t="str" cm="1">
        <f t="array" ref="D435">_xlfn.XLOOKUP($B435,$B$96:$B$176,_xlfn.XLOOKUP(D$181,$D$5:$AX$5,$D$96:$AX$176))</f>
        <v>A$m</v>
      </c>
      <c r="E435" s="307"/>
      <c r="F435" s="307"/>
      <c r="G435" s="708"/>
      <c r="H435" s="708"/>
      <c r="I435" s="708" cm="1">
        <f t="array" ref="I435">_xlfn.XLOOKUP($B435,$B$96:$B$176,_xlfn.XLOOKUP(I$181,$D$5:$AX$5,$D$96:$AX$176))</f>
        <v>0</v>
      </c>
      <c r="J435" s="708" cm="1">
        <f t="array" ref="J435">_xlfn.XLOOKUP($B435,$B$96:$B$176,_xlfn.XLOOKUP(J$181,$D$5:$AX$5,$D$96:$AX$176))</f>
        <v>290.7</v>
      </c>
      <c r="K435" s="708" cm="1">
        <f t="array" ref="K435">_xlfn.XLOOKUP($B435,$B$96:$B$176,_xlfn.XLOOKUP(K$181,$D$5:$AX$5,$D$96:$AX$176))</f>
        <v>313.39999999999998</v>
      </c>
      <c r="L435" s="708" cm="1">
        <f t="array" ref="L435">_xlfn.XLOOKUP($B435,$B$96:$B$176,_xlfn.XLOOKUP(L$181,$D$5:$AX$5,$D$96:$AX$176))</f>
        <v>313.7</v>
      </c>
      <c r="M435" s="708" cm="1">
        <f t="array" ref="M435">_xlfn.XLOOKUP($B435,$B$96:$B$176,_xlfn.XLOOKUP(M$181,$D$5:$AX$5,$D$96:$AX$176))</f>
        <v>260.3</v>
      </c>
      <c r="N435" s="708" cm="1">
        <f t="array" ref="N435">_xlfn.XLOOKUP($B435,$B$96:$B$176,_xlfn.XLOOKUP(N$181,$D$5:$AX$5,$D$96:$AX$176))</f>
        <v>236.5</v>
      </c>
      <c r="O435" s="708" cm="1">
        <f t="array" ref="O435">_xlfn.XLOOKUP($B435,$B$96:$B$176,_xlfn.XLOOKUP(O$181,$D$5:$AX$5,$D$96:$AX$176))</f>
        <v>218.3</v>
      </c>
      <c r="P435" s="708" cm="1">
        <f t="array" ref="P435">_xlfn.XLOOKUP($B435,$B$96:$B$176,_xlfn.XLOOKUP(P$181,$D$5:$AX$5,$D$96:$AX$176))</f>
        <v>225.21026383775867</v>
      </c>
      <c r="Q435" s="708" cm="1">
        <f t="array" ref="Q435">_xlfn.XLOOKUP($B435,$B$96:$B$176,_xlfn.XLOOKUP(Q$181,$D$5:$AX$5,$D$96:$AX$176))</f>
        <v>277.9005873219196</v>
      </c>
      <c r="R435" s="708" cm="1">
        <f t="array" ref="R435">_xlfn.XLOOKUP($B435,$B$96:$B$176,_xlfn.XLOOKUP(R$181,$D$5:$AX$5,$D$96:$AX$176))</f>
        <v>289.71789711243275</v>
      </c>
      <c r="S435" s="708" cm="1">
        <f t="array" ref="S435">_xlfn.XLOOKUP($B435,$B$96:$B$176,_xlfn.XLOOKUP(S$181,$D$5:$AX$5,$D$96:$AX$176))</f>
        <v>382.67381724218131</v>
      </c>
      <c r="T435" s="708" cm="1">
        <f t="array" ref="T435">_xlfn.XLOOKUP($B435,$B$96:$B$176,_xlfn.XLOOKUP(T$181,$D$5:$AX$5,$D$96:$AX$176))</f>
        <v>424.04644705843941</v>
      </c>
      <c r="U435" s="708" cm="1">
        <f t="array" ref="U435">_xlfn.XLOOKUP($B435,$B$96:$B$176,_xlfn.XLOOKUP(U$181,$D$5:$AX$5,$D$96:$AX$176))</f>
        <v>528.56415177570034</v>
      </c>
      <c r="V435" s="708" cm="1">
        <f t="array" ref="V435">_xlfn.XLOOKUP($B435,$B$96:$B$176,_xlfn.XLOOKUP(V$181,$D$5:$AX$5,$D$96:$AX$176))</f>
        <v>579.06780507325004</v>
      </c>
      <c r="W435" s="708" cm="1">
        <f t="array" ref="W435">_xlfn.XLOOKUP($B435,$B$96:$B$176,_xlfn.XLOOKUP(W$181,$D$5:$AX$5,$D$96:$AX$176))</f>
        <v>689.43448288117702</v>
      </c>
      <c r="X435" s="708" cm="1">
        <f t="array" ref="X435">_xlfn.XLOOKUP($B435,$B$96:$B$176,_xlfn.XLOOKUP(X$181,$D$5:$AX$5,$D$96:$AX$176))</f>
        <v>746.21426745783117</v>
      </c>
      <c r="Y435" s="708" cm="1">
        <f t="array" ref="Y435">_xlfn.XLOOKUP($B435,$B$96:$B$176,_xlfn.XLOOKUP(Y$181,$D$5:$AX$5,$D$96:$AX$176))</f>
        <v>857.92567371114012</v>
      </c>
      <c r="Z435" s="708" cm="1">
        <f t="array" ref="Z435">_xlfn.XLOOKUP($B435,$B$96:$B$176,_xlfn.XLOOKUP(Z$181,$D$5:$AX$5,$D$96:$AX$176))</f>
        <v>915.22658281626332</v>
      </c>
      <c r="AA435" s="708" cm="1">
        <f t="array" ref="AA435">_xlfn.XLOOKUP($B435,$B$96:$B$176,_xlfn.XLOOKUP(AA$181,$D$5:$AX$5,$D$96:$AX$176))</f>
        <v>1078.9709223677269</v>
      </c>
      <c r="AB435" s="708" cm="1">
        <f t="array" ref="AB435">_xlfn.XLOOKUP($B435,$B$96:$B$176,_xlfn.XLOOKUP(AB$181,$D$5:$AX$5,$D$96:$AX$176))</f>
        <v>1176.6520832868991</v>
      </c>
      <c r="AC435" s="708" cm="1">
        <f t="array" ref="AC435">_xlfn.XLOOKUP($B435,$B$96:$B$176,_xlfn.XLOOKUP(AC$181,$D$5:$AX$5,$D$96:$AX$176))</f>
        <v>1342.7043715148056</v>
      </c>
      <c r="AD435" s="708" cm="1">
        <f t="array" ref="AD435">_xlfn.XLOOKUP($B435,$B$96:$B$176,_xlfn.XLOOKUP(AD$181,$D$5:$AX$5,$D$96:$AX$176))</f>
        <v>1445.8050606731249</v>
      </c>
      <c r="AE435" s="708" cm="1">
        <f t="array" ref="AE435">_xlfn.XLOOKUP($B435,$B$96:$B$176,_xlfn.XLOOKUP(AE$181,$D$5:$AX$5,$D$96:$AX$176))</f>
        <v>1612.7348446315877</v>
      </c>
      <c r="AF435" s="708" cm="1">
        <f t="array" ref="AF435">_xlfn.XLOOKUP($B435,$B$96:$B$176,_xlfn.XLOOKUP(AF$181,$D$5:$AX$5,$D$96:$AX$176))</f>
        <v>1718.6823691490933</v>
      </c>
      <c r="AG435" s="309"/>
      <c r="AH435" s="306" t="str">
        <f t="shared" si="265"/>
        <v>Closing cash - old</v>
      </c>
      <c r="AI435" s="707" t="str" cm="1">
        <f t="array" ref="AI435">_xlfn.XLOOKUP($B435,$B$96:$B$176,_xlfn.XLOOKUP(AI$181,$D$5:$AX$5,$D$96:$AX$176))</f>
        <v>A$m</v>
      </c>
      <c r="AJ435" s="307"/>
      <c r="AK435" s="307"/>
      <c r="AL435" s="708"/>
      <c r="AM435" s="708" cm="1">
        <f t="array" ref="AM435">_xlfn.XLOOKUP($B435,$B$96:$B$176,_xlfn.XLOOKUP(AM$181,$D$5:$AX$5,$D$96:$AX$176))</f>
        <v>290.7</v>
      </c>
      <c r="AN435" s="708" cm="1">
        <f t="array" ref="AN435">_xlfn.XLOOKUP($B435,$B$96:$B$176,_xlfn.XLOOKUP(AN$181,$D$5:$AX$5,$D$96:$AX$176))</f>
        <v>313.7</v>
      </c>
      <c r="AO435" s="708" cm="1">
        <f t="array" ref="AO435">_xlfn.XLOOKUP($B435,$B$96:$B$176,_xlfn.XLOOKUP(AO$181,$D$5:$AX$5,$D$96:$AX$176))</f>
        <v>236.5</v>
      </c>
      <c r="AP435" s="708" cm="1">
        <f t="array" ref="AP435">_xlfn.XLOOKUP($B435,$B$96:$B$176,_xlfn.XLOOKUP(AP$181,$D$5:$AX$5,$D$96:$AX$176))</f>
        <v>225.21026383775867</v>
      </c>
      <c r="AQ435" s="708" cm="1">
        <f t="array" ref="AQ435">_xlfn.XLOOKUP($B435,$B$96:$B$176,_xlfn.XLOOKUP(AQ$181,$D$5:$AX$5,$D$96:$AX$176))</f>
        <v>289.71789711243275</v>
      </c>
      <c r="AR435" s="708" cm="1">
        <f t="array" ref="AR435">_xlfn.XLOOKUP($B435,$B$96:$B$176,_xlfn.XLOOKUP(AR$181,$D$5:$AX$5,$D$96:$AX$176))</f>
        <v>424.04644705843941</v>
      </c>
      <c r="AS435" s="708" cm="1">
        <f t="array" ref="AS435">_xlfn.XLOOKUP($B435,$B$96:$B$176,_xlfn.XLOOKUP(AS$181,$D$5:$AX$5,$D$96:$AX$176))</f>
        <v>579.06780507325004</v>
      </c>
      <c r="AT435" s="708" cm="1">
        <f t="array" ref="AT435">_xlfn.XLOOKUP($B435,$B$96:$B$176,_xlfn.XLOOKUP(AT$181,$D$5:$AX$5,$D$96:$AX$176))</f>
        <v>746.21426745783117</v>
      </c>
      <c r="AU435" s="708" cm="1">
        <f t="array" ref="AU435">_xlfn.XLOOKUP($B435,$B$96:$B$176,_xlfn.XLOOKUP(AU$181,$D$5:$AX$5,$D$96:$AX$176))</f>
        <v>915.22658281626332</v>
      </c>
      <c r="AV435" s="708" cm="1">
        <f t="array" ref="AV435">_xlfn.XLOOKUP($B435,$B$96:$B$176,_xlfn.XLOOKUP(AV$181,$D$5:$AX$5,$D$96:$AX$176))</f>
        <v>1176.6520832868991</v>
      </c>
      <c r="AW435" s="708" cm="1">
        <f t="array" ref="AW435">_xlfn.XLOOKUP($B435,$B$96:$B$176,_xlfn.XLOOKUP(AW$181,$D$5:$AX$5,$D$96:$AX$176))</f>
        <v>1445.8050606731249</v>
      </c>
      <c r="AX435" s="708" cm="1">
        <f t="array" ref="AX435">_xlfn.XLOOKUP($B435,$B$96:$B$176,_xlfn.XLOOKUP(AX$181,$D$5:$AX$5,$D$96:$AX$176))</f>
        <v>1718.6823691490933</v>
      </c>
    </row>
    <row r="436" spans="2:50">
      <c r="B436" s="305" t="s">
        <v>1473</v>
      </c>
      <c r="C436" s="318" t="str">
        <f>_xlfn.TEXTAFTER($B436,$C$412)&amp;" - New"</f>
        <v>Closing cash - New</v>
      </c>
      <c r="D436" s="311" t="str" cm="1">
        <f t="array" ref="D436">_xlfn.XLOOKUP($B436,$B$11:$B$91,_xlfn.XLOOKUP(D$181,$D$5:$AX$5,$D$11:$AX$91))</f>
        <v>A$m</v>
      </c>
      <c r="E436" s="311"/>
      <c r="F436" s="311"/>
      <c r="G436" s="312"/>
      <c r="H436" s="312"/>
      <c r="I436" s="312" cm="1">
        <f t="array" ref="I436">_xlfn.XLOOKUP($B436,$B$11:$B$91,_xlfn.XLOOKUP(I$181,$D$5:$AX$5,$D$11:$AX$91))</f>
        <v>0</v>
      </c>
      <c r="J436" s="312" cm="1">
        <f t="array" ref="J436">_xlfn.XLOOKUP($B436,$B$11:$B$91,_xlfn.XLOOKUP(J$181,$D$5:$AX$5,$D$11:$AX$91))</f>
        <v>290.7</v>
      </c>
      <c r="K436" s="312" cm="1">
        <f t="array" ref="K436">_xlfn.XLOOKUP($B436,$B$11:$B$91,_xlfn.XLOOKUP(K$181,$D$5:$AX$5,$D$11:$AX$91))</f>
        <v>313.39999999999998</v>
      </c>
      <c r="L436" s="312" cm="1">
        <f t="array" ref="L436">_xlfn.XLOOKUP($B436,$B$11:$B$91,_xlfn.XLOOKUP(L$181,$D$5:$AX$5,$D$11:$AX$91))</f>
        <v>313.7</v>
      </c>
      <c r="M436" s="312" cm="1">
        <f t="array" ref="M436">_xlfn.XLOOKUP($B436,$B$11:$B$91,_xlfn.XLOOKUP(M$181,$D$5:$AX$5,$D$11:$AX$91))</f>
        <v>260.3</v>
      </c>
      <c r="N436" s="312" cm="1">
        <f t="array" ref="N436">_xlfn.XLOOKUP($B436,$B$11:$B$91,_xlfn.XLOOKUP(N$181,$D$5:$AX$5,$D$11:$AX$91))</f>
        <v>236.5</v>
      </c>
      <c r="O436" s="312" cm="1">
        <f t="array" ref="O436">_xlfn.XLOOKUP($B436,$B$11:$B$91,_xlfn.XLOOKUP(O$181,$D$5:$AX$5,$D$11:$AX$91))</f>
        <v>218.3</v>
      </c>
      <c r="P436" s="312" cm="1">
        <f t="array" ref="P436">_xlfn.XLOOKUP($B436,$B$11:$B$91,_xlfn.XLOOKUP(P$181,$D$5:$AX$5,$D$11:$AX$91))</f>
        <v>305.8</v>
      </c>
      <c r="Q436" s="312" cm="1">
        <f t="array" ref="Q436">_xlfn.XLOOKUP($B436,$B$11:$B$91,_xlfn.XLOOKUP(Q$181,$D$5:$AX$5,$D$11:$AX$91))</f>
        <v>377.35136514633547</v>
      </c>
      <c r="R436" s="312" cm="1">
        <f t="array" ref="R436">_xlfn.XLOOKUP($B436,$B$11:$B$91,_xlfn.XLOOKUP(R$181,$D$5:$AX$5,$D$11:$AX$91))</f>
        <v>269.13943476485838</v>
      </c>
      <c r="S436" s="312" cm="1">
        <f t="array" ref="S436">_xlfn.XLOOKUP($B436,$B$11:$B$91,_xlfn.XLOOKUP(S$181,$D$5:$AX$5,$D$11:$AX$91))</f>
        <v>342.79753015313099</v>
      </c>
      <c r="T436" s="312" cm="1">
        <f t="array" ref="T436">_xlfn.XLOOKUP($B436,$B$11:$B$91,_xlfn.XLOOKUP(T$181,$D$5:$AX$5,$D$11:$AX$91))</f>
        <v>352.72355053915533</v>
      </c>
      <c r="U436" s="312" cm="1">
        <f t="array" ref="U436">_xlfn.XLOOKUP($B436,$B$11:$B$91,_xlfn.XLOOKUP(U$181,$D$5:$AX$5,$D$11:$AX$91))</f>
        <v>430.58003129407996</v>
      </c>
      <c r="V436" s="312" cm="1">
        <f t="array" ref="V436">_xlfn.XLOOKUP($B436,$B$11:$B$91,_xlfn.XLOOKUP(V$181,$D$5:$AX$5,$D$11:$AX$91))</f>
        <v>458.57229818837226</v>
      </c>
      <c r="W436" s="312" cm="1">
        <f t="array" ref="W436">_xlfn.XLOOKUP($B436,$B$11:$B$91,_xlfn.XLOOKUP(W$181,$D$5:$AX$5,$D$11:$AX$91))</f>
        <v>552.15214435503219</v>
      </c>
      <c r="X436" s="312" cm="1">
        <f t="array" ref="X436">_xlfn.XLOOKUP($B436,$B$11:$B$91,_xlfn.XLOOKUP(X$181,$D$5:$AX$5,$D$11:$AX$91))</f>
        <v>587.57566607467811</v>
      </c>
      <c r="Y436" s="312" cm="1">
        <f t="array" ref="Y436">_xlfn.XLOOKUP($B436,$B$11:$B$91,_xlfn.XLOOKUP(Y$181,$D$5:$AX$5,$D$11:$AX$91))</f>
        <v>675.88079744015079</v>
      </c>
      <c r="Z436" s="312" cm="1">
        <f t="array" ref="Z436">_xlfn.XLOOKUP($B436,$B$11:$B$91,_xlfn.XLOOKUP(Z$181,$D$5:$AX$5,$D$11:$AX$91))</f>
        <v>710.06859137762478</v>
      </c>
      <c r="AA436" s="312" cm="1">
        <f t="array" ref="AA436">_xlfn.XLOOKUP($B436,$B$11:$B$91,_xlfn.XLOOKUP(AA$181,$D$5:$AX$5,$D$11:$AX$91))</f>
        <v>844.76572327851068</v>
      </c>
      <c r="AB436" s="312" cm="1">
        <f t="array" ref="AB436">_xlfn.XLOOKUP($B436,$B$11:$B$91,_xlfn.XLOOKUP(AB$181,$D$5:$AX$5,$D$11:$AX$91))</f>
        <v>913.46297845982997</v>
      </c>
      <c r="AC436" s="312" cm="1">
        <f t="array" ref="AC436">_xlfn.XLOOKUP($B436,$B$11:$B$91,_xlfn.XLOOKUP(AC$181,$D$5:$AX$5,$D$11:$AX$91))</f>
        <v>1053.6625873016435</v>
      </c>
      <c r="AD436" s="312" cm="1">
        <f t="array" ref="AD436">_xlfn.XLOOKUP($B436,$B$11:$B$91,_xlfn.XLOOKUP(AD$181,$D$5:$AX$5,$D$11:$AX$91))</f>
        <v>1127.6528188455538</v>
      </c>
      <c r="AE436" s="312" cm="1">
        <f t="array" ref="AE436">_xlfn.XLOOKUP($B436,$B$11:$B$91,_xlfn.XLOOKUP(AE$181,$D$5:$AX$5,$D$11:$AX$91))</f>
        <v>1280.4708796932646</v>
      </c>
      <c r="AF436" s="312" cm="1">
        <f t="array" ref="AF436">_xlfn.XLOOKUP($B436,$B$11:$B$91,_xlfn.XLOOKUP(AF$181,$D$5:$AX$5,$D$11:$AX$91))</f>
        <v>1370.598173245646</v>
      </c>
      <c r="AG436" s="312"/>
      <c r="AH436" s="310" t="str">
        <f t="shared" si="265"/>
        <v>Closing cash - New</v>
      </c>
      <c r="AI436" s="311" t="str" cm="1">
        <f t="array" ref="AI436">_xlfn.XLOOKUP($B436,$B$11:$B$91,_xlfn.XLOOKUP(AI$181,$D$5:$AX$5,$D$11:$AX$91))</f>
        <v>A$m</v>
      </c>
      <c r="AJ436" s="311"/>
      <c r="AK436" s="311"/>
      <c r="AL436" s="312"/>
      <c r="AM436" s="312" cm="1">
        <f t="array" ref="AM436">_xlfn.XLOOKUP($B436,$B$11:$B$91,_xlfn.XLOOKUP(AM$181,$D$5:$AX$5,$D$11:$AX$91))</f>
        <v>290.7</v>
      </c>
      <c r="AN436" s="312" cm="1">
        <f t="array" ref="AN436">_xlfn.XLOOKUP($B436,$B$11:$B$91,_xlfn.XLOOKUP(AN$181,$D$5:$AX$5,$D$11:$AX$91))</f>
        <v>313.7</v>
      </c>
      <c r="AO436" s="312" cm="1">
        <f t="array" ref="AO436">_xlfn.XLOOKUP($B436,$B$11:$B$91,_xlfn.XLOOKUP(AO$181,$D$5:$AX$5,$D$11:$AX$91))</f>
        <v>236.5</v>
      </c>
      <c r="AP436" s="312" cm="1">
        <f t="array" ref="AP436">_xlfn.XLOOKUP($B436,$B$11:$B$91,_xlfn.XLOOKUP(AP$181,$D$5:$AX$5,$D$11:$AX$91))</f>
        <v>305.8</v>
      </c>
      <c r="AQ436" s="312" cm="1">
        <f t="array" ref="AQ436">_xlfn.XLOOKUP($B436,$B$11:$B$91,_xlfn.XLOOKUP(AQ$181,$D$5:$AX$5,$D$11:$AX$91))</f>
        <v>269.13943476485838</v>
      </c>
      <c r="AR436" s="312" cm="1">
        <f t="array" ref="AR436">_xlfn.XLOOKUP($B436,$B$11:$B$91,_xlfn.XLOOKUP(AR$181,$D$5:$AX$5,$D$11:$AX$91))</f>
        <v>352.72355053915533</v>
      </c>
      <c r="AS436" s="312" cm="1">
        <f t="array" ref="AS436">_xlfn.XLOOKUP($B436,$B$11:$B$91,_xlfn.XLOOKUP(AS$181,$D$5:$AX$5,$D$11:$AX$91))</f>
        <v>458.57229818837226</v>
      </c>
      <c r="AT436" s="312" cm="1">
        <f t="array" ref="AT436">_xlfn.XLOOKUP($B436,$B$11:$B$91,_xlfn.XLOOKUP(AT$181,$D$5:$AX$5,$D$11:$AX$91))</f>
        <v>587.57566607467811</v>
      </c>
      <c r="AU436" s="312" cm="1">
        <f t="array" ref="AU436">_xlfn.XLOOKUP($B436,$B$11:$B$91,_xlfn.XLOOKUP(AU$181,$D$5:$AX$5,$D$11:$AX$91))</f>
        <v>710.06859137762478</v>
      </c>
      <c r="AV436" s="312" cm="1">
        <f t="array" ref="AV436">_xlfn.XLOOKUP($B436,$B$11:$B$91,_xlfn.XLOOKUP(AV$181,$D$5:$AX$5,$D$11:$AX$91))</f>
        <v>913.46297845982997</v>
      </c>
      <c r="AW436" s="312" cm="1">
        <f t="array" ref="AW436">_xlfn.XLOOKUP($B436,$B$11:$B$91,_xlfn.XLOOKUP(AW$181,$D$5:$AX$5,$D$11:$AX$91))</f>
        <v>1127.6528188455538</v>
      </c>
      <c r="AX436" s="312" cm="1">
        <f t="array" ref="AX436">_xlfn.XLOOKUP($B436,$B$11:$B$91,_xlfn.XLOOKUP(AX$181,$D$5:$AX$5,$D$11:$AX$91))</f>
        <v>1370.598173245646</v>
      </c>
    </row>
    <row r="437" spans="2:50" hidden="1" outlineLevel="1">
      <c r="B437" s="305"/>
      <c r="C437" s="313" t="s">
        <v>1121</v>
      </c>
      <c r="D437" s="307" t="s">
        <v>842</v>
      </c>
      <c r="E437" s="307"/>
      <c r="F437" s="307"/>
      <c r="G437" s="314"/>
      <c r="H437" s="314"/>
      <c r="I437" s="314" t="s">
        <v>967</v>
      </c>
      <c r="J437" s="314" t="s">
        <v>967</v>
      </c>
      <c r="K437" s="314" t="e">
        <f t="shared" ref="K437:AF437" si="286">K436/I436-1</f>
        <v>#DIV/0!</v>
      </c>
      <c r="L437" s="314">
        <f t="shared" si="286"/>
        <v>7.9119367045063616E-2</v>
      </c>
      <c r="M437" s="314">
        <f t="shared" si="286"/>
        <v>-0.1694320357370771</v>
      </c>
      <c r="N437" s="314">
        <f t="shared" si="286"/>
        <v>-0.24609499521836142</v>
      </c>
      <c r="O437" s="314">
        <f t="shared" si="286"/>
        <v>-0.16135228582404915</v>
      </c>
      <c r="P437" s="314">
        <f t="shared" si="286"/>
        <v>0.29302325581395361</v>
      </c>
      <c r="Q437" s="314">
        <f t="shared" si="286"/>
        <v>0.72859077025348351</v>
      </c>
      <c r="R437" s="314">
        <f t="shared" si="286"/>
        <v>-0.11988412437914198</v>
      </c>
      <c r="S437" s="314">
        <f t="shared" si="286"/>
        <v>-9.1569391778414833E-2</v>
      </c>
      <c r="T437" s="314">
        <f t="shared" si="286"/>
        <v>0.31056064246892201</v>
      </c>
      <c r="U437" s="314">
        <f t="shared" si="286"/>
        <v>0.25607681917000891</v>
      </c>
      <c r="V437" s="314">
        <f t="shared" si="286"/>
        <v>0.30008982243295601</v>
      </c>
      <c r="W437" s="314">
        <f t="shared" si="286"/>
        <v>0.28234498635613736</v>
      </c>
      <c r="X437" s="314">
        <f t="shared" si="286"/>
        <v>0.28131522204011072</v>
      </c>
      <c r="Y437" s="314">
        <f t="shared" si="286"/>
        <v>0.22408434767494345</v>
      </c>
      <c r="Z437" s="314">
        <f t="shared" si="286"/>
        <v>0.20847174649226941</v>
      </c>
      <c r="AA437" s="314">
        <f t="shared" si="286"/>
        <v>0.24987383348957271</v>
      </c>
      <c r="AB437" s="314">
        <f t="shared" si="286"/>
        <v>0.28644329512955058</v>
      </c>
      <c r="AC437" s="314">
        <f t="shared" si="286"/>
        <v>0.24728378326290312</v>
      </c>
      <c r="AD437" s="314">
        <f t="shared" si="286"/>
        <v>0.23448113983433094</v>
      </c>
      <c r="AE437" s="314">
        <f t="shared" si="286"/>
        <v>0.21525704255331046</v>
      </c>
      <c r="AF437" s="314">
        <f t="shared" si="286"/>
        <v>0.21544339741801899</v>
      </c>
      <c r="AG437" s="315"/>
      <c r="AH437" s="313" t="str">
        <f t="shared" si="265"/>
        <v>- Growth</v>
      </c>
      <c r="AI437" s="307" t="str">
        <f>D437</f>
        <v>%</v>
      </c>
      <c r="AJ437" s="307"/>
      <c r="AK437" s="307"/>
      <c r="AL437" s="314"/>
      <c r="AM437" s="314" t="s">
        <v>967</v>
      </c>
      <c r="AN437" s="314">
        <f t="shared" ref="AN437:AX437" si="287">AN436/AM436-1</f>
        <v>7.9119367045063616E-2</v>
      </c>
      <c r="AO437" s="314">
        <f t="shared" si="287"/>
        <v>-0.24609499521836142</v>
      </c>
      <c r="AP437" s="314">
        <f t="shared" si="287"/>
        <v>0.29302325581395361</v>
      </c>
      <c r="AQ437" s="314">
        <f t="shared" si="287"/>
        <v>-0.11988412437914198</v>
      </c>
      <c r="AR437" s="314">
        <f t="shared" si="287"/>
        <v>0.31056064246892201</v>
      </c>
      <c r="AS437" s="314">
        <f t="shared" si="287"/>
        <v>0.30008982243295601</v>
      </c>
      <c r="AT437" s="314">
        <f t="shared" si="287"/>
        <v>0.28131522204011072</v>
      </c>
      <c r="AU437" s="314">
        <f t="shared" si="287"/>
        <v>0.20847174649226941</v>
      </c>
      <c r="AV437" s="314">
        <f t="shared" si="287"/>
        <v>0.28644329512955058</v>
      </c>
      <c r="AW437" s="314">
        <f t="shared" si="287"/>
        <v>0.23448113983433094</v>
      </c>
      <c r="AX437" s="314">
        <f t="shared" si="287"/>
        <v>0.21544339741801899</v>
      </c>
    </row>
    <row r="438" spans="2:50" collapsed="1">
      <c r="B438" s="305"/>
      <c r="C438" s="313" t="s">
        <v>1122</v>
      </c>
      <c r="D438" s="307" t="s">
        <v>842</v>
      </c>
      <c r="E438" s="307"/>
      <c r="F438" s="307"/>
      <c r="G438" s="314"/>
      <c r="H438" s="314"/>
      <c r="I438" s="314">
        <f t="shared" ref="I438:AF438" si="288" xml:space="preserve"> IFERROR(ROUND( I436 / I435,3) - 1, 0)</f>
        <v>0</v>
      </c>
      <c r="J438" s="314">
        <f t="shared" si="288"/>
        <v>0</v>
      </c>
      <c r="K438" s="314">
        <f t="shared" si="288"/>
        <v>0</v>
      </c>
      <c r="L438" s="314">
        <f t="shared" si="288"/>
        <v>0</v>
      </c>
      <c r="M438" s="314">
        <f t="shared" si="288"/>
        <v>0</v>
      </c>
      <c r="N438" s="314">
        <f t="shared" si="288"/>
        <v>0</v>
      </c>
      <c r="O438" s="314">
        <f t="shared" si="288"/>
        <v>0</v>
      </c>
      <c r="P438" s="314">
        <f t="shared" si="288"/>
        <v>0.3580000000000001</v>
      </c>
      <c r="Q438" s="314">
        <f t="shared" si="288"/>
        <v>0.3580000000000001</v>
      </c>
      <c r="R438" s="314">
        <f t="shared" si="288"/>
        <v>-7.0999999999999952E-2</v>
      </c>
      <c r="S438" s="314">
        <f t="shared" si="288"/>
        <v>-0.10399999999999998</v>
      </c>
      <c r="T438" s="314">
        <f t="shared" si="288"/>
        <v>-0.16800000000000004</v>
      </c>
      <c r="U438" s="314">
        <f t="shared" si="288"/>
        <v>-0.18500000000000005</v>
      </c>
      <c r="V438" s="314">
        <f t="shared" si="288"/>
        <v>-0.20799999999999996</v>
      </c>
      <c r="W438" s="314">
        <f t="shared" si="288"/>
        <v>-0.19899999999999995</v>
      </c>
      <c r="X438" s="314">
        <f t="shared" si="288"/>
        <v>-0.21299999999999997</v>
      </c>
      <c r="Y438" s="314">
        <f t="shared" si="288"/>
        <v>-0.21199999999999997</v>
      </c>
      <c r="Z438" s="314">
        <f t="shared" si="288"/>
        <v>-0.22399999999999998</v>
      </c>
      <c r="AA438" s="314">
        <f t="shared" si="288"/>
        <v>-0.21699999999999997</v>
      </c>
      <c r="AB438" s="314">
        <f t="shared" si="288"/>
        <v>-0.22399999999999998</v>
      </c>
      <c r="AC438" s="314">
        <f t="shared" si="288"/>
        <v>-0.21499999999999997</v>
      </c>
      <c r="AD438" s="314">
        <f t="shared" si="288"/>
        <v>-0.21999999999999997</v>
      </c>
      <c r="AE438" s="314">
        <f t="shared" si="288"/>
        <v>-0.20599999999999996</v>
      </c>
      <c r="AF438" s="314">
        <f t="shared" si="288"/>
        <v>-0.20299999999999996</v>
      </c>
      <c r="AG438" s="314"/>
      <c r="AH438" s="313" t="str">
        <f t="shared" si="265"/>
        <v>- Revision</v>
      </c>
      <c r="AI438" s="307" t="str">
        <f>D438</f>
        <v>%</v>
      </c>
      <c r="AJ438" s="307"/>
      <c r="AK438" s="307"/>
      <c r="AL438" s="314"/>
      <c r="AM438" s="314">
        <f t="shared" ref="AM438:AX438" si="289" xml:space="preserve"> IFERROR(ROUND( AM436 / AM435,3) - 1, 0)</f>
        <v>0</v>
      </c>
      <c r="AN438" s="314">
        <f t="shared" si="289"/>
        <v>0</v>
      </c>
      <c r="AO438" s="314">
        <f t="shared" si="289"/>
        <v>0</v>
      </c>
      <c r="AP438" s="314">
        <f t="shared" si="289"/>
        <v>0.3580000000000001</v>
      </c>
      <c r="AQ438" s="314">
        <f t="shared" si="289"/>
        <v>-7.0999999999999952E-2</v>
      </c>
      <c r="AR438" s="314">
        <f t="shared" si="289"/>
        <v>-0.16800000000000004</v>
      </c>
      <c r="AS438" s="314">
        <f t="shared" si="289"/>
        <v>-0.20799999999999996</v>
      </c>
      <c r="AT438" s="314">
        <f t="shared" si="289"/>
        <v>-0.21299999999999997</v>
      </c>
      <c r="AU438" s="314">
        <f t="shared" si="289"/>
        <v>-0.22399999999999998</v>
      </c>
      <c r="AV438" s="314">
        <f t="shared" si="289"/>
        <v>-0.22399999999999998</v>
      </c>
      <c r="AW438" s="314">
        <f t="shared" si="289"/>
        <v>-0.21999999999999997</v>
      </c>
      <c r="AX438" s="314">
        <f t="shared" si="289"/>
        <v>-0.20299999999999996</v>
      </c>
    </row>
    <row r="439" spans="2:50" s="704" customFormat="1">
      <c r="B439" s="705" t="s">
        <v>1474</v>
      </c>
      <c r="C439" s="706" t="str">
        <f>_xlfn.TEXTAFTER($B439,$C$412)&amp;" - old"</f>
        <v>Net Debt (company adjusted) - old</v>
      </c>
      <c r="D439" s="707" t="str" cm="1">
        <f t="array" ref="D439">_xlfn.XLOOKUP($B439,$B$96:$B$176,_xlfn.XLOOKUP(D$181,$D$5:$AX$5,$D$96:$AX$176))</f>
        <v>A$m</v>
      </c>
      <c r="E439" s="707"/>
      <c r="F439" s="707"/>
      <c r="G439" s="708"/>
      <c r="H439" s="708"/>
      <c r="I439" s="708" cm="1">
        <f t="array" ref="I439">_xlfn.XLOOKUP($B439,$B$96:$B$176,_xlfn.XLOOKUP(I$181,$D$5:$AX$5,$D$96:$AX$176))</f>
        <v>0</v>
      </c>
      <c r="J439" s="708" cm="1">
        <f t="array" ref="J439">_xlfn.XLOOKUP($B439,$B$96:$B$176,_xlfn.XLOOKUP(J$181,$D$5:$AX$5,$D$96:$AX$176))</f>
        <v>295</v>
      </c>
      <c r="K439" s="708" cm="1">
        <f t="array" ref="K439">_xlfn.XLOOKUP($B439,$B$96:$B$176,_xlfn.XLOOKUP(K$181,$D$5:$AX$5,$D$96:$AX$176))</f>
        <v>0</v>
      </c>
      <c r="L439" s="708" cm="1">
        <f t="array" ref="L439">_xlfn.XLOOKUP($B439,$B$96:$B$176,_xlfn.XLOOKUP(L$181,$D$5:$AX$5,$D$96:$AX$176))</f>
        <v>860</v>
      </c>
      <c r="M439" s="708" cm="1">
        <f t="array" ref="M439">_xlfn.XLOOKUP($B439,$B$96:$B$176,_xlfn.XLOOKUP(M$181,$D$5:$AX$5,$D$96:$AX$176))</f>
        <v>753</v>
      </c>
      <c r="N439" s="708" cm="1">
        <f t="array" ref="N439">_xlfn.XLOOKUP($B439,$B$96:$B$176,_xlfn.XLOOKUP(N$181,$D$5:$AX$5,$D$96:$AX$176))</f>
        <v>609</v>
      </c>
      <c r="O439" s="708" cm="1">
        <f t="array" ref="O439">_xlfn.XLOOKUP($B439,$B$96:$B$176,_xlfn.XLOOKUP(O$181,$D$5:$AX$5,$D$96:$AX$176))</f>
        <v>631</v>
      </c>
      <c r="P439" s="708" cm="1">
        <f t="array" ref="P439">_xlfn.XLOOKUP($B439,$B$96:$B$176,_xlfn.XLOOKUP(P$181,$D$5:$AX$5,$D$96:$AX$176))</f>
        <v>624.08973616224125</v>
      </c>
      <c r="Q439" s="708" cm="1">
        <f t="array" ref="Q439">_xlfn.XLOOKUP($B439,$B$96:$B$176,_xlfn.XLOOKUP(Q$181,$D$5:$AX$5,$D$96:$AX$176))</f>
        <v>571.39941267808035</v>
      </c>
      <c r="R439" s="708" cm="1">
        <f t="array" ref="R439">_xlfn.XLOOKUP($B439,$B$96:$B$176,_xlfn.XLOOKUP(R$181,$D$5:$AX$5,$D$96:$AX$176))</f>
        <v>559.5821028875672</v>
      </c>
      <c r="S439" s="708" cm="1">
        <f t="array" ref="S439">_xlfn.XLOOKUP($B439,$B$96:$B$176,_xlfn.XLOOKUP(S$181,$D$5:$AX$5,$D$96:$AX$176))</f>
        <v>466.62618275781864</v>
      </c>
      <c r="T439" s="708" cm="1">
        <f t="array" ref="T439">_xlfn.XLOOKUP($B439,$B$96:$B$176,_xlfn.XLOOKUP(T$181,$D$5:$AX$5,$D$96:$AX$176))</f>
        <v>425.25355294156054</v>
      </c>
      <c r="U439" s="708" cm="1">
        <f t="array" ref="U439">_xlfn.XLOOKUP($B439,$B$96:$B$176,_xlfn.XLOOKUP(U$181,$D$5:$AX$5,$D$96:$AX$176))</f>
        <v>320.73584822429962</v>
      </c>
      <c r="V439" s="708" cm="1">
        <f t="array" ref="V439">_xlfn.XLOOKUP($B439,$B$96:$B$176,_xlfn.XLOOKUP(V$181,$D$5:$AX$5,$D$96:$AX$176))</f>
        <v>270.23219492674991</v>
      </c>
      <c r="W439" s="708" cm="1">
        <f t="array" ref="W439">_xlfn.XLOOKUP($B439,$B$96:$B$176,_xlfn.XLOOKUP(W$181,$D$5:$AX$5,$D$96:$AX$176))</f>
        <v>159.86551711882294</v>
      </c>
      <c r="X439" s="708" cm="1">
        <f t="array" ref="X439">_xlfn.XLOOKUP($B439,$B$96:$B$176,_xlfn.XLOOKUP(X$181,$D$5:$AX$5,$D$96:$AX$176))</f>
        <v>103.08573254216878</v>
      </c>
      <c r="Y439" s="708" cm="1">
        <f t="array" ref="Y439">_xlfn.XLOOKUP($B439,$B$96:$B$176,_xlfn.XLOOKUP(Y$181,$D$5:$AX$5,$D$96:$AX$176))</f>
        <v>-8.6256737111401662</v>
      </c>
      <c r="Z439" s="708" cm="1">
        <f t="array" ref="Z439">_xlfn.XLOOKUP($B439,$B$96:$B$176,_xlfn.XLOOKUP(Z$181,$D$5:$AX$5,$D$96:$AX$176))</f>
        <v>-65.926582816263362</v>
      </c>
      <c r="AA439" s="708" cm="1">
        <f t="array" ref="AA439">_xlfn.XLOOKUP($B439,$B$96:$B$176,_xlfn.XLOOKUP(AA$181,$D$5:$AX$5,$D$96:$AX$176))</f>
        <v>-229.67092236772692</v>
      </c>
      <c r="AB439" s="708" cm="1">
        <f t="array" ref="AB439">_xlfn.XLOOKUP($B439,$B$96:$B$176,_xlfn.XLOOKUP(AB$181,$D$5:$AX$5,$D$96:$AX$176))</f>
        <v>-327.35208328689919</v>
      </c>
      <c r="AC439" s="708" cm="1">
        <f t="array" ref="AC439">_xlfn.XLOOKUP($B439,$B$96:$B$176,_xlfn.XLOOKUP(AC$181,$D$5:$AX$5,$D$96:$AX$176))</f>
        <v>-493.40437151480569</v>
      </c>
      <c r="AD439" s="708" cm="1">
        <f t="array" ref="AD439">_xlfn.XLOOKUP($B439,$B$96:$B$176,_xlfn.XLOOKUP(AD$181,$D$5:$AX$5,$D$96:$AX$176))</f>
        <v>-596.50506067312494</v>
      </c>
      <c r="AE439" s="708" cm="1">
        <f t="array" ref="AE439">_xlfn.XLOOKUP($B439,$B$96:$B$176,_xlfn.XLOOKUP(AE$181,$D$5:$AX$5,$D$96:$AX$176))</f>
        <v>-763.43484463158779</v>
      </c>
      <c r="AF439" s="708" cm="1">
        <f t="array" ref="AF439">_xlfn.XLOOKUP($B439,$B$96:$B$176,_xlfn.XLOOKUP(AF$181,$D$5:$AX$5,$D$96:$AX$176))</f>
        <v>-869.38236914909339</v>
      </c>
      <c r="AG439" s="709"/>
      <c r="AH439" s="706" t="str">
        <f t="shared" si="265"/>
        <v>Net Debt (company adjusted) - old</v>
      </c>
      <c r="AI439" s="707" t="str" cm="1">
        <f t="array" ref="AI439">_xlfn.XLOOKUP($B439,$B$96:$B$176,_xlfn.XLOOKUP(AI$181,$D$5:$AX$5,$D$96:$AX$176))</f>
        <v>A$m</v>
      </c>
      <c r="AJ439" s="707"/>
      <c r="AK439" s="707"/>
      <c r="AL439" s="708"/>
      <c r="AM439" s="708" cm="1">
        <f t="array" ref="AM439">_xlfn.XLOOKUP($B439,$B$96:$B$176,_xlfn.XLOOKUP(AM$181,$D$5:$AX$5,$D$96:$AX$176))</f>
        <v>295</v>
      </c>
      <c r="AN439" s="708" cm="1">
        <f t="array" ref="AN439">_xlfn.XLOOKUP($B439,$B$96:$B$176,_xlfn.XLOOKUP(AN$181,$D$5:$AX$5,$D$96:$AX$176))</f>
        <v>860</v>
      </c>
      <c r="AO439" s="708" cm="1">
        <f t="array" ref="AO439">_xlfn.XLOOKUP($B439,$B$96:$B$176,_xlfn.XLOOKUP(AO$181,$D$5:$AX$5,$D$96:$AX$176))</f>
        <v>609</v>
      </c>
      <c r="AP439" s="708" cm="1">
        <f t="array" ref="AP439">_xlfn.XLOOKUP($B439,$B$96:$B$176,_xlfn.XLOOKUP(AP$181,$D$5:$AX$5,$D$96:$AX$176))</f>
        <v>624.08973616224125</v>
      </c>
      <c r="AQ439" s="708" cm="1">
        <f t="array" ref="AQ439">_xlfn.XLOOKUP($B439,$B$96:$B$176,_xlfn.XLOOKUP(AQ$181,$D$5:$AX$5,$D$96:$AX$176))</f>
        <v>559.5821028875672</v>
      </c>
      <c r="AR439" s="708" cm="1">
        <f t="array" ref="AR439">_xlfn.XLOOKUP($B439,$B$96:$B$176,_xlfn.XLOOKUP(AR$181,$D$5:$AX$5,$D$96:$AX$176))</f>
        <v>425.25355294156054</v>
      </c>
      <c r="AS439" s="708" cm="1">
        <f t="array" ref="AS439">_xlfn.XLOOKUP($B439,$B$96:$B$176,_xlfn.XLOOKUP(AS$181,$D$5:$AX$5,$D$96:$AX$176))</f>
        <v>270.23219492674991</v>
      </c>
      <c r="AT439" s="708" cm="1">
        <f t="array" ref="AT439">_xlfn.XLOOKUP($B439,$B$96:$B$176,_xlfn.XLOOKUP(AT$181,$D$5:$AX$5,$D$96:$AX$176))</f>
        <v>103.08573254216878</v>
      </c>
      <c r="AU439" s="708" cm="1">
        <f t="array" ref="AU439">_xlfn.XLOOKUP($B439,$B$96:$B$176,_xlfn.XLOOKUP(AU$181,$D$5:$AX$5,$D$96:$AX$176))</f>
        <v>-65.926582816263362</v>
      </c>
      <c r="AV439" s="708" cm="1">
        <f t="array" ref="AV439">_xlfn.XLOOKUP($B439,$B$96:$B$176,_xlfn.XLOOKUP(AV$181,$D$5:$AX$5,$D$96:$AX$176))</f>
        <v>-327.35208328689919</v>
      </c>
      <c r="AW439" s="708" cm="1">
        <f t="array" ref="AW439">_xlfn.XLOOKUP($B439,$B$96:$B$176,_xlfn.XLOOKUP(AW$181,$D$5:$AX$5,$D$96:$AX$176))</f>
        <v>-596.50506067312494</v>
      </c>
      <c r="AX439" s="708" cm="1">
        <f t="array" ref="AX439">_xlfn.XLOOKUP($B439,$B$96:$B$176,_xlfn.XLOOKUP(AX$181,$D$5:$AX$5,$D$96:$AX$176))</f>
        <v>-869.38236914909339</v>
      </c>
    </row>
    <row r="440" spans="2:50">
      <c r="B440" s="305" t="s">
        <v>1474</v>
      </c>
      <c r="C440" s="318" t="str">
        <f>_xlfn.TEXTAFTER($B440,$C$412)&amp;" - New"</f>
        <v>Net Debt (company adjusted) - New</v>
      </c>
      <c r="D440" s="311" t="str" cm="1">
        <f t="array" ref="D440">_xlfn.XLOOKUP($B440,$B$11:$B$91,_xlfn.XLOOKUP(D$181,$D$5:$AX$5,$D$11:$AX$91))</f>
        <v>A$m</v>
      </c>
      <c r="E440" s="311"/>
      <c r="F440" s="311"/>
      <c r="G440" s="312"/>
      <c r="H440" s="312"/>
      <c r="I440" s="312" cm="1">
        <f t="array" ref="I440">_xlfn.XLOOKUP($B440,$B$11:$B$91,_xlfn.XLOOKUP(I$181,$D$5:$AX$5,$D$11:$AX$91))</f>
        <v>0</v>
      </c>
      <c r="J440" s="312" cm="1">
        <f t="array" ref="J440">_xlfn.XLOOKUP($B440,$B$11:$B$91,_xlfn.XLOOKUP(J$181,$D$5:$AX$5,$D$11:$AX$91))</f>
        <v>295</v>
      </c>
      <c r="K440" s="312" cm="1">
        <f t="array" ref="K440">_xlfn.XLOOKUP($B440,$B$11:$B$91,_xlfn.XLOOKUP(K$181,$D$5:$AX$5,$D$11:$AX$91))</f>
        <v>0</v>
      </c>
      <c r="L440" s="312" cm="1">
        <f t="array" ref="L440">_xlfn.XLOOKUP($B440,$B$11:$B$91,_xlfn.XLOOKUP(L$181,$D$5:$AX$5,$D$11:$AX$91))</f>
        <v>860</v>
      </c>
      <c r="M440" s="312" cm="1">
        <f t="array" ref="M440">_xlfn.XLOOKUP($B440,$B$11:$B$91,_xlfn.XLOOKUP(M$181,$D$5:$AX$5,$D$11:$AX$91))</f>
        <v>753</v>
      </c>
      <c r="N440" s="312" cm="1">
        <f t="array" ref="N440">_xlfn.XLOOKUP($B440,$B$11:$B$91,_xlfn.XLOOKUP(N$181,$D$5:$AX$5,$D$11:$AX$91))</f>
        <v>609</v>
      </c>
      <c r="O440" s="312" cm="1">
        <f t="array" ref="O440">_xlfn.XLOOKUP($B440,$B$11:$B$91,_xlfn.XLOOKUP(O$181,$D$5:$AX$5,$D$11:$AX$91))</f>
        <v>631</v>
      </c>
      <c r="P440" s="312" cm="1">
        <f t="array" ref="P440">_xlfn.XLOOKUP($B440,$B$11:$B$91,_xlfn.XLOOKUP(P$181,$D$5:$AX$5,$D$11:$AX$91))</f>
        <v>533</v>
      </c>
      <c r="Q440" s="312" cm="1">
        <f t="array" ref="Q440">_xlfn.XLOOKUP($B440,$B$11:$B$91,_xlfn.XLOOKUP(Q$181,$D$5:$AX$5,$D$11:$AX$91))</f>
        <v>461.44863485366449</v>
      </c>
      <c r="R440" s="312" cm="1">
        <f t="array" ref="R440">_xlfn.XLOOKUP($B440,$B$11:$B$91,_xlfn.XLOOKUP(R$181,$D$5:$AX$5,$D$11:$AX$91))</f>
        <v>744.66056523514158</v>
      </c>
      <c r="S440" s="312" cm="1">
        <f t="array" ref="S440">_xlfn.XLOOKUP($B440,$B$11:$B$91,_xlfn.XLOOKUP(S$181,$D$5:$AX$5,$D$11:$AX$91))</f>
        <v>671.00246984686896</v>
      </c>
      <c r="T440" s="312" cm="1">
        <f t="array" ref="T440">_xlfn.XLOOKUP($B440,$B$11:$B$91,_xlfn.XLOOKUP(T$181,$D$5:$AX$5,$D$11:$AX$91))</f>
        <v>661.07644946084463</v>
      </c>
      <c r="U440" s="312" cm="1">
        <f t="array" ref="U440">_xlfn.XLOOKUP($B440,$B$11:$B$91,_xlfn.XLOOKUP(U$181,$D$5:$AX$5,$D$11:$AX$91))</f>
        <v>583.21996870592</v>
      </c>
      <c r="V440" s="312" cm="1">
        <f t="array" ref="V440">_xlfn.XLOOKUP($B440,$B$11:$B$91,_xlfn.XLOOKUP(V$181,$D$5:$AX$5,$D$11:$AX$91))</f>
        <v>555.22770181162764</v>
      </c>
      <c r="W440" s="312" cm="1">
        <f t="array" ref="W440">_xlfn.XLOOKUP($B440,$B$11:$B$91,_xlfn.XLOOKUP(W$181,$D$5:$AX$5,$D$11:$AX$91))</f>
        <v>461.64785564496776</v>
      </c>
      <c r="X440" s="312" cm="1">
        <f t="array" ref="X440">_xlfn.XLOOKUP($B440,$B$11:$B$91,_xlfn.XLOOKUP(X$181,$D$5:$AX$5,$D$11:$AX$91))</f>
        <v>426.22433392532184</v>
      </c>
      <c r="Y440" s="312" cm="1">
        <f t="array" ref="Y440">_xlfn.XLOOKUP($B440,$B$11:$B$91,_xlfn.XLOOKUP(Y$181,$D$5:$AX$5,$D$11:$AX$91))</f>
        <v>337.91920255984917</v>
      </c>
      <c r="Z440" s="312" cm="1">
        <f t="array" ref="Z440">_xlfn.XLOOKUP($B440,$B$11:$B$91,_xlfn.XLOOKUP(Z$181,$D$5:$AX$5,$D$11:$AX$91))</f>
        <v>303.73140862237517</v>
      </c>
      <c r="AA440" s="312" cm="1">
        <f t="array" ref="AA440">_xlfn.XLOOKUP($B440,$B$11:$B$91,_xlfn.XLOOKUP(AA$181,$D$5:$AX$5,$D$11:$AX$91))</f>
        <v>169.03427672148928</v>
      </c>
      <c r="AB440" s="312" cm="1">
        <f t="array" ref="AB440">_xlfn.XLOOKUP($B440,$B$11:$B$91,_xlfn.XLOOKUP(AB$181,$D$5:$AX$5,$D$11:$AX$91))</f>
        <v>100.33702154016999</v>
      </c>
      <c r="AC440" s="312" cm="1">
        <f t="array" ref="AC440">_xlfn.XLOOKUP($B440,$B$11:$B$91,_xlfn.XLOOKUP(AC$181,$D$5:$AX$5,$D$11:$AX$91))</f>
        <v>-39.862587301643543</v>
      </c>
      <c r="AD440" s="312" cm="1">
        <f t="array" ref="AD440">_xlfn.XLOOKUP($B440,$B$11:$B$91,_xlfn.XLOOKUP(AD$181,$D$5:$AX$5,$D$11:$AX$91))</f>
        <v>-113.85281884555388</v>
      </c>
      <c r="AE440" s="312" cm="1">
        <f t="array" ref="AE440">_xlfn.XLOOKUP($B440,$B$11:$B$91,_xlfn.XLOOKUP(AE$181,$D$5:$AX$5,$D$11:$AX$91))</f>
        <v>-266.67087969326462</v>
      </c>
      <c r="AF440" s="312" cm="1">
        <f t="array" ref="AF440">_xlfn.XLOOKUP($B440,$B$11:$B$91,_xlfn.XLOOKUP(AF$181,$D$5:$AX$5,$D$11:$AX$91))</f>
        <v>-356.79817324564601</v>
      </c>
      <c r="AG440" s="312"/>
      <c r="AH440" s="310" t="str">
        <f t="shared" si="265"/>
        <v>Net Debt (company adjusted) - New</v>
      </c>
      <c r="AI440" s="311" t="str" cm="1">
        <f t="array" ref="AI440">_xlfn.XLOOKUP($B440,$B$11:$B$91,_xlfn.XLOOKUP(AI$181,$D$5:$AX$5,$D$11:$AX$91))</f>
        <v>A$m</v>
      </c>
      <c r="AJ440" s="311"/>
      <c r="AK440" s="311"/>
      <c r="AL440" s="312"/>
      <c r="AM440" s="312" cm="1">
        <f t="array" ref="AM440">_xlfn.XLOOKUP($B440,$B$11:$B$91,_xlfn.XLOOKUP(AM$181,$D$5:$AX$5,$D$11:$AX$91))</f>
        <v>295</v>
      </c>
      <c r="AN440" s="312" cm="1">
        <f t="array" ref="AN440">_xlfn.XLOOKUP($B440,$B$11:$B$91,_xlfn.XLOOKUP(AN$181,$D$5:$AX$5,$D$11:$AX$91))</f>
        <v>860</v>
      </c>
      <c r="AO440" s="312" cm="1">
        <f t="array" ref="AO440">_xlfn.XLOOKUP($B440,$B$11:$B$91,_xlfn.XLOOKUP(AO$181,$D$5:$AX$5,$D$11:$AX$91))</f>
        <v>609</v>
      </c>
      <c r="AP440" s="312" cm="1">
        <f t="array" ref="AP440">_xlfn.XLOOKUP($B440,$B$11:$B$91,_xlfn.XLOOKUP(AP$181,$D$5:$AX$5,$D$11:$AX$91))</f>
        <v>533</v>
      </c>
      <c r="AQ440" s="312" cm="1">
        <f t="array" ref="AQ440">_xlfn.XLOOKUP($B440,$B$11:$B$91,_xlfn.XLOOKUP(AQ$181,$D$5:$AX$5,$D$11:$AX$91))</f>
        <v>744.66056523514158</v>
      </c>
      <c r="AR440" s="312" cm="1">
        <f t="array" ref="AR440">_xlfn.XLOOKUP($B440,$B$11:$B$91,_xlfn.XLOOKUP(AR$181,$D$5:$AX$5,$D$11:$AX$91))</f>
        <v>661.07644946084463</v>
      </c>
      <c r="AS440" s="312" cm="1">
        <f t="array" ref="AS440">_xlfn.XLOOKUP($B440,$B$11:$B$91,_xlfn.XLOOKUP(AS$181,$D$5:$AX$5,$D$11:$AX$91))</f>
        <v>555.22770181162764</v>
      </c>
      <c r="AT440" s="312" cm="1">
        <f t="array" ref="AT440">_xlfn.XLOOKUP($B440,$B$11:$B$91,_xlfn.XLOOKUP(AT$181,$D$5:$AX$5,$D$11:$AX$91))</f>
        <v>426.22433392532184</v>
      </c>
      <c r="AU440" s="312" cm="1">
        <f t="array" ref="AU440">_xlfn.XLOOKUP($B440,$B$11:$B$91,_xlfn.XLOOKUP(AU$181,$D$5:$AX$5,$D$11:$AX$91))</f>
        <v>303.73140862237517</v>
      </c>
      <c r="AV440" s="312" cm="1">
        <f t="array" ref="AV440">_xlfn.XLOOKUP($B440,$B$11:$B$91,_xlfn.XLOOKUP(AV$181,$D$5:$AX$5,$D$11:$AX$91))</f>
        <v>100.33702154016999</v>
      </c>
      <c r="AW440" s="312" cm="1">
        <f t="array" ref="AW440">_xlfn.XLOOKUP($B440,$B$11:$B$91,_xlfn.XLOOKUP(AW$181,$D$5:$AX$5,$D$11:$AX$91))</f>
        <v>-113.85281884555388</v>
      </c>
      <c r="AX440" s="312" cm="1">
        <f t="array" ref="AX440">_xlfn.XLOOKUP($B440,$B$11:$B$91,_xlfn.XLOOKUP(AX$181,$D$5:$AX$5,$D$11:$AX$91))</f>
        <v>-356.79817324564601</v>
      </c>
    </row>
    <row r="441" spans="2:50" hidden="1" outlineLevel="1">
      <c r="C441" s="313" t="s">
        <v>1121</v>
      </c>
      <c r="D441" s="307" t="s">
        <v>842</v>
      </c>
      <c r="E441" s="307"/>
      <c r="F441" s="307"/>
      <c r="G441" s="314"/>
      <c r="H441" s="314"/>
      <c r="I441" s="314" t="s">
        <v>967</v>
      </c>
      <c r="J441" s="314" t="s">
        <v>967</v>
      </c>
      <c r="K441" s="314" t="e">
        <f t="shared" ref="K441:AF441" si="290">K440/I440-1</f>
        <v>#DIV/0!</v>
      </c>
      <c r="L441" s="314">
        <f t="shared" si="290"/>
        <v>1.9152542372881354</v>
      </c>
      <c r="M441" s="314" t="e">
        <f t="shared" si="290"/>
        <v>#DIV/0!</v>
      </c>
      <c r="N441" s="314">
        <f t="shared" si="290"/>
        <v>-0.29186046511627906</v>
      </c>
      <c r="O441" s="314">
        <f t="shared" si="290"/>
        <v>-0.16201859229747673</v>
      </c>
      <c r="P441" s="314">
        <f t="shared" si="290"/>
        <v>-0.12479474548440062</v>
      </c>
      <c r="Q441" s="314">
        <f t="shared" si="290"/>
        <v>-0.26870263890069024</v>
      </c>
      <c r="R441" s="314">
        <f t="shared" si="290"/>
        <v>0.39711175466255466</v>
      </c>
      <c r="S441" s="314">
        <f t="shared" si="290"/>
        <v>0.45412169235186628</v>
      </c>
      <c r="T441" s="314">
        <f t="shared" si="290"/>
        <v>-0.11224458454826813</v>
      </c>
      <c r="U441" s="314">
        <f t="shared" si="290"/>
        <v>-0.13082291807507362</v>
      </c>
      <c r="V441" s="314">
        <f t="shared" si="290"/>
        <v>-0.16011574415567864</v>
      </c>
      <c r="W441" s="314">
        <f t="shared" si="290"/>
        <v>-0.20844984668598199</v>
      </c>
      <c r="X441" s="314">
        <f t="shared" si="290"/>
        <v>-0.23234317643983982</v>
      </c>
      <c r="Y441" s="314">
        <f t="shared" si="290"/>
        <v>-0.26801522323169336</v>
      </c>
      <c r="Z441" s="314">
        <f t="shared" si="290"/>
        <v>-0.2873907366452908</v>
      </c>
      <c r="AA441" s="314">
        <f t="shared" si="290"/>
        <v>-0.49977901391516377</v>
      </c>
      <c r="AB441" s="314">
        <f t="shared" si="290"/>
        <v>-0.66965213773818977</v>
      </c>
      <c r="AC441" s="314">
        <f t="shared" si="290"/>
        <v>-1.235825467324142</v>
      </c>
      <c r="AD441" s="314">
        <f t="shared" si="290"/>
        <v>-2.134703991586723</v>
      </c>
      <c r="AE441" s="314">
        <f t="shared" si="290"/>
        <v>5.6897534190478831</v>
      </c>
      <c r="AF441" s="314">
        <f t="shared" si="290"/>
        <v>2.1338545401291968</v>
      </c>
      <c r="AG441" s="315"/>
      <c r="AH441" s="313" t="str">
        <f t="shared" si="265"/>
        <v>- Growth</v>
      </c>
      <c r="AI441" s="307" t="str">
        <f>D441</f>
        <v>%</v>
      </c>
      <c r="AJ441" s="307"/>
      <c r="AK441" s="307"/>
      <c r="AL441" s="314"/>
      <c r="AM441" s="314" t="s">
        <v>967</v>
      </c>
      <c r="AN441" s="314">
        <f t="shared" ref="AN441:AX441" si="291">AN440/AM440-1</f>
        <v>1.9152542372881354</v>
      </c>
      <c r="AO441" s="314">
        <f t="shared" si="291"/>
        <v>-0.29186046511627906</v>
      </c>
      <c r="AP441" s="314">
        <f t="shared" si="291"/>
        <v>-0.12479474548440062</v>
      </c>
      <c r="AQ441" s="314">
        <f t="shared" si="291"/>
        <v>0.39711175466255466</v>
      </c>
      <c r="AR441" s="314">
        <f t="shared" si="291"/>
        <v>-0.11224458454826813</v>
      </c>
      <c r="AS441" s="314">
        <f t="shared" si="291"/>
        <v>-0.16011574415567864</v>
      </c>
      <c r="AT441" s="314">
        <f t="shared" si="291"/>
        <v>-0.23234317643983982</v>
      </c>
      <c r="AU441" s="314">
        <f t="shared" si="291"/>
        <v>-0.2873907366452908</v>
      </c>
      <c r="AV441" s="314">
        <f t="shared" si="291"/>
        <v>-0.66965213773818977</v>
      </c>
      <c r="AW441" s="314">
        <f t="shared" si="291"/>
        <v>-2.134703991586723</v>
      </c>
      <c r="AX441" s="314">
        <f t="shared" si="291"/>
        <v>2.1338545401291968</v>
      </c>
    </row>
    <row r="442" spans="2:50" collapsed="1">
      <c r="C442" s="313" t="s">
        <v>1122</v>
      </c>
      <c r="D442" s="307" t="s">
        <v>842</v>
      </c>
      <c r="E442" s="307"/>
      <c r="F442" s="307"/>
      <c r="G442" s="314"/>
      <c r="H442" s="314"/>
      <c r="I442" s="314">
        <f t="shared" ref="I442:AF442" si="292" xml:space="preserve"> IFERROR(ROUND( I440 / I439,3) - 1, 0)</f>
        <v>0</v>
      </c>
      <c r="J442" s="314">
        <f t="shared" si="292"/>
        <v>0</v>
      </c>
      <c r="K442" s="314">
        <f t="shared" si="292"/>
        <v>0</v>
      </c>
      <c r="L442" s="314">
        <f t="shared" si="292"/>
        <v>0</v>
      </c>
      <c r="M442" s="314">
        <f t="shared" si="292"/>
        <v>0</v>
      </c>
      <c r="N442" s="314">
        <f t="shared" si="292"/>
        <v>0</v>
      </c>
      <c r="O442" s="314">
        <f t="shared" si="292"/>
        <v>0</v>
      </c>
      <c r="P442" s="314">
        <f t="shared" si="292"/>
        <v>-0.14600000000000002</v>
      </c>
      <c r="Q442" s="314">
        <f t="shared" si="292"/>
        <v>-0.19199999999999995</v>
      </c>
      <c r="R442" s="314">
        <f t="shared" si="292"/>
        <v>0.33099999999999996</v>
      </c>
      <c r="S442" s="314">
        <f t="shared" si="292"/>
        <v>0.43799999999999994</v>
      </c>
      <c r="T442" s="314">
        <f t="shared" si="292"/>
        <v>0.55499999999999994</v>
      </c>
      <c r="U442" s="314">
        <f t="shared" si="292"/>
        <v>0.81800000000000006</v>
      </c>
      <c r="V442" s="314">
        <f t="shared" si="292"/>
        <v>1.0550000000000002</v>
      </c>
      <c r="W442" s="314">
        <f t="shared" si="292"/>
        <v>1.8879999999999999</v>
      </c>
      <c r="X442" s="314">
        <f t="shared" si="292"/>
        <v>3.1349999999999998</v>
      </c>
      <c r="Y442" s="314">
        <f t="shared" si="292"/>
        <v>-40.176000000000002</v>
      </c>
      <c r="Z442" s="314">
        <f t="shared" si="292"/>
        <v>-5.6070000000000002</v>
      </c>
      <c r="AA442" s="314">
        <f t="shared" si="292"/>
        <v>-1.736</v>
      </c>
      <c r="AB442" s="314">
        <f t="shared" si="292"/>
        <v>-1.3069999999999999</v>
      </c>
      <c r="AC442" s="314">
        <f t="shared" si="292"/>
        <v>-0.91900000000000004</v>
      </c>
      <c r="AD442" s="314">
        <f t="shared" si="292"/>
        <v>-0.80899999999999994</v>
      </c>
      <c r="AE442" s="314">
        <f t="shared" si="292"/>
        <v>-0.65100000000000002</v>
      </c>
      <c r="AF442" s="314">
        <f t="shared" si="292"/>
        <v>-0.59000000000000008</v>
      </c>
      <c r="AG442" s="314"/>
      <c r="AH442" s="313" t="str">
        <f t="shared" si="265"/>
        <v>- Revision</v>
      </c>
      <c r="AI442" s="307" t="str">
        <f>D442</f>
        <v>%</v>
      </c>
      <c r="AJ442" s="307"/>
      <c r="AK442" s="307"/>
      <c r="AL442" s="314"/>
      <c r="AM442" s="314">
        <f t="shared" ref="AM442:AX442" si="293" xml:space="preserve"> IFERROR(ROUND( AM440 / AM439,3) - 1, 0)</f>
        <v>0</v>
      </c>
      <c r="AN442" s="314">
        <f t="shared" si="293"/>
        <v>0</v>
      </c>
      <c r="AO442" s="314">
        <f t="shared" si="293"/>
        <v>0</v>
      </c>
      <c r="AP442" s="314">
        <f t="shared" si="293"/>
        <v>-0.14600000000000002</v>
      </c>
      <c r="AQ442" s="314">
        <f t="shared" si="293"/>
        <v>0.33099999999999996</v>
      </c>
      <c r="AR442" s="314">
        <f t="shared" si="293"/>
        <v>0.55499999999999994</v>
      </c>
      <c r="AS442" s="314">
        <f t="shared" si="293"/>
        <v>1.0550000000000002</v>
      </c>
      <c r="AT442" s="314">
        <f t="shared" si="293"/>
        <v>3.1349999999999998</v>
      </c>
      <c r="AU442" s="314">
        <f t="shared" si="293"/>
        <v>-5.6070000000000002</v>
      </c>
      <c r="AV442" s="314">
        <f t="shared" si="293"/>
        <v>-1.3069999999999999</v>
      </c>
      <c r="AW442" s="314">
        <f t="shared" si="293"/>
        <v>-0.80899999999999994</v>
      </c>
      <c r="AX442" s="314">
        <f t="shared" si="293"/>
        <v>-0.59000000000000008</v>
      </c>
    </row>
    <row r="443" spans="2:50">
      <c r="B443" s="305" t="s">
        <v>1475</v>
      </c>
      <c r="C443" s="706" t="str">
        <f>_xlfn.TEXTAFTER($B443,$C$412)&amp;" - old"</f>
        <v>Net Debt/EBITDA (company adjusted) - old</v>
      </c>
      <c r="D443" s="707" t="str" cm="1">
        <f t="array" ref="D443">_xlfn.XLOOKUP($B443,$B$96:$B$176,_xlfn.XLOOKUP(D$181,$D$5:$AX$5,$D$96:$AX$176))</f>
        <v>x</v>
      </c>
      <c r="E443" s="307"/>
      <c r="F443" s="307"/>
      <c r="G443" s="708"/>
      <c r="H443" s="708"/>
      <c r="I443" s="726" cm="1">
        <f t="array" ref="I443">_xlfn.XLOOKUP($B443,$B$96:$B$176,_xlfn.XLOOKUP(I$181,$D$5:$AX$5,$D$96:$AX$176))</f>
        <v>0</v>
      </c>
      <c r="J443" s="726" cm="1">
        <f t="array" ref="J443">_xlfn.XLOOKUP($B443,$B$96:$B$176,_xlfn.XLOOKUP(J$181,$D$5:$AX$5,$D$96:$AX$176))</f>
        <v>0.8</v>
      </c>
      <c r="K443" s="726" cm="1">
        <f t="array" ref="K443">_xlfn.XLOOKUP($B443,$B$96:$B$176,_xlfn.XLOOKUP(K$181,$D$5:$AX$5,$D$96:$AX$176))</f>
        <v>0</v>
      </c>
      <c r="L443" s="726" cm="1">
        <f t="array" ref="L443">_xlfn.XLOOKUP($B443,$B$96:$B$176,_xlfn.XLOOKUP(L$181,$D$5:$AX$5,$D$96:$AX$176))</f>
        <v>2.7</v>
      </c>
      <c r="M443" s="726" cm="1">
        <f t="array" ref="M443">_xlfn.XLOOKUP($B443,$B$96:$B$176,_xlfn.XLOOKUP(M$181,$D$5:$AX$5,$D$96:$AX$176))</f>
        <v>2.2000000000000002</v>
      </c>
      <c r="N443" s="726" cm="1">
        <f t="array" ref="N443">_xlfn.XLOOKUP($B443,$B$96:$B$176,_xlfn.XLOOKUP(N$181,$D$5:$AX$5,$D$96:$AX$176))</f>
        <v>1.6</v>
      </c>
      <c r="O443" s="726" cm="1">
        <f t="array" ref="O443">_xlfn.XLOOKUP($B443,$B$96:$B$176,_xlfn.XLOOKUP(O$181,$D$5:$AX$5,$D$96:$AX$176))</f>
        <v>1.5</v>
      </c>
      <c r="P443" s="726" cm="1">
        <f t="array" ref="P443">_xlfn.XLOOKUP($B443,$B$96:$B$176,_xlfn.XLOOKUP(P$181,$D$5:$AX$5,$D$96:$AX$176))</f>
        <v>1.4566859058581663</v>
      </c>
      <c r="Q443" s="726" cm="1">
        <f t="array" ref="Q443">_xlfn.XLOOKUP($B443,$B$96:$B$176,_xlfn.XLOOKUP(Q$181,$D$5:$AX$5,$D$96:$AX$176))</f>
        <v>1.2478071319534567</v>
      </c>
      <c r="R443" s="726" cm="1">
        <f t="array" ref="R443">_xlfn.XLOOKUP($B443,$B$96:$B$176,_xlfn.XLOOKUP(R$181,$D$5:$AX$5,$D$96:$AX$176))</f>
        <v>1.1835389899336866</v>
      </c>
      <c r="S443" s="726" cm="1">
        <f t="array" ref="S443">_xlfn.XLOOKUP($B443,$B$96:$B$176,_xlfn.XLOOKUP(S$181,$D$5:$AX$5,$D$96:$AX$176))</f>
        <v>0.97342106785209015</v>
      </c>
      <c r="T443" s="726" cm="1">
        <f t="array" ref="T443">_xlfn.XLOOKUP($B443,$B$96:$B$176,_xlfn.XLOOKUP(T$181,$D$5:$AX$5,$D$96:$AX$176))</f>
        <v>0.87891589516283908</v>
      </c>
      <c r="U443" s="726" cm="1">
        <f t="array" ref="U443">_xlfn.XLOOKUP($B443,$B$96:$B$176,_xlfn.XLOOKUP(U$181,$D$5:$AX$5,$D$96:$AX$176))</f>
        <v>0.65602882381101035</v>
      </c>
      <c r="V443" s="726" cm="1">
        <f t="array" ref="V443">_xlfn.XLOOKUP($B443,$B$96:$B$176,_xlfn.XLOOKUP(V$181,$D$5:$AX$5,$D$96:$AX$176))</f>
        <v>0.54755994121354501</v>
      </c>
      <c r="W443" s="726" cm="1">
        <f t="array" ref="W443">_xlfn.XLOOKUP($B443,$B$96:$B$176,_xlfn.XLOOKUP(W$181,$D$5:$AX$5,$D$96:$AX$176))</f>
        <v>0.32053351748008863</v>
      </c>
      <c r="X443" s="726" cm="1">
        <f t="array" ref="X443">_xlfn.XLOOKUP($B443,$B$96:$B$176,_xlfn.XLOOKUP(X$181,$D$5:$AX$5,$D$96:$AX$176))</f>
        <v>0.20473281903910853</v>
      </c>
      <c r="Y443" s="726" cm="1">
        <f t="array" ref="Y443">_xlfn.XLOOKUP($B443,$B$96:$B$176,_xlfn.XLOOKUP(Y$181,$D$5:$AX$5,$D$96:$AX$176))</f>
        <v>-1.6949377092597032E-2</v>
      </c>
      <c r="Z443" s="726" cm="1">
        <f t="array" ref="Z443">_xlfn.XLOOKUP($B443,$B$96:$B$176,_xlfn.XLOOKUP(Z$181,$D$5:$AX$5,$D$96:$AX$176))</f>
        <v>-0.12830462428665848</v>
      </c>
      <c r="AA443" s="726" cm="1">
        <f t="array" ref="AA443">_xlfn.XLOOKUP($B443,$B$96:$B$176,_xlfn.XLOOKUP(AA$181,$D$5:$AX$5,$D$96:$AX$176))</f>
        <v>-0.44218809869660186</v>
      </c>
      <c r="AB443" s="726" cm="1">
        <f t="array" ref="AB443">_xlfn.XLOOKUP($B443,$B$96:$B$176,_xlfn.XLOOKUP(AB$181,$D$5:$AX$5,$D$96:$AX$176))</f>
        <v>-0.62414810394975684</v>
      </c>
      <c r="AC443" s="726" cm="1">
        <f t="array" ref="AC443">_xlfn.XLOOKUP($B443,$B$96:$B$176,_xlfn.XLOOKUP(AC$181,$D$5:$AX$5,$D$96:$AX$176))</f>
        <v>-0.93817237084628124</v>
      </c>
      <c r="AD443" s="726" cm="1">
        <f t="array" ref="AD443">_xlfn.XLOOKUP($B443,$B$96:$B$176,_xlfn.XLOOKUP(AD$181,$D$5:$AX$5,$D$96:$AX$176))</f>
        <v>-1.1315932151839516</v>
      </c>
      <c r="AE443" s="726" cm="1">
        <f t="array" ref="AE443">_xlfn.XLOOKUP($B443,$B$96:$B$176,_xlfn.XLOOKUP(AE$181,$D$5:$AX$5,$D$96:$AX$176))</f>
        <v>-1.4438034158684057</v>
      </c>
      <c r="AF443" s="726" cm="1">
        <f t="array" ref="AF443">_xlfn.XLOOKUP($B443,$B$96:$B$176,_xlfn.XLOOKUP(AF$181,$D$5:$AX$5,$D$96:$AX$176))</f>
        <v>-1.6398591842298882</v>
      </c>
      <c r="AG443" s="309"/>
      <c r="AH443" s="306" t="str">
        <f t="shared" si="265"/>
        <v>Net Debt/EBITDA (company adjusted) - old</v>
      </c>
      <c r="AI443" s="707" t="str" cm="1">
        <f t="array" ref="AI443">_xlfn.XLOOKUP($B443,$B$96:$B$176,_xlfn.XLOOKUP(AI$181,$D$5:$AX$5,$D$96:$AX$176))</f>
        <v>x</v>
      </c>
      <c r="AJ443" s="307"/>
      <c r="AK443" s="307"/>
      <c r="AL443" s="726"/>
      <c r="AM443" s="726" cm="1">
        <f t="array" ref="AM443">_xlfn.XLOOKUP($B443,$B$96:$B$176,_xlfn.XLOOKUP(AM$181,$D$5:$AX$5,$D$96:$AX$176))</f>
        <v>0.8</v>
      </c>
      <c r="AN443" s="726" cm="1">
        <f t="array" ref="AN443">_xlfn.XLOOKUP($B443,$B$96:$B$176,_xlfn.XLOOKUP(AN$181,$D$5:$AX$5,$D$96:$AX$176))</f>
        <v>2.7</v>
      </c>
      <c r="AO443" s="726" cm="1">
        <f t="array" ref="AO443">_xlfn.XLOOKUP($B443,$B$96:$B$176,_xlfn.XLOOKUP(AO$181,$D$5:$AX$5,$D$96:$AX$176))</f>
        <v>1.6</v>
      </c>
      <c r="AP443" s="726" cm="1">
        <f t="array" ref="AP443">_xlfn.XLOOKUP($B443,$B$96:$B$176,_xlfn.XLOOKUP(AP$181,$D$5:$AX$5,$D$96:$AX$176))</f>
        <v>1.4566859058581663</v>
      </c>
      <c r="AQ443" s="726" cm="1">
        <f t="array" ref="AQ443">_xlfn.XLOOKUP($B443,$B$96:$B$176,_xlfn.XLOOKUP(AQ$181,$D$5:$AX$5,$D$96:$AX$176))</f>
        <v>1.1835389899336866</v>
      </c>
      <c r="AR443" s="726" cm="1">
        <f t="array" ref="AR443">_xlfn.XLOOKUP($B443,$B$96:$B$176,_xlfn.XLOOKUP(AR$181,$D$5:$AX$5,$D$96:$AX$176))</f>
        <v>0.87891589516283908</v>
      </c>
      <c r="AS443" s="726" cm="1">
        <f t="array" ref="AS443">_xlfn.XLOOKUP($B443,$B$96:$B$176,_xlfn.XLOOKUP(AS$181,$D$5:$AX$5,$D$96:$AX$176))</f>
        <v>0.54755994121354501</v>
      </c>
      <c r="AT443" s="726" cm="1">
        <f t="array" ref="AT443">_xlfn.XLOOKUP($B443,$B$96:$B$176,_xlfn.XLOOKUP(AT$181,$D$5:$AX$5,$D$96:$AX$176))</f>
        <v>0.20473281903910853</v>
      </c>
      <c r="AU443" s="726" cm="1">
        <f t="array" ref="AU443">_xlfn.XLOOKUP($B443,$B$96:$B$176,_xlfn.XLOOKUP(AU$181,$D$5:$AX$5,$D$96:$AX$176))</f>
        <v>-0.12830462428665848</v>
      </c>
      <c r="AV443" s="726" cm="1">
        <f t="array" ref="AV443">_xlfn.XLOOKUP($B443,$B$96:$B$176,_xlfn.XLOOKUP(AV$181,$D$5:$AX$5,$D$96:$AX$176))</f>
        <v>-0.62414810394975684</v>
      </c>
      <c r="AW443" s="726" cm="1">
        <f t="array" ref="AW443">_xlfn.XLOOKUP($B443,$B$96:$B$176,_xlfn.XLOOKUP(AW$181,$D$5:$AX$5,$D$96:$AX$176))</f>
        <v>-1.1315932151839516</v>
      </c>
      <c r="AX443" s="726" cm="1">
        <f t="array" ref="AX443">_xlfn.XLOOKUP($B443,$B$96:$B$176,_xlfn.XLOOKUP(AX$181,$D$5:$AX$5,$D$96:$AX$176))</f>
        <v>-1.6398591842298882</v>
      </c>
    </row>
    <row r="444" spans="2:50">
      <c r="B444" s="305" t="s">
        <v>1475</v>
      </c>
      <c r="C444" s="318" t="str">
        <f>_xlfn.TEXTAFTER($B444,$C$412)&amp;" - New"</f>
        <v>Net Debt/EBITDA (company adjusted) - New</v>
      </c>
      <c r="D444" s="311" t="str" cm="1">
        <f t="array" ref="D444">_xlfn.XLOOKUP($B444,$B$11:$B$91,_xlfn.XLOOKUP(D$181,$D$5:$AX$5,$D$11:$AX$91))</f>
        <v>x</v>
      </c>
      <c r="E444" s="311"/>
      <c r="F444" s="311"/>
      <c r="G444" s="312"/>
      <c r="H444" s="312"/>
      <c r="I444" s="725" cm="1">
        <f t="array" ref="I444">_xlfn.XLOOKUP($B444,$B$11:$B$91,_xlfn.XLOOKUP(I$181,$D$5:$AX$5,$D$11:$AX$91))</f>
        <v>0</v>
      </c>
      <c r="J444" s="725" cm="1">
        <f t="array" ref="J444">_xlfn.XLOOKUP($B444,$B$11:$B$91,_xlfn.XLOOKUP(J$181,$D$5:$AX$5,$D$11:$AX$91))</f>
        <v>0.8</v>
      </c>
      <c r="K444" s="725" cm="1">
        <f t="array" ref="K444">_xlfn.XLOOKUP($B444,$B$11:$B$91,_xlfn.XLOOKUP(K$181,$D$5:$AX$5,$D$11:$AX$91))</f>
        <v>0</v>
      </c>
      <c r="L444" s="725" cm="1">
        <f t="array" ref="L444">_xlfn.XLOOKUP($B444,$B$11:$B$91,_xlfn.XLOOKUP(L$181,$D$5:$AX$5,$D$11:$AX$91))</f>
        <v>2.7</v>
      </c>
      <c r="M444" s="725" cm="1">
        <f t="array" ref="M444">_xlfn.XLOOKUP($B444,$B$11:$B$91,_xlfn.XLOOKUP(M$181,$D$5:$AX$5,$D$11:$AX$91))</f>
        <v>2.2000000000000002</v>
      </c>
      <c r="N444" s="725" cm="1">
        <f t="array" ref="N444">_xlfn.XLOOKUP($B444,$B$11:$B$91,_xlfn.XLOOKUP(N$181,$D$5:$AX$5,$D$11:$AX$91))</f>
        <v>1.6</v>
      </c>
      <c r="O444" s="725" cm="1">
        <f t="array" ref="O444">_xlfn.XLOOKUP($B444,$B$11:$B$91,_xlfn.XLOOKUP(O$181,$D$5:$AX$5,$D$11:$AX$91))</f>
        <v>1.5</v>
      </c>
      <c r="P444" s="725" cm="1">
        <f t="array" ref="P444">_xlfn.XLOOKUP($B444,$B$11:$B$91,_xlfn.XLOOKUP(P$181,$D$5:$AX$5,$D$11:$AX$91))</f>
        <v>1.2</v>
      </c>
      <c r="Q444" s="725" cm="1">
        <f t="array" ref="Q444">_xlfn.XLOOKUP($B444,$B$11:$B$91,_xlfn.XLOOKUP(Q$181,$D$5:$AX$5,$D$11:$AX$91))</f>
        <v>1.0026834963301701</v>
      </c>
      <c r="R444" s="725" cm="1">
        <f t="array" ref="R444">_xlfn.XLOOKUP($B444,$B$11:$B$91,_xlfn.XLOOKUP(R$181,$D$5:$AX$5,$D$11:$AX$91))</f>
        <v>1.5965448786458456</v>
      </c>
      <c r="S444" s="725" cm="1">
        <f t="array" ref="S444">_xlfn.XLOOKUP($B444,$B$11:$B$91,_xlfn.XLOOKUP(S$181,$D$5:$AX$5,$D$11:$AX$91))</f>
        <v>1.4183179707155738</v>
      </c>
      <c r="T444" s="725" cm="1">
        <f t="array" ref="T444">_xlfn.XLOOKUP($B444,$B$11:$B$91,_xlfn.XLOOKUP(T$181,$D$5:$AX$5,$D$11:$AX$91))</f>
        <v>1.3612317645527574</v>
      </c>
      <c r="U444" s="725" cm="1">
        <f t="array" ref="U444">_xlfn.XLOOKUP($B444,$B$11:$B$91,_xlfn.XLOOKUP(U$181,$D$5:$AX$5,$D$11:$AX$91))</f>
        <v>1.1820837081964171</v>
      </c>
      <c r="V444" s="725" cm="1">
        <f t="array" ref="V444">_xlfn.XLOOKUP($B444,$B$11:$B$91,_xlfn.XLOOKUP(V$181,$D$5:$AX$5,$D$11:$AX$91))</f>
        <v>1.1231158171496709</v>
      </c>
      <c r="W444" s="725" cm="1">
        <f t="array" ref="W444">_xlfn.XLOOKUP($B444,$B$11:$B$91,_xlfn.XLOOKUP(W$181,$D$5:$AX$5,$D$11:$AX$91))</f>
        <v>0.92696718987753091</v>
      </c>
      <c r="X444" s="725" cm="1">
        <f t="array" ref="X444">_xlfn.XLOOKUP($B444,$B$11:$B$91,_xlfn.XLOOKUP(X$181,$D$5:$AX$5,$D$11:$AX$91))</f>
        <v>0.8503044441344676</v>
      </c>
      <c r="Y444" s="725" cm="1">
        <f t="array" ref="Y444">_xlfn.XLOOKUP($B444,$B$11:$B$91,_xlfn.XLOOKUP(Y$181,$D$5:$AX$5,$D$11:$AX$91))</f>
        <v>0.67021297827316295</v>
      </c>
      <c r="Z444" s="725" cm="1">
        <f t="array" ref="Z444">_xlfn.XLOOKUP($B444,$B$11:$B$91,_xlfn.XLOOKUP(Z$181,$D$5:$AX$5,$D$11:$AX$91))</f>
        <v>0.59898661827246258</v>
      </c>
      <c r="AA444" s="725" cm="1">
        <f t="array" ref="AA444">_xlfn.XLOOKUP($B444,$B$11:$B$91,_xlfn.XLOOKUP(AA$181,$D$5:$AX$5,$D$11:$AX$91))</f>
        <v>0.33127803698144265</v>
      </c>
      <c r="AB444" s="725" cm="1">
        <f t="array" ref="AB444">_xlfn.XLOOKUP($B444,$B$11:$B$91,_xlfn.XLOOKUP(AB$181,$D$5:$AX$5,$D$11:$AX$91))</f>
        <v>0.19545317679488206</v>
      </c>
      <c r="AC444" s="725" cm="1">
        <f t="array" ref="AC444">_xlfn.XLOOKUP($B444,$B$11:$B$91,_xlfn.XLOOKUP(AC$181,$D$5:$AX$5,$D$11:$AX$91))</f>
        <v>-7.7137282421974207E-2</v>
      </c>
      <c r="AD444" s="725" cm="1">
        <f t="array" ref="AD444">_xlfn.XLOOKUP($B444,$B$11:$B$91,_xlfn.XLOOKUP(AD$181,$D$5:$AX$5,$D$11:$AX$91))</f>
        <v>-0.21889848979342347</v>
      </c>
      <c r="AE444" s="725" cm="1">
        <f t="array" ref="AE444">_xlfn.XLOOKUP($B444,$B$11:$B$91,_xlfn.XLOOKUP(AE$181,$D$5:$AX$5,$D$11:$AX$91))</f>
        <v>-0.50911896638386611</v>
      </c>
      <c r="AF444" s="725" cm="1">
        <f t="array" ref="AF444">_xlfn.XLOOKUP($B444,$B$11:$B$91,_xlfn.XLOOKUP(AF$181,$D$5:$AX$5,$D$11:$AX$91))</f>
        <v>-0.67655554353179403</v>
      </c>
      <c r="AG444" s="312"/>
      <c r="AH444" s="310" t="str">
        <f t="shared" si="265"/>
        <v>Net Debt/EBITDA (company adjusted) - New</v>
      </c>
      <c r="AI444" s="311" t="str" cm="1">
        <f t="array" ref="AI444">_xlfn.XLOOKUP($B444,$B$11:$B$91,_xlfn.XLOOKUP(AI$181,$D$5:$AX$5,$D$11:$AX$91))</f>
        <v>x</v>
      </c>
      <c r="AJ444" s="311"/>
      <c r="AK444" s="311"/>
      <c r="AL444" s="725"/>
      <c r="AM444" s="725" cm="1">
        <f t="array" ref="AM444">_xlfn.XLOOKUP($B444,$B$11:$B$91,_xlfn.XLOOKUP(AM$181,$D$5:$AX$5,$D$11:$AX$91))</f>
        <v>0.8</v>
      </c>
      <c r="AN444" s="725" cm="1">
        <f t="array" ref="AN444">_xlfn.XLOOKUP($B444,$B$11:$B$91,_xlfn.XLOOKUP(AN$181,$D$5:$AX$5,$D$11:$AX$91))</f>
        <v>2.7</v>
      </c>
      <c r="AO444" s="725" cm="1">
        <f t="array" ref="AO444">_xlfn.XLOOKUP($B444,$B$11:$B$91,_xlfn.XLOOKUP(AO$181,$D$5:$AX$5,$D$11:$AX$91))</f>
        <v>1.6</v>
      </c>
      <c r="AP444" s="725" cm="1">
        <f t="array" ref="AP444">_xlfn.XLOOKUP($B444,$B$11:$B$91,_xlfn.XLOOKUP(AP$181,$D$5:$AX$5,$D$11:$AX$91))</f>
        <v>1.2</v>
      </c>
      <c r="AQ444" s="725" cm="1">
        <f t="array" ref="AQ444">_xlfn.XLOOKUP($B444,$B$11:$B$91,_xlfn.XLOOKUP(AQ$181,$D$5:$AX$5,$D$11:$AX$91))</f>
        <v>1.5965448786458456</v>
      </c>
      <c r="AR444" s="725" cm="1">
        <f t="array" ref="AR444">_xlfn.XLOOKUP($B444,$B$11:$B$91,_xlfn.XLOOKUP(AR$181,$D$5:$AX$5,$D$11:$AX$91))</f>
        <v>1.3612317645527574</v>
      </c>
      <c r="AS444" s="725" cm="1">
        <f t="array" ref="AS444">_xlfn.XLOOKUP($B444,$B$11:$B$91,_xlfn.XLOOKUP(AS$181,$D$5:$AX$5,$D$11:$AX$91))</f>
        <v>1.1231158171496709</v>
      </c>
      <c r="AT444" s="725" cm="1">
        <f t="array" ref="AT444">_xlfn.XLOOKUP($B444,$B$11:$B$91,_xlfn.XLOOKUP(AT$181,$D$5:$AX$5,$D$11:$AX$91))</f>
        <v>0.8503044441344676</v>
      </c>
      <c r="AU444" s="725" cm="1">
        <f t="array" ref="AU444">_xlfn.XLOOKUP($B444,$B$11:$B$91,_xlfn.XLOOKUP(AU$181,$D$5:$AX$5,$D$11:$AX$91))</f>
        <v>0.59898661827246258</v>
      </c>
      <c r="AV444" s="725" cm="1">
        <f t="array" ref="AV444">_xlfn.XLOOKUP($B444,$B$11:$B$91,_xlfn.XLOOKUP(AV$181,$D$5:$AX$5,$D$11:$AX$91))</f>
        <v>0.19545317679488206</v>
      </c>
      <c r="AW444" s="725" cm="1">
        <f t="array" ref="AW444">_xlfn.XLOOKUP($B444,$B$11:$B$91,_xlfn.XLOOKUP(AW$181,$D$5:$AX$5,$D$11:$AX$91))</f>
        <v>-0.21889848979342347</v>
      </c>
      <c r="AX444" s="725" cm="1">
        <f t="array" ref="AX444">_xlfn.XLOOKUP($B444,$B$11:$B$91,_xlfn.XLOOKUP(AX$181,$D$5:$AX$5,$D$11:$AX$91))</f>
        <v>-0.67655554353179403</v>
      </c>
    </row>
    <row r="445" spans="2:50" hidden="1" outlineLevel="1">
      <c r="C445" s="313" t="s">
        <v>1121</v>
      </c>
      <c r="D445" s="307" t="s">
        <v>842</v>
      </c>
      <c r="E445" s="307"/>
      <c r="F445" s="307"/>
      <c r="G445" s="314"/>
      <c r="H445" s="314"/>
      <c r="I445" s="314" t="s">
        <v>967</v>
      </c>
      <c r="J445" s="314" t="s">
        <v>967</v>
      </c>
      <c r="K445" s="314" t="e">
        <f t="shared" ref="K445:AF445" si="294">K444/I444-1</f>
        <v>#DIV/0!</v>
      </c>
      <c r="L445" s="314">
        <f t="shared" si="294"/>
        <v>2.375</v>
      </c>
      <c r="M445" s="314" t="e">
        <f t="shared" si="294"/>
        <v>#DIV/0!</v>
      </c>
      <c r="N445" s="314">
        <f t="shared" si="294"/>
        <v>-0.40740740740740744</v>
      </c>
      <c r="O445" s="314">
        <f t="shared" si="294"/>
        <v>-0.31818181818181823</v>
      </c>
      <c r="P445" s="314">
        <f t="shared" si="294"/>
        <v>-0.25000000000000011</v>
      </c>
      <c r="Q445" s="314">
        <f t="shared" si="294"/>
        <v>-0.33154433577988662</v>
      </c>
      <c r="R445" s="314">
        <f t="shared" si="294"/>
        <v>0.33045406553820467</v>
      </c>
      <c r="S445" s="314">
        <f t="shared" si="294"/>
        <v>0.41452210583561944</v>
      </c>
      <c r="T445" s="314">
        <f t="shared" si="294"/>
        <v>-0.14738897555618702</v>
      </c>
      <c r="U445" s="314">
        <f t="shared" si="294"/>
        <v>-0.16655945098120073</v>
      </c>
      <c r="V445" s="314">
        <f t="shared" si="294"/>
        <v>-0.17492682260564296</v>
      </c>
      <c r="W445" s="314">
        <f t="shared" si="294"/>
        <v>-0.21581933373240902</v>
      </c>
      <c r="X445" s="314">
        <f t="shared" si="294"/>
        <v>-0.24290582400269711</v>
      </c>
      <c r="Y445" s="314">
        <f t="shared" si="294"/>
        <v>-0.27698306305565124</v>
      </c>
      <c r="Z445" s="314">
        <f t="shared" si="294"/>
        <v>-0.29556216905090227</v>
      </c>
      <c r="AA445" s="314">
        <f t="shared" si="294"/>
        <v>-0.5057122918822059</v>
      </c>
      <c r="AB445" s="314">
        <f t="shared" si="294"/>
        <v>-0.67369358374217336</v>
      </c>
      <c r="AC445" s="314">
        <f t="shared" si="294"/>
        <v>-1.2328475594845887</v>
      </c>
      <c r="AD445" s="314">
        <f t="shared" si="294"/>
        <v>-2.1199536041470743</v>
      </c>
      <c r="AE445" s="314">
        <f t="shared" si="294"/>
        <v>5.6001672654056671</v>
      </c>
      <c r="AF445" s="314">
        <f t="shared" si="294"/>
        <v>2.0907273237483994</v>
      </c>
      <c r="AG445" s="315"/>
      <c r="AH445" s="313" t="str">
        <f t="shared" si="265"/>
        <v>- Growth</v>
      </c>
      <c r="AI445" s="307" t="str">
        <f>D445</f>
        <v>%</v>
      </c>
      <c r="AJ445" s="307"/>
      <c r="AK445" s="307"/>
      <c r="AL445" s="314"/>
      <c r="AM445" s="314" t="s">
        <v>967</v>
      </c>
      <c r="AN445" s="314">
        <f t="shared" ref="AN445:AX445" si="295">AN444/AM444-1</f>
        <v>2.375</v>
      </c>
      <c r="AO445" s="314">
        <f t="shared" si="295"/>
        <v>-0.40740740740740744</v>
      </c>
      <c r="AP445" s="314">
        <f t="shared" si="295"/>
        <v>-0.25000000000000011</v>
      </c>
      <c r="AQ445" s="314">
        <f t="shared" si="295"/>
        <v>0.33045406553820467</v>
      </c>
      <c r="AR445" s="314">
        <f t="shared" si="295"/>
        <v>-0.14738897555618702</v>
      </c>
      <c r="AS445" s="314">
        <f t="shared" si="295"/>
        <v>-0.17492682260564296</v>
      </c>
      <c r="AT445" s="314">
        <f t="shared" si="295"/>
        <v>-0.24290582400269711</v>
      </c>
      <c r="AU445" s="314">
        <f t="shared" si="295"/>
        <v>-0.29556216905090227</v>
      </c>
      <c r="AV445" s="314">
        <f t="shared" si="295"/>
        <v>-0.67369358374217336</v>
      </c>
      <c r="AW445" s="314">
        <f t="shared" si="295"/>
        <v>-2.1199536041470743</v>
      </c>
      <c r="AX445" s="314">
        <f t="shared" si="295"/>
        <v>2.0907273237483994</v>
      </c>
    </row>
    <row r="446" spans="2:50" collapsed="1">
      <c r="C446" s="313" t="s">
        <v>1122</v>
      </c>
      <c r="D446" s="307" t="s">
        <v>842</v>
      </c>
      <c r="E446" s="307"/>
      <c r="F446" s="307"/>
      <c r="G446" s="314"/>
      <c r="H446" s="314"/>
      <c r="I446" s="314">
        <f t="shared" ref="I446:AF446" si="296" xml:space="preserve"> IFERROR(ROUND( I444 / I443,3) - 1, 0)</f>
        <v>0</v>
      </c>
      <c r="J446" s="314">
        <f t="shared" si="296"/>
        <v>0</v>
      </c>
      <c r="K446" s="314">
        <f t="shared" si="296"/>
        <v>0</v>
      </c>
      <c r="L446" s="314">
        <f t="shared" si="296"/>
        <v>0</v>
      </c>
      <c r="M446" s="314">
        <f t="shared" si="296"/>
        <v>0</v>
      </c>
      <c r="N446" s="314">
        <f t="shared" si="296"/>
        <v>0</v>
      </c>
      <c r="O446" s="314">
        <f t="shared" si="296"/>
        <v>0</v>
      </c>
      <c r="P446" s="314">
        <f t="shared" si="296"/>
        <v>-0.17600000000000005</v>
      </c>
      <c r="Q446" s="314">
        <f t="shared" si="296"/>
        <v>-0.19599999999999995</v>
      </c>
      <c r="R446" s="314">
        <f t="shared" si="296"/>
        <v>0.34899999999999998</v>
      </c>
      <c r="S446" s="314">
        <f t="shared" si="296"/>
        <v>0.45700000000000007</v>
      </c>
      <c r="T446" s="314">
        <f t="shared" si="296"/>
        <v>0.54899999999999993</v>
      </c>
      <c r="U446" s="314">
        <f t="shared" si="296"/>
        <v>0.80200000000000005</v>
      </c>
      <c r="V446" s="314">
        <f t="shared" si="296"/>
        <v>1.0510000000000002</v>
      </c>
      <c r="W446" s="314">
        <f t="shared" si="296"/>
        <v>1.8919999999999999</v>
      </c>
      <c r="X446" s="314">
        <f t="shared" si="296"/>
        <v>3.1529999999999996</v>
      </c>
      <c r="Y446" s="314">
        <f t="shared" si="296"/>
        <v>-40.542000000000002</v>
      </c>
      <c r="Z446" s="314">
        <f t="shared" si="296"/>
        <v>-5.6680000000000001</v>
      </c>
      <c r="AA446" s="314">
        <f t="shared" si="296"/>
        <v>-1.7490000000000001</v>
      </c>
      <c r="AB446" s="314">
        <f t="shared" si="296"/>
        <v>-1.3129999999999999</v>
      </c>
      <c r="AC446" s="314">
        <f t="shared" si="296"/>
        <v>-0.91800000000000004</v>
      </c>
      <c r="AD446" s="314">
        <f t="shared" si="296"/>
        <v>-0.80699999999999994</v>
      </c>
      <c r="AE446" s="314">
        <f t="shared" si="296"/>
        <v>-0.64700000000000002</v>
      </c>
      <c r="AF446" s="314">
        <f t="shared" si="296"/>
        <v>-0.58699999999999997</v>
      </c>
      <c r="AG446" s="314"/>
      <c r="AH446" s="313" t="str">
        <f t="shared" si="265"/>
        <v>- Revision</v>
      </c>
      <c r="AI446" s="307" t="str">
        <f>D446</f>
        <v>%</v>
      </c>
      <c r="AJ446" s="307"/>
      <c r="AK446" s="307"/>
      <c r="AL446" s="314"/>
      <c r="AM446" s="314">
        <f t="shared" ref="AM446:AX446" si="297" xml:space="preserve"> IFERROR(ROUND( AM444 / AM443,3) - 1, 0)</f>
        <v>0</v>
      </c>
      <c r="AN446" s="314">
        <f t="shared" si="297"/>
        <v>0</v>
      </c>
      <c r="AO446" s="314">
        <f t="shared" si="297"/>
        <v>0</v>
      </c>
      <c r="AP446" s="314">
        <f t="shared" si="297"/>
        <v>-0.17600000000000005</v>
      </c>
      <c r="AQ446" s="314">
        <f t="shared" si="297"/>
        <v>0.34899999999999998</v>
      </c>
      <c r="AR446" s="314">
        <f t="shared" si="297"/>
        <v>0.54899999999999993</v>
      </c>
      <c r="AS446" s="314">
        <f t="shared" si="297"/>
        <v>1.0510000000000002</v>
      </c>
      <c r="AT446" s="314">
        <f t="shared" si="297"/>
        <v>3.1529999999999996</v>
      </c>
      <c r="AU446" s="314">
        <f t="shared" si="297"/>
        <v>-5.6680000000000001</v>
      </c>
      <c r="AV446" s="314">
        <f t="shared" si="297"/>
        <v>-1.3129999999999999</v>
      </c>
      <c r="AW446" s="314">
        <f t="shared" si="297"/>
        <v>-0.80699999999999994</v>
      </c>
      <c r="AX446" s="314">
        <f t="shared" si="297"/>
        <v>-0.58699999999999997</v>
      </c>
    </row>
    <row r="447" spans="2:50">
      <c r="B447" s="305" t="s">
        <v>1476</v>
      </c>
      <c r="C447" s="706" t="str">
        <f>_xlfn.TEXTAFTER($B447,$C$412)&amp;" - old"</f>
        <v>Shares on issue (m) - Close - old</v>
      </c>
      <c r="D447" s="707" t="str" cm="1">
        <f t="array" ref="D447">_xlfn.XLOOKUP($B447,$B$96:$B$176,_xlfn.XLOOKUP(D$181,$D$5:$AX$5,$D$96:$AX$176))</f>
        <v>m's</v>
      </c>
      <c r="E447" s="307"/>
      <c r="F447" s="307"/>
      <c r="G447" s="708"/>
      <c r="H447" s="708"/>
      <c r="I447" s="708" cm="1">
        <f t="array" ref="I447">_xlfn.XLOOKUP($B447,$B$96:$B$176,_xlfn.XLOOKUP(I$181,$D$5:$AX$5,$D$96:$AX$176))</f>
        <v>2279.4</v>
      </c>
      <c r="J447" s="708" cm="1">
        <f t="array" ref="J447">_xlfn.XLOOKUP($B447,$B$96:$B$176,_xlfn.XLOOKUP(J$181,$D$5:$AX$5,$D$96:$AX$176))</f>
        <v>2281.5</v>
      </c>
      <c r="K447" s="708" cm="1">
        <f t="array" ref="K447">_xlfn.XLOOKUP($B447,$B$96:$B$176,_xlfn.XLOOKUP(K$181,$D$5:$AX$5,$D$96:$AX$176))</f>
        <v>2282.410989</v>
      </c>
      <c r="L447" s="708" cm="1">
        <f t="array" ref="L447">_xlfn.XLOOKUP($B447,$B$96:$B$176,_xlfn.XLOOKUP(L$181,$D$5:$AX$5,$D$96:$AX$176))</f>
        <v>2283.6</v>
      </c>
      <c r="M447" s="708" cm="1">
        <f t="array" ref="M447">_xlfn.XLOOKUP($B447,$B$96:$B$176,_xlfn.XLOOKUP(M$181,$D$5:$AX$5,$D$96:$AX$176))</f>
        <v>2284.8698250000002</v>
      </c>
      <c r="N447" s="708" cm="1">
        <f t="array" ref="N447">_xlfn.XLOOKUP($B447,$B$96:$B$176,_xlfn.XLOOKUP(N$181,$D$5:$AX$5,$D$96:$AX$176))</f>
        <v>2286.1999999999998</v>
      </c>
      <c r="O447" s="708" cm="1">
        <f t="array" ref="O447">_xlfn.XLOOKUP($B447,$B$96:$B$176,_xlfn.XLOOKUP(O$181,$D$5:$AX$5,$D$96:$AX$176))</f>
        <v>2289.1999999999998</v>
      </c>
      <c r="P447" s="708" cm="1">
        <f t="array" ref="P447">_xlfn.XLOOKUP($B447,$B$96:$B$176,_xlfn.XLOOKUP(P$181,$D$5:$AX$5,$D$96:$AX$176))</f>
        <v>2289.1999999999998</v>
      </c>
      <c r="Q447" s="708" cm="1">
        <f t="array" ref="Q447">_xlfn.XLOOKUP($B447,$B$96:$B$176,_xlfn.XLOOKUP(Q$181,$D$5:$AX$5,$D$96:$AX$176))</f>
        <v>2289.1999999999998</v>
      </c>
      <c r="R447" s="708" cm="1">
        <f t="array" ref="R447">_xlfn.XLOOKUP($B447,$B$96:$B$176,_xlfn.XLOOKUP(R$181,$D$5:$AX$5,$D$96:$AX$176))</f>
        <v>2289.1999999999998</v>
      </c>
      <c r="S447" s="708" cm="1">
        <f t="array" ref="S447">_xlfn.XLOOKUP($B447,$B$96:$B$176,_xlfn.XLOOKUP(S$181,$D$5:$AX$5,$D$96:$AX$176))</f>
        <v>2289.1999999999998</v>
      </c>
      <c r="T447" s="708" cm="1">
        <f t="array" ref="T447">_xlfn.XLOOKUP($B447,$B$96:$B$176,_xlfn.XLOOKUP(T$181,$D$5:$AX$5,$D$96:$AX$176))</f>
        <v>2289.1999999999998</v>
      </c>
      <c r="U447" s="708" cm="1">
        <f t="array" ref="U447">_xlfn.XLOOKUP($B447,$B$96:$B$176,_xlfn.XLOOKUP(U$181,$D$5:$AX$5,$D$96:$AX$176))</f>
        <v>2289.1999999999998</v>
      </c>
      <c r="V447" s="708" cm="1">
        <f t="array" ref="V447">_xlfn.XLOOKUP($B447,$B$96:$B$176,_xlfn.XLOOKUP(V$181,$D$5:$AX$5,$D$96:$AX$176))</f>
        <v>2289.1999999999998</v>
      </c>
      <c r="W447" s="708" cm="1">
        <f t="array" ref="W447">_xlfn.XLOOKUP($B447,$B$96:$B$176,_xlfn.XLOOKUP(W$181,$D$5:$AX$5,$D$96:$AX$176))</f>
        <v>2289.1999999999998</v>
      </c>
      <c r="X447" s="708" cm="1">
        <f t="array" ref="X447">_xlfn.XLOOKUP($B447,$B$96:$B$176,_xlfn.XLOOKUP(X$181,$D$5:$AX$5,$D$96:$AX$176))</f>
        <v>2289.1999999999998</v>
      </c>
      <c r="Y447" s="708" cm="1">
        <f t="array" ref="Y447">_xlfn.XLOOKUP($B447,$B$96:$B$176,_xlfn.XLOOKUP(Y$181,$D$5:$AX$5,$D$96:$AX$176))</f>
        <v>2289.1999999999998</v>
      </c>
      <c r="Z447" s="708" cm="1">
        <f t="array" ref="Z447">_xlfn.XLOOKUP($B447,$B$96:$B$176,_xlfn.XLOOKUP(Z$181,$D$5:$AX$5,$D$96:$AX$176))</f>
        <v>2289.1999999999998</v>
      </c>
      <c r="AA447" s="708" cm="1">
        <f t="array" ref="AA447">_xlfn.XLOOKUP($B447,$B$96:$B$176,_xlfn.XLOOKUP(AA$181,$D$5:$AX$5,$D$96:$AX$176))</f>
        <v>2289.1999999999998</v>
      </c>
      <c r="AB447" s="708" cm="1">
        <f t="array" ref="AB447">_xlfn.XLOOKUP($B447,$B$96:$B$176,_xlfn.XLOOKUP(AB$181,$D$5:$AX$5,$D$96:$AX$176))</f>
        <v>2289.1999999999998</v>
      </c>
      <c r="AC447" s="708" cm="1">
        <f t="array" ref="AC447">_xlfn.XLOOKUP($B447,$B$96:$B$176,_xlfn.XLOOKUP(AC$181,$D$5:$AX$5,$D$96:$AX$176))</f>
        <v>2289.1999999999998</v>
      </c>
      <c r="AD447" s="708" cm="1">
        <f t="array" ref="AD447">_xlfn.XLOOKUP($B447,$B$96:$B$176,_xlfn.XLOOKUP(AD$181,$D$5:$AX$5,$D$96:$AX$176))</f>
        <v>2289.1999999999998</v>
      </c>
      <c r="AE447" s="708" cm="1">
        <f t="array" ref="AE447">_xlfn.XLOOKUP($B447,$B$96:$B$176,_xlfn.XLOOKUP(AE$181,$D$5:$AX$5,$D$96:$AX$176))</f>
        <v>2289.1999999999998</v>
      </c>
      <c r="AF447" s="708" cm="1">
        <f t="array" ref="AF447">_xlfn.XLOOKUP($B447,$B$96:$B$176,_xlfn.XLOOKUP(AF$181,$D$5:$AX$5,$D$96:$AX$176))</f>
        <v>2289.1999999999998</v>
      </c>
      <c r="AG447" s="309"/>
      <c r="AH447" s="306" t="str">
        <f t="shared" si="265"/>
        <v>Shares on issue (m) - Close - old</v>
      </c>
      <c r="AI447" s="707" t="str" cm="1">
        <f t="array" ref="AI447">_xlfn.XLOOKUP($B447,$B$96:$B$176,_xlfn.XLOOKUP(AI$181,$D$5:$AX$5,$D$96:$AX$176))</f>
        <v>m's</v>
      </c>
      <c r="AJ447" s="307"/>
      <c r="AK447" s="307"/>
      <c r="AL447" s="708"/>
      <c r="AM447" s="708" cm="1">
        <f t="array" ref="AM447">_xlfn.XLOOKUP($B447,$B$96:$B$176,_xlfn.XLOOKUP(AM$181,$D$5:$AX$5,$D$96:$AX$176))</f>
        <v>2281.5</v>
      </c>
      <c r="AN447" s="708" cm="1">
        <f t="array" ref="AN447">_xlfn.XLOOKUP($B447,$B$96:$B$176,_xlfn.XLOOKUP(AN$181,$D$5:$AX$5,$D$96:$AX$176))</f>
        <v>2283.6</v>
      </c>
      <c r="AO447" s="708" cm="1">
        <f t="array" ref="AO447">_xlfn.XLOOKUP($B447,$B$96:$B$176,_xlfn.XLOOKUP(AO$181,$D$5:$AX$5,$D$96:$AX$176))</f>
        <v>2286.1999999999998</v>
      </c>
      <c r="AP447" s="708" cm="1">
        <f t="array" ref="AP447">_xlfn.XLOOKUP($B447,$B$96:$B$176,_xlfn.XLOOKUP(AP$181,$D$5:$AX$5,$D$96:$AX$176))</f>
        <v>2289.1999999999998</v>
      </c>
      <c r="AQ447" s="708" cm="1">
        <f t="array" ref="AQ447">_xlfn.XLOOKUP($B447,$B$96:$B$176,_xlfn.XLOOKUP(AQ$181,$D$5:$AX$5,$D$96:$AX$176))</f>
        <v>2289.1999999999998</v>
      </c>
      <c r="AR447" s="708" cm="1">
        <f t="array" ref="AR447">_xlfn.XLOOKUP($B447,$B$96:$B$176,_xlfn.XLOOKUP(AR$181,$D$5:$AX$5,$D$96:$AX$176))</f>
        <v>2289.1999999999998</v>
      </c>
      <c r="AS447" s="708" cm="1">
        <f t="array" ref="AS447">_xlfn.XLOOKUP($B447,$B$96:$B$176,_xlfn.XLOOKUP(AS$181,$D$5:$AX$5,$D$96:$AX$176))</f>
        <v>2289.1999999999998</v>
      </c>
      <c r="AT447" s="708" cm="1">
        <f t="array" ref="AT447">_xlfn.XLOOKUP($B447,$B$96:$B$176,_xlfn.XLOOKUP(AT$181,$D$5:$AX$5,$D$96:$AX$176))</f>
        <v>2289.1999999999998</v>
      </c>
      <c r="AU447" s="708" cm="1">
        <f t="array" ref="AU447">_xlfn.XLOOKUP($B447,$B$96:$B$176,_xlfn.XLOOKUP(AU$181,$D$5:$AX$5,$D$96:$AX$176))</f>
        <v>2289.1999999999998</v>
      </c>
      <c r="AV447" s="708" cm="1">
        <f t="array" ref="AV447">_xlfn.XLOOKUP($B447,$B$96:$B$176,_xlfn.XLOOKUP(AV$181,$D$5:$AX$5,$D$96:$AX$176))</f>
        <v>2289.1999999999998</v>
      </c>
      <c r="AW447" s="708" cm="1">
        <f t="array" ref="AW447">_xlfn.XLOOKUP($B447,$B$96:$B$176,_xlfn.XLOOKUP(AW$181,$D$5:$AX$5,$D$96:$AX$176))</f>
        <v>2289.1999999999998</v>
      </c>
      <c r="AX447" s="708" cm="1">
        <f t="array" ref="AX447">_xlfn.XLOOKUP($B447,$B$96:$B$176,_xlfn.XLOOKUP(AX$181,$D$5:$AX$5,$D$96:$AX$176))</f>
        <v>2289.1999999999998</v>
      </c>
    </row>
    <row r="448" spans="2:50">
      <c r="B448" s="305" t="s">
        <v>1476</v>
      </c>
      <c r="C448" s="318" t="str">
        <f>_xlfn.TEXTAFTER($B448,$C$412)&amp;" - New"</f>
        <v>Shares on issue (m) - Close - New</v>
      </c>
      <c r="D448" s="311" t="str" cm="1">
        <f t="array" ref="D448">_xlfn.XLOOKUP($B448,$B$11:$B$91,_xlfn.XLOOKUP(D$181,$D$5:$AX$5,$D$11:$AX$91))</f>
        <v>m's</v>
      </c>
      <c r="E448" s="311"/>
      <c r="F448" s="311"/>
      <c r="G448" s="312"/>
      <c r="H448" s="312"/>
      <c r="I448" s="312" cm="1">
        <f t="array" ref="I448">_xlfn.XLOOKUP($B448,$B$11:$B$91,_xlfn.XLOOKUP(I$181,$D$5:$AX$5,$D$11:$AX$91))</f>
        <v>2279.4</v>
      </c>
      <c r="J448" s="312" cm="1">
        <f t="array" ref="J448">_xlfn.XLOOKUP($B448,$B$11:$B$91,_xlfn.XLOOKUP(J$181,$D$5:$AX$5,$D$11:$AX$91))</f>
        <v>2281.5</v>
      </c>
      <c r="K448" s="312" cm="1">
        <f t="array" ref="K448">_xlfn.XLOOKUP($B448,$B$11:$B$91,_xlfn.XLOOKUP(K$181,$D$5:$AX$5,$D$11:$AX$91))</f>
        <v>2282.410989</v>
      </c>
      <c r="L448" s="312" cm="1">
        <f t="array" ref="L448">_xlfn.XLOOKUP($B448,$B$11:$B$91,_xlfn.XLOOKUP(L$181,$D$5:$AX$5,$D$11:$AX$91))</f>
        <v>2283.6</v>
      </c>
      <c r="M448" s="312" cm="1">
        <f t="array" ref="M448">_xlfn.XLOOKUP($B448,$B$11:$B$91,_xlfn.XLOOKUP(M$181,$D$5:$AX$5,$D$11:$AX$91))</f>
        <v>2284.8698250000002</v>
      </c>
      <c r="N448" s="312" cm="1">
        <f t="array" ref="N448">_xlfn.XLOOKUP($B448,$B$11:$B$91,_xlfn.XLOOKUP(N$181,$D$5:$AX$5,$D$11:$AX$91))</f>
        <v>2286.1999999999998</v>
      </c>
      <c r="O448" s="312" cm="1">
        <f t="array" ref="O448">_xlfn.XLOOKUP($B448,$B$11:$B$91,_xlfn.XLOOKUP(O$181,$D$5:$AX$5,$D$11:$AX$91))</f>
        <v>2289.1999999999998</v>
      </c>
      <c r="P448" s="312" cm="1">
        <f t="array" ref="P448">_xlfn.XLOOKUP($B448,$B$11:$B$91,_xlfn.XLOOKUP(P$181,$D$5:$AX$5,$D$11:$AX$91))</f>
        <v>2292.6</v>
      </c>
      <c r="Q448" s="312" cm="1">
        <f t="array" ref="Q448">_xlfn.XLOOKUP($B448,$B$11:$B$91,_xlfn.XLOOKUP(Q$181,$D$5:$AX$5,$D$11:$AX$91))</f>
        <v>2292.6</v>
      </c>
      <c r="R448" s="312" cm="1">
        <f t="array" ref="R448">_xlfn.XLOOKUP($B448,$B$11:$B$91,_xlfn.XLOOKUP(R$181,$D$5:$AX$5,$D$11:$AX$91))</f>
        <v>2292.6</v>
      </c>
      <c r="S448" s="312" cm="1">
        <f t="array" ref="S448">_xlfn.XLOOKUP($B448,$B$11:$B$91,_xlfn.XLOOKUP(S$181,$D$5:$AX$5,$D$11:$AX$91))</f>
        <v>2292.6</v>
      </c>
      <c r="T448" s="312" cm="1">
        <f t="array" ref="T448">_xlfn.XLOOKUP($B448,$B$11:$B$91,_xlfn.XLOOKUP(T$181,$D$5:$AX$5,$D$11:$AX$91))</f>
        <v>2292.6</v>
      </c>
      <c r="U448" s="312" cm="1">
        <f t="array" ref="U448">_xlfn.XLOOKUP($B448,$B$11:$B$91,_xlfn.XLOOKUP(U$181,$D$5:$AX$5,$D$11:$AX$91))</f>
        <v>2292.6</v>
      </c>
      <c r="V448" s="312" cm="1">
        <f t="array" ref="V448">_xlfn.XLOOKUP($B448,$B$11:$B$91,_xlfn.XLOOKUP(V$181,$D$5:$AX$5,$D$11:$AX$91))</f>
        <v>2292.6</v>
      </c>
      <c r="W448" s="312" cm="1">
        <f t="array" ref="W448">_xlfn.XLOOKUP($B448,$B$11:$B$91,_xlfn.XLOOKUP(W$181,$D$5:$AX$5,$D$11:$AX$91))</f>
        <v>2292.6</v>
      </c>
      <c r="X448" s="312" cm="1">
        <f t="array" ref="X448">_xlfn.XLOOKUP($B448,$B$11:$B$91,_xlfn.XLOOKUP(X$181,$D$5:$AX$5,$D$11:$AX$91))</f>
        <v>2292.6</v>
      </c>
      <c r="Y448" s="312" cm="1">
        <f t="array" ref="Y448">_xlfn.XLOOKUP($B448,$B$11:$B$91,_xlfn.XLOOKUP(Y$181,$D$5:$AX$5,$D$11:$AX$91))</f>
        <v>2292.6</v>
      </c>
      <c r="Z448" s="312" cm="1">
        <f t="array" ref="Z448">_xlfn.XLOOKUP($B448,$B$11:$B$91,_xlfn.XLOOKUP(Z$181,$D$5:$AX$5,$D$11:$AX$91))</f>
        <v>2292.6</v>
      </c>
      <c r="AA448" s="312" cm="1">
        <f t="array" ref="AA448">_xlfn.XLOOKUP($B448,$B$11:$B$91,_xlfn.XLOOKUP(AA$181,$D$5:$AX$5,$D$11:$AX$91))</f>
        <v>2292.6</v>
      </c>
      <c r="AB448" s="312" cm="1">
        <f t="array" ref="AB448">_xlfn.XLOOKUP($B448,$B$11:$B$91,_xlfn.XLOOKUP(AB$181,$D$5:$AX$5,$D$11:$AX$91))</f>
        <v>2292.6</v>
      </c>
      <c r="AC448" s="312" cm="1">
        <f t="array" ref="AC448">_xlfn.XLOOKUP($B448,$B$11:$B$91,_xlfn.XLOOKUP(AC$181,$D$5:$AX$5,$D$11:$AX$91))</f>
        <v>2292.6</v>
      </c>
      <c r="AD448" s="312" cm="1">
        <f t="array" ref="AD448">_xlfn.XLOOKUP($B448,$B$11:$B$91,_xlfn.XLOOKUP(AD$181,$D$5:$AX$5,$D$11:$AX$91))</f>
        <v>2292.6</v>
      </c>
      <c r="AE448" s="312" cm="1">
        <f t="array" ref="AE448">_xlfn.XLOOKUP($B448,$B$11:$B$91,_xlfn.XLOOKUP(AE$181,$D$5:$AX$5,$D$11:$AX$91))</f>
        <v>2292.6</v>
      </c>
      <c r="AF448" s="312" cm="1">
        <f t="array" ref="AF448">_xlfn.XLOOKUP($B448,$B$11:$B$91,_xlfn.XLOOKUP(AF$181,$D$5:$AX$5,$D$11:$AX$91))</f>
        <v>2292.6</v>
      </c>
      <c r="AG448" s="312"/>
      <c r="AH448" s="310" t="str">
        <f t="shared" si="265"/>
        <v>Shares on issue (m) - Close - New</v>
      </c>
      <c r="AI448" s="311" t="str" cm="1">
        <f t="array" ref="AI448">_xlfn.XLOOKUP($B448,$B$11:$B$91,_xlfn.XLOOKUP(AI$181,$D$5:$AX$5,$D$11:$AX$91))</f>
        <v>m's</v>
      </c>
      <c r="AJ448" s="311"/>
      <c r="AK448" s="311"/>
      <c r="AL448" s="312"/>
      <c r="AM448" s="312" cm="1">
        <f t="array" ref="AM448">_xlfn.XLOOKUP($B448,$B$11:$B$91,_xlfn.XLOOKUP(AM$181,$D$5:$AX$5,$D$11:$AX$91))</f>
        <v>2281.5</v>
      </c>
      <c r="AN448" s="312" cm="1">
        <f t="array" ref="AN448">_xlfn.XLOOKUP($B448,$B$11:$B$91,_xlfn.XLOOKUP(AN$181,$D$5:$AX$5,$D$11:$AX$91))</f>
        <v>2283.6</v>
      </c>
      <c r="AO448" s="312" cm="1">
        <f t="array" ref="AO448">_xlfn.XLOOKUP($B448,$B$11:$B$91,_xlfn.XLOOKUP(AO$181,$D$5:$AX$5,$D$11:$AX$91))</f>
        <v>2286.1999999999998</v>
      </c>
      <c r="AP448" s="312" cm="1">
        <f t="array" ref="AP448">_xlfn.XLOOKUP($B448,$B$11:$B$91,_xlfn.XLOOKUP(AP$181,$D$5:$AX$5,$D$11:$AX$91))</f>
        <v>2292.6</v>
      </c>
      <c r="AQ448" s="312" cm="1">
        <f t="array" ref="AQ448">_xlfn.XLOOKUP($B448,$B$11:$B$91,_xlfn.XLOOKUP(AQ$181,$D$5:$AX$5,$D$11:$AX$91))</f>
        <v>2292.6</v>
      </c>
      <c r="AR448" s="312" cm="1">
        <f t="array" ref="AR448">_xlfn.XLOOKUP($B448,$B$11:$B$91,_xlfn.XLOOKUP(AR$181,$D$5:$AX$5,$D$11:$AX$91))</f>
        <v>2292.6</v>
      </c>
      <c r="AS448" s="312" cm="1">
        <f t="array" ref="AS448">_xlfn.XLOOKUP($B448,$B$11:$B$91,_xlfn.XLOOKUP(AS$181,$D$5:$AX$5,$D$11:$AX$91))</f>
        <v>2292.6</v>
      </c>
      <c r="AT448" s="312" cm="1">
        <f t="array" ref="AT448">_xlfn.XLOOKUP($B448,$B$11:$B$91,_xlfn.XLOOKUP(AT$181,$D$5:$AX$5,$D$11:$AX$91))</f>
        <v>2292.6</v>
      </c>
      <c r="AU448" s="312" cm="1">
        <f t="array" ref="AU448">_xlfn.XLOOKUP($B448,$B$11:$B$91,_xlfn.XLOOKUP(AU$181,$D$5:$AX$5,$D$11:$AX$91))</f>
        <v>2292.6</v>
      </c>
      <c r="AV448" s="312" cm="1">
        <f t="array" ref="AV448">_xlfn.XLOOKUP($B448,$B$11:$B$91,_xlfn.XLOOKUP(AV$181,$D$5:$AX$5,$D$11:$AX$91))</f>
        <v>2292.6</v>
      </c>
      <c r="AW448" s="312" cm="1">
        <f t="array" ref="AW448">_xlfn.XLOOKUP($B448,$B$11:$B$91,_xlfn.XLOOKUP(AW$181,$D$5:$AX$5,$D$11:$AX$91))</f>
        <v>2292.6</v>
      </c>
      <c r="AX448" s="312" cm="1">
        <f t="array" ref="AX448">_xlfn.XLOOKUP($B448,$B$11:$B$91,_xlfn.XLOOKUP(AX$181,$D$5:$AX$5,$D$11:$AX$91))</f>
        <v>2292.6</v>
      </c>
    </row>
    <row r="449" spans="1:50" hidden="1" outlineLevel="1">
      <c r="B449" s="305"/>
      <c r="C449" s="313" t="s">
        <v>1121</v>
      </c>
      <c r="D449" s="307" t="s">
        <v>842</v>
      </c>
      <c r="E449" s="307"/>
      <c r="F449" s="307"/>
      <c r="G449" s="314"/>
      <c r="H449" s="314"/>
      <c r="I449" s="314" t="s">
        <v>967</v>
      </c>
      <c r="J449" s="314" t="s">
        <v>967</v>
      </c>
      <c r="K449" s="314">
        <f t="shared" ref="K449:AF449" si="298">K448/I448-1</f>
        <v>1.320956830744846E-3</v>
      </c>
      <c r="L449" s="314">
        <f t="shared" si="298"/>
        <v>9.2044707429317363E-4</v>
      </c>
      <c r="M449" s="314">
        <f t="shared" si="298"/>
        <v>1.0772976522854805E-3</v>
      </c>
      <c r="N449" s="314">
        <f t="shared" si="298"/>
        <v>1.1385531616745492E-3</v>
      </c>
      <c r="O449" s="314">
        <f t="shared" si="298"/>
        <v>1.8951517292673525E-3</v>
      </c>
      <c r="P449" s="314">
        <f t="shared" si="298"/>
        <v>2.7994051264106368E-3</v>
      </c>
      <c r="Q449" s="314">
        <f t="shared" si="298"/>
        <v>1.4852350165996953E-3</v>
      </c>
      <c r="R449" s="314">
        <f t="shared" si="298"/>
        <v>0</v>
      </c>
      <c r="S449" s="314">
        <f t="shared" si="298"/>
        <v>0</v>
      </c>
      <c r="T449" s="314">
        <f t="shared" si="298"/>
        <v>0</v>
      </c>
      <c r="U449" s="314">
        <f t="shared" si="298"/>
        <v>0</v>
      </c>
      <c r="V449" s="314">
        <f t="shared" si="298"/>
        <v>0</v>
      </c>
      <c r="W449" s="314">
        <f t="shared" si="298"/>
        <v>0</v>
      </c>
      <c r="X449" s="314">
        <f t="shared" si="298"/>
        <v>0</v>
      </c>
      <c r="Y449" s="314">
        <f t="shared" si="298"/>
        <v>0</v>
      </c>
      <c r="Z449" s="314">
        <f t="shared" si="298"/>
        <v>0</v>
      </c>
      <c r="AA449" s="314">
        <f t="shared" si="298"/>
        <v>0</v>
      </c>
      <c r="AB449" s="314">
        <f t="shared" si="298"/>
        <v>0</v>
      </c>
      <c r="AC449" s="314">
        <f t="shared" si="298"/>
        <v>0</v>
      </c>
      <c r="AD449" s="314">
        <f t="shared" si="298"/>
        <v>0</v>
      </c>
      <c r="AE449" s="314">
        <f t="shared" si="298"/>
        <v>0</v>
      </c>
      <c r="AF449" s="314">
        <f t="shared" si="298"/>
        <v>0</v>
      </c>
      <c r="AG449" s="315"/>
      <c r="AH449" s="313" t="str">
        <f t="shared" si="265"/>
        <v>- Growth</v>
      </c>
      <c r="AI449" s="307" t="str">
        <f>D449</f>
        <v>%</v>
      </c>
      <c r="AJ449" s="307"/>
      <c r="AK449" s="307"/>
      <c r="AL449" s="314"/>
      <c r="AM449" s="314" t="s">
        <v>967</v>
      </c>
      <c r="AN449" s="314">
        <f t="shared" ref="AN449:AX449" si="299">AN448/AM448-1</f>
        <v>9.2044707429317363E-4</v>
      </c>
      <c r="AO449" s="314">
        <f t="shared" si="299"/>
        <v>1.1385531616745492E-3</v>
      </c>
      <c r="AP449" s="314">
        <f t="shared" si="299"/>
        <v>2.7994051264106368E-3</v>
      </c>
      <c r="AQ449" s="314">
        <f t="shared" si="299"/>
        <v>0</v>
      </c>
      <c r="AR449" s="314">
        <f t="shared" si="299"/>
        <v>0</v>
      </c>
      <c r="AS449" s="314">
        <f t="shared" si="299"/>
        <v>0</v>
      </c>
      <c r="AT449" s="314">
        <f t="shared" si="299"/>
        <v>0</v>
      </c>
      <c r="AU449" s="314">
        <f t="shared" si="299"/>
        <v>0</v>
      </c>
      <c r="AV449" s="314">
        <f t="shared" si="299"/>
        <v>0</v>
      </c>
      <c r="AW449" s="314">
        <f t="shared" si="299"/>
        <v>0</v>
      </c>
      <c r="AX449" s="314">
        <f t="shared" si="299"/>
        <v>0</v>
      </c>
    </row>
    <row r="450" spans="1:50" collapsed="1">
      <c r="B450" s="305"/>
      <c r="C450" s="313" t="s">
        <v>1122</v>
      </c>
      <c r="D450" s="307" t="s">
        <v>842</v>
      </c>
      <c r="E450" s="307"/>
      <c r="F450" s="307"/>
      <c r="G450" s="314"/>
      <c r="H450" s="314"/>
      <c r="I450" s="314">
        <f t="shared" ref="I450:AF450" si="300" xml:space="preserve"> IFERROR(ROUND( I448 / I447,3) - 1, 0)</f>
        <v>0</v>
      </c>
      <c r="J450" s="314">
        <f t="shared" si="300"/>
        <v>0</v>
      </c>
      <c r="K450" s="314">
        <f t="shared" si="300"/>
        <v>0</v>
      </c>
      <c r="L450" s="314">
        <f t="shared" si="300"/>
        <v>0</v>
      </c>
      <c r="M450" s="314">
        <f t="shared" si="300"/>
        <v>0</v>
      </c>
      <c r="N450" s="314">
        <f t="shared" si="300"/>
        <v>0</v>
      </c>
      <c r="O450" s="314">
        <f t="shared" si="300"/>
        <v>0</v>
      </c>
      <c r="P450" s="314">
        <f t="shared" si="300"/>
        <v>9.9999999999988987E-4</v>
      </c>
      <c r="Q450" s="314">
        <f t="shared" si="300"/>
        <v>9.9999999999988987E-4</v>
      </c>
      <c r="R450" s="314">
        <f t="shared" si="300"/>
        <v>9.9999999999988987E-4</v>
      </c>
      <c r="S450" s="314">
        <f t="shared" si="300"/>
        <v>9.9999999999988987E-4</v>
      </c>
      <c r="T450" s="314">
        <f t="shared" si="300"/>
        <v>9.9999999999988987E-4</v>
      </c>
      <c r="U450" s="314">
        <f t="shared" si="300"/>
        <v>9.9999999999988987E-4</v>
      </c>
      <c r="V450" s="314">
        <f t="shared" si="300"/>
        <v>9.9999999999988987E-4</v>
      </c>
      <c r="W450" s="314">
        <f t="shared" si="300"/>
        <v>9.9999999999988987E-4</v>
      </c>
      <c r="X450" s="314">
        <f t="shared" si="300"/>
        <v>9.9999999999988987E-4</v>
      </c>
      <c r="Y450" s="314">
        <f t="shared" si="300"/>
        <v>9.9999999999988987E-4</v>
      </c>
      <c r="Z450" s="314">
        <f t="shared" si="300"/>
        <v>9.9999999999988987E-4</v>
      </c>
      <c r="AA450" s="314">
        <f t="shared" si="300"/>
        <v>9.9999999999988987E-4</v>
      </c>
      <c r="AB450" s="314">
        <f t="shared" si="300"/>
        <v>9.9999999999988987E-4</v>
      </c>
      <c r="AC450" s="314">
        <f t="shared" si="300"/>
        <v>9.9999999999988987E-4</v>
      </c>
      <c r="AD450" s="314">
        <f t="shared" si="300"/>
        <v>9.9999999999988987E-4</v>
      </c>
      <c r="AE450" s="314">
        <f t="shared" si="300"/>
        <v>9.9999999999988987E-4</v>
      </c>
      <c r="AF450" s="314">
        <f t="shared" si="300"/>
        <v>9.9999999999988987E-4</v>
      </c>
      <c r="AG450" s="314"/>
      <c r="AH450" s="313" t="str">
        <f t="shared" si="265"/>
        <v>- Revision</v>
      </c>
      <c r="AI450" s="307" t="str">
        <f>D450</f>
        <v>%</v>
      </c>
      <c r="AJ450" s="307"/>
      <c r="AK450" s="307"/>
      <c r="AL450" s="314"/>
      <c r="AM450" s="314">
        <f t="shared" ref="AM450:AX450" si="301" xml:space="preserve"> IFERROR(ROUND( AM448 / AM447,3) - 1, 0)</f>
        <v>0</v>
      </c>
      <c r="AN450" s="314">
        <f t="shared" si="301"/>
        <v>0</v>
      </c>
      <c r="AO450" s="314">
        <f t="shared" si="301"/>
        <v>0</v>
      </c>
      <c r="AP450" s="314">
        <f t="shared" si="301"/>
        <v>9.9999999999988987E-4</v>
      </c>
      <c r="AQ450" s="314">
        <f t="shared" si="301"/>
        <v>9.9999999999988987E-4</v>
      </c>
      <c r="AR450" s="314">
        <f t="shared" si="301"/>
        <v>9.9999999999988987E-4</v>
      </c>
      <c r="AS450" s="314">
        <f t="shared" si="301"/>
        <v>9.9999999999988987E-4</v>
      </c>
      <c r="AT450" s="314">
        <f t="shared" si="301"/>
        <v>9.9999999999988987E-4</v>
      </c>
      <c r="AU450" s="314">
        <f t="shared" si="301"/>
        <v>9.9999999999988987E-4</v>
      </c>
      <c r="AV450" s="314">
        <f t="shared" si="301"/>
        <v>9.9999999999988987E-4</v>
      </c>
      <c r="AW450" s="314">
        <f t="shared" si="301"/>
        <v>9.9999999999988987E-4</v>
      </c>
      <c r="AX450" s="314">
        <f t="shared" si="301"/>
        <v>9.9999999999988987E-4</v>
      </c>
    </row>
    <row r="451" spans="1:50">
      <c r="B451" s="305"/>
      <c r="C451" s="313"/>
      <c r="D451" s="307"/>
      <c r="E451" s="307"/>
      <c r="F451" s="307"/>
      <c r="G451" s="314"/>
      <c r="H451" s="314"/>
      <c r="I451" s="314"/>
      <c r="J451" s="314"/>
      <c r="K451" s="314"/>
      <c r="L451" s="314"/>
      <c r="M451" s="314"/>
      <c r="N451" s="314"/>
      <c r="O451" s="314"/>
      <c r="P451" s="314"/>
      <c r="Q451" s="314"/>
      <c r="R451" s="314"/>
      <c r="S451" s="314"/>
      <c r="T451" s="314"/>
      <c r="U451" s="314"/>
      <c r="V451" s="314"/>
      <c r="W451" s="314"/>
      <c r="X451" s="314"/>
      <c r="Y451" s="314"/>
      <c r="Z451" s="314"/>
      <c r="AA451" s="314"/>
      <c r="AB451" s="314"/>
      <c r="AC451" s="314"/>
      <c r="AD451" s="314"/>
      <c r="AE451" s="314"/>
      <c r="AF451" s="314"/>
      <c r="AG451" s="314"/>
      <c r="AH451" s="313"/>
      <c r="AI451" s="307"/>
      <c r="AJ451" s="307"/>
      <c r="AK451" s="307"/>
      <c r="AL451" s="314"/>
      <c r="AM451" s="314"/>
      <c r="AN451" s="314"/>
      <c r="AO451" s="314"/>
      <c r="AP451" s="314"/>
      <c r="AQ451" s="314"/>
      <c r="AR451" s="314"/>
      <c r="AS451" s="314"/>
      <c r="AT451" s="314"/>
      <c r="AU451" s="314"/>
      <c r="AV451" s="314"/>
      <c r="AW451" s="314"/>
      <c r="AX451" s="314"/>
    </row>
    <row r="452" spans="1:50">
      <c r="A452" t="s">
        <v>971</v>
      </c>
      <c r="C452" s="291" t="s">
        <v>1094</v>
      </c>
    </row>
    <row r="453" spans="1:50">
      <c r="C453" s="296"/>
      <c r="D453" s="296" t="s">
        <v>960</v>
      </c>
      <c r="E453" s="296"/>
      <c r="F453" s="296" t="str">
        <f>F$5</f>
        <v>VAL</v>
      </c>
      <c r="G453" s="297" t="str">
        <f t="shared" ref="G453:AX453" si="302">G$5</f>
        <v>1H22A</v>
      </c>
      <c r="H453" s="298" t="str">
        <f t="shared" si="302"/>
        <v>2H22A</v>
      </c>
      <c r="I453" s="297" t="str">
        <f t="shared" si="302"/>
        <v>1H23A</v>
      </c>
      <c r="J453" s="298" t="str">
        <f t="shared" si="302"/>
        <v>2H23A</v>
      </c>
      <c r="K453" s="297" t="str">
        <f t="shared" si="302"/>
        <v>1H24E</v>
      </c>
      <c r="L453" s="298" t="str">
        <f t="shared" si="302"/>
        <v>2H24E</v>
      </c>
      <c r="M453" s="297" t="str">
        <f t="shared" si="302"/>
        <v>1H25E</v>
      </c>
      <c r="N453" s="298" t="str">
        <f t="shared" si="302"/>
        <v>2H25E</v>
      </c>
      <c r="O453" s="297" t="str">
        <f t="shared" si="302"/>
        <v>1H26E</v>
      </c>
      <c r="P453" s="298" t="str">
        <f t="shared" si="302"/>
        <v>2H26E</v>
      </c>
      <c r="Q453" s="297" t="str">
        <f t="shared" si="302"/>
        <v>1H27E</v>
      </c>
      <c r="R453" s="298" t="str">
        <f t="shared" si="302"/>
        <v>2H27E</v>
      </c>
      <c r="S453" s="297" t="str">
        <f t="shared" si="302"/>
        <v>1H28E</v>
      </c>
      <c r="T453" s="298" t="str">
        <f t="shared" si="302"/>
        <v>2H28E</v>
      </c>
      <c r="U453" s="297" t="str">
        <f t="shared" si="302"/>
        <v>1H29E</v>
      </c>
      <c r="V453" s="298" t="str">
        <f t="shared" si="302"/>
        <v>2H29E</v>
      </c>
      <c r="W453" s="297" t="str">
        <f t="shared" si="302"/>
        <v>1H30E</v>
      </c>
      <c r="X453" s="298" t="str">
        <f t="shared" si="302"/>
        <v>2H30E</v>
      </c>
      <c r="Y453" s="298" t="str">
        <f t="shared" si="302"/>
        <v>1H31E</v>
      </c>
      <c r="Z453" s="298" t="str">
        <f t="shared" si="302"/>
        <v>2H31E</v>
      </c>
      <c r="AA453" s="298" t="str">
        <f t="shared" si="302"/>
        <v>1H32E</v>
      </c>
      <c r="AB453" s="298" t="str">
        <f t="shared" si="302"/>
        <v>2H32E</v>
      </c>
      <c r="AC453" s="298" t="str">
        <f t="shared" si="302"/>
        <v>1H33E</v>
      </c>
      <c r="AD453" s="298" t="str">
        <f t="shared" si="302"/>
        <v>2H33E</v>
      </c>
      <c r="AE453" s="298" t="str">
        <f t="shared" si="302"/>
        <v>1H34E</v>
      </c>
      <c r="AF453" s="298" t="str">
        <f t="shared" si="302"/>
        <v>2H34E</v>
      </c>
      <c r="AG453" s="299"/>
      <c r="AH453" s="722"/>
      <c r="AI453" s="722" t="s">
        <v>960</v>
      </c>
      <c r="AJ453" s="722"/>
      <c r="AK453" s="722" t="str">
        <f>AK$5</f>
        <v>VAL</v>
      </c>
      <c r="AL453" s="278" t="str">
        <f t="shared" si="302"/>
        <v>FY22A</v>
      </c>
      <c r="AM453" s="278" t="str">
        <f t="shared" si="302"/>
        <v>FY23A</v>
      </c>
      <c r="AN453" s="278" t="str">
        <f t="shared" si="302"/>
        <v>FY24A</v>
      </c>
      <c r="AO453" s="278" t="str">
        <f t="shared" si="302"/>
        <v>FY25A</v>
      </c>
      <c r="AP453" s="278" t="str">
        <f t="shared" si="302"/>
        <v>FY26A</v>
      </c>
      <c r="AQ453" s="278" t="str">
        <f t="shared" si="302"/>
        <v>FY27A</v>
      </c>
      <c r="AR453" s="278" t="str">
        <f t="shared" si="302"/>
        <v>FY28A</v>
      </c>
      <c r="AS453" s="278" t="str">
        <f t="shared" si="302"/>
        <v>FY29A</v>
      </c>
      <c r="AT453" s="278" t="str">
        <f t="shared" si="302"/>
        <v>FY30A</v>
      </c>
      <c r="AU453" s="278" t="str">
        <f t="shared" si="302"/>
        <v>FY31A</v>
      </c>
      <c r="AV453" s="278" t="str">
        <f t="shared" si="302"/>
        <v>FY32A</v>
      </c>
      <c r="AW453" s="278" t="str">
        <f t="shared" si="302"/>
        <v>FY33A</v>
      </c>
      <c r="AX453" s="278" t="str">
        <f t="shared" si="302"/>
        <v>FY34A</v>
      </c>
    </row>
    <row r="454" spans="1:50">
      <c r="C454" s="300"/>
      <c r="D454" s="300"/>
      <c r="E454" s="300"/>
      <c r="F454" s="300"/>
      <c r="G454" s="301">
        <f t="shared" ref="G454:AX454" si="303">G$6</f>
        <v>44561</v>
      </c>
      <c r="H454" s="302">
        <f t="shared" si="303"/>
        <v>44742</v>
      </c>
      <c r="I454" s="301">
        <f t="shared" si="303"/>
        <v>44926</v>
      </c>
      <c r="J454" s="302">
        <f t="shared" si="303"/>
        <v>45107</v>
      </c>
      <c r="K454" s="301">
        <f t="shared" si="303"/>
        <v>45291</v>
      </c>
      <c r="L454" s="302">
        <f t="shared" si="303"/>
        <v>45473</v>
      </c>
      <c r="M454" s="301">
        <f t="shared" si="303"/>
        <v>45657</v>
      </c>
      <c r="N454" s="302">
        <f t="shared" si="303"/>
        <v>45838</v>
      </c>
      <c r="O454" s="301">
        <f t="shared" si="303"/>
        <v>46022</v>
      </c>
      <c r="P454" s="302">
        <f t="shared" si="303"/>
        <v>46203</v>
      </c>
      <c r="Q454" s="301">
        <f t="shared" si="303"/>
        <v>46387</v>
      </c>
      <c r="R454" s="302">
        <f t="shared" si="303"/>
        <v>46568</v>
      </c>
      <c r="S454" s="301">
        <f t="shared" si="303"/>
        <v>46752</v>
      </c>
      <c r="T454" s="302">
        <f t="shared" si="303"/>
        <v>46934</v>
      </c>
      <c r="U454" s="301">
        <f t="shared" si="303"/>
        <v>47118</v>
      </c>
      <c r="V454" s="302">
        <f t="shared" si="303"/>
        <v>47299</v>
      </c>
      <c r="W454" s="301">
        <f t="shared" si="303"/>
        <v>47483</v>
      </c>
      <c r="X454" s="300">
        <f t="shared" si="303"/>
        <v>47664</v>
      </c>
      <c r="Y454" s="300">
        <f t="shared" si="303"/>
        <v>47848</v>
      </c>
      <c r="Z454" s="300">
        <f t="shared" si="303"/>
        <v>48029</v>
      </c>
      <c r="AA454" s="300">
        <f t="shared" si="303"/>
        <v>48213</v>
      </c>
      <c r="AB454" s="300">
        <f t="shared" si="303"/>
        <v>48395</v>
      </c>
      <c r="AC454" s="300">
        <f t="shared" si="303"/>
        <v>48579</v>
      </c>
      <c r="AD454" s="300">
        <f t="shared" si="303"/>
        <v>48760</v>
      </c>
      <c r="AE454" s="300">
        <f t="shared" si="303"/>
        <v>48944</v>
      </c>
      <c r="AF454" s="300">
        <f t="shared" si="303"/>
        <v>49125</v>
      </c>
      <c r="AG454" s="303"/>
      <c r="AH454" s="300"/>
      <c r="AI454" s="300"/>
      <c r="AJ454" s="300"/>
      <c r="AK454" s="300"/>
      <c r="AL454" s="304">
        <f t="shared" si="303"/>
        <v>44742</v>
      </c>
      <c r="AM454" s="304">
        <f t="shared" si="303"/>
        <v>45107</v>
      </c>
      <c r="AN454" s="304">
        <f t="shared" si="303"/>
        <v>45473</v>
      </c>
      <c r="AO454" s="304">
        <f t="shared" si="303"/>
        <v>45838</v>
      </c>
      <c r="AP454" s="304">
        <f t="shared" si="303"/>
        <v>46203</v>
      </c>
      <c r="AQ454" s="304">
        <f t="shared" si="303"/>
        <v>46568</v>
      </c>
      <c r="AR454" s="304">
        <f t="shared" si="303"/>
        <v>46934</v>
      </c>
      <c r="AS454" s="304">
        <f t="shared" si="303"/>
        <v>47299</v>
      </c>
      <c r="AT454" s="304">
        <f t="shared" si="303"/>
        <v>47664</v>
      </c>
      <c r="AU454" s="304">
        <f t="shared" si="303"/>
        <v>48029</v>
      </c>
      <c r="AV454" s="304">
        <f t="shared" si="303"/>
        <v>48395</v>
      </c>
      <c r="AW454" s="304">
        <f t="shared" si="303"/>
        <v>48760</v>
      </c>
      <c r="AX454" s="304">
        <f t="shared" si="303"/>
        <v>49125</v>
      </c>
    </row>
    <row r="455" spans="1:50">
      <c r="B455" s="305"/>
      <c r="C455" s="306" t="str">
        <f t="shared" ref="C455:D458" si="304">C347</f>
        <v>Revenue - old</v>
      </c>
      <c r="D455" s="307" t="str">
        <f t="shared" si="304"/>
        <v>A$m</v>
      </c>
      <c r="E455" s="307"/>
      <c r="F455" s="307"/>
      <c r="G455" s="308"/>
      <c r="H455" s="308"/>
      <c r="I455" s="308">
        <f t="shared" ref="I455:AF455" si="305">I347</f>
        <v>1274.5</v>
      </c>
      <c r="J455" s="308">
        <f t="shared" si="305"/>
        <v>1159.9000000000001</v>
      </c>
      <c r="K455" s="308">
        <f t="shared" si="305"/>
        <v>1209.5999999999999</v>
      </c>
      <c r="L455" s="308">
        <f t="shared" si="305"/>
        <v>1129.3000000000002</v>
      </c>
      <c r="M455" s="308">
        <f t="shared" si="305"/>
        <v>1331.3</v>
      </c>
      <c r="N455" s="308">
        <f t="shared" si="305"/>
        <v>1283.3</v>
      </c>
      <c r="O455" s="308">
        <f t="shared" si="305"/>
        <v>1344.9</v>
      </c>
      <c r="P455" s="308">
        <f t="shared" si="305"/>
        <v>1307.825135348</v>
      </c>
      <c r="Q455" s="308">
        <f t="shared" si="305"/>
        <v>1408.101334465</v>
      </c>
      <c r="R455" s="308">
        <f t="shared" si="305"/>
        <v>1335.8630276340002</v>
      </c>
      <c r="S455" s="308">
        <f t="shared" si="305"/>
        <v>1437.4303703315002</v>
      </c>
      <c r="T455" s="308">
        <f t="shared" si="305"/>
        <v>1366.2580580335402</v>
      </c>
      <c r="U455" s="308">
        <f t="shared" si="305"/>
        <v>1470.1256440972149</v>
      </c>
      <c r="V455" s="308">
        <f t="shared" si="305"/>
        <v>1397.4955207407716</v>
      </c>
      <c r="W455" s="308">
        <f t="shared" si="305"/>
        <v>1503.7260595104594</v>
      </c>
      <c r="X455" s="308">
        <f t="shared" si="305"/>
        <v>1429.6012359388822</v>
      </c>
      <c r="Y455" s="308">
        <f t="shared" si="305"/>
        <v>1538.2593078041241</v>
      </c>
      <c r="Z455" s="308">
        <f t="shared" si="305"/>
        <v>1462.6018574206953</v>
      </c>
      <c r="AA455" s="308">
        <f t="shared" si="305"/>
        <v>1573.7539720790232</v>
      </c>
      <c r="AB455" s="308">
        <f t="shared" si="305"/>
        <v>1496.5249004057987</v>
      </c>
      <c r="AC455" s="308">
        <f t="shared" si="305"/>
        <v>1599.2572564539823</v>
      </c>
      <c r="AD455" s="308">
        <f t="shared" si="305"/>
        <v>1521.1116306302233</v>
      </c>
      <c r="AE455" s="308">
        <f t="shared" si="305"/>
        <v>1625.7819183399047</v>
      </c>
      <c r="AF455" s="308">
        <f t="shared" si="305"/>
        <v>1546.6785131438721</v>
      </c>
      <c r="AG455" s="309"/>
      <c r="AH455" s="306" t="str">
        <f t="shared" ref="AH455:AI458" si="306">AH347</f>
        <v>Revenue - old</v>
      </c>
      <c r="AI455" s="307" t="str">
        <f t="shared" si="306"/>
        <v>A$m</v>
      </c>
      <c r="AJ455" s="307"/>
      <c r="AK455" s="307"/>
      <c r="AL455" s="308"/>
      <c r="AM455" s="308">
        <f t="shared" ref="AM455:AX455" si="307">AM347</f>
        <v>2434.4</v>
      </c>
      <c r="AN455" s="308">
        <f t="shared" si="307"/>
        <v>2338.9</v>
      </c>
      <c r="AO455" s="308">
        <f t="shared" si="307"/>
        <v>2614.6</v>
      </c>
      <c r="AP455" s="308">
        <f t="shared" si="307"/>
        <v>2652.7251353480001</v>
      </c>
      <c r="AQ455" s="308">
        <f t="shared" si="307"/>
        <v>2743.964362099</v>
      </c>
      <c r="AR455" s="308">
        <f t="shared" si="307"/>
        <v>2803.6884283650406</v>
      </c>
      <c r="AS455" s="308">
        <f t="shared" si="307"/>
        <v>2867.6211648379867</v>
      </c>
      <c r="AT455" s="308">
        <f t="shared" si="307"/>
        <v>2933.3272954493414</v>
      </c>
      <c r="AU455" s="308">
        <f t="shared" si="307"/>
        <v>3000.8611652248192</v>
      </c>
      <c r="AV455" s="308">
        <f t="shared" si="307"/>
        <v>3070.2788724848219</v>
      </c>
      <c r="AW455" s="308">
        <f t="shared" si="307"/>
        <v>3120.3688870842057</v>
      </c>
      <c r="AX455" s="308">
        <f t="shared" si="307"/>
        <v>3172.460431483777</v>
      </c>
    </row>
    <row r="456" spans="1:50">
      <c r="B456" s="305"/>
      <c r="C456" s="310" t="str">
        <f t="shared" si="304"/>
        <v>Revenue - New</v>
      </c>
      <c r="D456" s="311" t="str">
        <f t="shared" si="304"/>
        <v>A$m</v>
      </c>
      <c r="E456" s="311"/>
      <c r="F456" s="311"/>
      <c r="G456" s="312"/>
      <c r="H456" s="312"/>
      <c r="I456" s="312">
        <f t="shared" ref="I456:AF456" si="308">I348</f>
        <v>1274.5</v>
      </c>
      <c r="J456" s="312">
        <f t="shared" si="308"/>
        <v>1159.9000000000001</v>
      </c>
      <c r="K456" s="312">
        <f t="shared" si="308"/>
        <v>1209.5999999999999</v>
      </c>
      <c r="L456" s="312">
        <f t="shared" si="308"/>
        <v>1129.3000000000002</v>
      </c>
      <c r="M456" s="312">
        <f t="shared" si="308"/>
        <v>1331.3</v>
      </c>
      <c r="N456" s="312">
        <f t="shared" si="308"/>
        <v>1283.3</v>
      </c>
      <c r="O456" s="312">
        <f t="shared" si="308"/>
        <v>1344.9</v>
      </c>
      <c r="P456" s="312">
        <f t="shared" si="308"/>
        <v>1291.4000000000001</v>
      </c>
      <c r="Q456" s="312">
        <f t="shared" si="308"/>
        <v>1400.9837626000001</v>
      </c>
      <c r="R456" s="312">
        <f t="shared" si="308"/>
        <v>1345.9845538500001</v>
      </c>
      <c r="S456" s="312">
        <f t="shared" si="308"/>
        <v>1458.358766001</v>
      </c>
      <c r="T456" s="312">
        <f t="shared" si="308"/>
        <v>1388.4989695240001</v>
      </c>
      <c r="U456" s="312">
        <f t="shared" si="308"/>
        <v>1474.9689453032995</v>
      </c>
      <c r="V456" s="312">
        <f t="shared" si="308"/>
        <v>1403.0377269744802</v>
      </c>
      <c r="W456" s="312">
        <f t="shared" si="308"/>
        <v>1508.701747551567</v>
      </c>
      <c r="X456" s="312">
        <f t="shared" si="308"/>
        <v>1435.5596450364148</v>
      </c>
      <c r="Y456" s="312">
        <f t="shared" si="308"/>
        <v>1532.8790624342341</v>
      </c>
      <c r="Z456" s="312">
        <f t="shared" si="308"/>
        <v>1459.4557426179608</v>
      </c>
      <c r="AA456" s="312">
        <f t="shared" si="308"/>
        <v>1557.9909741388201</v>
      </c>
      <c r="AB456" s="312">
        <f t="shared" si="308"/>
        <v>1484.258870044649</v>
      </c>
      <c r="AC456" s="312">
        <f t="shared" si="308"/>
        <v>1584.0634277962276</v>
      </c>
      <c r="AD456" s="312">
        <f t="shared" si="308"/>
        <v>1509.994336742657</v>
      </c>
      <c r="AE456" s="312">
        <f t="shared" si="308"/>
        <v>1611.1231678190259</v>
      </c>
      <c r="AF456" s="312">
        <f t="shared" si="308"/>
        <v>1536.6882304356377</v>
      </c>
      <c r="AG456" s="312"/>
      <c r="AH456" s="310" t="str">
        <f t="shared" si="306"/>
        <v>Revenue - New</v>
      </c>
      <c r="AI456" s="311" t="str">
        <f t="shared" si="306"/>
        <v>A$m</v>
      </c>
      <c r="AJ456" s="311"/>
      <c r="AK456" s="311"/>
      <c r="AL456" s="312"/>
      <c r="AM456" s="312">
        <f t="shared" ref="AM456:AX456" si="309">AM348</f>
        <v>2434.4</v>
      </c>
      <c r="AN456" s="312">
        <f t="shared" si="309"/>
        <v>2338.9</v>
      </c>
      <c r="AO456" s="312">
        <f t="shared" si="309"/>
        <v>2614.6</v>
      </c>
      <c r="AP456" s="312">
        <f t="shared" si="309"/>
        <v>2636.3</v>
      </c>
      <c r="AQ456" s="312">
        <f t="shared" si="309"/>
        <v>2746.9683164500002</v>
      </c>
      <c r="AR456" s="312">
        <f t="shared" si="309"/>
        <v>2846.857735525</v>
      </c>
      <c r="AS456" s="312">
        <f t="shared" si="309"/>
        <v>2878.0066722777797</v>
      </c>
      <c r="AT456" s="312">
        <f t="shared" si="309"/>
        <v>2944.2613925879818</v>
      </c>
      <c r="AU456" s="312">
        <f t="shared" si="309"/>
        <v>2992.334805052195</v>
      </c>
      <c r="AV456" s="312">
        <f t="shared" si="309"/>
        <v>3042.2498441834691</v>
      </c>
      <c r="AW456" s="312">
        <f t="shared" si="309"/>
        <v>3094.0577645388848</v>
      </c>
      <c r="AX456" s="312">
        <f t="shared" si="309"/>
        <v>3147.8113982546638</v>
      </c>
    </row>
    <row r="457" spans="1:50" hidden="1" outlineLevel="1">
      <c r="C457" s="313" t="str">
        <f t="shared" si="304"/>
        <v>- Growth</v>
      </c>
      <c r="D457" s="307" t="str">
        <f t="shared" si="304"/>
        <v>%</v>
      </c>
      <c r="E457" s="307"/>
      <c r="F457" s="307"/>
      <c r="G457" s="314"/>
      <c r="H457" s="314"/>
      <c r="I457" s="314" t="str">
        <f t="shared" ref="I457:AF457" si="310">I349</f>
        <v>-</v>
      </c>
      <c r="J457" s="314" t="str">
        <f t="shared" si="310"/>
        <v>-</v>
      </c>
      <c r="K457" s="314">
        <f t="shared" si="310"/>
        <v>-5.092193016869373E-2</v>
      </c>
      <c r="L457" s="314">
        <f t="shared" si="310"/>
        <v>-2.6381584619363685E-2</v>
      </c>
      <c r="M457" s="314">
        <f t="shared" si="310"/>
        <v>0.10061177248677255</v>
      </c>
      <c r="N457" s="314">
        <f t="shared" si="310"/>
        <v>0.13636766138315748</v>
      </c>
      <c r="O457" s="314">
        <f t="shared" si="310"/>
        <v>1.0215578757605481E-2</v>
      </c>
      <c r="P457" s="314">
        <f t="shared" si="310"/>
        <v>6.3118522559029167E-3</v>
      </c>
      <c r="Q457" s="314">
        <f t="shared" si="310"/>
        <v>4.1701065209309274E-2</v>
      </c>
      <c r="R457" s="314">
        <f t="shared" si="310"/>
        <v>4.2267735674461848E-2</v>
      </c>
      <c r="S457" s="314">
        <f t="shared" si="310"/>
        <v>4.0953367863822532E-2</v>
      </c>
      <c r="T457" s="314">
        <f t="shared" si="310"/>
        <v>3.1586109626885017E-2</v>
      </c>
      <c r="U457" s="314">
        <f t="shared" si="310"/>
        <v>1.1389638605764141E-2</v>
      </c>
      <c r="V457" s="314">
        <f t="shared" si="310"/>
        <v>1.0470844969704407E-2</v>
      </c>
      <c r="W457" s="314">
        <f t="shared" si="310"/>
        <v>2.2870177948953962E-2</v>
      </c>
      <c r="X457" s="314">
        <f t="shared" si="310"/>
        <v>2.3179646161094469E-2</v>
      </c>
      <c r="Y457" s="314">
        <f t="shared" si="310"/>
        <v>1.6025244831792573E-2</v>
      </c>
      <c r="Z457" s="314">
        <f t="shared" si="310"/>
        <v>1.6645840989031102E-2</v>
      </c>
      <c r="AA457" s="314">
        <f t="shared" si="310"/>
        <v>1.638218716661699E-2</v>
      </c>
      <c r="AB457" s="314">
        <f t="shared" si="310"/>
        <v>1.6994778740050398E-2</v>
      </c>
      <c r="AC457" s="314">
        <f t="shared" si="310"/>
        <v>1.6734662838351344E-2</v>
      </c>
      <c r="AD457" s="314">
        <f t="shared" si="310"/>
        <v>1.7338934075046941E-2</v>
      </c>
      <c r="AE457" s="314">
        <f t="shared" si="310"/>
        <v>1.7082485175763606E-2</v>
      </c>
      <c r="AF457" s="314">
        <f t="shared" si="310"/>
        <v>1.7678141595262264E-2</v>
      </c>
      <c r="AG457" s="315"/>
      <c r="AH457" s="313" t="str">
        <f t="shared" si="306"/>
        <v>- Growth</v>
      </c>
      <c r="AI457" s="307" t="str">
        <f t="shared" si="306"/>
        <v>%</v>
      </c>
      <c r="AJ457" s="307"/>
      <c r="AK457" s="307"/>
      <c r="AL457" s="314"/>
      <c r="AM457" s="314" t="str">
        <f t="shared" ref="AM457:AX457" si="311">AM349</f>
        <v>-</v>
      </c>
      <c r="AN457" s="314">
        <f t="shared" si="311"/>
        <v>-3.922937890239897E-2</v>
      </c>
      <c r="AO457" s="314">
        <f t="shared" si="311"/>
        <v>0.11787592457993057</v>
      </c>
      <c r="AP457" s="314">
        <f t="shared" si="311"/>
        <v>8.2995486881358715E-3</v>
      </c>
      <c r="AQ457" s="314">
        <f t="shared" si="311"/>
        <v>4.1978650551909968E-2</v>
      </c>
      <c r="AR457" s="314">
        <f t="shared" si="311"/>
        <v>3.6363513360099464E-2</v>
      </c>
      <c r="AS457" s="314">
        <f t="shared" si="311"/>
        <v>1.0941515048006334E-2</v>
      </c>
      <c r="AT457" s="314">
        <f t="shared" si="311"/>
        <v>2.3021044721124762E-2</v>
      </c>
      <c r="AU457" s="314">
        <f t="shared" si="311"/>
        <v>1.6327834405340358E-2</v>
      </c>
      <c r="AV457" s="314">
        <f t="shared" si="311"/>
        <v>1.6680967332598939E-2</v>
      </c>
      <c r="AW457" s="314">
        <f t="shared" si="311"/>
        <v>1.7029475884259959E-2</v>
      </c>
      <c r="AX457" s="314">
        <f t="shared" si="311"/>
        <v>1.7373183633431655E-2</v>
      </c>
    </row>
    <row r="458" spans="1:50" collapsed="1">
      <c r="C458" s="313" t="str">
        <f t="shared" si="304"/>
        <v>- Revision</v>
      </c>
      <c r="D458" s="307" t="str">
        <f t="shared" si="304"/>
        <v>%</v>
      </c>
      <c r="E458" s="307"/>
      <c r="F458" s="307"/>
      <c r="G458" s="314"/>
      <c r="H458" s="314"/>
      <c r="I458" s="314">
        <f t="shared" ref="I458:AF458" si="312">I350</f>
        <v>0</v>
      </c>
      <c r="J458" s="314">
        <f t="shared" si="312"/>
        <v>0</v>
      </c>
      <c r="K458" s="314">
        <f t="shared" si="312"/>
        <v>0</v>
      </c>
      <c r="L458" s="314">
        <f t="shared" si="312"/>
        <v>0</v>
      </c>
      <c r="M458" s="314">
        <f t="shared" si="312"/>
        <v>0</v>
      </c>
      <c r="N458" s="314">
        <f t="shared" si="312"/>
        <v>0</v>
      </c>
      <c r="O458" s="314">
        <f t="shared" si="312"/>
        <v>0</v>
      </c>
      <c r="P458" s="314">
        <f t="shared" si="312"/>
        <v>-1.3000000000000012E-2</v>
      </c>
      <c r="Q458" s="314">
        <f t="shared" si="312"/>
        <v>-5.0000000000000044E-3</v>
      </c>
      <c r="R458" s="314">
        <f t="shared" si="312"/>
        <v>8.0000000000000071E-3</v>
      </c>
      <c r="S458" s="314">
        <f t="shared" si="312"/>
        <v>1.4999999999999902E-2</v>
      </c>
      <c r="T458" s="314">
        <f t="shared" si="312"/>
        <v>1.6000000000000014E-2</v>
      </c>
      <c r="U458" s="314">
        <f t="shared" si="312"/>
        <v>2.9999999999998916E-3</v>
      </c>
      <c r="V458" s="314">
        <f t="shared" si="312"/>
        <v>4.0000000000000036E-3</v>
      </c>
      <c r="W458" s="314">
        <f t="shared" si="312"/>
        <v>2.9999999999998916E-3</v>
      </c>
      <c r="X458" s="314">
        <f t="shared" si="312"/>
        <v>4.0000000000000036E-3</v>
      </c>
      <c r="Y458" s="314">
        <f t="shared" si="312"/>
        <v>-3.0000000000000027E-3</v>
      </c>
      <c r="Z458" s="314">
        <f t="shared" si="312"/>
        <v>-2.0000000000000018E-3</v>
      </c>
      <c r="AA458" s="314">
        <f t="shared" si="312"/>
        <v>-1.0000000000000009E-2</v>
      </c>
      <c r="AB458" s="314">
        <f t="shared" si="312"/>
        <v>-8.0000000000000071E-3</v>
      </c>
      <c r="AC458" s="314">
        <f t="shared" si="312"/>
        <v>-1.0000000000000009E-2</v>
      </c>
      <c r="AD458" s="314">
        <f t="shared" si="312"/>
        <v>-7.0000000000000062E-3</v>
      </c>
      <c r="AE458" s="314">
        <f t="shared" si="312"/>
        <v>-9.000000000000008E-3</v>
      </c>
      <c r="AF458" s="314">
        <f t="shared" si="312"/>
        <v>-6.0000000000000053E-3</v>
      </c>
      <c r="AG458" s="314"/>
      <c r="AH458" s="313" t="str">
        <f t="shared" si="306"/>
        <v>- Revision</v>
      </c>
      <c r="AI458" s="307" t="str">
        <f t="shared" si="306"/>
        <v>%</v>
      </c>
      <c r="AJ458" s="307"/>
      <c r="AK458" s="307"/>
      <c r="AL458" s="314"/>
      <c r="AM458" s="314">
        <f t="shared" ref="AM458:AX458" si="313">AM350</f>
        <v>0</v>
      </c>
      <c r="AN458" s="314">
        <f t="shared" si="313"/>
        <v>0</v>
      </c>
      <c r="AO458" s="314">
        <f t="shared" si="313"/>
        <v>0</v>
      </c>
      <c r="AP458" s="314">
        <f t="shared" si="313"/>
        <v>-6.0000000000000053E-3</v>
      </c>
      <c r="AQ458" s="314">
        <f t="shared" si="313"/>
        <v>9.9999999999988987E-4</v>
      </c>
      <c r="AR458" s="314">
        <f t="shared" si="313"/>
        <v>1.4999999999999902E-2</v>
      </c>
      <c r="AS458" s="314">
        <f t="shared" si="313"/>
        <v>4.0000000000000036E-3</v>
      </c>
      <c r="AT458" s="314">
        <f t="shared" si="313"/>
        <v>4.0000000000000036E-3</v>
      </c>
      <c r="AU458" s="314">
        <f t="shared" si="313"/>
        <v>-3.0000000000000027E-3</v>
      </c>
      <c r="AV458" s="314">
        <f t="shared" si="313"/>
        <v>-9.000000000000008E-3</v>
      </c>
      <c r="AW458" s="314">
        <f t="shared" si="313"/>
        <v>-8.0000000000000071E-3</v>
      </c>
      <c r="AX458" s="314">
        <f t="shared" si="313"/>
        <v>-8.0000000000000071E-3</v>
      </c>
    </row>
    <row r="459" spans="1:50">
      <c r="B459" s="305"/>
      <c r="C459" s="727" t="str">
        <f>C363</f>
        <v>EBITDA - old</v>
      </c>
      <c r="D459" s="307" t="str">
        <f>D363</f>
        <v>A$m</v>
      </c>
      <c r="E459" s="307"/>
      <c r="F459" s="307"/>
      <c r="G459" s="308"/>
      <c r="H459" s="308"/>
      <c r="I459" s="308">
        <f t="shared" ref="I459:AF459" si="314">I363</f>
        <v>196.6</v>
      </c>
      <c r="J459" s="308">
        <f t="shared" si="314"/>
        <v>194.4</v>
      </c>
      <c r="K459" s="308">
        <f t="shared" si="314"/>
        <v>169.8</v>
      </c>
      <c r="L459" s="308">
        <f t="shared" si="314"/>
        <v>147.89999999999998</v>
      </c>
      <c r="M459" s="308">
        <f t="shared" si="314"/>
        <v>190.2</v>
      </c>
      <c r="N459" s="308">
        <f t="shared" si="314"/>
        <v>201.3</v>
      </c>
      <c r="O459" s="308">
        <f t="shared" si="314"/>
        <v>217.4</v>
      </c>
      <c r="P459" s="308">
        <f t="shared" si="314"/>
        <v>211.03123123002695</v>
      </c>
      <c r="Q459" s="308">
        <f t="shared" si="314"/>
        <v>246.89163044135</v>
      </c>
      <c r="R459" s="308">
        <f t="shared" si="314"/>
        <v>225.91248302424898</v>
      </c>
      <c r="S459" s="308">
        <f t="shared" si="314"/>
        <v>253.45476940994817</v>
      </c>
      <c r="T459" s="308">
        <f t="shared" si="314"/>
        <v>230.38396337662027</v>
      </c>
      <c r="U459" s="308">
        <f t="shared" si="314"/>
        <v>258.52115265330832</v>
      </c>
      <c r="V459" s="308">
        <f t="shared" si="314"/>
        <v>234.99960112542917</v>
      </c>
      <c r="W459" s="308">
        <f t="shared" si="314"/>
        <v>263.74860585031615</v>
      </c>
      <c r="X459" s="308">
        <f t="shared" si="314"/>
        <v>239.76486612740874</v>
      </c>
      <c r="Y459" s="308">
        <f t="shared" si="314"/>
        <v>269.14314058084932</v>
      </c>
      <c r="Z459" s="308">
        <f t="shared" si="314"/>
        <v>244.68543873029103</v>
      </c>
      <c r="AA459" s="308">
        <f t="shared" si="314"/>
        <v>274.71099696010242</v>
      </c>
      <c r="AB459" s="308">
        <f t="shared" si="314"/>
        <v>249.76721777024409</v>
      </c>
      <c r="AC459" s="308">
        <f t="shared" si="314"/>
        <v>276.15359043873008</v>
      </c>
      <c r="AD459" s="308">
        <f t="shared" si="314"/>
        <v>250.98377011548382</v>
      </c>
      <c r="AE459" s="308">
        <f t="shared" si="314"/>
        <v>277.78270615192685</v>
      </c>
      <c r="AF459" s="308">
        <f t="shared" si="314"/>
        <v>252.3740155408405</v>
      </c>
      <c r="AG459" s="309"/>
      <c r="AH459" s="306" t="str">
        <f t="shared" ref="AH459:AI462" si="315">AH363</f>
        <v>EBITDA - old</v>
      </c>
      <c r="AI459" s="307" t="str">
        <f t="shared" si="315"/>
        <v>A$m</v>
      </c>
      <c r="AJ459" s="307"/>
      <c r="AK459" s="307"/>
      <c r="AL459" s="308"/>
      <c r="AM459" s="308">
        <f t="shared" ref="AM459:AX459" si="316">AM363</f>
        <v>391</v>
      </c>
      <c r="AN459" s="308">
        <f t="shared" si="316"/>
        <v>317.7</v>
      </c>
      <c r="AO459" s="308">
        <f t="shared" si="316"/>
        <v>391.5</v>
      </c>
      <c r="AP459" s="308">
        <f t="shared" si="316"/>
        <v>428.43123123002692</v>
      </c>
      <c r="AQ459" s="308">
        <f t="shared" si="316"/>
        <v>472.80411346559902</v>
      </c>
      <c r="AR459" s="308">
        <f t="shared" si="316"/>
        <v>483.83873278656847</v>
      </c>
      <c r="AS459" s="308">
        <f t="shared" si="316"/>
        <v>493.52075377873746</v>
      </c>
      <c r="AT459" s="308">
        <f t="shared" si="316"/>
        <v>503.51347197772486</v>
      </c>
      <c r="AU459" s="308">
        <f t="shared" si="316"/>
        <v>513.8285793111404</v>
      </c>
      <c r="AV459" s="308">
        <f t="shared" si="316"/>
        <v>524.47821473034651</v>
      </c>
      <c r="AW459" s="308">
        <f t="shared" si="316"/>
        <v>527.13736055421396</v>
      </c>
      <c r="AX459" s="308">
        <f t="shared" si="316"/>
        <v>530.15672169276741</v>
      </c>
    </row>
    <row r="460" spans="1:50" collapsed="1">
      <c r="B460" s="305"/>
      <c r="C460" s="310" t="str">
        <f t="shared" ref="C460:D462" si="317">C364</f>
        <v>EBITDA - New</v>
      </c>
      <c r="D460" s="311" t="str">
        <f t="shared" si="317"/>
        <v>A$m</v>
      </c>
      <c r="E460" s="311"/>
      <c r="F460" s="311"/>
      <c r="G460" s="312"/>
      <c r="H460" s="312"/>
      <c r="I460" s="312">
        <f t="shared" ref="I460:AF460" si="318">I364</f>
        <v>196.6</v>
      </c>
      <c r="J460" s="312">
        <f t="shared" si="318"/>
        <v>194.4</v>
      </c>
      <c r="K460" s="312">
        <f t="shared" si="318"/>
        <v>169.8</v>
      </c>
      <c r="L460" s="312">
        <f t="shared" si="318"/>
        <v>147.89999999999998</v>
      </c>
      <c r="M460" s="312">
        <f t="shared" si="318"/>
        <v>190.2</v>
      </c>
      <c r="N460" s="312">
        <f t="shared" si="318"/>
        <v>201.3</v>
      </c>
      <c r="O460" s="312">
        <f t="shared" si="318"/>
        <v>217.4</v>
      </c>
      <c r="P460" s="312">
        <f t="shared" si="318"/>
        <v>214.29999999999998</v>
      </c>
      <c r="Q460" s="312">
        <f t="shared" si="318"/>
        <v>245.91365320419683</v>
      </c>
      <c r="R460" s="312">
        <f t="shared" si="318"/>
        <v>220.50641127075005</v>
      </c>
      <c r="S460" s="312">
        <f t="shared" si="318"/>
        <v>252.5909362220219</v>
      </c>
      <c r="T460" s="312">
        <f t="shared" si="318"/>
        <v>233.05483452447999</v>
      </c>
      <c r="U460" s="312">
        <f t="shared" si="318"/>
        <v>260.32813375597885</v>
      </c>
      <c r="V460" s="312">
        <f t="shared" si="318"/>
        <v>234.03557596429465</v>
      </c>
      <c r="W460" s="312">
        <f t="shared" si="318"/>
        <v>263.98405265487986</v>
      </c>
      <c r="X460" s="312">
        <f t="shared" si="318"/>
        <v>237.27680381304012</v>
      </c>
      <c r="Y460" s="312">
        <f t="shared" si="318"/>
        <v>266.91994186997368</v>
      </c>
      <c r="Z460" s="312">
        <f t="shared" si="318"/>
        <v>240.1555074920955</v>
      </c>
      <c r="AA460" s="312">
        <f t="shared" si="318"/>
        <v>270.09346120412431</v>
      </c>
      <c r="AB460" s="312">
        <f t="shared" si="318"/>
        <v>243.26233677028503</v>
      </c>
      <c r="AC460" s="312">
        <f t="shared" si="318"/>
        <v>273.51225069285624</v>
      </c>
      <c r="AD460" s="312">
        <f t="shared" si="318"/>
        <v>246.60471746438341</v>
      </c>
      <c r="AE460" s="312">
        <f t="shared" si="318"/>
        <v>277.18421459476878</v>
      </c>
      <c r="AF460" s="312">
        <f t="shared" si="318"/>
        <v>250.19033233905387</v>
      </c>
      <c r="AG460" s="312"/>
      <c r="AH460" s="310" t="str">
        <f t="shared" si="315"/>
        <v>EBITDA - New</v>
      </c>
      <c r="AI460" s="311" t="str">
        <f t="shared" si="315"/>
        <v>A$m</v>
      </c>
      <c r="AJ460" s="311"/>
      <c r="AK460" s="311"/>
      <c r="AL460" s="312"/>
      <c r="AM460" s="312">
        <f t="shared" ref="AM460:AX460" si="319">AM364</f>
        <v>391</v>
      </c>
      <c r="AN460" s="312">
        <f t="shared" si="319"/>
        <v>317.7</v>
      </c>
      <c r="AO460" s="312">
        <f t="shared" si="319"/>
        <v>391.5</v>
      </c>
      <c r="AP460" s="312">
        <f t="shared" si="319"/>
        <v>431.7</v>
      </c>
      <c r="AQ460" s="312">
        <f t="shared" si="319"/>
        <v>466.42006447494691</v>
      </c>
      <c r="AR460" s="312">
        <f t="shared" si="319"/>
        <v>485.64577074650185</v>
      </c>
      <c r="AS460" s="312">
        <f t="shared" si="319"/>
        <v>494.3637097202735</v>
      </c>
      <c r="AT460" s="312">
        <f t="shared" si="319"/>
        <v>501.26085646792001</v>
      </c>
      <c r="AU460" s="312">
        <f t="shared" si="319"/>
        <v>507.07544936206921</v>
      </c>
      <c r="AV460" s="312">
        <f t="shared" si="319"/>
        <v>513.35579797440937</v>
      </c>
      <c r="AW460" s="312">
        <f t="shared" si="319"/>
        <v>520.11696815723963</v>
      </c>
      <c r="AX460" s="312">
        <f t="shared" si="319"/>
        <v>527.37454693382267</v>
      </c>
    </row>
    <row r="461" spans="1:50" hidden="1" outlineLevel="1">
      <c r="C461" s="313" t="str">
        <f t="shared" si="317"/>
        <v>- Growth</v>
      </c>
      <c r="D461" s="307" t="str">
        <f t="shared" si="317"/>
        <v>%</v>
      </c>
      <c r="E461" s="307"/>
      <c r="F461" s="307"/>
      <c r="G461" s="314"/>
      <c r="H461" s="314"/>
      <c r="I461" s="314" t="str">
        <f t="shared" ref="I461:AF461" si="320">I365</f>
        <v>-</v>
      </c>
      <c r="J461" s="314" t="str">
        <f t="shared" si="320"/>
        <v>-</v>
      </c>
      <c r="K461" s="314">
        <f t="shared" si="320"/>
        <v>-0.13631739572736512</v>
      </c>
      <c r="L461" s="314">
        <f t="shared" si="320"/>
        <v>-0.2391975308641977</v>
      </c>
      <c r="M461" s="314">
        <f t="shared" si="320"/>
        <v>0.12014134275618371</v>
      </c>
      <c r="N461" s="314">
        <f t="shared" si="320"/>
        <v>0.36105476673428027</v>
      </c>
      <c r="O461" s="314">
        <f t="shared" si="320"/>
        <v>0.14300736067297581</v>
      </c>
      <c r="P461" s="314">
        <f t="shared" si="320"/>
        <v>6.4580228514654614E-2</v>
      </c>
      <c r="Q461" s="314">
        <f t="shared" si="320"/>
        <v>0.13115755843696797</v>
      </c>
      <c r="R461" s="314">
        <f t="shared" si="320"/>
        <v>2.8961321842044141E-2</v>
      </c>
      <c r="S461" s="314">
        <f t="shared" si="320"/>
        <v>2.7152957677711864E-2</v>
      </c>
      <c r="T461" s="314">
        <f t="shared" si="320"/>
        <v>5.6907294356726368E-2</v>
      </c>
      <c r="U461" s="314">
        <f t="shared" si="320"/>
        <v>3.0631334796416221E-2</v>
      </c>
      <c r="V461" s="314">
        <f t="shared" si="320"/>
        <v>4.2082003654451139E-3</v>
      </c>
      <c r="W461" s="314">
        <f t="shared" si="320"/>
        <v>1.4043502890578541E-2</v>
      </c>
      <c r="X461" s="314">
        <f t="shared" si="320"/>
        <v>1.384929549873215E-2</v>
      </c>
      <c r="Y461" s="314">
        <f t="shared" si="320"/>
        <v>1.1121464291375505E-2</v>
      </c>
      <c r="Z461" s="314">
        <f t="shared" si="320"/>
        <v>1.2132259170700932E-2</v>
      </c>
      <c r="AA461" s="314">
        <f t="shared" si="320"/>
        <v>1.1889405159905886E-2</v>
      </c>
      <c r="AB461" s="314">
        <f t="shared" si="320"/>
        <v>1.293673965937181E-2</v>
      </c>
      <c r="AC461" s="314">
        <f t="shared" si="320"/>
        <v>1.2657801760510567E-2</v>
      </c>
      <c r="AD461" s="314">
        <f t="shared" si="320"/>
        <v>1.3739819893511251E-2</v>
      </c>
      <c r="AE461" s="314">
        <f t="shared" si="320"/>
        <v>1.3425226448214866E-2</v>
      </c>
      <c r="AF461" s="314">
        <f t="shared" si="320"/>
        <v>1.4539928155219872E-2</v>
      </c>
      <c r="AG461" s="315"/>
      <c r="AH461" s="313" t="str">
        <f t="shared" si="315"/>
        <v>- Growth</v>
      </c>
      <c r="AI461" s="307" t="str">
        <f t="shared" si="315"/>
        <v>%</v>
      </c>
      <c r="AJ461" s="307"/>
      <c r="AK461" s="307"/>
      <c r="AL461" s="314"/>
      <c r="AM461" s="314" t="str">
        <f t="shared" ref="AM461:AX461" si="321">AM365</f>
        <v>-</v>
      </c>
      <c r="AN461" s="314">
        <f t="shared" si="321"/>
        <v>-0.18746803069053708</v>
      </c>
      <c r="AO461" s="314">
        <f t="shared" si="321"/>
        <v>0.23229461756373948</v>
      </c>
      <c r="AP461" s="314">
        <f t="shared" si="321"/>
        <v>0.10268199233716468</v>
      </c>
      <c r="AQ461" s="314">
        <f t="shared" si="321"/>
        <v>8.0426371264644247E-2</v>
      </c>
      <c r="AR461" s="314">
        <f t="shared" si="321"/>
        <v>4.1219723883871628E-2</v>
      </c>
      <c r="AS461" s="314">
        <f t="shared" si="321"/>
        <v>1.7951230091782788E-2</v>
      </c>
      <c r="AT461" s="314">
        <f t="shared" si="321"/>
        <v>1.395156362013128E-2</v>
      </c>
      <c r="AU461" s="314">
        <f t="shared" si="321"/>
        <v>1.1599934084462804E-2</v>
      </c>
      <c r="AV461" s="314">
        <f t="shared" si="321"/>
        <v>1.2385432227573157E-2</v>
      </c>
      <c r="AW461" s="314">
        <f t="shared" si="321"/>
        <v>1.3170534373057263E-2</v>
      </c>
      <c r="AX461" s="314">
        <f t="shared" si="321"/>
        <v>1.3953743524839135E-2</v>
      </c>
    </row>
    <row r="462" spans="1:50" collapsed="1">
      <c r="C462" s="313" t="str">
        <f t="shared" si="317"/>
        <v>- Revision</v>
      </c>
      <c r="D462" s="307" t="str">
        <f t="shared" si="317"/>
        <v>%</v>
      </c>
      <c r="E462" s="307"/>
      <c r="F462" s="307"/>
      <c r="G462" s="314"/>
      <c r="H462" s="314"/>
      <c r="I462" s="314">
        <f t="shared" ref="I462:AF462" si="322">I366</f>
        <v>0</v>
      </c>
      <c r="J462" s="314">
        <f t="shared" si="322"/>
        <v>0</v>
      </c>
      <c r="K462" s="314">
        <f t="shared" si="322"/>
        <v>0</v>
      </c>
      <c r="L462" s="314">
        <f t="shared" si="322"/>
        <v>0</v>
      </c>
      <c r="M462" s="314">
        <f t="shared" si="322"/>
        <v>0</v>
      </c>
      <c r="N462" s="314">
        <f t="shared" si="322"/>
        <v>0</v>
      </c>
      <c r="O462" s="314">
        <f t="shared" si="322"/>
        <v>0</v>
      </c>
      <c r="P462" s="314">
        <f t="shared" si="322"/>
        <v>1.4999999999999902E-2</v>
      </c>
      <c r="Q462" s="314">
        <f t="shared" si="322"/>
        <v>-4.0000000000000036E-3</v>
      </c>
      <c r="R462" s="314">
        <f t="shared" si="322"/>
        <v>-2.4000000000000021E-2</v>
      </c>
      <c r="S462" s="314">
        <f t="shared" si="322"/>
        <v>-3.0000000000000027E-3</v>
      </c>
      <c r="T462" s="314">
        <f t="shared" si="322"/>
        <v>1.2000000000000011E-2</v>
      </c>
      <c r="U462" s="314">
        <f t="shared" si="322"/>
        <v>6.9999999999998952E-3</v>
      </c>
      <c r="V462" s="314">
        <f t="shared" si="322"/>
        <v>-4.0000000000000036E-3</v>
      </c>
      <c r="W462" s="314">
        <f t="shared" si="322"/>
        <v>9.9999999999988987E-4</v>
      </c>
      <c r="X462" s="314">
        <f t="shared" si="322"/>
        <v>-1.0000000000000009E-2</v>
      </c>
      <c r="Y462" s="314">
        <f t="shared" si="322"/>
        <v>-8.0000000000000071E-3</v>
      </c>
      <c r="Z462" s="314">
        <f t="shared" si="322"/>
        <v>-1.9000000000000017E-2</v>
      </c>
      <c r="AA462" s="314">
        <f t="shared" si="322"/>
        <v>-1.7000000000000015E-2</v>
      </c>
      <c r="AB462" s="314">
        <f t="shared" si="322"/>
        <v>-2.6000000000000023E-2</v>
      </c>
      <c r="AC462" s="314">
        <f t="shared" si="322"/>
        <v>-1.0000000000000009E-2</v>
      </c>
      <c r="AD462" s="314">
        <f t="shared" si="322"/>
        <v>-1.7000000000000015E-2</v>
      </c>
      <c r="AE462" s="314">
        <f t="shared" si="322"/>
        <v>-2.0000000000000018E-3</v>
      </c>
      <c r="AF462" s="314">
        <f t="shared" si="322"/>
        <v>-9.000000000000008E-3</v>
      </c>
      <c r="AG462" s="314"/>
      <c r="AH462" s="313" t="str">
        <f t="shared" si="315"/>
        <v>- Revision</v>
      </c>
      <c r="AI462" s="307" t="str">
        <f t="shared" si="315"/>
        <v>%</v>
      </c>
      <c r="AJ462" s="307"/>
      <c r="AK462" s="307"/>
      <c r="AL462" s="314"/>
      <c r="AM462" s="314">
        <f t="shared" ref="AM462:AX462" si="323">AM366</f>
        <v>0</v>
      </c>
      <c r="AN462" s="314">
        <f t="shared" si="323"/>
        <v>0</v>
      </c>
      <c r="AO462" s="314">
        <f t="shared" si="323"/>
        <v>0</v>
      </c>
      <c r="AP462" s="314">
        <f t="shared" si="323"/>
        <v>8.0000000000000071E-3</v>
      </c>
      <c r="AQ462" s="314">
        <f t="shared" si="323"/>
        <v>-1.4000000000000012E-2</v>
      </c>
      <c r="AR462" s="314">
        <f t="shared" si="323"/>
        <v>4.0000000000000036E-3</v>
      </c>
      <c r="AS462" s="314">
        <f t="shared" si="323"/>
        <v>2.0000000000000018E-3</v>
      </c>
      <c r="AT462" s="314">
        <f t="shared" si="323"/>
        <v>-4.0000000000000036E-3</v>
      </c>
      <c r="AU462" s="314">
        <f t="shared" si="323"/>
        <v>-1.3000000000000012E-2</v>
      </c>
      <c r="AV462" s="314">
        <f t="shared" si="323"/>
        <v>-2.1000000000000019E-2</v>
      </c>
      <c r="AW462" s="314">
        <f t="shared" si="323"/>
        <v>-1.3000000000000012E-2</v>
      </c>
      <c r="AX462" s="314">
        <f t="shared" si="323"/>
        <v>-5.0000000000000044E-3</v>
      </c>
    </row>
    <row r="463" spans="1:50">
      <c r="B463" s="305"/>
      <c r="C463" s="727" t="str">
        <f>C371</f>
        <v>EBIT - old</v>
      </c>
      <c r="D463" s="307" t="str">
        <f>D371</f>
        <v>A$m</v>
      </c>
      <c r="E463" s="307"/>
      <c r="F463" s="307"/>
      <c r="G463" s="308"/>
      <c r="H463" s="308"/>
      <c r="I463" s="308">
        <f t="shared" ref="I463:AF463" si="324">I371</f>
        <v>73.2</v>
      </c>
      <c r="J463" s="308">
        <f t="shared" si="324"/>
        <v>77.3</v>
      </c>
      <c r="K463" s="308">
        <f t="shared" si="324"/>
        <v>50</v>
      </c>
      <c r="L463" s="308">
        <f t="shared" si="324"/>
        <v>47.400000000000006</v>
      </c>
      <c r="M463" s="308">
        <f t="shared" si="324"/>
        <v>92.7</v>
      </c>
      <c r="N463" s="308">
        <f t="shared" si="324"/>
        <v>95.999999999999986</v>
      </c>
      <c r="O463" s="308">
        <f t="shared" si="324"/>
        <v>110.2</v>
      </c>
      <c r="P463" s="308">
        <f t="shared" si="324"/>
        <v>102.52534887708572</v>
      </c>
      <c r="Q463" s="308">
        <f t="shared" si="324"/>
        <v>137.86030448550116</v>
      </c>
      <c r="R463" s="308">
        <f t="shared" si="324"/>
        <v>116.15799196223765</v>
      </c>
      <c r="S463" s="308">
        <f t="shared" si="324"/>
        <v>145.24916122488546</v>
      </c>
      <c r="T463" s="308">
        <f t="shared" si="324"/>
        <v>121.85564940078493</v>
      </c>
      <c r="U463" s="308">
        <f t="shared" si="324"/>
        <v>150.71798628564306</v>
      </c>
      <c r="V463" s="308">
        <f t="shared" si="324"/>
        <v>129.08706399023109</v>
      </c>
      <c r="W463" s="308">
        <f t="shared" si="324"/>
        <v>159.60932707815897</v>
      </c>
      <c r="X463" s="308">
        <f t="shared" si="324"/>
        <v>136.88411667391341</v>
      </c>
      <c r="Y463" s="308">
        <f t="shared" si="324"/>
        <v>167.49937158362604</v>
      </c>
      <c r="Z463" s="308">
        <f t="shared" si="324"/>
        <v>143.83660290078956</v>
      </c>
      <c r="AA463" s="308">
        <f t="shared" si="324"/>
        <v>174.7067441143929</v>
      </c>
      <c r="AB463" s="308">
        <f t="shared" si="324"/>
        <v>150.21692908786372</v>
      </c>
      <c r="AC463" s="308">
        <f t="shared" si="324"/>
        <v>177.16022294726477</v>
      </c>
      <c r="AD463" s="308">
        <f t="shared" si="324"/>
        <v>152.21845766912776</v>
      </c>
      <c r="AE463" s="308">
        <f t="shared" si="324"/>
        <v>179.38404781687305</v>
      </c>
      <c r="AF463" s="308">
        <f t="shared" si="324"/>
        <v>154.03686172442502</v>
      </c>
      <c r="AG463" s="309"/>
      <c r="AH463" s="306" t="str">
        <f t="shared" ref="AH463:AI466" si="325">AH371</f>
        <v>EBIT - old</v>
      </c>
      <c r="AI463" s="307" t="str">
        <f t="shared" si="325"/>
        <v>A$m</v>
      </c>
      <c r="AJ463" s="307"/>
      <c r="AK463" s="307"/>
      <c r="AL463" s="308"/>
      <c r="AM463" s="308">
        <f t="shared" ref="AM463:AX463" si="326">AM371</f>
        <v>150.5</v>
      </c>
      <c r="AN463" s="308">
        <f t="shared" si="326"/>
        <v>97.4</v>
      </c>
      <c r="AO463" s="308">
        <f t="shared" si="326"/>
        <v>188.7</v>
      </c>
      <c r="AP463" s="308">
        <f t="shared" si="326"/>
        <v>212.72534887708571</v>
      </c>
      <c r="AQ463" s="308">
        <f t="shared" si="326"/>
        <v>254.01829644773881</v>
      </c>
      <c r="AR463" s="308">
        <f t="shared" si="326"/>
        <v>267.10481062567038</v>
      </c>
      <c r="AS463" s="308">
        <f t="shared" si="326"/>
        <v>279.80505027587412</v>
      </c>
      <c r="AT463" s="308">
        <f t="shared" si="326"/>
        <v>296.49344375207238</v>
      </c>
      <c r="AU463" s="308">
        <f t="shared" si="326"/>
        <v>311.3359744844156</v>
      </c>
      <c r="AV463" s="308">
        <f t="shared" si="326"/>
        <v>324.92367320225662</v>
      </c>
      <c r="AW463" s="308">
        <f t="shared" si="326"/>
        <v>329.37868061639256</v>
      </c>
      <c r="AX463" s="308">
        <f t="shared" si="326"/>
        <v>333.4209095412981</v>
      </c>
    </row>
    <row r="464" spans="1:50" collapsed="1">
      <c r="B464" s="305"/>
      <c r="C464" s="310" t="str">
        <f t="shared" ref="C464:D466" si="327">C372</f>
        <v>EBIT - New</v>
      </c>
      <c r="D464" s="311" t="str">
        <f t="shared" si="327"/>
        <v>A$m</v>
      </c>
      <c r="E464" s="311"/>
      <c r="F464" s="311"/>
      <c r="G464" s="312"/>
      <c r="H464" s="312"/>
      <c r="I464" s="312">
        <f t="shared" ref="I464:AF464" si="328">I372</f>
        <v>73.2</v>
      </c>
      <c r="J464" s="312">
        <f t="shared" si="328"/>
        <v>77.3</v>
      </c>
      <c r="K464" s="312">
        <f t="shared" si="328"/>
        <v>50</v>
      </c>
      <c r="L464" s="312">
        <f t="shared" si="328"/>
        <v>47.400000000000006</v>
      </c>
      <c r="M464" s="312">
        <f t="shared" si="328"/>
        <v>92.7</v>
      </c>
      <c r="N464" s="312">
        <f t="shared" si="328"/>
        <v>95.999999999999986</v>
      </c>
      <c r="O464" s="312">
        <f t="shared" si="328"/>
        <v>110.2</v>
      </c>
      <c r="P464" s="312">
        <f t="shared" si="328"/>
        <v>108.49999999999999</v>
      </c>
      <c r="Q464" s="312">
        <f t="shared" si="328"/>
        <v>131.71365320419702</v>
      </c>
      <c r="R464" s="312">
        <f t="shared" si="328"/>
        <v>106.30641127075023</v>
      </c>
      <c r="S464" s="312">
        <f t="shared" si="328"/>
        <v>140.89093622202208</v>
      </c>
      <c r="T464" s="312">
        <f t="shared" si="328"/>
        <v>121.35483452448017</v>
      </c>
      <c r="U464" s="312">
        <f t="shared" si="328"/>
        <v>146.42225140303788</v>
      </c>
      <c r="V464" s="312">
        <f t="shared" si="328"/>
        <v>122.74548450197165</v>
      </c>
      <c r="W464" s="312">
        <f t="shared" si="328"/>
        <v>155.38300085317246</v>
      </c>
      <c r="X464" s="312">
        <f t="shared" si="328"/>
        <v>130.52314542429977</v>
      </c>
      <c r="Y464" s="312">
        <f t="shared" si="328"/>
        <v>162.19511072732456</v>
      </c>
      <c r="Z464" s="312">
        <f t="shared" si="328"/>
        <v>136.55893668649418</v>
      </c>
      <c r="AA464" s="312">
        <f t="shared" si="328"/>
        <v>167.91310218169937</v>
      </c>
      <c r="AB464" s="312">
        <f t="shared" si="328"/>
        <v>141.67932560849508</v>
      </c>
      <c r="AC464" s="312">
        <f t="shared" si="328"/>
        <v>172.89375921562177</v>
      </c>
      <c r="AD464" s="312">
        <f t="shared" si="328"/>
        <v>146.18977126453262</v>
      </c>
      <c r="AE464" s="312">
        <f t="shared" si="328"/>
        <v>177.39937506637415</v>
      </c>
      <c r="AF464" s="312">
        <f t="shared" si="328"/>
        <v>150.31506391474272</v>
      </c>
      <c r="AG464" s="312"/>
      <c r="AH464" s="310" t="str">
        <f t="shared" si="325"/>
        <v>EBIT - New</v>
      </c>
      <c r="AI464" s="311" t="str">
        <f t="shared" si="325"/>
        <v>A$m</v>
      </c>
      <c r="AJ464" s="311"/>
      <c r="AK464" s="311"/>
      <c r="AL464" s="312"/>
      <c r="AM464" s="312">
        <f t="shared" ref="AM464:AX464" si="329">AM372</f>
        <v>150.5</v>
      </c>
      <c r="AN464" s="312">
        <f t="shared" si="329"/>
        <v>97.4</v>
      </c>
      <c r="AO464" s="312">
        <f t="shared" si="329"/>
        <v>188.7</v>
      </c>
      <c r="AP464" s="312">
        <f t="shared" si="329"/>
        <v>218.7</v>
      </c>
      <c r="AQ464" s="312">
        <f t="shared" si="329"/>
        <v>238.02006447494725</v>
      </c>
      <c r="AR464" s="312">
        <f t="shared" si="329"/>
        <v>262.24577074650222</v>
      </c>
      <c r="AS464" s="312">
        <f t="shared" si="329"/>
        <v>269.16773590500952</v>
      </c>
      <c r="AT464" s="312">
        <f t="shared" si="329"/>
        <v>285.9061462774722</v>
      </c>
      <c r="AU464" s="312">
        <f t="shared" si="329"/>
        <v>298.75404741381874</v>
      </c>
      <c r="AV464" s="312">
        <f t="shared" si="329"/>
        <v>309.59242779019445</v>
      </c>
      <c r="AW464" s="312">
        <f t="shared" si="329"/>
        <v>319.08353048015442</v>
      </c>
      <c r="AX464" s="312">
        <f t="shared" si="329"/>
        <v>327.71443898111687</v>
      </c>
    </row>
    <row r="465" spans="2:50" hidden="1" outlineLevel="1">
      <c r="C465" s="313" t="str">
        <f t="shared" si="327"/>
        <v>- Growth</v>
      </c>
      <c r="D465" s="307" t="str">
        <f t="shared" si="327"/>
        <v>%</v>
      </c>
      <c r="E465" s="307"/>
      <c r="F465" s="307"/>
      <c r="G465" s="314"/>
      <c r="H465" s="314"/>
      <c r="I465" s="314" t="str">
        <f t="shared" ref="I465:AF465" si="330">I373</f>
        <v>-</v>
      </c>
      <c r="J465" s="314" t="str">
        <f t="shared" si="330"/>
        <v>-</v>
      </c>
      <c r="K465" s="314">
        <f t="shared" si="330"/>
        <v>-0.31693989071038253</v>
      </c>
      <c r="L465" s="314">
        <f t="shared" si="330"/>
        <v>-0.38680465717981882</v>
      </c>
      <c r="M465" s="314">
        <f t="shared" si="330"/>
        <v>0.85400000000000009</v>
      </c>
      <c r="N465" s="314">
        <f t="shared" si="330"/>
        <v>1.0253164556962018</v>
      </c>
      <c r="O465" s="314">
        <f t="shared" si="330"/>
        <v>0.18878101402373249</v>
      </c>
      <c r="P465" s="314">
        <f t="shared" si="330"/>
        <v>0.13020833333333326</v>
      </c>
      <c r="Q465" s="314">
        <f t="shared" si="330"/>
        <v>0.19522371328672428</v>
      </c>
      <c r="R465" s="314">
        <f t="shared" si="330"/>
        <v>-2.0217407642854845E-2</v>
      </c>
      <c r="S465" s="314">
        <f t="shared" si="330"/>
        <v>6.9676019110922693E-2</v>
      </c>
      <c r="T465" s="314">
        <f t="shared" si="330"/>
        <v>0.14155706202331797</v>
      </c>
      <c r="U465" s="314">
        <f t="shared" si="330"/>
        <v>3.9259553022625404E-2</v>
      </c>
      <c r="V465" s="314">
        <f t="shared" si="330"/>
        <v>1.1459370225674448E-2</v>
      </c>
      <c r="W465" s="314">
        <f t="shared" si="330"/>
        <v>6.1198003474686846E-2</v>
      </c>
      <c r="X465" s="314">
        <f t="shared" si="330"/>
        <v>6.3364130696011101E-2</v>
      </c>
      <c r="Y465" s="314">
        <f t="shared" si="330"/>
        <v>4.3840766600904635E-2</v>
      </c>
      <c r="Z465" s="314">
        <f t="shared" si="330"/>
        <v>4.6243072388222561E-2</v>
      </c>
      <c r="AA465" s="314">
        <f t="shared" si="330"/>
        <v>3.525378433871329E-2</v>
      </c>
      <c r="AB465" s="314">
        <f t="shared" si="330"/>
        <v>3.74958171632227E-2</v>
      </c>
      <c r="AC465" s="314">
        <f t="shared" si="330"/>
        <v>2.9662110753768456E-2</v>
      </c>
      <c r="AD465" s="314">
        <f t="shared" si="330"/>
        <v>3.18355951841649E-2</v>
      </c>
      <c r="AE465" s="314">
        <f t="shared" si="330"/>
        <v>2.6060025944217413E-2</v>
      </c>
      <c r="AF465" s="314">
        <f t="shared" si="330"/>
        <v>2.8218750289617178E-2</v>
      </c>
      <c r="AG465" s="315"/>
      <c r="AH465" s="313" t="str">
        <f t="shared" si="325"/>
        <v>- Growth</v>
      </c>
      <c r="AI465" s="307" t="str">
        <f t="shared" si="325"/>
        <v>%</v>
      </c>
      <c r="AJ465" s="307"/>
      <c r="AK465" s="307"/>
      <c r="AL465" s="314"/>
      <c r="AM465" s="314" t="str">
        <f t="shared" ref="AM465:AX465" si="331">AM373</f>
        <v>-</v>
      </c>
      <c r="AN465" s="314">
        <f t="shared" si="331"/>
        <v>-0.35282392026578069</v>
      </c>
      <c r="AO465" s="314">
        <f t="shared" si="331"/>
        <v>0.93737166324435295</v>
      </c>
      <c r="AP465" s="314">
        <f t="shared" si="331"/>
        <v>0.15898251192368851</v>
      </c>
      <c r="AQ465" s="314">
        <f t="shared" si="331"/>
        <v>8.8340486853896838E-2</v>
      </c>
      <c r="AR465" s="314">
        <f t="shared" si="331"/>
        <v>0.10178010129101889</v>
      </c>
      <c r="AS465" s="314">
        <f t="shared" si="331"/>
        <v>2.6394954392604308E-2</v>
      </c>
      <c r="AT465" s="314">
        <f t="shared" si="331"/>
        <v>6.2185797700396561E-2</v>
      </c>
      <c r="AU465" s="314">
        <f t="shared" si="331"/>
        <v>4.4937477922834201E-2</v>
      </c>
      <c r="AV465" s="314">
        <f t="shared" si="331"/>
        <v>3.6278605997805746E-2</v>
      </c>
      <c r="AW465" s="314">
        <f t="shared" si="331"/>
        <v>3.0656766244915756E-2</v>
      </c>
      <c r="AX465" s="314">
        <f t="shared" si="331"/>
        <v>2.7049056677963756E-2</v>
      </c>
    </row>
    <row r="466" spans="2:50" collapsed="1">
      <c r="C466" s="313" t="str">
        <f t="shared" si="327"/>
        <v>- Revision</v>
      </c>
      <c r="D466" s="307" t="str">
        <f t="shared" si="327"/>
        <v>%</v>
      </c>
      <c r="E466" s="307"/>
      <c r="F466" s="307"/>
      <c r="G466" s="314"/>
      <c r="H466" s="314"/>
      <c r="I466" s="314">
        <f t="shared" ref="I466:AF466" si="332">I374</f>
        <v>0</v>
      </c>
      <c r="J466" s="314">
        <f t="shared" si="332"/>
        <v>0</v>
      </c>
      <c r="K466" s="314">
        <f t="shared" si="332"/>
        <v>0</v>
      </c>
      <c r="L466" s="314">
        <f t="shared" si="332"/>
        <v>0</v>
      </c>
      <c r="M466" s="314">
        <f t="shared" si="332"/>
        <v>0</v>
      </c>
      <c r="N466" s="314">
        <f t="shared" si="332"/>
        <v>0</v>
      </c>
      <c r="O466" s="314">
        <f t="shared" si="332"/>
        <v>0</v>
      </c>
      <c r="P466" s="314">
        <f t="shared" si="332"/>
        <v>5.8000000000000052E-2</v>
      </c>
      <c r="Q466" s="314">
        <f t="shared" si="332"/>
        <v>-4.500000000000004E-2</v>
      </c>
      <c r="R466" s="314">
        <f t="shared" si="332"/>
        <v>-8.4999999999999964E-2</v>
      </c>
      <c r="S466" s="314">
        <f t="shared" si="332"/>
        <v>-3.0000000000000027E-2</v>
      </c>
      <c r="T466" s="314">
        <f t="shared" si="332"/>
        <v>-4.0000000000000036E-3</v>
      </c>
      <c r="U466" s="314">
        <f t="shared" si="332"/>
        <v>-2.9000000000000026E-2</v>
      </c>
      <c r="V466" s="314">
        <f t="shared" si="332"/>
        <v>-4.9000000000000044E-2</v>
      </c>
      <c r="W466" s="314">
        <f t="shared" si="332"/>
        <v>-2.6000000000000023E-2</v>
      </c>
      <c r="X466" s="314">
        <f t="shared" si="332"/>
        <v>-4.6000000000000041E-2</v>
      </c>
      <c r="Y466" s="314">
        <f t="shared" si="332"/>
        <v>-3.2000000000000028E-2</v>
      </c>
      <c r="Z466" s="314">
        <f t="shared" si="332"/>
        <v>-5.1000000000000045E-2</v>
      </c>
      <c r="AA466" s="314">
        <f t="shared" si="332"/>
        <v>-3.9000000000000035E-2</v>
      </c>
      <c r="AB466" s="314">
        <f t="shared" si="332"/>
        <v>-5.7000000000000051E-2</v>
      </c>
      <c r="AC466" s="314">
        <f t="shared" si="332"/>
        <v>-2.4000000000000021E-2</v>
      </c>
      <c r="AD466" s="314">
        <f t="shared" si="332"/>
        <v>-4.0000000000000036E-2</v>
      </c>
      <c r="AE466" s="314">
        <f t="shared" si="332"/>
        <v>-1.100000000000001E-2</v>
      </c>
      <c r="AF466" s="314">
        <f t="shared" si="332"/>
        <v>-2.4000000000000021E-2</v>
      </c>
      <c r="AG466" s="314"/>
      <c r="AH466" s="313" t="str">
        <f t="shared" si="325"/>
        <v>- Revision</v>
      </c>
      <c r="AI466" s="307" t="str">
        <f t="shared" si="325"/>
        <v>%</v>
      </c>
      <c r="AJ466" s="307"/>
      <c r="AK466" s="307"/>
      <c r="AL466" s="314"/>
      <c r="AM466" s="314">
        <f t="shared" ref="AM466:AX466" si="333">AM374</f>
        <v>0</v>
      </c>
      <c r="AN466" s="314">
        <f t="shared" si="333"/>
        <v>0</v>
      </c>
      <c r="AO466" s="314">
        <f t="shared" si="333"/>
        <v>0</v>
      </c>
      <c r="AP466" s="314">
        <f t="shared" si="333"/>
        <v>2.8000000000000025E-2</v>
      </c>
      <c r="AQ466" s="314">
        <f t="shared" si="333"/>
        <v>-6.2999999999999945E-2</v>
      </c>
      <c r="AR466" s="314">
        <f t="shared" si="333"/>
        <v>-1.8000000000000016E-2</v>
      </c>
      <c r="AS466" s="314">
        <f t="shared" si="333"/>
        <v>-3.8000000000000034E-2</v>
      </c>
      <c r="AT466" s="314">
        <f t="shared" si="333"/>
        <v>-3.6000000000000032E-2</v>
      </c>
      <c r="AU466" s="314">
        <f t="shared" si="333"/>
        <v>-4.0000000000000036E-2</v>
      </c>
      <c r="AV466" s="314">
        <f t="shared" si="333"/>
        <v>-4.7000000000000042E-2</v>
      </c>
      <c r="AW466" s="314">
        <f t="shared" si="333"/>
        <v>-3.1000000000000028E-2</v>
      </c>
      <c r="AX466" s="314">
        <f t="shared" si="333"/>
        <v>-1.7000000000000015E-2</v>
      </c>
    </row>
    <row r="467" spans="2:50">
      <c r="B467" s="305"/>
      <c r="C467" s="306" t="str">
        <f>C391</f>
        <v>NPAT from continuing operations before significant items - old</v>
      </c>
      <c r="D467" s="307" t="str">
        <f>D391</f>
        <v>A$m</v>
      </c>
      <c r="E467" s="307"/>
      <c r="F467" s="307"/>
      <c r="G467" s="308"/>
      <c r="H467" s="308"/>
      <c r="I467" s="308">
        <f t="shared" ref="I467:AF467" si="334">I391</f>
        <v>47.3</v>
      </c>
      <c r="J467" s="308">
        <f t="shared" si="334"/>
        <v>37</v>
      </c>
      <c r="K467" s="308">
        <f t="shared" si="334"/>
        <v>17.600000000000001</v>
      </c>
      <c r="L467" s="308">
        <f t="shared" si="334"/>
        <v>10.399999999999999</v>
      </c>
      <c r="M467" s="308">
        <f t="shared" si="334"/>
        <v>22.1</v>
      </c>
      <c r="N467" s="308">
        <f t="shared" si="334"/>
        <v>27.4</v>
      </c>
      <c r="O467" s="308">
        <f t="shared" si="334"/>
        <v>35.700000000000003</v>
      </c>
      <c r="P467" s="308">
        <f t="shared" si="334"/>
        <v>39.594850854999883</v>
      </c>
      <c r="Q467" s="308">
        <f t="shared" si="334"/>
        <v>64.813562220594434</v>
      </c>
      <c r="R467" s="308">
        <f t="shared" si="334"/>
        <v>52.990055698170096</v>
      </c>
      <c r="S467" s="308">
        <f t="shared" si="334"/>
        <v>75.779148678784196</v>
      </c>
      <c r="T467" s="308">
        <f t="shared" si="334"/>
        <v>61.34397353381658</v>
      </c>
      <c r="U467" s="308">
        <f t="shared" si="334"/>
        <v>93.37031631646569</v>
      </c>
      <c r="V467" s="308">
        <f t="shared" si="334"/>
        <v>80.779144932201575</v>
      </c>
      <c r="W467" s="308">
        <f t="shared" si="334"/>
        <v>101.25584055015199</v>
      </c>
      <c r="X467" s="308">
        <f t="shared" si="334"/>
        <v>87.969127766331525</v>
      </c>
      <c r="Y467" s="308">
        <f t="shared" si="334"/>
        <v>108.55624405707033</v>
      </c>
      <c r="Z467" s="308">
        <f t="shared" si="334"/>
        <v>94.644128527758269</v>
      </c>
      <c r="AA467" s="308">
        <f t="shared" si="334"/>
        <v>115.40432218327604</v>
      </c>
      <c r="AB467" s="308">
        <f t="shared" si="334"/>
        <v>101.3353149196997</v>
      </c>
      <c r="AC467" s="308">
        <f t="shared" si="334"/>
        <v>119.74929338241085</v>
      </c>
      <c r="AD467" s="308">
        <f t="shared" si="334"/>
        <v>105.44199492195969</v>
      </c>
      <c r="AE467" s="308">
        <f t="shared" si="334"/>
        <v>124.01131582561544</v>
      </c>
      <c r="AF467" s="308">
        <f t="shared" si="334"/>
        <v>109.43639536082068</v>
      </c>
      <c r="AG467" s="309"/>
      <c r="AH467" s="306" t="str">
        <f t="shared" ref="AH467:AI470" si="335">AH391</f>
        <v>NPAT from continuing operations before significant items - old</v>
      </c>
      <c r="AI467" s="307" t="str">
        <f t="shared" si="335"/>
        <v>A$m</v>
      </c>
      <c r="AJ467" s="307"/>
      <c r="AK467" s="307"/>
      <c r="AL467" s="308"/>
      <c r="AM467" s="308">
        <f t="shared" ref="AM467:AX467" si="336">AM391</f>
        <v>84.3</v>
      </c>
      <c r="AN467" s="308">
        <f t="shared" si="336"/>
        <v>28</v>
      </c>
      <c r="AO467" s="308">
        <f t="shared" si="336"/>
        <v>49.5</v>
      </c>
      <c r="AP467" s="308">
        <f t="shared" si="336"/>
        <v>75.294850854999879</v>
      </c>
      <c r="AQ467" s="308">
        <f t="shared" si="336"/>
        <v>117.80361791876453</v>
      </c>
      <c r="AR467" s="308">
        <f t="shared" si="336"/>
        <v>137.12312221260078</v>
      </c>
      <c r="AS467" s="308">
        <f t="shared" si="336"/>
        <v>174.14946124866725</v>
      </c>
      <c r="AT467" s="308">
        <f t="shared" si="336"/>
        <v>189.22496831648351</v>
      </c>
      <c r="AU467" s="308">
        <f t="shared" si="336"/>
        <v>203.20037258482859</v>
      </c>
      <c r="AV467" s="308">
        <f t="shared" si="336"/>
        <v>216.73963710297573</v>
      </c>
      <c r="AW467" s="308">
        <f t="shared" si="336"/>
        <v>225.19128830437054</v>
      </c>
      <c r="AX467" s="308">
        <f t="shared" si="336"/>
        <v>233.44771118643612</v>
      </c>
    </row>
    <row r="468" spans="2:50" collapsed="1">
      <c r="B468" s="305"/>
      <c r="C468" s="310" t="str">
        <f t="shared" ref="C468:D470" si="337">C392</f>
        <v>NPAT from continuing operations before significant items - New</v>
      </c>
      <c r="D468" s="311" t="str">
        <f t="shared" si="337"/>
        <v>A$m</v>
      </c>
      <c r="E468" s="311"/>
      <c r="F468" s="311"/>
      <c r="G468" s="312"/>
      <c r="H468" s="312"/>
      <c r="I468" s="312">
        <f t="shared" ref="I468:AF468" si="338">I392</f>
        <v>47.3</v>
      </c>
      <c r="J468" s="312">
        <f t="shared" si="338"/>
        <v>37</v>
      </c>
      <c r="K468" s="312">
        <f t="shared" si="338"/>
        <v>17.600000000000001</v>
      </c>
      <c r="L468" s="312">
        <f t="shared" si="338"/>
        <v>10.399999999999999</v>
      </c>
      <c r="M468" s="312">
        <f t="shared" si="338"/>
        <v>22.1</v>
      </c>
      <c r="N468" s="312">
        <f t="shared" si="338"/>
        <v>27.4</v>
      </c>
      <c r="O468" s="312">
        <f t="shared" si="338"/>
        <v>35.700000000000003</v>
      </c>
      <c r="P468" s="312">
        <f t="shared" si="338"/>
        <v>35.399999999999991</v>
      </c>
      <c r="Q468" s="312">
        <f t="shared" si="338"/>
        <v>53.806622169093551</v>
      </c>
      <c r="R468" s="312">
        <f t="shared" si="338"/>
        <v>35.903641853343856</v>
      </c>
      <c r="S468" s="312">
        <f t="shared" si="338"/>
        <v>60.298586013679376</v>
      </c>
      <c r="T468" s="312">
        <f t="shared" si="338"/>
        <v>49.789047721038912</v>
      </c>
      <c r="U468" s="312">
        <f t="shared" si="338"/>
        <v>67.481102516836003</v>
      </c>
      <c r="V468" s="312">
        <f t="shared" si="338"/>
        <v>53.17652627642525</v>
      </c>
      <c r="W468" s="312">
        <f t="shared" si="338"/>
        <v>76.343837390427836</v>
      </c>
      <c r="X468" s="312">
        <f t="shared" si="338"/>
        <v>61.147419506426196</v>
      </c>
      <c r="Y468" s="312">
        <f t="shared" si="338"/>
        <v>82.465210512982253</v>
      </c>
      <c r="Z468" s="312">
        <f t="shared" si="338"/>
        <v>66.576466025732145</v>
      </c>
      <c r="AA468" s="312">
        <f t="shared" si="338"/>
        <v>87.235700017335745</v>
      </c>
      <c r="AB468" s="312">
        <f t="shared" si="338"/>
        <v>71.125374062495212</v>
      </c>
      <c r="AC468" s="312">
        <f t="shared" si="338"/>
        <v>92.189228182089437</v>
      </c>
      <c r="AD468" s="312">
        <f t="shared" si="338"/>
        <v>75.76722147796329</v>
      </c>
      <c r="AE468" s="312">
        <f t="shared" si="338"/>
        <v>109.44937046441444</v>
      </c>
      <c r="AF468" s="312">
        <f t="shared" si="338"/>
        <v>93.618213854589527</v>
      </c>
      <c r="AG468" s="312"/>
      <c r="AH468" s="310" t="str">
        <f t="shared" si="335"/>
        <v>NPAT from continuing operations before significant items - New</v>
      </c>
      <c r="AI468" s="311" t="str">
        <f t="shared" si="335"/>
        <v>A$m</v>
      </c>
      <c r="AJ468" s="311"/>
      <c r="AK468" s="311"/>
      <c r="AL468" s="312"/>
      <c r="AM468" s="312">
        <f t="shared" ref="AM468:AX468" si="339">AM392</f>
        <v>84.3</v>
      </c>
      <c r="AN468" s="312">
        <f t="shared" si="339"/>
        <v>28</v>
      </c>
      <c r="AO468" s="312">
        <f t="shared" si="339"/>
        <v>49.5</v>
      </c>
      <c r="AP468" s="312">
        <f t="shared" si="339"/>
        <v>71.099999999999994</v>
      </c>
      <c r="AQ468" s="312">
        <f t="shared" si="339"/>
        <v>89.7102640224374</v>
      </c>
      <c r="AR468" s="312">
        <f t="shared" si="339"/>
        <v>110.08763373471828</v>
      </c>
      <c r="AS468" s="312">
        <f t="shared" si="339"/>
        <v>120.65762879326125</v>
      </c>
      <c r="AT468" s="312">
        <f t="shared" si="339"/>
        <v>137.49125689685403</v>
      </c>
      <c r="AU468" s="312">
        <f t="shared" si="339"/>
        <v>149.0416765387144</v>
      </c>
      <c r="AV468" s="312">
        <f t="shared" si="339"/>
        <v>158.36107407983096</v>
      </c>
      <c r="AW468" s="312">
        <f t="shared" si="339"/>
        <v>167.95644966005273</v>
      </c>
      <c r="AX468" s="312">
        <f t="shared" si="339"/>
        <v>203.06758431900397</v>
      </c>
    </row>
    <row r="469" spans="2:50" hidden="1" outlineLevel="1">
      <c r="B469" s="305"/>
      <c r="C469" s="313" t="str">
        <f t="shared" si="337"/>
        <v>- Growth</v>
      </c>
      <c r="D469" s="307" t="str">
        <f t="shared" si="337"/>
        <v>%</v>
      </c>
      <c r="E469" s="307"/>
      <c r="F469" s="307"/>
      <c r="G469" s="314"/>
      <c r="H469" s="314"/>
      <c r="I469" s="314" t="str">
        <f t="shared" ref="I469:AF469" si="340">I393</f>
        <v>-</v>
      </c>
      <c r="J469" s="314" t="str">
        <f t="shared" si="340"/>
        <v>-</v>
      </c>
      <c r="K469" s="314">
        <f t="shared" si="340"/>
        <v>-0.62790697674418605</v>
      </c>
      <c r="L469" s="314">
        <f t="shared" si="340"/>
        <v>-0.7189189189189189</v>
      </c>
      <c r="M469" s="314">
        <f t="shared" si="340"/>
        <v>0.25568181818181812</v>
      </c>
      <c r="N469" s="314">
        <f t="shared" si="340"/>
        <v>1.634615384615385</v>
      </c>
      <c r="O469" s="314">
        <f t="shared" si="340"/>
        <v>0.61538461538461542</v>
      </c>
      <c r="P469" s="314">
        <f t="shared" si="340"/>
        <v>0.29197080291970789</v>
      </c>
      <c r="Q469" s="314">
        <f t="shared" si="340"/>
        <v>0.5071882960530405</v>
      </c>
      <c r="R469" s="314">
        <f t="shared" si="340"/>
        <v>1.4227170998414307E-2</v>
      </c>
      <c r="S469" s="314">
        <f t="shared" si="340"/>
        <v>0.12065362185687989</v>
      </c>
      <c r="T469" s="314">
        <f t="shared" si="340"/>
        <v>0.38674087504585142</v>
      </c>
      <c r="U469" s="314">
        <f t="shared" si="340"/>
        <v>0.11911583634029488</v>
      </c>
      <c r="V469" s="314">
        <f t="shared" si="340"/>
        <v>6.8036620711565021E-2</v>
      </c>
      <c r="W469" s="314">
        <f t="shared" si="340"/>
        <v>0.13133654524065674</v>
      </c>
      <c r="X469" s="314">
        <f t="shared" si="340"/>
        <v>0.14989495907585604</v>
      </c>
      <c r="Y469" s="314">
        <f t="shared" si="340"/>
        <v>8.0181627382041043E-2</v>
      </c>
      <c r="Z469" s="314">
        <f t="shared" si="340"/>
        <v>8.8786191847971541E-2</v>
      </c>
      <c r="AA469" s="314">
        <f t="shared" si="340"/>
        <v>5.7848509385693969E-2</v>
      </c>
      <c r="AB469" s="314">
        <f t="shared" si="340"/>
        <v>6.8326066376140915E-2</v>
      </c>
      <c r="AC469" s="314">
        <f t="shared" si="340"/>
        <v>5.6783268361110251E-2</v>
      </c>
      <c r="AD469" s="314">
        <f t="shared" si="340"/>
        <v>6.5262889322584838E-2</v>
      </c>
      <c r="AE469" s="314">
        <f t="shared" si="340"/>
        <v>0.18722515225133773</v>
      </c>
      <c r="AF469" s="314">
        <f t="shared" si="340"/>
        <v>0.2356031015578175</v>
      </c>
      <c r="AG469" s="315"/>
      <c r="AH469" s="313" t="str">
        <f t="shared" si="335"/>
        <v>- Growth</v>
      </c>
      <c r="AI469" s="307" t="str">
        <f t="shared" si="335"/>
        <v>%</v>
      </c>
      <c r="AJ469" s="307"/>
      <c r="AK469" s="307"/>
      <c r="AL469" s="314"/>
      <c r="AM469" s="314" t="str">
        <f t="shared" ref="AM469:AX469" si="341">AM393</f>
        <v>-</v>
      </c>
      <c r="AN469" s="314">
        <f t="shared" si="341"/>
        <v>-0.66785290628706995</v>
      </c>
      <c r="AO469" s="314">
        <f t="shared" si="341"/>
        <v>0.76785714285714279</v>
      </c>
      <c r="AP469" s="314">
        <f t="shared" si="341"/>
        <v>0.43636363636363629</v>
      </c>
      <c r="AQ469" s="314">
        <f t="shared" si="341"/>
        <v>0.26174773589926037</v>
      </c>
      <c r="AR469" s="314">
        <f t="shared" si="341"/>
        <v>0.22714646907275071</v>
      </c>
      <c r="AS469" s="314">
        <f t="shared" si="341"/>
        <v>9.6014372368233847E-2</v>
      </c>
      <c r="AT469" s="314">
        <f t="shared" si="341"/>
        <v>0.13951565493165852</v>
      </c>
      <c r="AU469" s="314">
        <f t="shared" si="341"/>
        <v>8.4008393715721885E-2</v>
      </c>
      <c r="AV469" s="314">
        <f t="shared" si="341"/>
        <v>6.2528802396394134E-2</v>
      </c>
      <c r="AW469" s="314">
        <f t="shared" si="341"/>
        <v>6.0591756124265039E-2</v>
      </c>
      <c r="AX469" s="314">
        <f t="shared" si="341"/>
        <v>0.20904904056984353</v>
      </c>
    </row>
    <row r="470" spans="2:50" collapsed="1">
      <c r="B470" s="305"/>
      <c r="C470" s="313" t="str">
        <f t="shared" si="337"/>
        <v>- Revision</v>
      </c>
      <c r="D470" s="307" t="str">
        <f t="shared" si="337"/>
        <v>%</v>
      </c>
      <c r="E470" s="307"/>
      <c r="F470" s="307"/>
      <c r="G470" s="314"/>
      <c r="H470" s="314"/>
      <c r="I470" s="314">
        <f t="shared" ref="I470:AF470" si="342">I394</f>
        <v>0</v>
      </c>
      <c r="J470" s="314">
        <f t="shared" si="342"/>
        <v>0</v>
      </c>
      <c r="K470" s="314">
        <f t="shared" si="342"/>
        <v>0</v>
      </c>
      <c r="L470" s="314">
        <f t="shared" si="342"/>
        <v>0</v>
      </c>
      <c r="M470" s="314">
        <f t="shared" si="342"/>
        <v>0</v>
      </c>
      <c r="N470" s="314">
        <f t="shared" si="342"/>
        <v>0</v>
      </c>
      <c r="O470" s="314">
        <f t="shared" si="342"/>
        <v>0</v>
      </c>
      <c r="P470" s="314">
        <f t="shared" si="342"/>
        <v>-0.10599999999999998</v>
      </c>
      <c r="Q470" s="314">
        <f t="shared" si="342"/>
        <v>-0.17000000000000004</v>
      </c>
      <c r="R470" s="314">
        <f t="shared" si="342"/>
        <v>-0.32199999999999995</v>
      </c>
      <c r="S470" s="314">
        <f t="shared" si="342"/>
        <v>-0.20399999999999996</v>
      </c>
      <c r="T470" s="314">
        <f t="shared" si="342"/>
        <v>-0.18799999999999994</v>
      </c>
      <c r="U470" s="314">
        <f t="shared" si="342"/>
        <v>-0.27700000000000002</v>
      </c>
      <c r="V470" s="314">
        <f t="shared" si="342"/>
        <v>-0.34199999999999997</v>
      </c>
      <c r="W470" s="314">
        <f t="shared" si="342"/>
        <v>-0.246</v>
      </c>
      <c r="X470" s="314">
        <f t="shared" si="342"/>
        <v>-0.30500000000000005</v>
      </c>
      <c r="Y470" s="314">
        <f t="shared" si="342"/>
        <v>-0.24</v>
      </c>
      <c r="Z470" s="314">
        <f t="shared" si="342"/>
        <v>-0.29700000000000004</v>
      </c>
      <c r="AA470" s="314">
        <f t="shared" si="342"/>
        <v>-0.24399999999999999</v>
      </c>
      <c r="AB470" s="314">
        <f t="shared" si="342"/>
        <v>-0.29800000000000004</v>
      </c>
      <c r="AC470" s="314">
        <f t="shared" si="342"/>
        <v>-0.22999999999999998</v>
      </c>
      <c r="AD470" s="314">
        <f t="shared" si="342"/>
        <v>-0.28100000000000003</v>
      </c>
      <c r="AE470" s="314">
        <f t="shared" si="342"/>
        <v>-0.11699999999999999</v>
      </c>
      <c r="AF470" s="314">
        <f t="shared" si="342"/>
        <v>-0.14500000000000002</v>
      </c>
      <c r="AG470" s="314"/>
      <c r="AH470" s="313" t="str">
        <f t="shared" si="335"/>
        <v>- Revision</v>
      </c>
      <c r="AI470" s="307" t="str">
        <f t="shared" si="335"/>
        <v>%</v>
      </c>
      <c r="AJ470" s="307"/>
      <c r="AK470" s="307"/>
      <c r="AL470" s="314"/>
      <c r="AM470" s="314">
        <f t="shared" ref="AM470:AX470" si="343">AM394</f>
        <v>0</v>
      </c>
      <c r="AN470" s="314">
        <f t="shared" si="343"/>
        <v>0</v>
      </c>
      <c r="AO470" s="314">
        <f t="shared" si="343"/>
        <v>0</v>
      </c>
      <c r="AP470" s="314">
        <f t="shared" si="343"/>
        <v>-5.600000000000005E-2</v>
      </c>
      <c r="AQ470" s="314">
        <f t="shared" si="343"/>
        <v>-0.23799999999999999</v>
      </c>
      <c r="AR470" s="314">
        <f t="shared" si="343"/>
        <v>-0.19699999999999995</v>
      </c>
      <c r="AS470" s="314">
        <f t="shared" si="343"/>
        <v>-0.30700000000000005</v>
      </c>
      <c r="AT470" s="314">
        <f t="shared" si="343"/>
        <v>-0.27300000000000002</v>
      </c>
      <c r="AU470" s="314">
        <f t="shared" si="343"/>
        <v>-0.26700000000000002</v>
      </c>
      <c r="AV470" s="314">
        <f t="shared" si="343"/>
        <v>-0.26900000000000002</v>
      </c>
      <c r="AW470" s="314">
        <f t="shared" si="343"/>
        <v>-0.254</v>
      </c>
      <c r="AX470" s="314">
        <f t="shared" si="343"/>
        <v>-0.13</v>
      </c>
    </row>
    <row r="471" spans="2:50">
      <c r="B471" s="305" t="s">
        <v>1133</v>
      </c>
      <c r="C471" s="306" t="s">
        <v>1123</v>
      </c>
      <c r="D471" s="307" t="s">
        <v>900</v>
      </c>
      <c r="E471" s="307"/>
      <c r="F471" s="728" cm="1">
        <f t="array" ref="F471">_xlfn.XLOOKUP($B471,$B$96:$B$176,_xlfn.XLOOKUP(F$181,$F$5:$AT$5,$F$96:$AT$176))</f>
        <v>1.285498653621024</v>
      </c>
      <c r="G471" s="308"/>
      <c r="H471" s="308"/>
      <c r="I471" s="308"/>
      <c r="J471" s="308"/>
      <c r="K471" s="308"/>
      <c r="L471" s="308"/>
      <c r="M471" s="308"/>
      <c r="N471" s="308"/>
      <c r="O471" s="308"/>
      <c r="P471" s="308"/>
      <c r="Q471" s="308"/>
      <c r="R471" s="308"/>
      <c r="S471" s="308"/>
      <c r="T471" s="308"/>
      <c r="U471" s="308"/>
      <c r="V471" s="308"/>
      <c r="W471" s="308"/>
      <c r="X471" s="308"/>
      <c r="Y471" s="308"/>
      <c r="Z471" s="308"/>
      <c r="AA471" s="308"/>
      <c r="AB471" s="308"/>
      <c r="AC471" s="308"/>
      <c r="AD471" s="308"/>
      <c r="AE471" s="308"/>
      <c r="AF471" s="308"/>
      <c r="AG471" s="309"/>
      <c r="AH471" s="306" t="str">
        <f t="shared" ref="AH471:AI474" si="344">C471</f>
        <v>Valuation - old</v>
      </c>
      <c r="AI471" s="307" t="str">
        <f t="shared" si="344"/>
        <v>A$m</v>
      </c>
      <c r="AJ471" s="307"/>
      <c r="AK471" s="728" cm="1">
        <f t="array" ref="AK471">_xlfn.XLOOKUP($B471,$B$96:$B$176,_xlfn.XLOOKUP(AK$181,$F$5:$AT$5,$F$96:$AT$176))</f>
        <v>1.285498653621024</v>
      </c>
      <c r="AL471" s="308"/>
      <c r="AM471" s="308"/>
      <c r="AN471" s="308"/>
      <c r="AO471" s="308"/>
      <c r="AP471" s="308"/>
      <c r="AQ471" s="308"/>
      <c r="AR471" s="308"/>
      <c r="AS471" s="308"/>
      <c r="AT471" s="308"/>
      <c r="AU471" s="308"/>
      <c r="AV471" s="308"/>
      <c r="AW471" s="308"/>
      <c r="AX471" s="308"/>
    </row>
    <row r="472" spans="2:50" collapsed="1">
      <c r="B472" s="305" t="s">
        <v>1133</v>
      </c>
      <c r="C472" s="310" t="s">
        <v>1124</v>
      </c>
      <c r="D472" s="311" t="s">
        <v>900</v>
      </c>
      <c r="E472" s="311"/>
      <c r="F472" s="729" cm="1">
        <f t="array" ref="F472">_xlfn.XLOOKUP($B472,$B$11:$B$91,_xlfn.XLOOKUP(F$181,$F$5:$AT$5,$F$11:$AT$91))</f>
        <v>0.89457632937266562</v>
      </c>
      <c r="G472" s="312"/>
      <c r="H472" s="312"/>
      <c r="I472" s="312"/>
      <c r="J472" s="312"/>
      <c r="K472" s="312"/>
      <c r="L472" s="312"/>
      <c r="M472" s="312"/>
      <c r="N472" s="312"/>
      <c r="O472" s="312"/>
      <c r="P472" s="312"/>
      <c r="Q472" s="312"/>
      <c r="R472" s="312"/>
      <c r="S472" s="312"/>
      <c r="T472" s="312"/>
      <c r="U472" s="312"/>
      <c r="V472" s="312"/>
      <c r="W472" s="312"/>
      <c r="X472" s="312"/>
      <c r="Y472" s="312"/>
      <c r="Z472" s="312"/>
      <c r="AA472" s="312"/>
      <c r="AB472" s="312"/>
      <c r="AC472" s="312"/>
      <c r="AD472" s="312"/>
      <c r="AE472" s="312"/>
      <c r="AF472" s="312"/>
      <c r="AG472" s="312"/>
      <c r="AH472" s="310" t="str">
        <f t="shared" si="344"/>
        <v>Valuation - New</v>
      </c>
      <c r="AI472" s="311" t="str">
        <f t="shared" si="344"/>
        <v>A$m</v>
      </c>
      <c r="AJ472" s="311"/>
      <c r="AK472" s="729" cm="1">
        <f t="array" ref="AK472">_xlfn.XLOOKUP($B472,$B$11:$B$91,_xlfn.XLOOKUP(AK$181,$F$5:$AT$5,$F$11:$AT$91))</f>
        <v>0.89457632937266562</v>
      </c>
      <c r="AL472" s="312"/>
      <c r="AM472" s="312"/>
      <c r="AN472" s="312"/>
      <c r="AO472" s="312"/>
      <c r="AP472" s="312"/>
      <c r="AQ472" s="312"/>
      <c r="AR472" s="312"/>
      <c r="AS472" s="312"/>
      <c r="AT472" s="312"/>
      <c r="AU472" s="312"/>
      <c r="AV472" s="312"/>
      <c r="AW472" s="312"/>
      <c r="AX472" s="312"/>
    </row>
    <row r="473" spans="2:50" hidden="1" outlineLevel="1">
      <c r="C473" s="313" t="s">
        <v>1121</v>
      </c>
      <c r="D473" s="307" t="s">
        <v>842</v>
      </c>
      <c r="E473" s="307"/>
      <c r="F473" s="314" t="s">
        <v>967</v>
      </c>
      <c r="G473" s="314"/>
      <c r="H473" s="314"/>
      <c r="I473" s="314"/>
      <c r="J473" s="314"/>
      <c r="K473" s="314"/>
      <c r="L473" s="314"/>
      <c r="M473" s="314"/>
      <c r="N473" s="314"/>
      <c r="O473" s="314"/>
      <c r="P473" s="314"/>
      <c r="Q473" s="314"/>
      <c r="R473" s="314"/>
      <c r="S473" s="314"/>
      <c r="T473" s="314"/>
      <c r="U473" s="314"/>
      <c r="V473" s="314"/>
      <c r="W473" s="314"/>
      <c r="X473" s="314"/>
      <c r="Y473" s="314"/>
      <c r="Z473" s="314"/>
      <c r="AA473" s="314"/>
      <c r="AB473" s="314"/>
      <c r="AC473" s="314"/>
      <c r="AD473" s="314"/>
      <c r="AE473" s="314"/>
      <c r="AF473" s="314"/>
      <c r="AG473" s="315"/>
      <c r="AH473" s="313" t="str">
        <f t="shared" si="344"/>
        <v>- Growth</v>
      </c>
      <c r="AI473" s="307" t="str">
        <f t="shared" si="344"/>
        <v>%</v>
      </c>
      <c r="AJ473" s="307"/>
      <c r="AK473" s="314" t="s">
        <v>967</v>
      </c>
      <c r="AL473" s="314"/>
      <c r="AM473" s="314"/>
      <c r="AN473" s="314"/>
      <c r="AO473" s="314"/>
      <c r="AP473" s="314"/>
      <c r="AQ473" s="314"/>
      <c r="AR473" s="314"/>
      <c r="AS473" s="314"/>
      <c r="AT473" s="314"/>
      <c r="AU473" s="314"/>
      <c r="AV473" s="314"/>
      <c r="AW473" s="314"/>
      <c r="AX473" s="314"/>
    </row>
    <row r="474" spans="2:50" collapsed="1">
      <c r="C474" s="313" t="s">
        <v>1122</v>
      </c>
      <c r="D474" s="307" t="s">
        <v>842</v>
      </c>
      <c r="E474" s="307"/>
      <c r="F474" s="314">
        <f xml:space="preserve"> IFERROR(ROUND( F472 / F471,2) - 1, 0)</f>
        <v>-0.30000000000000004</v>
      </c>
      <c r="G474" s="314"/>
      <c r="H474" s="314"/>
      <c r="I474" s="314"/>
      <c r="J474" s="314"/>
      <c r="K474" s="314"/>
      <c r="L474" s="314"/>
      <c r="M474" s="314"/>
      <c r="N474" s="314"/>
      <c r="O474" s="314"/>
      <c r="P474" s="314"/>
      <c r="Q474" s="314"/>
      <c r="R474" s="314"/>
      <c r="S474" s="314"/>
      <c r="T474" s="314"/>
      <c r="U474" s="314"/>
      <c r="V474" s="314"/>
      <c r="W474" s="314"/>
      <c r="X474" s="314"/>
      <c r="Y474" s="314"/>
      <c r="Z474" s="314"/>
      <c r="AA474" s="314"/>
      <c r="AB474" s="314"/>
      <c r="AC474" s="314"/>
      <c r="AD474" s="314"/>
      <c r="AE474" s="314"/>
      <c r="AF474" s="314"/>
      <c r="AG474" s="314"/>
      <c r="AH474" s="313" t="str">
        <f t="shared" si="344"/>
        <v>- Revision</v>
      </c>
      <c r="AI474" s="307" t="str">
        <f t="shared" si="344"/>
        <v>%</v>
      </c>
      <c r="AJ474" s="307"/>
      <c r="AK474" s="314">
        <f xml:space="preserve"> IFERROR(ROUND( AK472 / AK471,2) - 1, 0)</f>
        <v>-0.30000000000000004</v>
      </c>
      <c r="AL474" s="314"/>
      <c r="AM474" s="314"/>
      <c r="AN474" s="314"/>
      <c r="AO474" s="314"/>
      <c r="AP474" s="314"/>
      <c r="AQ474" s="314"/>
      <c r="AR474" s="314"/>
      <c r="AS474" s="314"/>
      <c r="AT474" s="314"/>
      <c r="AU474" s="314"/>
      <c r="AV474" s="314"/>
      <c r="AW474" s="314"/>
      <c r="AX474" s="314"/>
    </row>
  </sheetData>
  <phoneticPr fontId="42"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0F6A7-AE9D-41F2-B5C8-3859CAC322F0}">
  <sheetPr codeName="Sheet15">
    <tabColor theme="0" tint="-0.14999847407452621"/>
  </sheetPr>
  <dimension ref="A2:EJ157"/>
  <sheetViews>
    <sheetView workbookViewId="0">
      <pane xSplit="5" ySplit="6" topLeftCell="V7" activePane="bottomRight" state="frozen"/>
      <selection pane="topRight" activeCell="G1" sqref="G1"/>
      <selection pane="bottomLeft" activeCell="A7" sqref="A7"/>
      <selection pane="bottomRight" activeCell="AJ150" sqref="AJ150"/>
    </sheetView>
  </sheetViews>
  <sheetFormatPr defaultColWidth="0" defaultRowHeight="15"/>
  <cols>
    <col min="1" max="1" width="4.28515625" customWidth="1"/>
    <col min="2" max="2" width="30.5703125" bestFit="1" customWidth="1"/>
    <col min="3" max="3" width="6.7109375" customWidth="1"/>
    <col min="4" max="4" width="2.7109375" customWidth="1"/>
    <col min="5" max="5" width="8.140625" bestFit="1" customWidth="1"/>
    <col min="6" max="31" width="6.7109375" customWidth="1"/>
    <col min="32" max="32" width="2.7109375" customWidth="1"/>
    <col min="33" max="45" width="6.7109375" customWidth="1"/>
    <col min="46" max="46" width="2.7109375" customWidth="1"/>
    <col min="47" max="72" width="6.7109375" customWidth="1"/>
    <col min="73" max="73" width="2.7109375" customWidth="1"/>
    <col min="74" max="86" width="6.7109375" customWidth="1"/>
    <col min="87" max="90" width="2.7109375" customWidth="1"/>
    <col min="91" max="116" width="6.7109375" customWidth="1"/>
    <col min="117" max="117" width="2.7109375" customWidth="1"/>
    <col min="118" max="130" width="6.7109375" customWidth="1"/>
    <col min="131" max="140" width="0" hidden="1" customWidth="1"/>
    <col min="141" max="16384" width="9.140625" hidden="1"/>
  </cols>
  <sheetData>
    <row r="2" spans="1:130" s="252" customFormat="1" ht="11.25">
      <c r="B2" s="273" t="s">
        <v>1270</v>
      </c>
      <c r="C2" s="274"/>
      <c r="D2" s="274"/>
      <c r="E2" s="274"/>
      <c r="F2" s="274"/>
      <c r="G2" s="274"/>
      <c r="H2" s="274"/>
      <c r="I2" s="274"/>
      <c r="J2" s="274"/>
      <c r="K2" s="274"/>
      <c r="L2" s="274"/>
      <c r="M2" s="274"/>
      <c r="N2" s="274"/>
      <c r="O2" s="274"/>
      <c r="P2" s="274"/>
      <c r="Q2" s="274"/>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4"/>
      <c r="AV2" s="274"/>
      <c r="AW2" s="274"/>
      <c r="AX2" s="274"/>
      <c r="AY2" s="274"/>
      <c r="AZ2" s="274"/>
      <c r="BA2" s="274"/>
      <c r="BB2" s="274"/>
      <c r="BC2" s="274"/>
      <c r="BD2" s="274"/>
      <c r="BE2" s="274"/>
      <c r="BF2" s="274"/>
      <c r="BG2" s="275"/>
      <c r="BH2" s="275"/>
      <c r="BI2" s="275"/>
      <c r="BJ2" s="275"/>
      <c r="BK2" s="275"/>
      <c r="BL2" s="275"/>
      <c r="BM2" s="275"/>
      <c r="BN2" s="275"/>
      <c r="BO2" s="275"/>
      <c r="BP2" s="275"/>
      <c r="BQ2" s="275"/>
      <c r="BR2" s="275"/>
      <c r="BS2" s="275"/>
      <c r="BT2" s="275"/>
      <c r="BU2" s="275"/>
      <c r="BV2" s="275"/>
      <c r="BW2" s="275"/>
      <c r="BX2" s="275"/>
      <c r="BY2" s="275"/>
      <c r="BZ2" s="275"/>
      <c r="CA2" s="275"/>
      <c r="CB2" s="275"/>
      <c r="CC2" s="275"/>
      <c r="CD2" s="275"/>
      <c r="CE2" s="275"/>
      <c r="CF2" s="275"/>
      <c r="CG2" s="275"/>
      <c r="CH2" s="275"/>
      <c r="CI2" s="275"/>
      <c r="CJ2" s="275"/>
      <c r="CK2" s="275"/>
      <c r="CL2" s="275"/>
      <c r="CM2" s="274"/>
      <c r="CN2" s="274"/>
      <c r="CO2" s="274"/>
      <c r="CP2" s="274"/>
      <c r="CQ2" s="274"/>
      <c r="CR2" s="274"/>
      <c r="CS2" s="274"/>
      <c r="CT2" s="274"/>
      <c r="CU2" s="274"/>
      <c r="CV2" s="274"/>
      <c r="CW2" s="274"/>
      <c r="CX2" s="274"/>
      <c r="CY2" s="275"/>
      <c r="CZ2" s="275"/>
      <c r="DA2" s="275"/>
      <c r="DB2" s="275"/>
      <c r="DC2" s="275"/>
      <c r="DD2" s="275"/>
      <c r="DE2" s="275"/>
      <c r="DF2" s="275"/>
      <c r="DG2" s="275"/>
      <c r="DH2" s="275"/>
      <c r="DI2" s="275"/>
      <c r="DJ2" s="275"/>
      <c r="DK2" s="275"/>
      <c r="DL2" s="275"/>
      <c r="DM2" s="275"/>
      <c r="DN2" s="275"/>
      <c r="DO2" s="275"/>
      <c r="DP2" s="275"/>
      <c r="DQ2" s="275"/>
      <c r="DR2" s="275"/>
      <c r="DS2" s="275"/>
      <c r="DT2" s="275"/>
      <c r="DU2" s="275"/>
      <c r="DV2" s="275"/>
      <c r="DW2" s="275"/>
      <c r="DX2" s="275"/>
      <c r="DY2" s="275"/>
      <c r="DZ2" s="275"/>
    </row>
    <row r="3" spans="1:130" s="252" customFormat="1" ht="11.25">
      <c r="C3" s="276"/>
      <c r="D3" s="276"/>
      <c r="E3" s="276"/>
      <c r="F3" s="319" t="s">
        <v>1106</v>
      </c>
      <c r="G3" s="319" t="s">
        <v>1106</v>
      </c>
      <c r="H3" s="319" t="s">
        <v>1107</v>
      </c>
      <c r="I3" s="319" t="s">
        <v>1107</v>
      </c>
      <c r="J3" s="319" t="s">
        <v>1108</v>
      </c>
      <c r="K3" s="319" t="s">
        <v>1108</v>
      </c>
      <c r="L3" s="319" t="s">
        <v>1109</v>
      </c>
      <c r="M3" s="319" t="s">
        <v>1109</v>
      </c>
      <c r="N3" s="319" t="s">
        <v>1110</v>
      </c>
      <c r="O3" s="319" t="s">
        <v>1110</v>
      </c>
      <c r="P3" s="319" t="s">
        <v>1111</v>
      </c>
      <c r="Q3" s="319" t="s">
        <v>1111</v>
      </c>
      <c r="R3" s="319" t="s">
        <v>1112</v>
      </c>
      <c r="S3" s="319" t="s">
        <v>1112</v>
      </c>
      <c r="T3" s="319" t="s">
        <v>1113</v>
      </c>
      <c r="U3" s="319" t="s">
        <v>1113</v>
      </c>
      <c r="V3" s="319" t="s">
        <v>1114</v>
      </c>
      <c r="W3" s="319" t="s">
        <v>1114</v>
      </c>
      <c r="X3" s="319" t="s">
        <v>1407</v>
      </c>
      <c r="Y3" s="319" t="s">
        <v>1407</v>
      </c>
      <c r="Z3" s="319" t="s">
        <v>1408</v>
      </c>
      <c r="AA3" s="319" t="s">
        <v>1408</v>
      </c>
      <c r="AB3" s="319" t="s">
        <v>1409</v>
      </c>
      <c r="AC3" s="319" t="s">
        <v>1409</v>
      </c>
      <c r="AD3" s="319" t="s">
        <v>1410</v>
      </c>
      <c r="AE3" s="319" t="s">
        <v>1410</v>
      </c>
      <c r="AF3" s="276"/>
      <c r="AG3" s="276"/>
      <c r="AH3" s="276"/>
      <c r="AI3" s="276"/>
      <c r="AJ3" s="276"/>
      <c r="AK3" s="276"/>
      <c r="AL3" s="276"/>
      <c r="AM3" s="276"/>
      <c r="AN3" s="276"/>
      <c r="AO3" s="276"/>
      <c r="AP3" s="276"/>
      <c r="AQ3" s="276"/>
      <c r="AR3" s="276"/>
      <c r="AS3" s="276"/>
      <c r="AT3" s="276"/>
      <c r="AU3" s="319" t="s">
        <v>845</v>
      </c>
      <c r="AV3" s="319" t="s">
        <v>962</v>
      </c>
      <c r="AW3" s="319" t="s">
        <v>851</v>
      </c>
      <c r="AX3" s="319" t="s">
        <v>852</v>
      </c>
      <c r="AY3" s="319" t="s">
        <v>963</v>
      </c>
      <c r="AZ3" s="319" t="s">
        <v>964</v>
      </c>
      <c r="BA3" s="319" t="s">
        <v>965</v>
      </c>
      <c r="BB3" s="319" t="s">
        <v>966</v>
      </c>
      <c r="BC3" s="319" t="s">
        <v>1065</v>
      </c>
      <c r="BD3" s="319" t="s">
        <v>1066</v>
      </c>
      <c r="BE3" s="319" t="s">
        <v>1067</v>
      </c>
      <c r="BF3" s="319" t="s">
        <v>1068</v>
      </c>
      <c r="BG3" s="319" t="s">
        <v>1069</v>
      </c>
      <c r="BH3" s="319" t="s">
        <v>1070</v>
      </c>
      <c r="BI3" s="319" t="s">
        <v>1478</v>
      </c>
      <c r="BJ3" s="319" t="s">
        <v>1479</v>
      </c>
      <c r="BK3" s="319" t="s">
        <v>1390</v>
      </c>
      <c r="BL3" s="319" t="s">
        <v>1389</v>
      </c>
      <c r="BM3" s="319" t="s">
        <v>1391</v>
      </c>
      <c r="BN3" s="319" t="s">
        <v>1392</v>
      </c>
      <c r="BO3" s="319" t="s">
        <v>1393</v>
      </c>
      <c r="BP3" s="319" t="s">
        <v>1394</v>
      </c>
      <c r="BQ3" s="319" t="s">
        <v>1395</v>
      </c>
      <c r="BR3" s="319" t="s">
        <v>1396</v>
      </c>
      <c r="BS3" s="319" t="s">
        <v>1397</v>
      </c>
      <c r="BT3" s="319" t="s">
        <v>1398</v>
      </c>
      <c r="BU3" s="276"/>
      <c r="BV3" s="319" t="s">
        <v>843</v>
      </c>
      <c r="BW3" s="319" t="s">
        <v>844</v>
      </c>
      <c r="BX3" s="319" t="s">
        <v>1379</v>
      </c>
      <c r="BY3" s="319" t="s">
        <v>1380</v>
      </c>
      <c r="BZ3" s="319" t="s">
        <v>1381</v>
      </c>
      <c r="CA3" s="319" t="s">
        <v>1382</v>
      </c>
      <c r="CB3" s="319" t="s">
        <v>1480</v>
      </c>
      <c r="CC3" s="319" t="s">
        <v>1481</v>
      </c>
      <c r="CD3" s="319" t="s">
        <v>1482</v>
      </c>
      <c r="CE3" s="319" t="s">
        <v>1483</v>
      </c>
      <c r="CF3" s="319" t="s">
        <v>1484</v>
      </c>
      <c r="CG3" s="319" t="s">
        <v>1485</v>
      </c>
      <c r="CH3" s="319" t="s">
        <v>1486</v>
      </c>
      <c r="CI3" s="276"/>
      <c r="CJ3" s="276"/>
      <c r="CK3" s="276"/>
      <c r="CL3" s="276"/>
      <c r="CM3" s="319" t="s">
        <v>845</v>
      </c>
      <c r="CN3" s="319" t="s">
        <v>962</v>
      </c>
      <c r="CO3" s="319" t="s">
        <v>851</v>
      </c>
      <c r="CP3" s="319" t="s">
        <v>852</v>
      </c>
      <c r="CQ3" s="319" t="s">
        <v>963</v>
      </c>
      <c r="CR3" s="319" t="s">
        <v>964</v>
      </c>
      <c r="CS3" s="319" t="s">
        <v>965</v>
      </c>
      <c r="CT3" s="319" t="s">
        <v>966</v>
      </c>
      <c r="CU3" s="319" t="s">
        <v>1065</v>
      </c>
      <c r="CV3" s="319" t="s">
        <v>1066</v>
      </c>
      <c r="CW3" s="319" t="s">
        <v>1067</v>
      </c>
      <c r="CX3" s="319" t="s">
        <v>1068</v>
      </c>
      <c r="CY3" s="319" t="s">
        <v>1069</v>
      </c>
      <c r="CZ3" s="319" t="s">
        <v>1070</v>
      </c>
      <c r="DA3" s="319" t="s">
        <v>1478</v>
      </c>
      <c r="DB3" s="319" t="s">
        <v>1479</v>
      </c>
      <c r="DC3" s="319" t="s">
        <v>1390</v>
      </c>
      <c r="DD3" s="319" t="s">
        <v>1389</v>
      </c>
      <c r="DE3" s="319" t="s">
        <v>1391</v>
      </c>
      <c r="DF3" s="319" t="s">
        <v>1392</v>
      </c>
      <c r="DG3" s="319" t="s">
        <v>1393</v>
      </c>
      <c r="DH3" s="319" t="s">
        <v>1394</v>
      </c>
      <c r="DI3" s="319" t="s">
        <v>1395</v>
      </c>
      <c r="DJ3" s="319" t="s">
        <v>1396</v>
      </c>
      <c r="DK3" s="319" t="s">
        <v>1397</v>
      </c>
      <c r="DL3" s="319" t="s">
        <v>1398</v>
      </c>
      <c r="DM3" s="276"/>
      <c r="DN3" s="319" t="s">
        <v>843</v>
      </c>
      <c r="DO3" s="319" t="s">
        <v>844</v>
      </c>
      <c r="DP3" s="319" t="s">
        <v>1379</v>
      </c>
      <c r="DQ3" s="319" t="s">
        <v>1380</v>
      </c>
      <c r="DR3" s="319" t="s">
        <v>1381</v>
      </c>
      <c r="DS3" s="319" t="s">
        <v>1382</v>
      </c>
      <c r="DT3" s="319" t="s">
        <v>1480</v>
      </c>
      <c r="DU3" s="319" t="s">
        <v>1481</v>
      </c>
      <c r="DV3" s="319" t="s">
        <v>1482</v>
      </c>
      <c r="DW3" s="319" t="s">
        <v>1483</v>
      </c>
      <c r="DX3" s="319" t="s">
        <v>1484</v>
      </c>
      <c r="DY3" s="319" t="s">
        <v>1485</v>
      </c>
      <c r="DZ3" s="319" t="s">
        <v>1486</v>
      </c>
    </row>
    <row r="5" spans="1:130">
      <c r="B5" s="734"/>
      <c r="C5" s="735" t="s">
        <v>960</v>
      </c>
      <c r="D5" s="735"/>
      <c r="E5" s="735" t="s">
        <v>1084</v>
      </c>
      <c r="F5" s="738" t="s">
        <v>846</v>
      </c>
      <c r="G5" s="739" t="s">
        <v>910</v>
      </c>
      <c r="H5" s="738" t="s">
        <v>968</v>
      </c>
      <c r="I5" s="739" t="s">
        <v>1057</v>
      </c>
      <c r="J5" s="738" t="s">
        <v>911</v>
      </c>
      <c r="K5" s="741" t="s">
        <v>912</v>
      </c>
      <c r="L5" s="740" t="s">
        <v>913</v>
      </c>
      <c r="M5" s="741" t="s">
        <v>914</v>
      </c>
      <c r="N5" s="740" t="s">
        <v>1058</v>
      </c>
      <c r="O5" s="741" t="s">
        <v>1059</v>
      </c>
      <c r="P5" s="740" t="s">
        <v>1060</v>
      </c>
      <c r="Q5" s="741" t="s">
        <v>1061</v>
      </c>
      <c r="R5" s="740" t="s">
        <v>1062</v>
      </c>
      <c r="S5" s="741" t="s">
        <v>1063</v>
      </c>
      <c r="T5" s="740" t="s">
        <v>1115</v>
      </c>
      <c r="U5" s="741" t="s">
        <v>1116</v>
      </c>
      <c r="V5" s="740" t="s">
        <v>1117</v>
      </c>
      <c r="W5" s="741" t="s">
        <v>1118</v>
      </c>
      <c r="X5" s="740" t="s">
        <v>1399</v>
      </c>
      <c r="Y5" s="741" t="s">
        <v>1400</v>
      </c>
      <c r="Z5" s="740" t="s">
        <v>1401</v>
      </c>
      <c r="AA5" s="741" t="s">
        <v>1402</v>
      </c>
      <c r="AB5" s="740" t="s">
        <v>1403</v>
      </c>
      <c r="AC5" s="741" t="s">
        <v>1404</v>
      </c>
      <c r="AD5" s="740" t="s">
        <v>1405</v>
      </c>
      <c r="AE5" s="741" t="s">
        <v>1406</v>
      </c>
      <c r="AG5" s="736" t="s">
        <v>1106</v>
      </c>
      <c r="AH5" s="736" t="s">
        <v>1107</v>
      </c>
      <c r="AI5" s="737" t="s">
        <v>1108</v>
      </c>
      <c r="AJ5" s="737" t="s">
        <v>1109</v>
      </c>
      <c r="AK5" s="737" t="s">
        <v>1110</v>
      </c>
      <c r="AL5" s="737" t="s">
        <v>1111</v>
      </c>
      <c r="AM5" s="737" t="s">
        <v>1112</v>
      </c>
      <c r="AN5" s="737" t="s">
        <v>1113</v>
      </c>
      <c r="AO5" s="737" t="s">
        <v>1114</v>
      </c>
      <c r="AP5" s="737" t="s">
        <v>1407</v>
      </c>
      <c r="AQ5" s="737" t="s">
        <v>1408</v>
      </c>
      <c r="AR5" s="737" t="s">
        <v>1409</v>
      </c>
      <c r="AS5" s="737" t="s">
        <v>1410</v>
      </c>
      <c r="AU5" s="745" t="s">
        <v>846</v>
      </c>
      <c r="AV5" s="746" t="s">
        <v>910</v>
      </c>
      <c r="AW5" s="745" t="s">
        <v>968</v>
      </c>
      <c r="AX5" s="746" t="s">
        <v>1057</v>
      </c>
      <c r="AY5" s="745" t="s">
        <v>911</v>
      </c>
      <c r="AZ5" s="746" t="s">
        <v>912</v>
      </c>
      <c r="BA5" s="745" t="s">
        <v>913</v>
      </c>
      <c r="BB5" s="746" t="s">
        <v>914</v>
      </c>
      <c r="BC5" s="745" t="s">
        <v>1058</v>
      </c>
      <c r="BD5" s="746" t="s">
        <v>1059</v>
      </c>
      <c r="BE5" s="745" t="s">
        <v>1060</v>
      </c>
      <c r="BF5" s="746" t="s">
        <v>1061</v>
      </c>
      <c r="BG5" s="745" t="s">
        <v>1062</v>
      </c>
      <c r="BH5" s="746" t="s">
        <v>1063</v>
      </c>
      <c r="BI5" s="745" t="s">
        <v>1115</v>
      </c>
      <c r="BJ5" s="746" t="s">
        <v>1116</v>
      </c>
      <c r="BK5" s="745" t="s">
        <v>1117</v>
      </c>
      <c r="BL5" s="746" t="s">
        <v>1118</v>
      </c>
      <c r="BM5" s="745" t="s">
        <v>1399</v>
      </c>
      <c r="BN5" s="746" t="s">
        <v>1400</v>
      </c>
      <c r="BO5" s="745" t="s">
        <v>1401</v>
      </c>
      <c r="BP5" s="746" t="s">
        <v>1402</v>
      </c>
      <c r="BQ5" s="745" t="s">
        <v>1403</v>
      </c>
      <c r="BR5" s="746" t="s">
        <v>1404</v>
      </c>
      <c r="BS5" s="745" t="s">
        <v>1405</v>
      </c>
      <c r="BT5" s="746" t="s">
        <v>1406</v>
      </c>
      <c r="BV5" s="747" t="s">
        <v>1106</v>
      </c>
      <c r="BW5" s="747" t="s">
        <v>1107</v>
      </c>
      <c r="BX5" s="747" t="s">
        <v>1108</v>
      </c>
      <c r="BY5" s="747" t="s">
        <v>1109</v>
      </c>
      <c r="BZ5" s="747" t="s">
        <v>1110</v>
      </c>
      <c r="CA5" s="747" t="s">
        <v>1111</v>
      </c>
      <c r="CB5" s="747" t="s">
        <v>1112</v>
      </c>
      <c r="CC5" s="747" t="s">
        <v>1113</v>
      </c>
      <c r="CD5" s="747" t="s">
        <v>1114</v>
      </c>
      <c r="CE5" s="747" t="s">
        <v>1407</v>
      </c>
      <c r="CF5" s="747" t="s">
        <v>1408</v>
      </c>
      <c r="CG5" s="747" t="s">
        <v>1409</v>
      </c>
      <c r="CH5" s="747" t="s">
        <v>1410</v>
      </c>
      <c r="CM5" s="748" t="s">
        <v>846</v>
      </c>
      <c r="CN5" s="749" t="s">
        <v>910</v>
      </c>
      <c r="CO5" s="748" t="s">
        <v>968</v>
      </c>
      <c r="CP5" s="749" t="s">
        <v>1057</v>
      </c>
      <c r="CQ5" s="748" t="s">
        <v>911</v>
      </c>
      <c r="CR5" s="749" t="s">
        <v>912</v>
      </c>
      <c r="CS5" s="748" t="s">
        <v>913</v>
      </c>
      <c r="CT5" s="749" t="s">
        <v>914</v>
      </c>
      <c r="CU5" s="748" t="s">
        <v>1058</v>
      </c>
      <c r="CV5" s="749" t="s">
        <v>1059</v>
      </c>
      <c r="CW5" s="748" t="s">
        <v>1060</v>
      </c>
      <c r="CX5" s="749" t="s">
        <v>1061</v>
      </c>
      <c r="CY5" s="748" t="s">
        <v>1062</v>
      </c>
      <c r="CZ5" s="749" t="s">
        <v>1063</v>
      </c>
      <c r="DA5" s="748" t="s">
        <v>1115</v>
      </c>
      <c r="DB5" s="749" t="s">
        <v>1116</v>
      </c>
      <c r="DC5" s="748" t="s">
        <v>1117</v>
      </c>
      <c r="DD5" s="749" t="s">
        <v>1118</v>
      </c>
      <c r="DE5" s="748" t="s">
        <v>1399</v>
      </c>
      <c r="DF5" s="749" t="s">
        <v>1400</v>
      </c>
      <c r="DG5" s="748" t="s">
        <v>1401</v>
      </c>
      <c r="DH5" s="749" t="s">
        <v>1402</v>
      </c>
      <c r="DI5" s="748" t="s">
        <v>1403</v>
      </c>
      <c r="DJ5" s="749" t="s">
        <v>1404</v>
      </c>
      <c r="DK5" s="748" t="s">
        <v>1405</v>
      </c>
      <c r="DL5" s="749" t="s">
        <v>1406</v>
      </c>
      <c r="DN5" s="750" t="s">
        <v>1106</v>
      </c>
      <c r="DO5" s="750" t="s">
        <v>1107</v>
      </c>
      <c r="DP5" s="750" t="s">
        <v>1108</v>
      </c>
      <c r="DQ5" s="750" t="s">
        <v>1109</v>
      </c>
      <c r="DR5" s="750" t="s">
        <v>1110</v>
      </c>
      <c r="DS5" s="750" t="s">
        <v>1111</v>
      </c>
      <c r="DT5" s="750" t="s">
        <v>1112</v>
      </c>
      <c r="DU5" s="750" t="s">
        <v>1113</v>
      </c>
      <c r="DV5" s="750" t="s">
        <v>1114</v>
      </c>
      <c r="DW5" s="750" t="s">
        <v>1407</v>
      </c>
      <c r="DX5" s="750" t="s">
        <v>1408</v>
      </c>
      <c r="DY5" s="750" t="s">
        <v>1409</v>
      </c>
      <c r="DZ5" s="750" t="s">
        <v>1410</v>
      </c>
    </row>
    <row r="6" spans="1:130">
      <c r="B6" s="666"/>
      <c r="C6" s="742"/>
      <c r="D6" s="666"/>
      <c r="E6" s="742"/>
      <c r="F6" s="743">
        <v>44561</v>
      </c>
      <c r="G6" s="744">
        <f t="shared" ref="G6:AE6" si="0">EOMONTH(F6,6)</f>
        <v>44742</v>
      </c>
      <c r="H6" s="743">
        <f t="shared" si="0"/>
        <v>44926</v>
      </c>
      <c r="I6" s="744">
        <f t="shared" si="0"/>
        <v>45107</v>
      </c>
      <c r="J6" s="743">
        <f t="shared" si="0"/>
        <v>45291</v>
      </c>
      <c r="K6" s="744">
        <f t="shared" si="0"/>
        <v>45473</v>
      </c>
      <c r="L6" s="743">
        <f t="shared" si="0"/>
        <v>45657</v>
      </c>
      <c r="M6" s="744">
        <f t="shared" si="0"/>
        <v>45838</v>
      </c>
      <c r="N6" s="743">
        <f t="shared" si="0"/>
        <v>46022</v>
      </c>
      <c r="O6" s="744">
        <f t="shared" si="0"/>
        <v>46203</v>
      </c>
      <c r="P6" s="743">
        <f t="shared" si="0"/>
        <v>46387</v>
      </c>
      <c r="Q6" s="744">
        <f t="shared" si="0"/>
        <v>46568</v>
      </c>
      <c r="R6" s="743">
        <f t="shared" si="0"/>
        <v>46752</v>
      </c>
      <c r="S6" s="744">
        <f t="shared" si="0"/>
        <v>46934</v>
      </c>
      <c r="T6" s="743">
        <f>EOMONTH(S6,6)</f>
        <v>47118</v>
      </c>
      <c r="U6" s="744">
        <f t="shared" si="0"/>
        <v>47299</v>
      </c>
      <c r="V6" s="743">
        <f t="shared" si="0"/>
        <v>47483</v>
      </c>
      <c r="W6" s="744">
        <f t="shared" si="0"/>
        <v>47664</v>
      </c>
      <c r="X6" s="743">
        <f t="shared" si="0"/>
        <v>47848</v>
      </c>
      <c r="Y6" s="744">
        <f t="shared" si="0"/>
        <v>48029</v>
      </c>
      <c r="Z6" s="743">
        <f t="shared" si="0"/>
        <v>48213</v>
      </c>
      <c r="AA6" s="744">
        <f t="shared" si="0"/>
        <v>48395</v>
      </c>
      <c r="AB6" s="743">
        <f t="shared" si="0"/>
        <v>48579</v>
      </c>
      <c r="AC6" s="744">
        <f t="shared" si="0"/>
        <v>48760</v>
      </c>
      <c r="AD6" s="743">
        <f t="shared" si="0"/>
        <v>48944</v>
      </c>
      <c r="AE6" s="744">
        <f t="shared" si="0"/>
        <v>49125</v>
      </c>
      <c r="AG6" s="733">
        <v>44742</v>
      </c>
      <c r="AH6" s="733">
        <f t="shared" ref="AH6:AS6" si="1">EOMONTH(AG6,12)</f>
        <v>45107</v>
      </c>
      <c r="AI6" s="733">
        <f t="shared" si="1"/>
        <v>45473</v>
      </c>
      <c r="AJ6" s="733">
        <f t="shared" si="1"/>
        <v>45838</v>
      </c>
      <c r="AK6" s="733">
        <f t="shared" si="1"/>
        <v>46203</v>
      </c>
      <c r="AL6" s="733">
        <f t="shared" si="1"/>
        <v>46568</v>
      </c>
      <c r="AM6" s="733">
        <f t="shared" si="1"/>
        <v>46934</v>
      </c>
      <c r="AN6" s="733">
        <f t="shared" si="1"/>
        <v>47299</v>
      </c>
      <c r="AO6" s="733">
        <f t="shared" si="1"/>
        <v>47664</v>
      </c>
      <c r="AP6" s="733">
        <f t="shared" si="1"/>
        <v>48029</v>
      </c>
      <c r="AQ6" s="733">
        <f t="shared" si="1"/>
        <v>48395</v>
      </c>
      <c r="AR6" s="733">
        <f t="shared" si="1"/>
        <v>48760</v>
      </c>
      <c r="AS6" s="733">
        <f t="shared" si="1"/>
        <v>49125</v>
      </c>
      <c r="AU6" s="743">
        <v>44561</v>
      </c>
      <c r="AV6" s="744">
        <v>44742</v>
      </c>
      <c r="AW6" s="743">
        <v>44926</v>
      </c>
      <c r="AX6" s="744">
        <v>45107</v>
      </c>
      <c r="AY6" s="743">
        <v>45291</v>
      </c>
      <c r="AZ6" s="744">
        <v>45473</v>
      </c>
      <c r="BA6" s="743">
        <v>45657</v>
      </c>
      <c r="BB6" s="744">
        <v>45838</v>
      </c>
      <c r="BC6" s="743">
        <v>46022</v>
      </c>
      <c r="BD6" s="744">
        <v>46203</v>
      </c>
      <c r="BE6" s="743">
        <v>46387</v>
      </c>
      <c r="BF6" s="744">
        <v>46568</v>
      </c>
      <c r="BG6" s="743">
        <v>46752</v>
      </c>
      <c r="BH6" s="744">
        <v>46934</v>
      </c>
      <c r="BI6" s="743">
        <v>47118</v>
      </c>
      <c r="BJ6" s="744">
        <v>47299</v>
      </c>
      <c r="BK6" s="743">
        <v>47483</v>
      </c>
      <c r="BL6" s="744">
        <v>47664</v>
      </c>
      <c r="BM6" s="743">
        <v>47848</v>
      </c>
      <c r="BN6" s="744">
        <v>48029</v>
      </c>
      <c r="BO6" s="743">
        <v>48213</v>
      </c>
      <c r="BP6" s="744">
        <v>48395</v>
      </c>
      <c r="BQ6" s="743">
        <v>48579</v>
      </c>
      <c r="BR6" s="744">
        <v>48760</v>
      </c>
      <c r="BS6" s="743">
        <v>48944</v>
      </c>
      <c r="BT6" s="744">
        <v>49125</v>
      </c>
      <c r="BV6" s="733">
        <v>44742</v>
      </c>
      <c r="BW6" s="733">
        <v>45107</v>
      </c>
      <c r="BX6" s="733">
        <v>45473</v>
      </c>
      <c r="BY6" s="733">
        <v>45838</v>
      </c>
      <c r="BZ6" s="733">
        <v>46203</v>
      </c>
      <c r="CA6" s="733">
        <v>46568</v>
      </c>
      <c r="CB6" s="733">
        <v>46934</v>
      </c>
      <c r="CC6" s="733">
        <v>47299</v>
      </c>
      <c r="CD6" s="733">
        <v>47664</v>
      </c>
      <c r="CE6" s="733">
        <v>48029</v>
      </c>
      <c r="CF6" s="733">
        <v>48395</v>
      </c>
      <c r="CG6" s="733">
        <v>48760</v>
      </c>
      <c r="CH6" s="733">
        <v>49125</v>
      </c>
      <c r="CM6" s="743">
        <v>44561</v>
      </c>
      <c r="CN6" s="744">
        <f t="shared" ref="CN6:DL6" si="2">EOMONTH(CM6,6)</f>
        <v>44742</v>
      </c>
      <c r="CO6" s="743">
        <f t="shared" si="2"/>
        <v>44926</v>
      </c>
      <c r="CP6" s="744">
        <f t="shared" si="2"/>
        <v>45107</v>
      </c>
      <c r="CQ6" s="743">
        <f t="shared" si="2"/>
        <v>45291</v>
      </c>
      <c r="CR6" s="744">
        <f t="shared" si="2"/>
        <v>45473</v>
      </c>
      <c r="CS6" s="743">
        <f t="shared" si="2"/>
        <v>45657</v>
      </c>
      <c r="CT6" s="744">
        <f t="shared" si="2"/>
        <v>45838</v>
      </c>
      <c r="CU6" s="743">
        <f t="shared" si="2"/>
        <v>46022</v>
      </c>
      <c r="CV6" s="744">
        <f t="shared" si="2"/>
        <v>46203</v>
      </c>
      <c r="CW6" s="743">
        <f t="shared" si="2"/>
        <v>46387</v>
      </c>
      <c r="CX6" s="744">
        <f t="shared" si="2"/>
        <v>46568</v>
      </c>
      <c r="CY6" s="743">
        <f t="shared" si="2"/>
        <v>46752</v>
      </c>
      <c r="CZ6" s="744">
        <f t="shared" si="2"/>
        <v>46934</v>
      </c>
      <c r="DA6" s="743">
        <f t="shared" si="2"/>
        <v>47118</v>
      </c>
      <c r="DB6" s="744">
        <f t="shared" si="2"/>
        <v>47299</v>
      </c>
      <c r="DC6" s="743">
        <f t="shared" si="2"/>
        <v>47483</v>
      </c>
      <c r="DD6" s="744">
        <f t="shared" si="2"/>
        <v>47664</v>
      </c>
      <c r="DE6" s="743">
        <f t="shared" si="2"/>
        <v>47848</v>
      </c>
      <c r="DF6" s="744">
        <f t="shared" si="2"/>
        <v>48029</v>
      </c>
      <c r="DG6" s="743">
        <f t="shared" si="2"/>
        <v>48213</v>
      </c>
      <c r="DH6" s="744">
        <f t="shared" si="2"/>
        <v>48395</v>
      </c>
      <c r="DI6" s="743">
        <f t="shared" si="2"/>
        <v>48579</v>
      </c>
      <c r="DJ6" s="744">
        <f t="shared" si="2"/>
        <v>48760</v>
      </c>
      <c r="DK6" s="743">
        <f t="shared" si="2"/>
        <v>48944</v>
      </c>
      <c r="DL6" s="744">
        <f t="shared" si="2"/>
        <v>49125</v>
      </c>
      <c r="DN6" s="733">
        <v>44742</v>
      </c>
      <c r="DO6" s="733">
        <f t="shared" ref="DO6:DZ6" si="3">EOMONTH(DN6,12)</f>
        <v>45107</v>
      </c>
      <c r="DP6" s="733">
        <f t="shared" si="3"/>
        <v>45473</v>
      </c>
      <c r="DQ6" s="733">
        <f t="shared" si="3"/>
        <v>45838</v>
      </c>
      <c r="DR6" s="733">
        <f t="shared" si="3"/>
        <v>46203</v>
      </c>
      <c r="DS6" s="733">
        <f t="shared" si="3"/>
        <v>46568</v>
      </c>
      <c r="DT6" s="733">
        <f t="shared" si="3"/>
        <v>46934</v>
      </c>
      <c r="DU6" s="733">
        <f t="shared" si="3"/>
        <v>47299</v>
      </c>
      <c r="DV6" s="733">
        <f t="shared" si="3"/>
        <v>47664</v>
      </c>
      <c r="DW6" s="733">
        <f t="shared" si="3"/>
        <v>48029</v>
      </c>
      <c r="DX6" s="733">
        <f t="shared" si="3"/>
        <v>48395</v>
      </c>
      <c r="DY6" s="733">
        <f t="shared" si="3"/>
        <v>48760</v>
      </c>
      <c r="DZ6" s="733">
        <f t="shared" si="3"/>
        <v>49125</v>
      </c>
    </row>
    <row r="8" spans="1:130">
      <c r="A8" s="754" t="s">
        <v>971</v>
      </c>
      <c r="B8" s="731" t="s">
        <v>1487</v>
      </c>
      <c r="C8" s="290"/>
      <c r="D8" s="290"/>
      <c r="E8" s="290"/>
      <c r="F8" s="290"/>
      <c r="G8" s="290"/>
      <c r="H8" s="290"/>
      <c r="I8" s="290"/>
      <c r="J8" s="290"/>
      <c r="K8" s="290"/>
      <c r="L8" s="290"/>
      <c r="M8" s="290"/>
      <c r="N8" s="290"/>
      <c r="O8" s="290"/>
      <c r="P8" s="290"/>
      <c r="Q8" s="290"/>
      <c r="R8" s="290"/>
      <c r="S8" s="290"/>
      <c r="T8" s="290"/>
      <c r="U8" s="290"/>
      <c r="V8" s="290"/>
      <c r="W8" s="290"/>
      <c r="X8" s="290"/>
      <c r="Y8" s="290"/>
      <c r="Z8" s="290"/>
      <c r="AA8" s="290"/>
      <c r="AB8" s="290"/>
      <c r="AC8" s="290"/>
      <c r="AD8" s="290"/>
      <c r="AE8" s="290"/>
      <c r="AF8" s="290"/>
      <c r="AG8" s="290"/>
      <c r="AH8" s="290"/>
      <c r="AI8" s="290"/>
      <c r="AJ8" s="290"/>
      <c r="AK8" s="290"/>
      <c r="AL8" s="290"/>
      <c r="AM8" s="290"/>
      <c r="AN8" s="290"/>
      <c r="AO8" s="290"/>
      <c r="AP8" s="290"/>
      <c r="AQ8" s="290"/>
      <c r="AR8" s="290"/>
      <c r="AS8" s="290"/>
    </row>
    <row r="9" spans="1:130">
      <c r="B9" s="138" t="s">
        <v>1369</v>
      </c>
      <c r="C9" s="82" t="s">
        <v>900</v>
      </c>
      <c r="E9" s="7"/>
      <c r="F9" s="132">
        <f>HY!M78</f>
        <v>5259</v>
      </c>
      <c r="G9" s="132">
        <f>HY!N78</f>
        <v>4438</v>
      </c>
      <c r="H9" s="132">
        <f>HY!O78</f>
        <v>4920.5</v>
      </c>
      <c r="I9" s="132">
        <f>HY!P78</f>
        <v>4346.2000000000007</v>
      </c>
      <c r="J9" s="132">
        <f>HY!Q78</f>
        <v>4731.2</v>
      </c>
      <c r="K9" s="132">
        <f>HY!R78</f>
        <v>4077.9000000000005</v>
      </c>
      <c r="L9" s="132">
        <f>HY!S78</f>
        <v>4353.8999999999996</v>
      </c>
      <c r="M9" s="132">
        <f>HY!T78</f>
        <v>4028</v>
      </c>
      <c r="N9" s="132">
        <f>HY!U78</f>
        <v>4343.3999999999996</v>
      </c>
      <c r="O9" s="132">
        <f>HY!V78</f>
        <v>4102.8999999999996</v>
      </c>
      <c r="P9" s="132">
        <f>HY!W78</f>
        <v>4421.5811999999996</v>
      </c>
      <c r="Q9" s="132">
        <f>HY!X78</f>
        <v>4139.8260999999993</v>
      </c>
      <c r="R9" s="132">
        <f>HY!Y78</f>
        <v>4465.797012</v>
      </c>
      <c r="S9" s="132">
        <f>HY!Z78</f>
        <v>4264.0208829999992</v>
      </c>
      <c r="T9" s="132">
        <f>HY!AA78</f>
        <v>4555.1129522399997</v>
      </c>
      <c r="U9" s="132">
        <f>HY!AB78</f>
        <v>4349.3013006599995</v>
      </c>
      <c r="V9" s="132">
        <f>HY!AC78</f>
        <v>4691.7663408071994</v>
      </c>
      <c r="W9" s="132">
        <f>HY!AD78</f>
        <v>4479.7803396797999</v>
      </c>
      <c r="X9" s="132">
        <f>HY!AE78</f>
        <v>4832.5193310314153</v>
      </c>
      <c r="Y9" s="132">
        <f>HY!AF78</f>
        <v>4614.1737498701941</v>
      </c>
      <c r="Z9" s="132">
        <f>HY!AG78</f>
        <v>4977.4949109623576</v>
      </c>
      <c r="AA9" s="132">
        <f>HY!AH78</f>
        <v>4752.5989623662999</v>
      </c>
      <c r="AB9" s="132">
        <f>HY!AI78</f>
        <v>5126.819758291228</v>
      </c>
      <c r="AC9" s="132">
        <f>HY!AJ78</f>
        <v>4895.176931237289</v>
      </c>
      <c r="AD9" s="132">
        <f>HY!AK78</f>
        <v>5280.6243510399654</v>
      </c>
      <c r="AE9" s="132">
        <f>HY!AL78</f>
        <v>5042.0322391744076</v>
      </c>
      <c r="AG9" s="132">
        <f t="shared" ref="AG9:AS12" si="4">SUMIFS($F9:$AE9,$F$3:$AE$3,AG$5)</f>
        <v>9697</v>
      </c>
      <c r="AH9" s="132">
        <f t="shared" si="4"/>
        <v>9266.7000000000007</v>
      </c>
      <c r="AI9" s="132">
        <f t="shared" si="4"/>
        <v>8809.1</v>
      </c>
      <c r="AJ9" s="132">
        <f t="shared" si="4"/>
        <v>8381.9</v>
      </c>
      <c r="AK9" s="132">
        <f t="shared" si="4"/>
        <v>8446.2999999999993</v>
      </c>
      <c r="AL9" s="132">
        <f t="shared" si="4"/>
        <v>8561.4072999999989</v>
      </c>
      <c r="AM9" s="132">
        <f t="shared" si="4"/>
        <v>8729.8178950000001</v>
      </c>
      <c r="AN9" s="132">
        <f t="shared" si="4"/>
        <v>8904.4142528999982</v>
      </c>
      <c r="AO9" s="132">
        <f t="shared" si="4"/>
        <v>9171.5466804869993</v>
      </c>
      <c r="AP9" s="132">
        <f t="shared" si="4"/>
        <v>9446.6930809016085</v>
      </c>
      <c r="AQ9" s="132">
        <f t="shared" si="4"/>
        <v>9730.0938733286566</v>
      </c>
      <c r="AR9" s="132">
        <f t="shared" si="4"/>
        <v>10021.996689528518</v>
      </c>
      <c r="AS9" s="132">
        <f t="shared" si="4"/>
        <v>10322.656590214374</v>
      </c>
      <c r="AU9" s="132"/>
      <c r="AV9" s="132"/>
      <c r="AW9" s="132"/>
      <c r="AX9" s="132"/>
      <c r="AY9" s="132"/>
      <c r="AZ9" s="132"/>
      <c r="BA9" s="132"/>
      <c r="BB9" s="132"/>
      <c r="BC9" s="132"/>
      <c r="BD9" s="132"/>
      <c r="BE9" s="132"/>
      <c r="BF9" s="132"/>
      <c r="BG9" s="132"/>
      <c r="BH9" s="132"/>
      <c r="BI9" s="132"/>
      <c r="BJ9" s="132"/>
      <c r="BK9" s="132"/>
      <c r="BL9" s="132"/>
      <c r="BM9" s="132"/>
      <c r="BN9" s="132"/>
      <c r="BO9" s="132"/>
      <c r="BP9" s="132"/>
      <c r="BQ9" s="132"/>
      <c r="BR9" s="132"/>
      <c r="BS9" s="132"/>
      <c r="BT9" s="132"/>
      <c r="BV9" s="132"/>
      <c r="BW9" s="132"/>
      <c r="BX9" s="132"/>
      <c r="BY9" s="132"/>
      <c r="BZ9" s="132"/>
      <c r="CA9" s="132"/>
      <c r="CB9" s="132"/>
      <c r="CC9" s="132"/>
      <c r="CD9" s="132"/>
      <c r="CE9" s="132"/>
      <c r="CF9" s="132"/>
      <c r="CG9" s="132"/>
      <c r="CH9" s="132"/>
      <c r="CM9" s="132"/>
      <c r="CN9" s="132"/>
      <c r="CO9" s="132"/>
      <c r="CP9" s="132"/>
      <c r="CQ9" s="132"/>
      <c r="CR9" s="132"/>
      <c r="CS9" s="132"/>
      <c r="CT9" s="132"/>
      <c r="CU9" s="132"/>
      <c r="CV9" s="132"/>
      <c r="CW9" s="132"/>
      <c r="CX9" s="132"/>
      <c r="CY9" s="132"/>
      <c r="CZ9" s="132"/>
      <c r="DA9" s="132"/>
      <c r="DB9" s="132"/>
      <c r="DC9" s="132"/>
      <c r="DD9" s="132"/>
      <c r="DE9" s="132"/>
      <c r="DF9" s="132"/>
      <c r="DG9" s="132"/>
      <c r="DH9" s="132"/>
      <c r="DI9" s="132"/>
      <c r="DJ9" s="132"/>
      <c r="DK9" s="132"/>
      <c r="DL9" s="132"/>
      <c r="DN9" s="132"/>
      <c r="DO9" s="132"/>
      <c r="DP9" s="132"/>
      <c r="DQ9" s="132"/>
      <c r="DR9" s="132"/>
      <c r="DS9" s="132"/>
      <c r="DT9" s="132"/>
      <c r="DU9" s="132"/>
      <c r="DV9" s="132"/>
      <c r="DW9" s="132"/>
      <c r="DX9" s="132"/>
      <c r="DY9" s="132"/>
      <c r="DZ9" s="132"/>
    </row>
    <row r="10" spans="1:130">
      <c r="B10" s="138" t="s">
        <v>1201</v>
      </c>
      <c r="C10" s="82" t="s">
        <v>900</v>
      </c>
      <c r="E10" s="24"/>
      <c r="F10" s="132">
        <f>HY!M79</f>
        <v>1720.5</v>
      </c>
      <c r="G10" s="132">
        <f>HY!N79</f>
        <v>2476.1999999999998</v>
      </c>
      <c r="H10" s="132">
        <f>HY!O79</f>
        <v>2839</v>
      </c>
      <c r="I10" s="132">
        <f>HY!P79</f>
        <v>2445.1000000000004</v>
      </c>
      <c r="J10" s="132">
        <f>HY!Q79</f>
        <v>2732.4</v>
      </c>
      <c r="K10" s="132">
        <f>HY!R79</f>
        <v>2516.2000000000003</v>
      </c>
      <c r="L10" s="132">
        <f>HY!S79</f>
        <v>2791.8</v>
      </c>
      <c r="M10" s="132">
        <f>HY!T79</f>
        <v>2569.1999999999998</v>
      </c>
      <c r="N10" s="132">
        <f>HY!U79</f>
        <v>2825.1</v>
      </c>
      <c r="O10" s="132">
        <f>HY!V79</f>
        <v>2590.0000000000005</v>
      </c>
      <c r="P10" s="132">
        <f>HY!W79</f>
        <v>2844.8756999999996</v>
      </c>
      <c r="Q10" s="132">
        <f>HY!X79</f>
        <v>2584.8200000000006</v>
      </c>
      <c r="R10" s="132">
        <f>HY!Y79</f>
        <v>2802.2025644999994</v>
      </c>
      <c r="S10" s="132">
        <f>HY!Z79</f>
        <v>2546.0477000000005</v>
      </c>
      <c r="T10" s="132">
        <f>HY!AA79</f>
        <v>2760.1695260324996</v>
      </c>
      <c r="U10" s="132">
        <f>HY!AB79</f>
        <v>2507.8569845000006</v>
      </c>
      <c r="V10" s="132">
        <f>HY!AC79</f>
        <v>2787.7712212928245</v>
      </c>
      <c r="W10" s="132">
        <f>HY!AD79</f>
        <v>2532.9355543450006</v>
      </c>
      <c r="X10" s="132">
        <f>HY!AE79</f>
        <v>2759.8935090798964</v>
      </c>
      <c r="Y10" s="132">
        <f>HY!AF79</f>
        <v>2507.6061988015504</v>
      </c>
      <c r="Z10" s="132">
        <f>HY!AG79</f>
        <v>2732.2945739890974</v>
      </c>
      <c r="AA10" s="132">
        <f>HY!AH79</f>
        <v>2482.5301368135347</v>
      </c>
      <c r="AB10" s="132">
        <f>HY!AI79</f>
        <v>2704.9716282492063</v>
      </c>
      <c r="AC10" s="132">
        <f>HY!AJ79</f>
        <v>2457.7048354453991</v>
      </c>
      <c r="AD10" s="132">
        <f>HY!AK79</f>
        <v>2677.9219119667141</v>
      </c>
      <c r="AE10" s="132">
        <f>HY!AL79</f>
        <v>2433.1277870909453</v>
      </c>
      <c r="AG10" s="132">
        <f t="shared" si="4"/>
        <v>4196.7</v>
      </c>
      <c r="AH10" s="132">
        <f t="shared" si="4"/>
        <v>5284.1</v>
      </c>
      <c r="AI10" s="132">
        <f t="shared" si="4"/>
        <v>5248.6</v>
      </c>
      <c r="AJ10" s="132">
        <f t="shared" si="4"/>
        <v>5361</v>
      </c>
      <c r="AK10" s="132">
        <f t="shared" si="4"/>
        <v>5415.1</v>
      </c>
      <c r="AL10" s="132">
        <f t="shared" si="4"/>
        <v>5429.6957000000002</v>
      </c>
      <c r="AM10" s="132">
        <f t="shared" si="4"/>
        <v>5348.2502645000004</v>
      </c>
      <c r="AN10" s="132">
        <f t="shared" si="4"/>
        <v>5268.0265105324997</v>
      </c>
      <c r="AO10" s="132">
        <f t="shared" si="4"/>
        <v>5320.7067756378256</v>
      </c>
      <c r="AP10" s="132">
        <f t="shared" si="4"/>
        <v>5267.4997078814467</v>
      </c>
      <c r="AQ10" s="132">
        <f t="shared" si="4"/>
        <v>5214.8247108026317</v>
      </c>
      <c r="AR10" s="132">
        <f t="shared" si="4"/>
        <v>5162.6764636946054</v>
      </c>
      <c r="AS10" s="132">
        <f t="shared" si="4"/>
        <v>5111.0496990576594</v>
      </c>
      <c r="AU10" s="132"/>
      <c r="AV10" s="132"/>
      <c r="AW10" s="132"/>
      <c r="AX10" s="132"/>
      <c r="AY10" s="132"/>
      <c r="AZ10" s="132"/>
      <c r="BA10" s="132"/>
      <c r="BB10" s="132"/>
      <c r="BC10" s="132"/>
      <c r="BD10" s="132"/>
      <c r="BE10" s="132"/>
      <c r="BF10" s="132"/>
      <c r="BG10" s="132"/>
      <c r="BH10" s="132"/>
      <c r="BI10" s="132"/>
      <c r="BJ10" s="132"/>
      <c r="BK10" s="132"/>
      <c r="BL10" s="132"/>
      <c r="BM10" s="132"/>
      <c r="BN10" s="132"/>
      <c r="BO10" s="132"/>
      <c r="BP10" s="132"/>
      <c r="BQ10" s="132"/>
      <c r="BR10" s="132"/>
      <c r="BS10" s="132"/>
      <c r="BT10" s="132"/>
      <c r="BV10" s="132"/>
      <c r="BW10" s="132"/>
      <c r="BX10" s="132"/>
      <c r="BY10" s="132"/>
      <c r="BZ10" s="132"/>
      <c r="CA10" s="132"/>
      <c r="CB10" s="132"/>
      <c r="CC10" s="132"/>
      <c r="CD10" s="132"/>
      <c r="CE10" s="132"/>
      <c r="CF10" s="132"/>
      <c r="CG10" s="132"/>
      <c r="CH10" s="132"/>
      <c r="CM10" s="132"/>
      <c r="CN10" s="132"/>
      <c r="CO10" s="132"/>
      <c r="CP10" s="132"/>
      <c r="CQ10" s="132"/>
      <c r="CR10" s="132"/>
      <c r="CS10" s="132"/>
      <c r="CT10" s="132"/>
      <c r="CU10" s="132"/>
      <c r="CV10" s="132"/>
      <c r="CW10" s="132"/>
      <c r="CX10" s="132"/>
      <c r="CY10" s="132"/>
      <c r="CZ10" s="132"/>
      <c r="DA10" s="132"/>
      <c r="DB10" s="132"/>
      <c r="DC10" s="132"/>
      <c r="DD10" s="132"/>
      <c r="DE10" s="132"/>
      <c r="DF10" s="132"/>
      <c r="DG10" s="132"/>
      <c r="DH10" s="132"/>
      <c r="DI10" s="132"/>
      <c r="DJ10" s="132"/>
      <c r="DK10" s="132"/>
      <c r="DL10" s="132"/>
      <c r="DN10" s="132"/>
      <c r="DO10" s="132"/>
      <c r="DP10" s="132"/>
      <c r="DQ10" s="132"/>
      <c r="DR10" s="132"/>
      <c r="DS10" s="132"/>
      <c r="DT10" s="132"/>
      <c r="DU10" s="132"/>
      <c r="DV10" s="132"/>
      <c r="DW10" s="132"/>
      <c r="DX10" s="132"/>
      <c r="DY10" s="132"/>
      <c r="DZ10" s="132"/>
    </row>
    <row r="11" spans="1:130">
      <c r="B11" s="138" t="s">
        <v>1387</v>
      </c>
      <c r="C11" s="82" t="s">
        <v>900</v>
      </c>
      <c r="E11" s="7"/>
      <c r="F11" s="132">
        <f>HY!M102</f>
        <v>579.9</v>
      </c>
      <c r="G11" s="132">
        <f>HY!N102</f>
        <v>493.6</v>
      </c>
      <c r="H11" s="132">
        <f>HY!O102</f>
        <v>493</v>
      </c>
      <c r="I11" s="132">
        <f>HY!P102</f>
        <v>449.70000000000005</v>
      </c>
      <c r="J11" s="132">
        <f>HY!Q102</f>
        <v>473.4</v>
      </c>
      <c r="K11" s="132">
        <f>HY!R102</f>
        <v>448.6</v>
      </c>
      <c r="L11" s="132">
        <f>HY!S102</f>
        <v>539.6</v>
      </c>
      <c r="M11" s="132">
        <f>HY!T102</f>
        <v>530.1</v>
      </c>
      <c r="N11" s="132">
        <f>HY!U102</f>
        <v>536.9</v>
      </c>
      <c r="O11" s="132">
        <f>HY!V102</f>
        <v>535.9</v>
      </c>
      <c r="P11" s="132">
        <f>HY!W102</f>
        <v>571.16239360000009</v>
      </c>
      <c r="Q11" s="132">
        <f>HY!X102</f>
        <v>537.16765384999997</v>
      </c>
      <c r="R11" s="132">
        <f>HY!Y102</f>
        <v>576.82201753599998</v>
      </c>
      <c r="S11" s="132">
        <f>HY!Z102</f>
        <v>550.99467302399989</v>
      </c>
      <c r="T11" s="132">
        <f>HY!AA102</f>
        <v>588.25445788672005</v>
      </c>
      <c r="U11" s="132">
        <f>HY!AB102</f>
        <v>561.91056648448</v>
      </c>
      <c r="V11" s="132">
        <f>HY!AC102</f>
        <v>605.7460916233216</v>
      </c>
      <c r="W11" s="132">
        <f>HY!AD102</f>
        <v>578.61188347901452</v>
      </c>
      <c r="X11" s="132">
        <f>HY!AE102</f>
        <v>623.7624743720213</v>
      </c>
      <c r="Y11" s="132">
        <f>HY!AF102</f>
        <v>595.81423998338482</v>
      </c>
      <c r="Z11" s="132">
        <f>HY!AG102</f>
        <v>642.31934860318188</v>
      </c>
      <c r="AA11" s="132">
        <f>HY!AH102</f>
        <v>613.53266718288648</v>
      </c>
      <c r="AB11" s="132">
        <f>HY!AI102</f>
        <v>661.43292906127726</v>
      </c>
      <c r="AC11" s="132">
        <f>HY!AJ102</f>
        <v>631.78264719837307</v>
      </c>
      <c r="AD11" s="132">
        <f>HY!AK102</f>
        <v>681.11991693311575</v>
      </c>
      <c r="AE11" s="132">
        <f>HY!AL102</f>
        <v>650.58012661432417</v>
      </c>
      <c r="AG11" s="132">
        <f t="shared" si="4"/>
        <v>1073.5</v>
      </c>
      <c r="AH11" s="132">
        <f t="shared" si="4"/>
        <v>942.7</v>
      </c>
      <c r="AI11" s="132">
        <f t="shared" si="4"/>
        <v>922</v>
      </c>
      <c r="AJ11" s="132">
        <f t="shared" si="4"/>
        <v>1069.7</v>
      </c>
      <c r="AK11" s="132">
        <f t="shared" si="4"/>
        <v>1072.8</v>
      </c>
      <c r="AL11" s="132">
        <f t="shared" si="4"/>
        <v>1108.3300474500002</v>
      </c>
      <c r="AM11" s="132">
        <f t="shared" si="4"/>
        <v>1127.8166905599999</v>
      </c>
      <c r="AN11" s="132">
        <f t="shared" si="4"/>
        <v>1150.1650243712002</v>
      </c>
      <c r="AO11" s="132">
        <f t="shared" si="4"/>
        <v>1184.3579751023362</v>
      </c>
      <c r="AP11" s="132">
        <f t="shared" si="4"/>
        <v>1219.5767143554062</v>
      </c>
      <c r="AQ11" s="132">
        <f t="shared" si="4"/>
        <v>1255.8520157860685</v>
      </c>
      <c r="AR11" s="132">
        <f t="shared" si="4"/>
        <v>1293.2155762596503</v>
      </c>
      <c r="AS11" s="132">
        <f t="shared" si="4"/>
        <v>1331.7000435474399</v>
      </c>
      <c r="AU11" s="132"/>
      <c r="AV11" s="132"/>
      <c r="AW11" s="132"/>
      <c r="AX11" s="132"/>
      <c r="AY11" s="132"/>
      <c r="AZ11" s="132"/>
      <c r="BA11" s="132"/>
      <c r="BB11" s="132"/>
      <c r="BC11" s="132"/>
      <c r="BD11" s="132"/>
      <c r="BE11" s="132"/>
      <c r="BF11" s="132"/>
      <c r="BG11" s="132"/>
      <c r="BH11" s="132"/>
      <c r="BI11" s="132"/>
      <c r="BJ11" s="132"/>
      <c r="BK11" s="132"/>
      <c r="BL11" s="132"/>
      <c r="BM11" s="132"/>
      <c r="BN11" s="132"/>
      <c r="BO11" s="132"/>
      <c r="BP11" s="132"/>
      <c r="BQ11" s="132"/>
      <c r="BR11" s="132"/>
      <c r="BS11" s="132"/>
      <c r="BT11" s="132"/>
      <c r="BV11" s="132"/>
      <c r="BW11" s="132"/>
      <c r="BX11" s="132"/>
      <c r="BY11" s="132"/>
      <c r="BZ11" s="132"/>
      <c r="CA11" s="132"/>
      <c r="CB11" s="132"/>
      <c r="CC11" s="132"/>
      <c r="CD11" s="132"/>
      <c r="CE11" s="132"/>
      <c r="CF11" s="132"/>
      <c r="CG11" s="132"/>
      <c r="CH11" s="132"/>
      <c r="CM11" s="132"/>
      <c r="CN11" s="132"/>
      <c r="CO11" s="132"/>
      <c r="CP11" s="132"/>
      <c r="CQ11" s="132"/>
      <c r="CR11" s="132"/>
      <c r="CS11" s="132"/>
      <c r="CT11" s="132"/>
      <c r="CU11" s="132"/>
      <c r="CV11" s="132"/>
      <c r="CW11" s="132"/>
      <c r="CX11" s="132"/>
      <c r="CY11" s="132"/>
      <c r="CZ11" s="132"/>
      <c r="DA11" s="132"/>
      <c r="DB11" s="132"/>
      <c r="DC11" s="132"/>
      <c r="DD11" s="132"/>
      <c r="DE11" s="132"/>
      <c r="DF11" s="132"/>
      <c r="DG11" s="132"/>
      <c r="DH11" s="132"/>
      <c r="DI11" s="132"/>
      <c r="DJ11" s="132"/>
      <c r="DK11" s="132"/>
      <c r="DL11" s="132"/>
      <c r="DN11" s="132"/>
      <c r="DO11" s="132"/>
      <c r="DP11" s="132"/>
      <c r="DQ11" s="132"/>
      <c r="DR11" s="132"/>
      <c r="DS11" s="132"/>
      <c r="DT11" s="132"/>
      <c r="DU11" s="132"/>
      <c r="DV11" s="132"/>
      <c r="DW11" s="132"/>
      <c r="DX11" s="132"/>
      <c r="DY11" s="132"/>
      <c r="DZ11" s="132"/>
    </row>
    <row r="12" spans="1:130">
      <c r="B12" s="138" t="s">
        <v>1388</v>
      </c>
      <c r="C12" s="82" t="s">
        <v>900</v>
      </c>
      <c r="E12" s="7"/>
      <c r="F12" s="132">
        <f>HY!M117</f>
        <v>276.60000000000002</v>
      </c>
      <c r="G12" s="132">
        <f>HY!N117</f>
        <v>377.4</v>
      </c>
      <c r="H12" s="132">
        <f>HY!O117</f>
        <v>437.4</v>
      </c>
      <c r="I12" s="132">
        <f>HY!P117</f>
        <v>381</v>
      </c>
      <c r="J12" s="132">
        <f>HY!Q117</f>
        <v>420.6</v>
      </c>
      <c r="K12" s="132">
        <f>HY!R117</f>
        <v>401.19999999999993</v>
      </c>
      <c r="L12" s="132">
        <f>HY!S117</f>
        <v>497.1</v>
      </c>
      <c r="M12" s="132">
        <f>HY!T117</f>
        <v>468.6</v>
      </c>
      <c r="N12" s="132">
        <f>HY!U117</f>
        <v>511.1</v>
      </c>
      <c r="O12" s="132">
        <f>HY!V117</f>
        <v>470.1</v>
      </c>
      <c r="P12" s="132">
        <f>HY!W117</f>
        <v>530.82886899999994</v>
      </c>
      <c r="Q12" s="132">
        <f>HY!X117</f>
        <v>484.41940000000011</v>
      </c>
      <c r="R12" s="132">
        <f>HY!Y117</f>
        <v>523.57443596499991</v>
      </c>
      <c r="S12" s="132">
        <f>HY!Z117</f>
        <v>477.8281090000001</v>
      </c>
      <c r="T12" s="132">
        <f>HY!AA117</f>
        <v>518.01330554157937</v>
      </c>
      <c r="U12" s="132">
        <f>HY!AB117</f>
        <v>470.66068736500011</v>
      </c>
      <c r="V12" s="132">
        <f>HY!AC117</f>
        <v>523.19343859699529</v>
      </c>
      <c r="W12" s="132">
        <f>HY!AD117</f>
        <v>475.36729423865017</v>
      </c>
      <c r="X12" s="132">
        <f>HY!AE117</f>
        <v>517.96150421102527</v>
      </c>
      <c r="Y12" s="132">
        <f>HY!AF117</f>
        <v>470.61362129626355</v>
      </c>
      <c r="Z12" s="132">
        <f>HY!AG117</f>
        <v>512.78188916891509</v>
      </c>
      <c r="AA12" s="132">
        <f>HY!AH117</f>
        <v>465.90748508330091</v>
      </c>
      <c r="AB12" s="132">
        <f>HY!AI117</f>
        <v>507.65407027722591</v>
      </c>
      <c r="AC12" s="132">
        <f>HY!AJ117</f>
        <v>461.2484102324679</v>
      </c>
      <c r="AD12" s="132">
        <f>HY!AK117</f>
        <v>502.57752957445359</v>
      </c>
      <c r="AE12" s="132">
        <f>HY!AL117</f>
        <v>456.63592613014328</v>
      </c>
      <c r="AG12" s="132">
        <f t="shared" si="4"/>
        <v>654</v>
      </c>
      <c r="AH12" s="132">
        <f t="shared" si="4"/>
        <v>818.4</v>
      </c>
      <c r="AI12" s="132">
        <f t="shared" si="4"/>
        <v>821.8</v>
      </c>
      <c r="AJ12" s="132">
        <f t="shared" si="4"/>
        <v>965.7</v>
      </c>
      <c r="AK12" s="132">
        <f t="shared" si="4"/>
        <v>981.2</v>
      </c>
      <c r="AL12" s="132">
        <f t="shared" si="4"/>
        <v>1015.2482690000001</v>
      </c>
      <c r="AM12" s="132">
        <f t="shared" si="4"/>
        <v>1001.4025449650001</v>
      </c>
      <c r="AN12" s="132">
        <f t="shared" si="4"/>
        <v>988.67399290657954</v>
      </c>
      <c r="AO12" s="132">
        <f t="shared" si="4"/>
        <v>998.56073283564547</v>
      </c>
      <c r="AP12" s="132">
        <f t="shared" si="4"/>
        <v>988.57512550728882</v>
      </c>
      <c r="AQ12" s="132">
        <f t="shared" si="4"/>
        <v>978.689374252216</v>
      </c>
      <c r="AR12" s="132">
        <f t="shared" si="4"/>
        <v>968.90248050969376</v>
      </c>
      <c r="AS12" s="132">
        <f t="shared" si="4"/>
        <v>959.21345570459687</v>
      </c>
      <c r="AU12" s="132"/>
      <c r="AV12" s="132"/>
      <c r="AW12" s="132"/>
      <c r="AX12" s="132"/>
      <c r="AY12" s="132"/>
      <c r="AZ12" s="132"/>
      <c r="BA12" s="132"/>
      <c r="BB12" s="132"/>
      <c r="BC12" s="132"/>
      <c r="BD12" s="132"/>
      <c r="BE12" s="132"/>
      <c r="BF12" s="132"/>
      <c r="BG12" s="132"/>
      <c r="BH12" s="132"/>
      <c r="BI12" s="132"/>
      <c r="BJ12" s="132"/>
      <c r="BK12" s="132"/>
      <c r="BL12" s="132"/>
      <c r="BM12" s="132"/>
      <c r="BN12" s="132"/>
      <c r="BO12" s="132"/>
      <c r="BP12" s="132"/>
      <c r="BQ12" s="132"/>
      <c r="BR12" s="132"/>
      <c r="BS12" s="132"/>
      <c r="BT12" s="132"/>
      <c r="BV12" s="132"/>
      <c r="BW12" s="132"/>
      <c r="BX12" s="132"/>
      <c r="BY12" s="132"/>
      <c r="BZ12" s="132"/>
      <c r="CA12" s="132"/>
      <c r="CB12" s="132"/>
      <c r="CC12" s="132"/>
      <c r="CD12" s="132"/>
      <c r="CE12" s="132"/>
      <c r="CF12" s="132"/>
      <c r="CG12" s="132"/>
      <c r="CH12" s="132"/>
      <c r="CM12" s="132"/>
      <c r="CN12" s="132"/>
      <c r="CO12" s="132"/>
      <c r="CP12" s="132"/>
      <c r="CQ12" s="132"/>
      <c r="CR12" s="132"/>
      <c r="CS12" s="132"/>
      <c r="CT12" s="132"/>
      <c r="CU12" s="132"/>
      <c r="CV12" s="132"/>
      <c r="CW12" s="132"/>
      <c r="CX12" s="132"/>
      <c r="CY12" s="132"/>
      <c r="CZ12" s="132"/>
      <c r="DA12" s="132"/>
      <c r="DB12" s="132"/>
      <c r="DC12" s="132"/>
      <c r="DD12" s="132"/>
      <c r="DE12" s="132"/>
      <c r="DF12" s="132"/>
      <c r="DG12" s="132"/>
      <c r="DH12" s="132"/>
      <c r="DI12" s="132"/>
      <c r="DJ12" s="132"/>
      <c r="DK12" s="132"/>
      <c r="DL12" s="132"/>
      <c r="DN12" s="132"/>
      <c r="DO12" s="132"/>
      <c r="DP12" s="132"/>
      <c r="DQ12" s="132"/>
      <c r="DR12" s="132"/>
      <c r="DS12" s="132"/>
      <c r="DT12" s="132"/>
      <c r="DU12" s="132"/>
      <c r="DV12" s="132"/>
      <c r="DW12" s="132"/>
      <c r="DX12" s="132"/>
      <c r="DY12" s="132"/>
      <c r="DZ12" s="132"/>
    </row>
    <row r="13" spans="1:130">
      <c r="B13" s="138" t="s">
        <v>1477</v>
      </c>
      <c r="C13" s="82" t="s">
        <v>900</v>
      </c>
      <c r="E13" s="7"/>
      <c r="F13" s="132" t="e">
        <f>HY!#REF!</f>
        <v>#REF!</v>
      </c>
      <c r="G13" s="132" t="e">
        <f>HY!#REF!</f>
        <v>#REF!</v>
      </c>
      <c r="H13" s="132" t="e">
        <f>HY!#REF!</f>
        <v>#REF!</v>
      </c>
      <c r="I13" s="132" t="e">
        <f>HY!#REF!</f>
        <v>#REF!</v>
      </c>
      <c r="J13" s="132" t="e">
        <f>HY!#REF!</f>
        <v>#REF!</v>
      </c>
      <c r="K13" s="132" t="e">
        <f>HY!#REF!</f>
        <v>#REF!</v>
      </c>
      <c r="L13" s="132" t="e">
        <f>HY!#REF!</f>
        <v>#REF!</v>
      </c>
      <c r="M13" s="132" t="e">
        <f>HY!#REF!</f>
        <v>#REF!</v>
      </c>
      <c r="N13" s="132" t="e">
        <f>HY!#REF!</f>
        <v>#REF!</v>
      </c>
      <c r="O13" s="132" t="e">
        <f>HY!#REF!</f>
        <v>#REF!</v>
      </c>
      <c r="P13" s="132" t="e">
        <f>HY!#REF!</f>
        <v>#REF!</v>
      </c>
      <c r="Q13" s="132" t="e">
        <f>HY!#REF!</f>
        <v>#REF!</v>
      </c>
      <c r="R13" s="132" t="e">
        <f>HY!#REF!</f>
        <v>#REF!</v>
      </c>
      <c r="S13" s="132" t="e">
        <f>HY!#REF!</f>
        <v>#REF!</v>
      </c>
      <c r="T13" s="132" t="e">
        <f>HY!#REF!</f>
        <v>#REF!</v>
      </c>
      <c r="U13" s="132" t="e">
        <f>HY!#REF!</f>
        <v>#REF!</v>
      </c>
      <c r="V13" s="132" t="e">
        <f>HY!#REF!</f>
        <v>#REF!</v>
      </c>
      <c r="W13" s="132" t="e">
        <f>HY!#REF!</f>
        <v>#REF!</v>
      </c>
      <c r="X13" s="132" t="e">
        <f>HY!#REF!</f>
        <v>#REF!</v>
      </c>
      <c r="Y13" s="132" t="e">
        <f>HY!#REF!</f>
        <v>#REF!</v>
      </c>
      <c r="Z13" s="132" t="e">
        <f>HY!#REF!</f>
        <v>#REF!</v>
      </c>
      <c r="AA13" s="132" t="e">
        <f>HY!#REF!</f>
        <v>#REF!</v>
      </c>
      <c r="AB13" s="132" t="e">
        <f>HY!#REF!</f>
        <v>#REF!</v>
      </c>
      <c r="AC13" s="132" t="e">
        <f>HY!#REF!</f>
        <v>#REF!</v>
      </c>
      <c r="AD13" s="132" t="e">
        <f>HY!#REF!</f>
        <v>#REF!</v>
      </c>
      <c r="AE13" s="132" t="e">
        <f>HY!#REF!</f>
        <v>#REF!</v>
      </c>
      <c r="AG13" s="132" t="e">
        <f>SUMIFS($F13:$AE13,$F$3:$AE$3,AG$5)</f>
        <v>#REF!</v>
      </c>
      <c r="AH13" s="132" t="e">
        <f t="shared" ref="AH13:AS13" si="5">SUMIFS($F13:$AE13,$F$3:$AE$3,AH$5)</f>
        <v>#REF!</v>
      </c>
      <c r="AI13" s="132" t="e">
        <f t="shared" si="5"/>
        <v>#REF!</v>
      </c>
      <c r="AJ13" s="132" t="e">
        <f t="shared" si="5"/>
        <v>#REF!</v>
      </c>
      <c r="AK13" s="132" t="e">
        <f t="shared" si="5"/>
        <v>#REF!</v>
      </c>
      <c r="AL13" s="132" t="e">
        <f t="shared" si="5"/>
        <v>#REF!</v>
      </c>
      <c r="AM13" s="132" t="e">
        <f t="shared" si="5"/>
        <v>#REF!</v>
      </c>
      <c r="AN13" s="132" t="e">
        <f t="shared" si="5"/>
        <v>#REF!</v>
      </c>
      <c r="AO13" s="132" t="e">
        <f t="shared" si="5"/>
        <v>#REF!</v>
      </c>
      <c r="AP13" s="132" t="e">
        <f t="shared" si="5"/>
        <v>#REF!</v>
      </c>
      <c r="AQ13" s="132" t="e">
        <f t="shared" si="5"/>
        <v>#REF!</v>
      </c>
      <c r="AR13" s="132" t="e">
        <f t="shared" si="5"/>
        <v>#REF!</v>
      </c>
      <c r="AS13" s="132" t="e">
        <f t="shared" si="5"/>
        <v>#REF!</v>
      </c>
      <c r="AU13" s="132"/>
      <c r="AV13" s="132"/>
      <c r="AW13" s="132"/>
      <c r="AX13" s="132"/>
      <c r="AY13" s="132"/>
      <c r="AZ13" s="132"/>
      <c r="BA13" s="132"/>
      <c r="BB13" s="132"/>
      <c r="BC13" s="132"/>
      <c r="BD13" s="132"/>
      <c r="BE13" s="132"/>
      <c r="BF13" s="132"/>
      <c r="BG13" s="132"/>
      <c r="BH13" s="132"/>
      <c r="BI13" s="132"/>
      <c r="BJ13" s="132"/>
      <c r="BK13" s="132"/>
      <c r="BL13" s="132"/>
      <c r="BM13" s="132"/>
      <c r="BN13" s="132"/>
      <c r="BO13" s="132"/>
      <c r="BP13" s="132"/>
      <c r="BQ13" s="132"/>
      <c r="BR13" s="132"/>
      <c r="BS13" s="132"/>
      <c r="BT13" s="132"/>
      <c r="BV13" s="132"/>
      <c r="BW13" s="132"/>
      <c r="BX13" s="132"/>
      <c r="BY13" s="132"/>
      <c r="BZ13" s="132"/>
      <c r="CA13" s="132"/>
      <c r="CB13" s="132"/>
      <c r="CC13" s="132"/>
      <c r="CD13" s="132"/>
      <c r="CE13" s="132"/>
      <c r="CF13" s="132"/>
      <c r="CG13" s="132"/>
      <c r="CH13" s="132"/>
      <c r="CM13" s="132"/>
      <c r="CN13" s="132"/>
      <c r="CO13" s="132"/>
      <c r="CP13" s="132"/>
      <c r="CQ13" s="132"/>
      <c r="CR13" s="132"/>
      <c r="CS13" s="132"/>
      <c r="CT13" s="132"/>
      <c r="CU13" s="132"/>
      <c r="CV13" s="132"/>
      <c r="CW13" s="132"/>
      <c r="CX13" s="132"/>
      <c r="CY13" s="132"/>
      <c r="CZ13" s="132"/>
      <c r="DA13" s="132"/>
      <c r="DB13" s="132"/>
      <c r="DC13" s="132"/>
      <c r="DD13" s="132"/>
      <c r="DE13" s="132"/>
      <c r="DF13" s="132"/>
      <c r="DG13" s="132"/>
      <c r="DH13" s="132"/>
      <c r="DI13" s="132"/>
      <c r="DJ13" s="132"/>
      <c r="DK13" s="132"/>
      <c r="DL13" s="132"/>
      <c r="DN13" s="132"/>
      <c r="DO13" s="132"/>
      <c r="DP13" s="132"/>
      <c r="DQ13" s="132"/>
      <c r="DR13" s="132"/>
      <c r="DS13" s="132"/>
      <c r="DT13" s="132"/>
      <c r="DU13" s="132"/>
      <c r="DV13" s="132"/>
      <c r="DW13" s="132"/>
      <c r="DX13" s="132"/>
      <c r="DY13" s="132"/>
      <c r="DZ13" s="132"/>
    </row>
    <row r="14" spans="1:130">
      <c r="B14" s="138"/>
      <c r="C14" s="82"/>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G14" s="7"/>
      <c r="AH14" s="7"/>
      <c r="AI14" s="7"/>
      <c r="AJ14" s="7"/>
      <c r="AK14" s="7"/>
      <c r="AL14" s="7"/>
      <c r="AM14" s="7"/>
      <c r="AN14" s="7"/>
      <c r="AO14" s="7"/>
      <c r="AP14" s="7"/>
      <c r="AQ14" s="7"/>
      <c r="AR14" s="7"/>
      <c r="AS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V14" s="7"/>
      <c r="BW14" s="7"/>
      <c r="BX14" s="7"/>
      <c r="BY14" s="7"/>
      <c r="BZ14" s="7"/>
      <c r="CA14" s="7"/>
      <c r="CB14" s="7"/>
      <c r="CC14" s="7"/>
      <c r="CD14" s="7"/>
      <c r="CE14" s="7"/>
      <c r="CF14" s="7"/>
      <c r="CG14" s="7"/>
      <c r="CH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N14" s="7"/>
      <c r="DO14" s="7"/>
      <c r="DP14" s="7"/>
      <c r="DQ14" s="7"/>
      <c r="DR14" s="7"/>
      <c r="DS14" s="7"/>
      <c r="DT14" s="7"/>
      <c r="DU14" s="7"/>
      <c r="DV14" s="7"/>
      <c r="DW14" s="7"/>
      <c r="DX14" s="7"/>
      <c r="DY14" s="7"/>
      <c r="DZ14" s="7"/>
    </row>
    <row r="15" spans="1:130">
      <c r="B15" s="732" t="s">
        <v>1488</v>
      </c>
      <c r="C15" s="280"/>
      <c r="D15" s="280"/>
      <c r="E15" s="280"/>
      <c r="F15" s="280"/>
      <c r="G15" s="280"/>
      <c r="H15" s="280"/>
      <c r="I15" s="280"/>
      <c r="J15" s="280"/>
      <c r="K15" s="280"/>
      <c r="L15" s="280"/>
      <c r="M15" s="280"/>
      <c r="N15" s="280"/>
      <c r="O15" s="280"/>
      <c r="P15" s="280"/>
      <c r="Q15" s="280"/>
      <c r="R15" s="280"/>
      <c r="S15" s="280"/>
      <c r="T15" s="280"/>
      <c r="U15" s="280"/>
      <c r="V15" s="280"/>
      <c r="W15" s="280"/>
      <c r="X15" s="280"/>
      <c r="Y15" s="280"/>
      <c r="Z15" s="280"/>
      <c r="AA15" s="280"/>
      <c r="AB15" s="280"/>
      <c r="AC15" s="280"/>
      <c r="AD15" s="280"/>
      <c r="AE15" s="280"/>
      <c r="AF15" s="280"/>
      <c r="AG15" s="280"/>
      <c r="AH15" s="280"/>
      <c r="AI15" s="280"/>
      <c r="AJ15" s="280"/>
      <c r="AK15" s="280"/>
      <c r="AL15" s="280"/>
      <c r="AM15" s="280"/>
      <c r="AN15" s="280"/>
      <c r="AO15" s="280"/>
      <c r="AP15" s="280"/>
      <c r="AQ15" s="280"/>
      <c r="AR15" s="280"/>
      <c r="AS15" s="280"/>
    </row>
    <row r="16" spans="1:130">
      <c r="B16" s="138" t="str">
        <f>B9</f>
        <v>Digital Turnover</v>
      </c>
      <c r="C16" s="82" t="s">
        <v>900</v>
      </c>
      <c r="E16" s="7"/>
      <c r="F16" s="132"/>
      <c r="G16" s="132"/>
      <c r="H16" s="132"/>
      <c r="I16" s="132"/>
      <c r="J16" s="132"/>
      <c r="K16" s="132"/>
      <c r="L16" s="132"/>
      <c r="M16" s="132"/>
      <c r="N16" s="132"/>
      <c r="O16" s="132"/>
      <c r="P16" s="132"/>
      <c r="Q16" s="132"/>
      <c r="R16" s="132"/>
      <c r="S16" s="132"/>
      <c r="T16" s="132"/>
      <c r="U16" s="132"/>
      <c r="V16" s="132"/>
      <c r="W16" s="132"/>
      <c r="X16" s="132"/>
      <c r="Y16" s="132"/>
      <c r="Z16" s="132"/>
      <c r="AA16" s="132"/>
      <c r="AB16" s="132"/>
      <c r="AC16" s="132"/>
      <c r="AD16" s="132"/>
      <c r="AE16" s="132"/>
      <c r="AG16" s="132"/>
      <c r="AH16" s="132"/>
      <c r="AI16" s="132"/>
      <c r="AJ16" s="132"/>
      <c r="AK16" s="132"/>
      <c r="AL16" s="132"/>
      <c r="AM16" s="132"/>
      <c r="AN16" s="132"/>
      <c r="AO16" s="132"/>
      <c r="AP16" s="132"/>
      <c r="AQ16" s="132"/>
      <c r="AR16" s="132"/>
      <c r="AS16" s="132"/>
      <c r="AU16" s="256"/>
      <c r="AV16" s="256"/>
      <c r="AW16" s="256"/>
      <c r="AX16" s="256"/>
      <c r="AY16" s="256"/>
      <c r="AZ16" s="256"/>
      <c r="BA16" s="256"/>
      <c r="BB16" s="256"/>
      <c r="BC16" s="256"/>
      <c r="BD16" s="256"/>
      <c r="BE16" s="256"/>
      <c r="BF16" s="256"/>
      <c r="BG16" s="256"/>
      <c r="BH16" s="256"/>
      <c r="BI16" s="256"/>
      <c r="BJ16" s="256"/>
      <c r="BK16" s="256"/>
      <c r="BL16" s="256"/>
      <c r="BM16" s="256"/>
      <c r="BN16" s="256"/>
      <c r="BO16" s="256"/>
      <c r="BP16" s="256"/>
      <c r="BQ16" s="256"/>
      <c r="BR16" s="256"/>
      <c r="BS16" s="256"/>
      <c r="BT16" s="256"/>
      <c r="BV16" s="132"/>
      <c r="BW16" s="132"/>
      <c r="BX16" s="132"/>
      <c r="BY16" s="132"/>
      <c r="BZ16" s="132"/>
      <c r="CA16" s="132"/>
      <c r="CB16" s="132"/>
      <c r="CC16" s="132"/>
      <c r="CD16" s="132"/>
      <c r="CE16" s="132"/>
      <c r="CF16" s="132"/>
      <c r="CG16" s="132"/>
      <c r="CH16" s="132"/>
    </row>
    <row r="17" spans="1:130">
      <c r="B17" s="138" t="str">
        <f>B10</f>
        <v>Retail Turnover</v>
      </c>
      <c r="C17" s="82" t="s">
        <v>900</v>
      </c>
      <c r="E17" s="24"/>
      <c r="F17" s="132"/>
      <c r="G17" s="132"/>
      <c r="H17" s="132"/>
      <c r="I17" s="132"/>
      <c r="J17" s="132"/>
      <c r="K17" s="132"/>
      <c r="L17" s="132"/>
      <c r="M17" s="132"/>
      <c r="N17" s="132"/>
      <c r="O17" s="132"/>
      <c r="P17" s="132"/>
      <c r="Q17" s="132"/>
      <c r="R17" s="132"/>
      <c r="S17" s="132"/>
      <c r="T17" s="132"/>
      <c r="U17" s="132"/>
      <c r="V17" s="132"/>
      <c r="W17" s="132"/>
      <c r="X17" s="132"/>
      <c r="Y17" s="132"/>
      <c r="Z17" s="132"/>
      <c r="AA17" s="132"/>
      <c r="AB17" s="132"/>
      <c r="AC17" s="132"/>
      <c r="AD17" s="132"/>
      <c r="AE17" s="132"/>
      <c r="AG17" s="132"/>
      <c r="AH17" s="132"/>
      <c r="AI17" s="132"/>
      <c r="AJ17" s="132"/>
      <c r="AK17" s="132"/>
      <c r="AL17" s="132"/>
      <c r="AM17" s="132"/>
      <c r="AN17" s="132"/>
      <c r="AO17" s="132"/>
      <c r="AP17" s="132"/>
      <c r="AQ17" s="132"/>
      <c r="AR17" s="132"/>
      <c r="AS17" s="132"/>
      <c r="AU17" s="256"/>
      <c r="AV17" s="256"/>
      <c r="AW17" s="256"/>
      <c r="AX17" s="256"/>
      <c r="AY17" s="256"/>
      <c r="AZ17" s="256"/>
      <c r="BA17" s="256"/>
      <c r="BB17" s="256"/>
      <c r="BC17" s="256"/>
      <c r="BD17" s="256"/>
      <c r="BE17" s="256"/>
      <c r="BF17" s="256"/>
      <c r="BG17" s="256"/>
      <c r="BH17" s="256"/>
      <c r="BI17" s="256"/>
      <c r="BJ17" s="256"/>
      <c r="BK17" s="256"/>
      <c r="BL17" s="256"/>
      <c r="BM17" s="256"/>
      <c r="BN17" s="256"/>
      <c r="BO17" s="256"/>
      <c r="BP17" s="256"/>
      <c r="BQ17" s="256"/>
      <c r="BR17" s="256"/>
      <c r="BS17" s="256"/>
      <c r="BT17" s="256"/>
      <c r="BV17" s="132"/>
      <c r="BW17" s="132"/>
      <c r="BX17" s="132"/>
      <c r="BY17" s="132"/>
      <c r="BZ17" s="132"/>
      <c r="CA17" s="132"/>
      <c r="CB17" s="132"/>
      <c r="CC17" s="132"/>
      <c r="CD17" s="132"/>
      <c r="CE17" s="132"/>
      <c r="CF17" s="132"/>
      <c r="CG17" s="132"/>
      <c r="CH17" s="132"/>
    </row>
    <row r="18" spans="1:130">
      <c r="B18" s="138" t="str">
        <f>B11</f>
        <v>Digital Revenue</v>
      </c>
      <c r="C18" s="82" t="s">
        <v>900</v>
      </c>
      <c r="E18" s="7"/>
      <c r="F18" s="132"/>
      <c r="G18" s="132"/>
      <c r="H18" s="132"/>
      <c r="I18" s="132"/>
      <c r="J18" s="132"/>
      <c r="K18" s="132"/>
      <c r="L18" s="132"/>
      <c r="M18" s="132"/>
      <c r="N18" s="132"/>
      <c r="O18" s="132"/>
      <c r="P18" s="132"/>
      <c r="Q18" s="132"/>
      <c r="R18" s="132"/>
      <c r="S18" s="132"/>
      <c r="T18" s="132"/>
      <c r="U18" s="132"/>
      <c r="V18" s="132"/>
      <c r="W18" s="132"/>
      <c r="X18" s="132"/>
      <c r="Y18" s="132"/>
      <c r="Z18" s="132"/>
      <c r="AA18" s="132"/>
      <c r="AB18" s="132"/>
      <c r="AC18" s="132"/>
      <c r="AD18" s="132"/>
      <c r="AE18" s="132"/>
      <c r="AG18" s="132"/>
      <c r="AH18" s="132"/>
      <c r="AI18" s="132"/>
      <c r="AJ18" s="132"/>
      <c r="AK18" s="132"/>
      <c r="AL18" s="132"/>
      <c r="AM18" s="132"/>
      <c r="AN18" s="132"/>
      <c r="AO18" s="132"/>
      <c r="AP18" s="132"/>
      <c r="AQ18" s="132"/>
      <c r="AR18" s="132"/>
      <c r="AS18" s="132"/>
      <c r="AU18" s="256"/>
      <c r="AV18" s="256"/>
      <c r="AW18" s="256"/>
      <c r="AX18" s="256"/>
      <c r="AY18" s="256"/>
      <c r="AZ18" s="256"/>
      <c r="BA18" s="256"/>
      <c r="BB18" s="256"/>
      <c r="BC18" s="256"/>
      <c r="BD18" s="256"/>
      <c r="BE18" s="256"/>
      <c r="BF18" s="256"/>
      <c r="BG18" s="256"/>
      <c r="BH18" s="256"/>
      <c r="BI18" s="256"/>
      <c r="BJ18" s="256"/>
      <c r="BK18" s="256"/>
      <c r="BL18" s="256"/>
      <c r="BM18" s="256"/>
      <c r="BN18" s="256"/>
      <c r="BO18" s="256"/>
      <c r="BP18" s="256"/>
      <c r="BQ18" s="256"/>
      <c r="BR18" s="256"/>
      <c r="BS18" s="256"/>
      <c r="BT18" s="256"/>
      <c r="BV18" s="132"/>
      <c r="BW18" s="132"/>
      <c r="BX18" s="132"/>
      <c r="BY18" s="132"/>
      <c r="BZ18" s="132"/>
      <c r="CA18" s="132"/>
      <c r="CB18" s="132"/>
      <c r="CC18" s="132"/>
      <c r="CD18" s="132"/>
      <c r="CE18" s="132"/>
      <c r="CF18" s="132"/>
      <c r="CG18" s="132"/>
      <c r="CH18" s="132"/>
    </row>
    <row r="19" spans="1:130">
      <c r="B19" s="138" t="str">
        <f>B12</f>
        <v>Retail Revenue</v>
      </c>
      <c r="C19" s="82" t="s">
        <v>900</v>
      </c>
      <c r="E19" s="7"/>
      <c r="F19" s="132"/>
      <c r="G19" s="132"/>
      <c r="H19" s="132"/>
      <c r="I19" s="132"/>
      <c r="J19" s="132"/>
      <c r="K19" s="132"/>
      <c r="L19" s="132"/>
      <c r="M19" s="132"/>
      <c r="N19" s="132"/>
      <c r="O19" s="132"/>
      <c r="P19" s="132"/>
      <c r="Q19" s="132"/>
      <c r="R19" s="132"/>
      <c r="S19" s="132"/>
      <c r="T19" s="132"/>
      <c r="U19" s="132"/>
      <c r="V19" s="132"/>
      <c r="W19" s="132"/>
      <c r="X19" s="132"/>
      <c r="Y19" s="132"/>
      <c r="Z19" s="132"/>
      <c r="AA19" s="132"/>
      <c r="AB19" s="132"/>
      <c r="AC19" s="132"/>
      <c r="AD19" s="132"/>
      <c r="AE19" s="132"/>
      <c r="AG19" s="132"/>
      <c r="AH19" s="132"/>
      <c r="AI19" s="132"/>
      <c r="AJ19" s="132"/>
      <c r="AK19" s="132"/>
      <c r="AL19" s="132"/>
      <c r="AM19" s="132"/>
      <c r="AN19" s="132"/>
      <c r="AO19" s="132"/>
      <c r="AP19" s="132"/>
      <c r="AQ19" s="132"/>
      <c r="AR19" s="132"/>
      <c r="AS19" s="132"/>
      <c r="AU19" s="256"/>
      <c r="AV19" s="256"/>
      <c r="AW19" s="256"/>
      <c r="AX19" s="256"/>
      <c r="AY19" s="256"/>
      <c r="AZ19" s="256"/>
      <c r="BA19" s="256"/>
      <c r="BB19" s="256"/>
      <c r="BC19" s="256"/>
      <c r="BD19" s="256"/>
      <c r="BE19" s="256"/>
      <c r="BF19" s="256"/>
      <c r="BG19" s="256"/>
      <c r="BH19" s="256"/>
      <c r="BI19" s="256"/>
      <c r="BJ19" s="256"/>
      <c r="BK19" s="256"/>
      <c r="BL19" s="256"/>
      <c r="BM19" s="256"/>
      <c r="BN19" s="256"/>
      <c r="BO19" s="256"/>
      <c r="BP19" s="256"/>
      <c r="BQ19" s="256"/>
      <c r="BR19" s="256"/>
      <c r="BS19" s="256"/>
      <c r="BT19" s="256"/>
      <c r="BV19" s="132"/>
      <c r="BW19" s="132"/>
      <c r="BX19" s="132"/>
      <c r="BY19" s="132"/>
      <c r="BZ19" s="132"/>
      <c r="CA19" s="132"/>
      <c r="CB19" s="132"/>
      <c r="CC19" s="132"/>
      <c r="CD19" s="132"/>
      <c r="CE19" s="132"/>
      <c r="CF19" s="132"/>
      <c r="CG19" s="132"/>
      <c r="CH19" s="132"/>
    </row>
    <row r="20" spans="1:130">
      <c r="B20" s="138" t="str">
        <f>B13</f>
        <v>Media &amp; International Revenue</v>
      </c>
      <c r="C20" s="82" t="s">
        <v>900</v>
      </c>
      <c r="E20" s="7"/>
      <c r="F20" s="132">
        <f t="shared" ref="F20:AE20" si="6">AU20</f>
        <v>216.9</v>
      </c>
      <c r="G20" s="132">
        <f t="shared" si="6"/>
        <v>237.5</v>
      </c>
      <c r="H20" s="132">
        <f t="shared" si="6"/>
        <v>114.4</v>
      </c>
      <c r="I20" s="132">
        <f t="shared" si="6"/>
        <v>106</v>
      </c>
      <c r="J20" s="132">
        <f t="shared" si="6"/>
        <v>189.1</v>
      </c>
      <c r="K20" s="132">
        <f t="shared" si="6"/>
        <v>96.9</v>
      </c>
      <c r="L20" s="132">
        <f t="shared" si="6"/>
        <v>192.1</v>
      </c>
      <c r="M20" s="132">
        <f t="shared" si="6"/>
        <v>158.59110705013859</v>
      </c>
      <c r="N20" s="132">
        <f t="shared" si="6"/>
        <v>160.00606038453239</v>
      </c>
      <c r="O20" s="132">
        <f t="shared" si="6"/>
        <v>157.87272578240967</v>
      </c>
      <c r="P20" s="132">
        <f t="shared" si="6"/>
        <v>159.24346152257866</v>
      </c>
      <c r="Q20" s="132">
        <f t="shared" si="6"/>
        <v>157.17973766112323</v>
      </c>
      <c r="R20" s="132">
        <f t="shared" si="6"/>
        <v>158.573847747944</v>
      </c>
      <c r="S20" s="132">
        <f t="shared" si="6"/>
        <v>156.55194275891466</v>
      </c>
      <c r="T20" s="132">
        <f t="shared" si="6"/>
        <v>157.97128143436467</v>
      </c>
      <c r="U20" s="132">
        <f t="shared" si="6"/>
        <v>155.99064640582932</v>
      </c>
      <c r="V20" s="132">
        <f t="shared" si="6"/>
        <v>157.43716633647432</v>
      </c>
      <c r="W20" s="132">
        <f t="shared" si="6"/>
        <v>155.49729753853401</v>
      </c>
      <c r="X20" s="132">
        <f t="shared" si="6"/>
        <v>150.37442472350449</v>
      </c>
      <c r="Y20" s="132">
        <f t="shared" si="6"/>
        <v>149.38535381487199</v>
      </c>
      <c r="Z20" s="132">
        <f t="shared" si="6"/>
        <v>151.4875434013355</v>
      </c>
      <c r="AA20" s="132">
        <f t="shared" si="6"/>
        <v>150.50911069311849</v>
      </c>
      <c r="AB20" s="132">
        <f t="shared" si="6"/>
        <v>152.64794215825049</v>
      </c>
      <c r="AC20" s="132">
        <f t="shared" si="6"/>
        <v>151.67610693883751</v>
      </c>
      <c r="AD20" s="132">
        <f t="shared" si="6"/>
        <v>153.85308313912401</v>
      </c>
      <c r="AE20" s="132">
        <f t="shared" si="6"/>
        <v>152.887758936213</v>
      </c>
      <c r="AF20" s="132"/>
      <c r="AG20" s="132">
        <f t="shared" ref="AG20:AS20" si="7">BV20</f>
        <v>454.4</v>
      </c>
      <c r="AH20" s="132">
        <f t="shared" si="7"/>
        <v>220.4</v>
      </c>
      <c r="AI20" s="132">
        <f t="shared" si="7"/>
        <v>206.7</v>
      </c>
      <c r="AJ20" s="132">
        <f t="shared" si="7"/>
        <v>284.83458028760401</v>
      </c>
      <c r="AK20" s="132">
        <f t="shared" si="7"/>
        <v>279.93158962520653</v>
      </c>
      <c r="AL20" s="132">
        <f t="shared" si="7"/>
        <v>278.83989938777648</v>
      </c>
      <c r="AM20" s="132">
        <f t="shared" si="7"/>
        <v>278.27866788014398</v>
      </c>
      <c r="AN20" s="132">
        <f t="shared" si="7"/>
        <v>278.24445738014526</v>
      </c>
      <c r="AO20" s="132">
        <f t="shared" si="7"/>
        <v>278.32931963625623</v>
      </c>
      <c r="AP20" s="132">
        <f t="shared" si="7"/>
        <v>259.17457391171769</v>
      </c>
      <c r="AQ20" s="132">
        <f t="shared" si="7"/>
        <v>261.85251871349197</v>
      </c>
      <c r="AR20" s="132">
        <f t="shared" si="7"/>
        <v>264.61454370159134</v>
      </c>
      <c r="AS20" s="132">
        <f t="shared" si="7"/>
        <v>267.46037590649502</v>
      </c>
      <c r="AU20" s="256">
        <v>216.9</v>
      </c>
      <c r="AV20" s="256">
        <v>237.5</v>
      </c>
      <c r="AW20" s="256">
        <v>114.4</v>
      </c>
      <c r="AX20" s="256">
        <v>106</v>
      </c>
      <c r="AY20" s="256">
        <v>189.1</v>
      </c>
      <c r="AZ20" s="256">
        <v>96.9</v>
      </c>
      <c r="BA20" s="256">
        <v>192.1</v>
      </c>
      <c r="BB20" s="256">
        <v>158.59110705013859</v>
      </c>
      <c r="BC20" s="256">
        <v>160.00606038453239</v>
      </c>
      <c r="BD20" s="256">
        <v>157.87272578240967</v>
      </c>
      <c r="BE20" s="256">
        <v>159.24346152257866</v>
      </c>
      <c r="BF20" s="256">
        <v>157.17973766112323</v>
      </c>
      <c r="BG20" s="256">
        <v>158.573847747944</v>
      </c>
      <c r="BH20" s="256">
        <v>156.55194275891466</v>
      </c>
      <c r="BI20" s="256">
        <v>157.97128143436467</v>
      </c>
      <c r="BJ20" s="256">
        <v>155.99064640582932</v>
      </c>
      <c r="BK20" s="256">
        <v>157.43716633647432</v>
      </c>
      <c r="BL20" s="256">
        <v>155.49729753853401</v>
      </c>
      <c r="BM20" s="256">
        <v>150.37442472350449</v>
      </c>
      <c r="BN20" s="256">
        <v>149.38535381487199</v>
      </c>
      <c r="BO20" s="256">
        <v>151.4875434013355</v>
      </c>
      <c r="BP20" s="256">
        <v>150.50911069311849</v>
      </c>
      <c r="BQ20" s="256">
        <v>152.64794215825049</v>
      </c>
      <c r="BR20" s="256">
        <v>151.67610693883751</v>
      </c>
      <c r="BS20" s="256">
        <v>153.85308313912401</v>
      </c>
      <c r="BT20" s="256">
        <v>152.887758936213</v>
      </c>
      <c r="BV20" s="256">
        <v>454.4</v>
      </c>
      <c r="BW20" s="256">
        <v>220.4</v>
      </c>
      <c r="BX20" s="256">
        <v>206.7</v>
      </c>
      <c r="BY20" s="256">
        <v>284.83458028760401</v>
      </c>
      <c r="BZ20" s="256">
        <v>279.93158962520653</v>
      </c>
      <c r="CA20" s="256">
        <v>278.83989938777648</v>
      </c>
      <c r="CB20" s="256">
        <v>278.27866788014398</v>
      </c>
      <c r="CC20" s="256">
        <v>278.24445738014526</v>
      </c>
      <c r="CD20" s="256">
        <v>278.32931963625623</v>
      </c>
      <c r="CE20" s="256">
        <v>259.17457391171769</v>
      </c>
      <c r="CF20" s="256">
        <v>261.85251871349197</v>
      </c>
      <c r="CG20" s="256">
        <v>264.61454370159134</v>
      </c>
      <c r="CH20" s="256">
        <v>267.46037590649502</v>
      </c>
      <c r="CJ20" s="751" t="s">
        <v>1352</v>
      </c>
      <c r="CK20" s="751" t="s">
        <v>1378</v>
      </c>
      <c r="CL20" s="752" t="s">
        <v>961</v>
      </c>
      <c r="CM20" s="758">
        <f>_xll.VAData($CJ20,CM$3,$CK20,$CL20)</f>
        <v>216.9</v>
      </c>
      <c r="CN20" s="758">
        <f>_xll.VAData($CJ20,CN$3,$CK20,$CL20)</f>
        <v>237.5</v>
      </c>
      <c r="CO20" s="758">
        <f>_xll.VAData($CJ20,CO$3,$CK20,$CL20)</f>
        <v>114.4</v>
      </c>
      <c r="CP20" s="758">
        <f>_xll.VAData($CJ20,CP$3,$CK20,$CL20)</f>
        <v>106</v>
      </c>
      <c r="CQ20" s="758">
        <f>_xll.VAData($CJ20,CQ$3,$CK20,$CL20)</f>
        <v>189.1</v>
      </c>
      <c r="CR20" s="758">
        <f>_xll.VAData($CJ20,CR$3,$CK20,$CL20)</f>
        <v>171.8</v>
      </c>
      <c r="CS20" s="758">
        <f>_xll.VAData($CJ20,CS$3,$CK20,$CL20)</f>
        <v>192.1</v>
      </c>
      <c r="CT20" s="758">
        <f>_xll.VAData($CJ20,CT$3,$CK20,$CL20)</f>
        <v>178.5</v>
      </c>
      <c r="CU20" s="758">
        <f>_xll.VAData($CJ20,CU$3,$CK20,$CL20)</f>
        <v>192.4</v>
      </c>
      <c r="CV20" s="758">
        <f>_xll.VAData($CJ20,CV$3,$CK20,$CL20)</f>
        <v>185.4</v>
      </c>
      <c r="CW20" s="758">
        <f>_xll.VAData($CJ20,CW$3,$CK20,$CL20)</f>
        <v>196.28417566755439</v>
      </c>
      <c r="CX20" s="758">
        <f>_xll.VAData($CJ20,CX$3,$CK20,$CL20)</f>
        <v>190.3599275196238</v>
      </c>
      <c r="CY20" s="758">
        <f>_xll.VAData($CJ20,CY$3,$CK20,$CL20)</f>
        <v>200.42323643388559</v>
      </c>
      <c r="CZ20" s="758">
        <f>_xll.VAData($CJ20,CZ$3,$CK20,$CL20)</f>
        <v>195.4239231029168</v>
      </c>
      <c r="DA20" s="758">
        <f>_xll.VAData($CJ20,DA$3,$CK20,$CL20)</f>
        <v>204.67149027579219</v>
      </c>
      <c r="DB20" s="758">
        <f>_xll.VAData($CJ20,DB$3,$CK20,$CL20)</f>
        <v>200.32082551913359</v>
      </c>
      <c r="DC20" s="758">
        <f>_xll.VAData($CJ20,DC$3,$CK20,$CL20)</f>
        <v>209.44056490599499</v>
      </c>
      <c r="DD20" s="758">
        <f>_xll.VAData($CJ20,DD$3,$CK20,$CL20)</f>
        <v>205.7932902251666</v>
      </c>
      <c r="DE20" s="758">
        <f>_xll.VAData($CJ20,DE$3,$CK20,$CL20)</f>
        <v>210.01238509242199</v>
      </c>
      <c r="DF20" s="758">
        <f>_xll.VAData($CJ20,DF$3,$CK20,$CL20)</f>
        <v>205.20425473431999</v>
      </c>
      <c r="DG20" s="758">
        <f>_xll.VAData($CJ20,DG$3,$CK20,$CL20)</f>
        <v>214.76413211117051</v>
      </c>
      <c r="DH20" s="758">
        <f>_xll.VAData($CJ20,DH$3,$CK20,$CL20)</f>
        <v>209.85983914590651</v>
      </c>
      <c r="DI20" s="758">
        <f>_xll.VAData($CJ20,DI$3,$CK20,$CL20)</f>
        <v>219.62745904980099</v>
      </c>
      <c r="DJ20" s="758">
        <f>_xll.VAData($CJ20,DJ$3,$CK20,$CL20)</f>
        <v>214.6250802252315</v>
      </c>
      <c r="DK20" s="758">
        <f>_xll.VAData($CJ20,DK$3,$CK20,$CL20)</f>
        <v>224.605093856096</v>
      </c>
      <c r="DL20" s="758">
        <f>_xll.VAData($CJ20,DL$3,$CK20,$CL20)</f>
        <v>219.50266745503501</v>
      </c>
      <c r="DN20" s="758">
        <f>_xll.VAData($CJ20,DN$3,$CK20,$CL20)</f>
        <v>454.4</v>
      </c>
      <c r="DO20" s="758">
        <f>_xll.VAData($CJ20,DO$3,$CK20,$CL20)</f>
        <v>220.4</v>
      </c>
      <c r="DP20" s="758">
        <f>_xll.VAData($CJ20,DP$3,$CK20,$CL20)</f>
        <v>360.9</v>
      </c>
      <c r="DQ20" s="758">
        <f>_xll.VAData($CJ20,DQ$3,$CK20,$CL20)</f>
        <v>370.6</v>
      </c>
      <c r="DR20" s="758">
        <f>_xll.VAData($CJ20,DR$3,$CK20,$CL20)</f>
        <v>377.8</v>
      </c>
      <c r="DS20" s="758">
        <f>_xll.VAData($CJ20,DS$3,$CK20,$CL20)</f>
        <v>386.64410318717842</v>
      </c>
      <c r="DT20" s="758">
        <f>_xll.VAData($CJ20,DT$3,$CK20,$CL20)</f>
        <v>395.84715953680262</v>
      </c>
      <c r="DU20" s="758">
        <f>_xll.VAData($CJ20,DU$3,$CK20,$CL20)</f>
        <v>404.99231579492579</v>
      </c>
      <c r="DV20" s="758">
        <f>_xll.VAData($CJ20,DV$3,$CK20,$CL20)</f>
        <v>415.23385513116159</v>
      </c>
      <c r="DW20" s="758">
        <f>_xll.VAData($CJ20,DW$3,$CK20,$CL20)</f>
        <v>415.21663982674198</v>
      </c>
      <c r="DX20" s="758">
        <f>_xll.VAData($CJ20,DX$3,$CK20,$CL20)</f>
        <v>424.62397125707702</v>
      </c>
      <c r="DY20" s="758">
        <f>_xll.VAData($CJ20,DY$3,$CK20,$CL20)</f>
        <v>434.25253927503252</v>
      </c>
      <c r="DZ20" s="758">
        <f>_xll.VAData($CJ20,DZ$3,$CK20,$CL20)</f>
        <v>444.10776131113153</v>
      </c>
    </row>
    <row r="21" spans="1:130">
      <c r="B21" s="138"/>
      <c r="C21" s="82"/>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G21" s="7"/>
      <c r="AH21" s="7"/>
      <c r="AI21" s="7"/>
      <c r="AJ21" s="7"/>
      <c r="AK21" s="7"/>
      <c r="AL21" s="7"/>
      <c r="AM21" s="7"/>
      <c r="AN21" s="7"/>
      <c r="AO21" s="7"/>
      <c r="AP21" s="7"/>
      <c r="AQ21" s="7"/>
      <c r="AR21" s="7"/>
      <c r="AS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V21" s="7"/>
      <c r="BW21" s="7"/>
      <c r="BX21" s="7"/>
      <c r="BY21" s="7"/>
      <c r="BZ21" s="7"/>
      <c r="CA21" s="7"/>
      <c r="CB21" s="7"/>
      <c r="CC21" s="7"/>
      <c r="CD21" s="7"/>
      <c r="CE21" s="7"/>
      <c r="CF21" s="7"/>
      <c r="CG21" s="7"/>
      <c r="CH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N21" s="7"/>
      <c r="DO21" s="7"/>
      <c r="DP21" s="7"/>
      <c r="DQ21" s="7"/>
      <c r="DR21" s="7"/>
      <c r="DS21" s="7"/>
      <c r="DT21" s="7"/>
      <c r="DU21" s="7"/>
      <c r="DV21" s="7"/>
      <c r="DW21" s="7"/>
      <c r="DX21" s="7"/>
      <c r="DY21" s="7"/>
      <c r="DZ21" s="7"/>
    </row>
    <row r="22" spans="1:130">
      <c r="B22" s="130" t="s">
        <v>1489</v>
      </c>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row>
    <row r="23" spans="1:130">
      <c r="B23" s="138" t="str">
        <f>B9</f>
        <v>Digital Turnover</v>
      </c>
      <c r="C23" s="82" t="s">
        <v>842</v>
      </c>
      <c r="E23" s="7"/>
      <c r="F23" s="314"/>
      <c r="G23" s="314"/>
      <c r="H23" s="314"/>
      <c r="I23" s="314"/>
      <c r="J23" s="314"/>
      <c r="K23" s="314"/>
      <c r="L23" s="314"/>
      <c r="M23" s="314"/>
      <c r="N23" s="314"/>
      <c r="O23" s="314"/>
      <c r="P23" s="314"/>
      <c r="Q23" s="314"/>
      <c r="R23" s="314"/>
      <c r="S23" s="314"/>
      <c r="T23" s="314"/>
      <c r="U23" s="314"/>
      <c r="V23" s="314"/>
      <c r="W23" s="314"/>
      <c r="X23" s="314"/>
      <c r="Y23" s="314"/>
      <c r="Z23" s="314"/>
      <c r="AA23" s="314"/>
      <c r="AB23" s="314"/>
      <c r="AC23" s="314"/>
      <c r="AD23" s="314"/>
      <c r="AE23" s="314"/>
      <c r="AG23" s="314"/>
      <c r="AH23" s="314"/>
      <c r="AI23" s="314"/>
      <c r="AJ23" s="314"/>
      <c r="AK23" s="314"/>
      <c r="AL23" s="314"/>
      <c r="AM23" s="314"/>
      <c r="AN23" s="314"/>
      <c r="AO23" s="314"/>
      <c r="AP23" s="314"/>
      <c r="AQ23" s="314"/>
      <c r="AR23" s="314"/>
      <c r="AS23" s="314"/>
      <c r="AU23" s="314"/>
      <c r="AV23" s="314"/>
      <c r="AW23" s="314"/>
      <c r="AX23" s="314"/>
      <c r="AY23" s="314"/>
      <c r="AZ23" s="314"/>
      <c r="BA23" s="314"/>
      <c r="BB23" s="314"/>
      <c r="BC23" s="314"/>
      <c r="BD23" s="314"/>
      <c r="BE23" s="314"/>
      <c r="BF23" s="314"/>
      <c r="BG23" s="314"/>
      <c r="BH23" s="314"/>
      <c r="BI23" s="314"/>
      <c r="BJ23" s="314"/>
      <c r="BK23" s="314"/>
      <c r="BL23" s="314"/>
      <c r="BM23" s="314"/>
      <c r="BN23" s="314"/>
      <c r="BO23" s="314"/>
      <c r="BP23" s="314"/>
      <c r="BQ23" s="314"/>
      <c r="BR23" s="314"/>
      <c r="BS23" s="314"/>
      <c r="BT23" s="314"/>
      <c r="BV23" s="314"/>
      <c r="BW23" s="314"/>
      <c r="BX23" s="314"/>
      <c r="BY23" s="314"/>
      <c r="BZ23" s="314"/>
      <c r="CA23" s="314"/>
      <c r="CB23" s="314"/>
      <c r="CC23" s="314"/>
      <c r="CD23" s="314"/>
      <c r="CE23" s="314"/>
      <c r="CF23" s="314"/>
      <c r="CG23" s="314"/>
      <c r="CH23" s="314"/>
      <c r="CM23" s="314"/>
      <c r="CN23" s="314"/>
      <c r="CO23" s="314"/>
      <c r="CP23" s="314"/>
      <c r="CQ23" s="314"/>
      <c r="CR23" s="314"/>
      <c r="CS23" s="314"/>
      <c r="CT23" s="314"/>
      <c r="CU23" s="314"/>
      <c r="CV23" s="314"/>
      <c r="CW23" s="314"/>
      <c r="CX23" s="314"/>
      <c r="CY23" s="314"/>
      <c r="CZ23" s="314"/>
      <c r="DA23" s="314"/>
      <c r="DB23" s="314"/>
      <c r="DC23" s="314"/>
      <c r="DD23" s="314"/>
      <c r="DE23" s="314"/>
      <c r="DF23" s="314"/>
      <c r="DG23" s="314"/>
      <c r="DH23" s="314"/>
      <c r="DI23" s="314"/>
      <c r="DJ23" s="314"/>
      <c r="DK23" s="314"/>
      <c r="DL23" s="314"/>
      <c r="DN23" s="314"/>
      <c r="DO23" s="314"/>
      <c r="DP23" s="314"/>
      <c r="DQ23" s="314"/>
      <c r="DR23" s="314"/>
      <c r="DS23" s="314"/>
      <c r="DT23" s="314"/>
      <c r="DU23" s="314"/>
      <c r="DV23" s="314"/>
      <c r="DW23" s="314"/>
      <c r="DX23" s="314"/>
      <c r="DY23" s="314"/>
      <c r="DZ23" s="314"/>
    </row>
    <row r="24" spans="1:130">
      <c r="B24" s="138" t="str">
        <f>B10</f>
        <v>Retail Turnover</v>
      </c>
      <c r="C24" s="82" t="s">
        <v>842</v>
      </c>
      <c r="E24" s="24"/>
      <c r="F24" s="314"/>
      <c r="G24" s="314"/>
      <c r="H24" s="314"/>
      <c r="I24" s="314"/>
      <c r="J24" s="314"/>
      <c r="K24" s="314"/>
      <c r="L24" s="314"/>
      <c r="M24" s="314"/>
      <c r="N24" s="314"/>
      <c r="O24" s="314"/>
      <c r="P24" s="314"/>
      <c r="Q24" s="314"/>
      <c r="R24" s="314"/>
      <c r="S24" s="314"/>
      <c r="T24" s="314"/>
      <c r="U24" s="314"/>
      <c r="V24" s="314"/>
      <c r="W24" s="314"/>
      <c r="X24" s="314"/>
      <c r="Y24" s="314"/>
      <c r="Z24" s="314"/>
      <c r="AA24" s="314"/>
      <c r="AB24" s="314"/>
      <c r="AC24" s="314"/>
      <c r="AD24" s="314"/>
      <c r="AE24" s="314"/>
      <c r="AG24" s="314"/>
      <c r="AH24" s="314"/>
      <c r="AI24" s="314"/>
      <c r="AJ24" s="314"/>
      <c r="AK24" s="314"/>
      <c r="AL24" s="314"/>
      <c r="AM24" s="314"/>
      <c r="AN24" s="314"/>
      <c r="AO24" s="314"/>
      <c r="AP24" s="314"/>
      <c r="AQ24" s="314"/>
      <c r="AR24" s="314"/>
      <c r="AS24" s="314"/>
      <c r="AU24" s="314"/>
      <c r="AV24" s="314"/>
      <c r="AW24" s="314"/>
      <c r="AX24" s="314"/>
      <c r="AY24" s="314"/>
      <c r="AZ24" s="314"/>
      <c r="BA24" s="314"/>
      <c r="BB24" s="314"/>
      <c r="BC24" s="314"/>
      <c r="BD24" s="314"/>
      <c r="BE24" s="314"/>
      <c r="BF24" s="314"/>
      <c r="BG24" s="314"/>
      <c r="BH24" s="314"/>
      <c r="BI24" s="314"/>
      <c r="BJ24" s="314"/>
      <c r="BK24" s="314"/>
      <c r="BL24" s="314"/>
      <c r="BM24" s="314"/>
      <c r="BN24" s="314"/>
      <c r="BO24" s="314"/>
      <c r="BP24" s="314"/>
      <c r="BQ24" s="314"/>
      <c r="BR24" s="314"/>
      <c r="BS24" s="314"/>
      <c r="BT24" s="314"/>
      <c r="BV24" s="314"/>
      <c r="BW24" s="314"/>
      <c r="BX24" s="314"/>
      <c r="BY24" s="314"/>
      <c r="BZ24" s="314"/>
      <c r="CA24" s="314"/>
      <c r="CB24" s="314"/>
      <c r="CC24" s="314"/>
      <c r="CD24" s="314"/>
      <c r="CE24" s="314"/>
      <c r="CF24" s="314"/>
      <c r="CG24" s="314"/>
      <c r="CH24" s="314"/>
      <c r="CM24" s="314"/>
      <c r="CN24" s="314"/>
      <c r="CO24" s="314"/>
      <c r="CP24" s="314"/>
      <c r="CQ24" s="314"/>
      <c r="CR24" s="314"/>
      <c r="CS24" s="314"/>
      <c r="CT24" s="314"/>
      <c r="CU24" s="314"/>
      <c r="CV24" s="314"/>
      <c r="CW24" s="314"/>
      <c r="CX24" s="314"/>
      <c r="CY24" s="314"/>
      <c r="CZ24" s="314"/>
      <c r="DA24" s="314"/>
      <c r="DB24" s="314"/>
      <c r="DC24" s="314"/>
      <c r="DD24" s="314"/>
      <c r="DE24" s="314"/>
      <c r="DF24" s="314"/>
      <c r="DG24" s="314"/>
      <c r="DH24" s="314"/>
      <c r="DI24" s="314"/>
      <c r="DJ24" s="314"/>
      <c r="DK24" s="314"/>
      <c r="DL24" s="314"/>
      <c r="DN24" s="314"/>
      <c r="DO24" s="314"/>
      <c r="DP24" s="314"/>
      <c r="DQ24" s="314"/>
      <c r="DR24" s="314"/>
      <c r="DS24" s="314"/>
      <c r="DT24" s="314"/>
      <c r="DU24" s="314"/>
      <c r="DV24" s="314"/>
      <c r="DW24" s="314"/>
      <c r="DX24" s="314"/>
      <c r="DY24" s="314"/>
      <c r="DZ24" s="314"/>
    </row>
    <row r="25" spans="1:130">
      <c r="B25" s="138" t="str">
        <f>B11</f>
        <v>Digital Revenue</v>
      </c>
      <c r="C25" s="82" t="s">
        <v>842</v>
      </c>
      <c r="E25" s="7"/>
      <c r="F25" s="314"/>
      <c r="G25" s="314"/>
      <c r="H25" s="314"/>
      <c r="I25" s="314"/>
      <c r="J25" s="314"/>
      <c r="K25" s="314"/>
      <c r="L25" s="314"/>
      <c r="M25" s="314"/>
      <c r="N25" s="314"/>
      <c r="O25" s="314"/>
      <c r="P25" s="314"/>
      <c r="Q25" s="314"/>
      <c r="R25" s="314"/>
      <c r="S25" s="314"/>
      <c r="T25" s="314"/>
      <c r="U25" s="314"/>
      <c r="V25" s="314"/>
      <c r="W25" s="314"/>
      <c r="X25" s="314"/>
      <c r="Y25" s="314"/>
      <c r="Z25" s="314"/>
      <c r="AA25" s="314"/>
      <c r="AB25" s="314"/>
      <c r="AC25" s="314"/>
      <c r="AD25" s="314"/>
      <c r="AE25" s="314"/>
      <c r="AG25" s="314"/>
      <c r="AH25" s="314"/>
      <c r="AI25" s="314"/>
      <c r="AJ25" s="314"/>
      <c r="AK25" s="314"/>
      <c r="AL25" s="314"/>
      <c r="AM25" s="314"/>
      <c r="AN25" s="314"/>
      <c r="AO25" s="314"/>
      <c r="AP25" s="314"/>
      <c r="AQ25" s="314"/>
      <c r="AR25" s="314"/>
      <c r="AS25" s="314"/>
      <c r="AU25" s="314"/>
      <c r="AV25" s="314"/>
      <c r="AW25" s="314"/>
      <c r="AX25" s="314"/>
      <c r="AY25" s="314"/>
      <c r="AZ25" s="314"/>
      <c r="BA25" s="314"/>
      <c r="BB25" s="314"/>
      <c r="BC25" s="314"/>
      <c r="BD25" s="314"/>
      <c r="BE25" s="314"/>
      <c r="BF25" s="314"/>
      <c r="BG25" s="314"/>
      <c r="BH25" s="314"/>
      <c r="BI25" s="314"/>
      <c r="BJ25" s="314"/>
      <c r="BK25" s="314"/>
      <c r="BL25" s="314"/>
      <c r="BM25" s="314"/>
      <c r="BN25" s="314"/>
      <c r="BO25" s="314"/>
      <c r="BP25" s="314"/>
      <c r="BQ25" s="314"/>
      <c r="BR25" s="314"/>
      <c r="BS25" s="314"/>
      <c r="BT25" s="314"/>
      <c r="BV25" s="314"/>
      <c r="BW25" s="314"/>
      <c r="BX25" s="314"/>
      <c r="BY25" s="314"/>
      <c r="BZ25" s="314"/>
      <c r="CA25" s="314"/>
      <c r="CB25" s="314"/>
      <c r="CC25" s="314"/>
      <c r="CD25" s="314"/>
      <c r="CE25" s="314"/>
      <c r="CF25" s="314"/>
      <c r="CG25" s="314"/>
      <c r="CH25" s="314"/>
      <c r="CM25" s="314"/>
      <c r="CN25" s="314"/>
      <c r="CO25" s="314"/>
      <c r="CP25" s="314"/>
      <c r="CQ25" s="314"/>
      <c r="CR25" s="314"/>
      <c r="CS25" s="314"/>
      <c r="CT25" s="314"/>
      <c r="CU25" s="314"/>
      <c r="CV25" s="314"/>
      <c r="CW25" s="314"/>
      <c r="CX25" s="314"/>
      <c r="CY25" s="314"/>
      <c r="CZ25" s="314"/>
      <c r="DA25" s="314"/>
      <c r="DB25" s="314"/>
      <c r="DC25" s="314"/>
      <c r="DD25" s="314"/>
      <c r="DE25" s="314"/>
      <c r="DF25" s="314"/>
      <c r="DG25" s="314"/>
      <c r="DH25" s="314"/>
      <c r="DI25" s="314"/>
      <c r="DJ25" s="314"/>
      <c r="DK25" s="314"/>
      <c r="DL25" s="314"/>
      <c r="DN25" s="314"/>
      <c r="DO25" s="314"/>
      <c r="DP25" s="314"/>
      <c r="DQ25" s="314"/>
      <c r="DR25" s="314"/>
      <c r="DS25" s="314"/>
      <c r="DT25" s="314"/>
      <c r="DU25" s="314"/>
      <c r="DV25" s="314"/>
      <c r="DW25" s="314"/>
      <c r="DX25" s="314"/>
      <c r="DY25" s="314"/>
      <c r="DZ25" s="314"/>
    </row>
    <row r="26" spans="1:130">
      <c r="B26" s="138" t="str">
        <f>B12</f>
        <v>Retail Revenue</v>
      </c>
      <c r="C26" s="82" t="s">
        <v>842</v>
      </c>
      <c r="E26" s="7"/>
      <c r="F26" s="314"/>
      <c r="G26" s="314"/>
      <c r="H26" s="314"/>
      <c r="I26" s="314"/>
      <c r="J26" s="314"/>
      <c r="K26" s="314"/>
      <c r="L26" s="314"/>
      <c r="M26" s="314"/>
      <c r="N26" s="314"/>
      <c r="O26" s="314"/>
      <c r="P26" s="314"/>
      <c r="Q26" s="314"/>
      <c r="R26" s="314"/>
      <c r="S26" s="314"/>
      <c r="T26" s="314"/>
      <c r="U26" s="314"/>
      <c r="V26" s="314"/>
      <c r="W26" s="314"/>
      <c r="X26" s="314"/>
      <c r="Y26" s="314"/>
      <c r="Z26" s="314"/>
      <c r="AA26" s="314"/>
      <c r="AB26" s="314"/>
      <c r="AC26" s="314"/>
      <c r="AD26" s="314"/>
      <c r="AE26" s="314"/>
      <c r="AG26" s="314"/>
      <c r="AH26" s="314"/>
      <c r="AI26" s="314"/>
      <c r="AJ26" s="314"/>
      <c r="AK26" s="314"/>
      <c r="AL26" s="314"/>
      <c r="AM26" s="314"/>
      <c r="AN26" s="314"/>
      <c r="AO26" s="314"/>
      <c r="AP26" s="314"/>
      <c r="AQ26" s="314"/>
      <c r="AR26" s="314"/>
      <c r="AS26" s="314"/>
      <c r="AU26" s="314"/>
      <c r="AV26" s="314"/>
      <c r="AW26" s="314"/>
      <c r="AX26" s="314"/>
      <c r="AY26" s="314"/>
      <c r="AZ26" s="314"/>
      <c r="BA26" s="314"/>
      <c r="BB26" s="314"/>
      <c r="BC26" s="314"/>
      <c r="BD26" s="314"/>
      <c r="BE26" s="314"/>
      <c r="BF26" s="314"/>
      <c r="BG26" s="314"/>
      <c r="BH26" s="314"/>
      <c r="BI26" s="314"/>
      <c r="BJ26" s="314"/>
      <c r="BK26" s="314"/>
      <c r="BL26" s="314"/>
      <c r="BM26" s="314"/>
      <c r="BN26" s="314"/>
      <c r="BO26" s="314"/>
      <c r="BP26" s="314"/>
      <c r="BQ26" s="314"/>
      <c r="BR26" s="314"/>
      <c r="BS26" s="314"/>
      <c r="BT26" s="314"/>
      <c r="BV26" s="314"/>
      <c r="BW26" s="314"/>
      <c r="BX26" s="314"/>
      <c r="BY26" s="314"/>
      <c r="BZ26" s="314"/>
      <c r="CA26" s="314"/>
      <c r="CB26" s="314"/>
      <c r="CC26" s="314"/>
      <c r="CD26" s="314"/>
      <c r="CE26" s="314"/>
      <c r="CF26" s="314"/>
      <c r="CG26" s="314"/>
      <c r="CH26" s="314"/>
      <c r="CM26" s="314"/>
      <c r="CN26" s="314"/>
      <c r="CO26" s="314"/>
      <c r="CP26" s="314"/>
      <c r="CQ26" s="314"/>
      <c r="CR26" s="314"/>
      <c r="CS26" s="314"/>
      <c r="CT26" s="314"/>
      <c r="CU26" s="314"/>
      <c r="CV26" s="314"/>
      <c r="CW26" s="314"/>
      <c r="CX26" s="314"/>
      <c r="CY26" s="314"/>
      <c r="CZ26" s="314"/>
      <c r="DA26" s="314"/>
      <c r="DB26" s="314"/>
      <c r="DC26" s="314"/>
      <c r="DD26" s="314"/>
      <c r="DE26" s="314"/>
      <c r="DF26" s="314"/>
      <c r="DG26" s="314"/>
      <c r="DH26" s="314"/>
      <c r="DI26" s="314"/>
      <c r="DJ26" s="314"/>
      <c r="DK26" s="314"/>
      <c r="DL26" s="314"/>
      <c r="DN26" s="314"/>
      <c r="DO26" s="314"/>
      <c r="DP26" s="314"/>
      <c r="DQ26" s="314"/>
      <c r="DR26" s="314"/>
      <c r="DS26" s="314"/>
      <c r="DT26" s="314"/>
      <c r="DU26" s="314"/>
      <c r="DV26" s="314"/>
      <c r="DW26" s="314"/>
      <c r="DX26" s="314"/>
      <c r="DY26" s="314"/>
      <c r="DZ26" s="314"/>
    </row>
    <row r="27" spans="1:130">
      <c r="B27" s="138" t="str">
        <f>B13</f>
        <v>Media &amp; International Revenue</v>
      </c>
      <c r="C27" s="82" t="s">
        <v>842</v>
      </c>
      <c r="E27" s="7"/>
      <c r="F27" s="314">
        <f xml:space="preserve"> IFERROR(ROUND(F13/F20,3) - 1, 0)</f>
        <v>0</v>
      </c>
      <c r="G27" s="314">
        <f t="shared" ref="G27:AE27" si="8" xml:space="preserve"> IFERROR(ROUND(G13/G20,3) - 1, 0)</f>
        <v>0</v>
      </c>
      <c r="H27" s="314">
        <f t="shared" si="8"/>
        <v>0</v>
      </c>
      <c r="I27" s="314">
        <f t="shared" si="8"/>
        <v>0</v>
      </c>
      <c r="J27" s="314">
        <f t="shared" si="8"/>
        <v>0</v>
      </c>
      <c r="K27" s="314">
        <f t="shared" si="8"/>
        <v>0</v>
      </c>
      <c r="L27" s="314">
        <f t="shared" si="8"/>
        <v>0</v>
      </c>
      <c r="M27" s="314">
        <f t="shared" si="8"/>
        <v>0</v>
      </c>
      <c r="N27" s="314">
        <f t="shared" si="8"/>
        <v>0</v>
      </c>
      <c r="O27" s="314">
        <f t="shared" si="8"/>
        <v>0</v>
      </c>
      <c r="P27" s="314">
        <f t="shared" si="8"/>
        <v>0</v>
      </c>
      <c r="Q27" s="314">
        <f t="shared" si="8"/>
        <v>0</v>
      </c>
      <c r="R27" s="314">
        <f t="shared" si="8"/>
        <v>0</v>
      </c>
      <c r="S27" s="314">
        <f t="shared" si="8"/>
        <v>0</v>
      </c>
      <c r="T27" s="314">
        <f t="shared" si="8"/>
        <v>0</v>
      </c>
      <c r="U27" s="314">
        <f t="shared" si="8"/>
        <v>0</v>
      </c>
      <c r="V27" s="314">
        <f t="shared" si="8"/>
        <v>0</v>
      </c>
      <c r="W27" s="314">
        <f t="shared" si="8"/>
        <v>0</v>
      </c>
      <c r="X27" s="314">
        <f t="shared" si="8"/>
        <v>0</v>
      </c>
      <c r="Y27" s="314">
        <f t="shared" si="8"/>
        <v>0</v>
      </c>
      <c r="Z27" s="314">
        <f t="shared" si="8"/>
        <v>0</v>
      </c>
      <c r="AA27" s="314">
        <f t="shared" si="8"/>
        <v>0</v>
      </c>
      <c r="AB27" s="314">
        <f t="shared" si="8"/>
        <v>0</v>
      </c>
      <c r="AC27" s="314">
        <f t="shared" si="8"/>
        <v>0</v>
      </c>
      <c r="AD27" s="314">
        <f t="shared" si="8"/>
        <v>0</v>
      </c>
      <c r="AE27" s="314">
        <f t="shared" si="8"/>
        <v>0</v>
      </c>
      <c r="AG27" s="314">
        <f t="shared" ref="AG27:AS27" si="9" xml:space="preserve"> IFERROR(ROUND(AG13/AG20,3) - 1, 0)</f>
        <v>0</v>
      </c>
      <c r="AH27" s="314">
        <f t="shared" si="9"/>
        <v>0</v>
      </c>
      <c r="AI27" s="314">
        <f t="shared" si="9"/>
        <v>0</v>
      </c>
      <c r="AJ27" s="314">
        <f t="shared" si="9"/>
        <v>0</v>
      </c>
      <c r="AK27" s="314">
        <f t="shared" si="9"/>
        <v>0</v>
      </c>
      <c r="AL27" s="314">
        <f t="shared" si="9"/>
        <v>0</v>
      </c>
      <c r="AM27" s="314">
        <f t="shared" si="9"/>
        <v>0</v>
      </c>
      <c r="AN27" s="314">
        <f t="shared" si="9"/>
        <v>0</v>
      </c>
      <c r="AO27" s="314">
        <f t="shared" si="9"/>
        <v>0</v>
      </c>
      <c r="AP27" s="314">
        <f t="shared" si="9"/>
        <v>0</v>
      </c>
      <c r="AQ27" s="314">
        <f t="shared" si="9"/>
        <v>0</v>
      </c>
      <c r="AR27" s="314">
        <f t="shared" si="9"/>
        <v>0</v>
      </c>
      <c r="AS27" s="314">
        <f t="shared" si="9"/>
        <v>0</v>
      </c>
      <c r="AU27" s="314"/>
      <c r="AV27" s="314"/>
      <c r="AW27" s="314"/>
      <c r="AX27" s="314"/>
      <c r="AY27" s="314"/>
      <c r="AZ27" s="314"/>
      <c r="BA27" s="314"/>
      <c r="BB27" s="314"/>
      <c r="BC27" s="314"/>
      <c r="BD27" s="314"/>
      <c r="BE27" s="314"/>
      <c r="BF27" s="314"/>
      <c r="BG27" s="314"/>
      <c r="BH27" s="314"/>
      <c r="BI27" s="314"/>
      <c r="BJ27" s="314"/>
      <c r="BK27" s="314"/>
      <c r="BL27" s="314"/>
      <c r="BM27" s="314"/>
      <c r="BN27" s="314"/>
      <c r="BO27" s="314"/>
      <c r="BP27" s="314"/>
      <c r="BQ27" s="314"/>
      <c r="BR27" s="314"/>
      <c r="BS27" s="314"/>
      <c r="BT27" s="314"/>
      <c r="BV27" s="314"/>
      <c r="BW27" s="314"/>
      <c r="BX27" s="314"/>
      <c r="BY27" s="314"/>
      <c r="BZ27" s="314"/>
      <c r="CA27" s="314"/>
      <c r="CB27" s="314"/>
      <c r="CC27" s="314"/>
      <c r="CD27" s="314"/>
      <c r="CE27" s="314"/>
      <c r="CF27" s="314"/>
      <c r="CG27" s="314"/>
      <c r="CH27" s="314"/>
      <c r="CM27" s="314"/>
      <c r="CN27" s="314"/>
      <c r="CO27" s="314"/>
      <c r="CP27" s="314"/>
      <c r="CQ27" s="314"/>
      <c r="CR27" s="314"/>
      <c r="CS27" s="314"/>
      <c r="CT27" s="314"/>
      <c r="CU27" s="314"/>
      <c r="CV27" s="314"/>
      <c r="CW27" s="314"/>
      <c r="CX27" s="314"/>
      <c r="CY27" s="314"/>
      <c r="CZ27" s="314"/>
      <c r="DA27" s="314"/>
      <c r="DB27" s="314"/>
      <c r="DC27" s="314"/>
      <c r="DD27" s="314"/>
      <c r="DE27" s="314"/>
      <c r="DF27" s="314"/>
      <c r="DG27" s="314"/>
      <c r="DH27" s="314"/>
      <c r="DI27" s="314"/>
      <c r="DJ27" s="314"/>
      <c r="DK27" s="314"/>
      <c r="DL27" s="314"/>
      <c r="DN27" s="314"/>
      <c r="DO27" s="314"/>
      <c r="DP27" s="314"/>
      <c r="DQ27" s="314"/>
      <c r="DR27" s="314"/>
      <c r="DS27" s="314"/>
      <c r="DT27" s="314"/>
      <c r="DU27" s="314"/>
      <c r="DV27" s="314"/>
      <c r="DW27" s="314"/>
      <c r="DX27" s="314"/>
      <c r="DY27" s="314"/>
      <c r="DZ27" s="314"/>
    </row>
    <row r="28" spans="1:130">
      <c r="B28" s="138"/>
      <c r="C28" s="82"/>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G28" s="7"/>
      <c r="AH28" s="7"/>
      <c r="AI28" s="7"/>
      <c r="AJ28" s="7"/>
      <c r="AK28" s="7"/>
      <c r="AL28" s="7"/>
      <c r="AM28" s="7"/>
      <c r="AN28" s="7"/>
      <c r="AO28" s="7"/>
      <c r="AP28" s="7"/>
      <c r="AQ28" s="7"/>
      <c r="AR28" s="7"/>
      <c r="AS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V28" s="7"/>
      <c r="BW28" s="7"/>
      <c r="BX28" s="7"/>
      <c r="BY28" s="7"/>
      <c r="BZ28" s="7"/>
      <c r="CA28" s="7"/>
      <c r="CB28" s="7"/>
      <c r="CC28" s="7"/>
      <c r="CD28" s="7"/>
      <c r="CE28" s="7"/>
      <c r="CF28" s="7"/>
      <c r="CG28" s="7"/>
      <c r="CH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N28" s="7"/>
      <c r="DO28" s="7"/>
      <c r="DP28" s="7"/>
      <c r="DQ28" s="7"/>
      <c r="DR28" s="7"/>
      <c r="DS28" s="7"/>
      <c r="DT28" s="7"/>
      <c r="DU28" s="7"/>
      <c r="DV28" s="7"/>
      <c r="DW28" s="7"/>
      <c r="DX28" s="7"/>
      <c r="DY28" s="7"/>
      <c r="DZ28" s="7"/>
    </row>
    <row r="29" spans="1:130">
      <c r="A29" s="754" t="s">
        <v>971</v>
      </c>
      <c r="B29" s="731" t="s">
        <v>1487</v>
      </c>
      <c r="C29" s="290"/>
      <c r="D29" s="290"/>
      <c r="E29" s="290"/>
      <c r="F29" s="290"/>
      <c r="G29" s="290"/>
      <c r="H29" s="290"/>
      <c r="I29" s="290"/>
      <c r="J29" s="290"/>
      <c r="K29" s="290"/>
      <c r="L29" s="290"/>
      <c r="M29" s="290"/>
      <c r="N29" s="290"/>
      <c r="O29" s="290"/>
      <c r="P29" s="290"/>
      <c r="Q29" s="290"/>
      <c r="R29" s="290"/>
      <c r="S29" s="290"/>
      <c r="T29" s="290"/>
      <c r="U29" s="290"/>
      <c r="V29" s="290"/>
      <c r="W29" s="290"/>
      <c r="X29" s="290"/>
      <c r="Y29" s="290"/>
      <c r="Z29" s="290"/>
      <c r="AA29" s="290"/>
      <c r="AB29" s="290"/>
      <c r="AC29" s="290"/>
      <c r="AD29" s="290"/>
      <c r="AE29" s="290"/>
      <c r="AF29" s="290"/>
      <c r="AG29" s="290"/>
      <c r="AH29" s="290"/>
      <c r="AI29" s="290"/>
      <c r="AJ29" s="290"/>
      <c r="AK29" s="290"/>
      <c r="AL29" s="290"/>
      <c r="AM29" s="290"/>
      <c r="AN29" s="290"/>
      <c r="AO29" s="290"/>
      <c r="AP29" s="290"/>
      <c r="AQ29" s="290"/>
      <c r="AR29" s="290"/>
      <c r="AS29" s="290"/>
    </row>
    <row r="30" spans="1:130">
      <c r="B30" s="138" t="s">
        <v>1</v>
      </c>
      <c r="C30" s="82" t="s">
        <v>900</v>
      </c>
      <c r="E30" s="7"/>
      <c r="F30" s="132">
        <f>HY!M182</f>
        <v>1073.4000000000001</v>
      </c>
      <c r="G30" s="132">
        <f>HY!N182</f>
        <v>1108.5</v>
      </c>
      <c r="H30" s="132">
        <f>HY!O182</f>
        <v>1165.7</v>
      </c>
      <c r="I30" s="132">
        <f>HY!P182</f>
        <v>1065.1000000000001</v>
      </c>
      <c r="J30" s="132">
        <f>HY!Q182</f>
        <v>1116.5999999999999</v>
      </c>
      <c r="K30" s="132">
        <f>HY!R182</f>
        <v>1046.2000000000003</v>
      </c>
      <c r="L30" s="132">
        <f>HY!S182</f>
        <v>1243.2</v>
      </c>
      <c r="M30" s="132">
        <f>HY!T182</f>
        <v>1195.6000000000001</v>
      </c>
      <c r="N30" s="132">
        <f>HY!U182</f>
        <v>1253.2</v>
      </c>
      <c r="O30" s="132">
        <f>HY!V182</f>
        <v>1201.4999999999998</v>
      </c>
      <c r="P30" s="132">
        <f>HY!W182</f>
        <v>1306.9912626</v>
      </c>
      <c r="Q30" s="132">
        <f>HY!X182</f>
        <v>1228.5870538500001</v>
      </c>
      <c r="R30" s="132">
        <f>HY!Y182</f>
        <v>1311.5464535010001</v>
      </c>
      <c r="S30" s="132">
        <f>HY!Z182</f>
        <v>1242.032782024</v>
      </c>
      <c r="T30" s="132">
        <f>HY!AA182</f>
        <v>1323.7522634282996</v>
      </c>
      <c r="U30" s="132">
        <f>HY!AB182</f>
        <v>1252.1775538494801</v>
      </c>
      <c r="V30" s="132">
        <f>HY!AC182</f>
        <v>1352.9485652203171</v>
      </c>
      <c r="W30" s="132">
        <f>HY!AD182</f>
        <v>1280.1736667176647</v>
      </c>
      <c r="X30" s="132">
        <f>HY!AE182</f>
        <v>1372.4532846330467</v>
      </c>
      <c r="Y30" s="132">
        <f>HY!AF182</f>
        <v>1299.4081849496483</v>
      </c>
      <c r="Z30" s="132">
        <f>HY!AG182</f>
        <v>1392.752423003597</v>
      </c>
      <c r="AA30" s="132">
        <f>HY!AH182</f>
        <v>1319.4098856462872</v>
      </c>
      <c r="AB30" s="132">
        <f>HY!AI182</f>
        <v>1413.8677201269479</v>
      </c>
      <c r="AC30" s="132">
        <f>HY!AJ182</f>
        <v>1340.1998828123442</v>
      </c>
      <c r="AD30" s="132">
        <f>HY!AK182</f>
        <v>1435.8215889196676</v>
      </c>
      <c r="AE30" s="132">
        <f>HY!AL182</f>
        <v>1361.7999428874157</v>
      </c>
      <c r="AG30" s="132">
        <f t="shared" ref="AG30:AS36" si="10">SUMIFS($F30:$AE30,$F$3:$AE$3,AG$5)</f>
        <v>2181.9</v>
      </c>
      <c r="AH30" s="132">
        <f t="shared" si="10"/>
        <v>2230.8000000000002</v>
      </c>
      <c r="AI30" s="132">
        <f t="shared" si="10"/>
        <v>2162.8000000000002</v>
      </c>
      <c r="AJ30" s="132">
        <f t="shared" si="10"/>
        <v>2438.8000000000002</v>
      </c>
      <c r="AK30" s="132">
        <f t="shared" si="10"/>
        <v>2454.6999999999998</v>
      </c>
      <c r="AL30" s="132">
        <f t="shared" si="10"/>
        <v>2535.5783164499999</v>
      </c>
      <c r="AM30" s="132">
        <f t="shared" si="10"/>
        <v>2553.5792355250001</v>
      </c>
      <c r="AN30" s="132">
        <f t="shared" si="10"/>
        <v>2575.9298172777799</v>
      </c>
      <c r="AO30" s="132">
        <f t="shared" si="10"/>
        <v>2633.1222319379817</v>
      </c>
      <c r="AP30" s="132">
        <f t="shared" si="10"/>
        <v>2671.861469582695</v>
      </c>
      <c r="AQ30" s="132">
        <f t="shared" si="10"/>
        <v>2712.1623086498839</v>
      </c>
      <c r="AR30" s="132">
        <f t="shared" si="10"/>
        <v>2754.0676029392921</v>
      </c>
      <c r="AS30" s="132">
        <f t="shared" si="10"/>
        <v>2797.6215318070836</v>
      </c>
      <c r="AU30" s="132"/>
      <c r="AV30" s="132"/>
      <c r="AW30" s="132"/>
      <c r="AX30" s="132"/>
      <c r="AY30" s="132"/>
      <c r="AZ30" s="132"/>
      <c r="BA30" s="132"/>
      <c r="BB30" s="132"/>
      <c r="BC30" s="132"/>
      <c r="BD30" s="132"/>
      <c r="BE30" s="132"/>
      <c r="BF30" s="132"/>
      <c r="BG30" s="132"/>
      <c r="BH30" s="132"/>
      <c r="BI30" s="132"/>
      <c r="BJ30" s="132"/>
      <c r="BK30" s="132"/>
      <c r="BL30" s="132"/>
      <c r="BM30" s="132"/>
      <c r="BN30" s="132"/>
      <c r="BO30" s="132"/>
      <c r="BP30" s="132"/>
      <c r="BQ30" s="132"/>
      <c r="BR30" s="132"/>
      <c r="BS30" s="132"/>
      <c r="BT30" s="132"/>
      <c r="BV30" s="132"/>
      <c r="BW30" s="132"/>
      <c r="BX30" s="132"/>
      <c r="BY30" s="132"/>
      <c r="BZ30" s="132"/>
      <c r="CA30" s="132"/>
      <c r="CB30" s="132"/>
      <c r="CC30" s="132"/>
      <c r="CD30" s="132"/>
      <c r="CE30" s="132"/>
      <c r="CF30" s="132"/>
      <c r="CG30" s="132"/>
      <c r="CH30" s="132"/>
      <c r="CM30" s="132"/>
      <c r="CN30" s="132"/>
      <c r="CO30" s="132"/>
      <c r="CP30" s="132"/>
      <c r="CQ30" s="132"/>
      <c r="CR30" s="132"/>
      <c r="CS30" s="132"/>
      <c r="CT30" s="132"/>
      <c r="CU30" s="132"/>
      <c r="CV30" s="132"/>
      <c r="CW30" s="132"/>
      <c r="CX30" s="132"/>
      <c r="CY30" s="132"/>
      <c r="CZ30" s="132"/>
      <c r="DA30" s="132"/>
      <c r="DB30" s="132"/>
      <c r="DC30" s="132"/>
      <c r="DD30" s="132"/>
      <c r="DE30" s="132"/>
      <c r="DF30" s="132"/>
      <c r="DG30" s="132"/>
      <c r="DH30" s="132"/>
      <c r="DI30" s="132"/>
      <c r="DJ30" s="132"/>
      <c r="DK30" s="132"/>
      <c r="DL30" s="132"/>
      <c r="DN30" s="132"/>
      <c r="DO30" s="132"/>
      <c r="DP30" s="132"/>
      <c r="DQ30" s="132"/>
      <c r="DR30" s="132"/>
      <c r="DS30" s="132"/>
      <c r="DT30" s="132"/>
      <c r="DU30" s="132"/>
      <c r="DV30" s="132"/>
      <c r="DW30" s="132"/>
      <c r="DX30" s="132"/>
      <c r="DY30" s="132"/>
      <c r="DZ30" s="132"/>
    </row>
    <row r="31" spans="1:130">
      <c r="B31" s="138" t="s">
        <v>1272</v>
      </c>
      <c r="C31" s="82" t="s">
        <v>900</v>
      </c>
      <c r="E31" s="24"/>
      <c r="F31" s="132">
        <f>HY!M185</f>
        <v>-678.50000000000011</v>
      </c>
      <c r="G31" s="132">
        <f>HY!N185</f>
        <v>-702.1</v>
      </c>
      <c r="H31" s="132">
        <f>HY!O185</f>
        <v>-767.40000000000009</v>
      </c>
      <c r="I31" s="132">
        <f>HY!P185</f>
        <v>-688.40000000000009</v>
      </c>
      <c r="J31" s="132">
        <f>HY!Q185</f>
        <v>-722.69999999999993</v>
      </c>
      <c r="K31" s="132">
        <f>HY!R185</f>
        <v>-681.9000000000002</v>
      </c>
      <c r="L31" s="132">
        <f>HY!S185</f>
        <v>-785.1</v>
      </c>
      <c r="M31" s="132">
        <f>HY!T185</f>
        <v>-737.80000000000018</v>
      </c>
      <c r="N31" s="132">
        <f>HY!U185</f>
        <v>-775.80000000000007</v>
      </c>
      <c r="O31" s="132">
        <f>HY!V185</f>
        <v>-725.6999999999997</v>
      </c>
      <c r="P31" s="132">
        <f>HY!W185</f>
        <v>-790.72971387300004</v>
      </c>
      <c r="Q31" s="132">
        <f>HY!X185</f>
        <v>-743.29516757925001</v>
      </c>
      <c r="R31" s="132">
        <f>HY!Y185</f>
        <v>-793.48560436810499</v>
      </c>
      <c r="S31" s="132">
        <f>HY!Z185</f>
        <v>-751.42983312451997</v>
      </c>
      <c r="T31" s="132">
        <f>HY!AA185</f>
        <v>-800.87011937412126</v>
      </c>
      <c r="U31" s="132">
        <f>HY!AB185</f>
        <v>-757.56742007893536</v>
      </c>
      <c r="V31" s="132">
        <f>HY!AC185</f>
        <v>-818.53388195829177</v>
      </c>
      <c r="W31" s="132">
        <f>HY!AD185</f>
        <v>-774.50506836418708</v>
      </c>
      <c r="X31" s="132">
        <f>HY!AE185</f>
        <v>-830.33423720299322</v>
      </c>
      <c r="Y31" s="132">
        <f>HY!AF185</f>
        <v>-786.14195189453721</v>
      </c>
      <c r="Z31" s="132">
        <f>HY!AG185</f>
        <v>-842.6152159171761</v>
      </c>
      <c r="AA31" s="132">
        <f>HY!AH185</f>
        <v>-798.24298081600375</v>
      </c>
      <c r="AB31" s="132">
        <f>HY!AI185</f>
        <v>-855.3899706768035</v>
      </c>
      <c r="AC31" s="132">
        <f>HY!AJ185</f>
        <v>-810.82092910146821</v>
      </c>
      <c r="AD31" s="132">
        <f>HY!AK185</f>
        <v>-868.67206129639885</v>
      </c>
      <c r="AE31" s="132">
        <f>HY!AL185</f>
        <v>-823.88896544688646</v>
      </c>
      <c r="AG31" s="132">
        <f t="shared" si="10"/>
        <v>-1380.6000000000001</v>
      </c>
      <c r="AH31" s="132">
        <f t="shared" si="10"/>
        <v>-1455.8000000000002</v>
      </c>
      <c r="AI31" s="132">
        <f t="shared" si="10"/>
        <v>-1404.6000000000001</v>
      </c>
      <c r="AJ31" s="132">
        <f t="shared" si="10"/>
        <v>-1522.9</v>
      </c>
      <c r="AK31" s="132">
        <f t="shared" si="10"/>
        <v>-1501.4999999999998</v>
      </c>
      <c r="AL31" s="132">
        <f t="shared" si="10"/>
        <v>-1534.0248814522502</v>
      </c>
      <c r="AM31" s="132">
        <f t="shared" si="10"/>
        <v>-1544.915437492625</v>
      </c>
      <c r="AN31" s="132">
        <f t="shared" si="10"/>
        <v>-1558.4375394530566</v>
      </c>
      <c r="AO31" s="132">
        <f t="shared" si="10"/>
        <v>-1593.0389503224787</v>
      </c>
      <c r="AP31" s="132">
        <f t="shared" si="10"/>
        <v>-1616.4761890975306</v>
      </c>
      <c r="AQ31" s="132">
        <f t="shared" si="10"/>
        <v>-1640.8581967331797</v>
      </c>
      <c r="AR31" s="132">
        <f t="shared" si="10"/>
        <v>-1666.2108997782716</v>
      </c>
      <c r="AS31" s="132">
        <f t="shared" si="10"/>
        <v>-1692.5610267432853</v>
      </c>
      <c r="AU31" s="132"/>
      <c r="AV31" s="132"/>
      <c r="AW31" s="132"/>
      <c r="AX31" s="132"/>
      <c r="AY31" s="132"/>
      <c r="AZ31" s="132"/>
      <c r="BA31" s="132"/>
      <c r="BB31" s="132"/>
      <c r="BC31" s="132"/>
      <c r="BD31" s="132"/>
      <c r="BE31" s="132"/>
      <c r="BF31" s="132"/>
      <c r="BG31" s="132"/>
      <c r="BH31" s="132"/>
      <c r="BI31" s="132"/>
      <c r="BJ31" s="132"/>
      <c r="BK31" s="132"/>
      <c r="BL31" s="132"/>
      <c r="BM31" s="132"/>
      <c r="BN31" s="132"/>
      <c r="BO31" s="132"/>
      <c r="BP31" s="132"/>
      <c r="BQ31" s="132"/>
      <c r="BR31" s="132"/>
      <c r="BS31" s="132"/>
      <c r="BT31" s="132"/>
      <c r="BV31" s="132"/>
      <c r="BW31" s="132"/>
      <c r="BX31" s="132"/>
      <c r="BY31" s="132"/>
      <c r="BZ31" s="132"/>
      <c r="CA31" s="132"/>
      <c r="CB31" s="132"/>
      <c r="CC31" s="132"/>
      <c r="CD31" s="132"/>
      <c r="CE31" s="132"/>
      <c r="CF31" s="132"/>
      <c r="CG31" s="132"/>
      <c r="CH31" s="132"/>
      <c r="CM31" s="132"/>
      <c r="CN31" s="132"/>
      <c r="CO31" s="132"/>
      <c r="CP31" s="132"/>
      <c r="CQ31" s="132"/>
      <c r="CR31" s="132"/>
      <c r="CS31" s="132"/>
      <c r="CT31" s="132"/>
      <c r="CU31" s="132"/>
      <c r="CV31" s="132"/>
      <c r="CW31" s="132"/>
      <c r="CX31" s="132"/>
      <c r="CY31" s="132"/>
      <c r="CZ31" s="132"/>
      <c r="DA31" s="132"/>
      <c r="DB31" s="132"/>
      <c r="DC31" s="132"/>
      <c r="DD31" s="132"/>
      <c r="DE31" s="132"/>
      <c r="DF31" s="132"/>
      <c r="DG31" s="132"/>
      <c r="DH31" s="132"/>
      <c r="DI31" s="132"/>
      <c r="DJ31" s="132"/>
      <c r="DK31" s="132"/>
      <c r="DL31" s="132"/>
      <c r="DN31" s="132"/>
      <c r="DO31" s="132"/>
      <c r="DP31" s="132"/>
      <c r="DQ31" s="132"/>
      <c r="DR31" s="132"/>
      <c r="DS31" s="132"/>
      <c r="DT31" s="132"/>
      <c r="DU31" s="132"/>
      <c r="DV31" s="132"/>
      <c r="DW31" s="132"/>
      <c r="DX31" s="132"/>
      <c r="DY31" s="132"/>
      <c r="DZ31" s="132"/>
    </row>
    <row r="32" spans="1:130">
      <c r="B32" s="138" t="s">
        <v>1218</v>
      </c>
      <c r="C32" s="82" t="s">
        <v>900</v>
      </c>
      <c r="E32" s="7"/>
      <c r="F32" s="132">
        <f>HY!M193</f>
        <v>394.9</v>
      </c>
      <c r="G32" s="132">
        <f>HY!N193</f>
        <v>406.4</v>
      </c>
      <c r="H32" s="132">
        <f>HY!O193</f>
        <v>398.3</v>
      </c>
      <c r="I32" s="132">
        <f>HY!P193</f>
        <v>376.7</v>
      </c>
      <c r="J32" s="132">
        <f>HY!Q193</f>
        <v>393.9</v>
      </c>
      <c r="K32" s="132">
        <f>HY!R193</f>
        <v>364.30000000000007</v>
      </c>
      <c r="L32" s="132">
        <f>HY!S193</f>
        <v>458.1</v>
      </c>
      <c r="M32" s="132">
        <f>HY!T193</f>
        <v>457.79999999999995</v>
      </c>
      <c r="N32" s="132">
        <f>HY!U193</f>
        <v>477.4</v>
      </c>
      <c r="O32" s="132">
        <f>HY!V193</f>
        <v>475.80000000000007</v>
      </c>
      <c r="P32" s="132">
        <f>HY!W193</f>
        <v>516.26154872699999</v>
      </c>
      <c r="Q32" s="132">
        <f>HY!X193</f>
        <v>485.29188627075007</v>
      </c>
      <c r="R32" s="132">
        <f>HY!Y193</f>
        <v>518.0608491328951</v>
      </c>
      <c r="S32" s="132">
        <f>HY!Z193</f>
        <v>490.60294889948</v>
      </c>
      <c r="T32" s="132">
        <f>HY!AA193</f>
        <v>522.8821440541783</v>
      </c>
      <c r="U32" s="132">
        <f>HY!AB193</f>
        <v>494.61013377054468</v>
      </c>
      <c r="V32" s="132">
        <f>HY!AC193</f>
        <v>534.41468326202528</v>
      </c>
      <c r="W32" s="132">
        <f>HY!AD193</f>
        <v>505.66859835347759</v>
      </c>
      <c r="X32" s="132">
        <f>HY!AE193</f>
        <v>542.11904743005346</v>
      </c>
      <c r="Y32" s="132">
        <f>HY!AF193</f>
        <v>513.26623305511112</v>
      </c>
      <c r="Z32" s="132">
        <f>HY!AG193</f>
        <v>550.13720708642086</v>
      </c>
      <c r="AA32" s="132">
        <f>HY!AH193</f>
        <v>521.16690483028344</v>
      </c>
      <c r="AB32" s="132">
        <f>HY!AI193</f>
        <v>558.47774945014442</v>
      </c>
      <c r="AC32" s="132">
        <f>HY!AJ193</f>
        <v>529.37895371087598</v>
      </c>
      <c r="AD32" s="132">
        <f>HY!AK193</f>
        <v>567.1495276232688</v>
      </c>
      <c r="AE32" s="132">
        <f>HY!AL193</f>
        <v>537.91097744052922</v>
      </c>
      <c r="AG32" s="132">
        <f t="shared" si="10"/>
        <v>801.3</v>
      </c>
      <c r="AH32" s="132">
        <f t="shared" si="10"/>
        <v>775</v>
      </c>
      <c r="AI32" s="132">
        <f t="shared" si="10"/>
        <v>758.2</v>
      </c>
      <c r="AJ32" s="132">
        <f t="shared" si="10"/>
        <v>915.9</v>
      </c>
      <c r="AK32" s="132">
        <f t="shared" si="10"/>
        <v>953.2</v>
      </c>
      <c r="AL32" s="132">
        <f t="shared" si="10"/>
        <v>1001.5534349977501</v>
      </c>
      <c r="AM32" s="132">
        <f t="shared" si="10"/>
        <v>1008.6637980323751</v>
      </c>
      <c r="AN32" s="132">
        <f t="shared" si="10"/>
        <v>1017.492277824723</v>
      </c>
      <c r="AO32" s="132">
        <f t="shared" si="10"/>
        <v>1040.083281615503</v>
      </c>
      <c r="AP32" s="132">
        <f t="shared" si="10"/>
        <v>1055.3852804851645</v>
      </c>
      <c r="AQ32" s="132">
        <f t="shared" si="10"/>
        <v>1071.3041119167042</v>
      </c>
      <c r="AR32" s="132">
        <f t="shared" si="10"/>
        <v>1087.8567031610205</v>
      </c>
      <c r="AS32" s="132">
        <f t="shared" si="10"/>
        <v>1105.060505063798</v>
      </c>
      <c r="AU32" s="132"/>
      <c r="AV32" s="132"/>
      <c r="AW32" s="132"/>
      <c r="AX32" s="132"/>
      <c r="AY32" s="132"/>
      <c r="AZ32" s="132"/>
      <c r="BA32" s="132"/>
      <c r="BB32" s="132"/>
      <c r="BC32" s="132"/>
      <c r="BD32" s="132"/>
      <c r="BE32" s="132"/>
      <c r="BF32" s="132"/>
      <c r="BG32" s="132"/>
      <c r="BH32" s="132"/>
      <c r="BI32" s="132"/>
      <c r="BJ32" s="132"/>
      <c r="BK32" s="132"/>
      <c r="BL32" s="132"/>
      <c r="BM32" s="132"/>
      <c r="BN32" s="132"/>
      <c r="BO32" s="132"/>
      <c r="BP32" s="132"/>
      <c r="BQ32" s="132"/>
      <c r="BR32" s="132"/>
      <c r="BS32" s="132"/>
      <c r="BT32" s="132"/>
      <c r="BV32" s="132"/>
      <c r="BW32" s="132"/>
      <c r="BX32" s="132"/>
      <c r="BY32" s="132"/>
      <c r="BZ32" s="132"/>
      <c r="CA32" s="132"/>
      <c r="CB32" s="132"/>
      <c r="CC32" s="132"/>
      <c r="CD32" s="132"/>
      <c r="CE32" s="132"/>
      <c r="CF32" s="132"/>
      <c r="CG32" s="132"/>
      <c r="CH32" s="132"/>
      <c r="CM32" s="132"/>
      <c r="CN32" s="132"/>
      <c r="CO32" s="132"/>
      <c r="CP32" s="132"/>
      <c r="CQ32" s="132"/>
      <c r="CR32" s="132"/>
      <c r="CS32" s="132"/>
      <c r="CT32" s="132"/>
      <c r="CU32" s="132"/>
      <c r="CV32" s="132"/>
      <c r="CW32" s="132"/>
      <c r="CX32" s="132"/>
      <c r="CY32" s="132"/>
      <c r="CZ32" s="132"/>
      <c r="DA32" s="132"/>
      <c r="DB32" s="132"/>
      <c r="DC32" s="132"/>
      <c r="DD32" s="132"/>
      <c r="DE32" s="132"/>
      <c r="DF32" s="132"/>
      <c r="DG32" s="132"/>
      <c r="DH32" s="132"/>
      <c r="DI32" s="132"/>
      <c r="DJ32" s="132"/>
      <c r="DK32" s="132"/>
      <c r="DL32" s="132"/>
      <c r="DN32" s="132"/>
      <c r="DO32" s="132"/>
      <c r="DP32" s="132"/>
      <c r="DQ32" s="132"/>
      <c r="DR32" s="132"/>
      <c r="DS32" s="132"/>
      <c r="DT32" s="132"/>
      <c r="DU32" s="132"/>
      <c r="DV32" s="132"/>
      <c r="DW32" s="132"/>
      <c r="DX32" s="132"/>
      <c r="DY32" s="132"/>
      <c r="DZ32" s="132"/>
    </row>
    <row r="33" spans="2:130">
      <c r="B33" s="138" t="s">
        <v>4</v>
      </c>
      <c r="C33" s="82" t="s">
        <v>900</v>
      </c>
      <c r="E33" s="7"/>
      <c r="F33" s="132">
        <f>HY!M201</f>
        <v>-257</v>
      </c>
      <c r="G33" s="132">
        <f>HY!N201</f>
        <v>-257.29999999999995</v>
      </c>
      <c r="H33" s="132">
        <f>HY!O201</f>
        <v>-243.9</v>
      </c>
      <c r="I33" s="132">
        <f>HY!P201</f>
        <v>-223.1</v>
      </c>
      <c r="J33" s="132">
        <f>HY!Q201</f>
        <v>-259.89999999999998</v>
      </c>
      <c r="K33" s="132">
        <f>HY!R201</f>
        <v>-247.10000000000002</v>
      </c>
      <c r="L33" s="132">
        <f>HY!S201</f>
        <v>-301.39999999999998</v>
      </c>
      <c r="M33" s="132">
        <f>HY!T201</f>
        <v>-285.39999999999998</v>
      </c>
      <c r="N33" s="132">
        <f>HY!U201</f>
        <v>-296</v>
      </c>
      <c r="O33" s="132">
        <f>HY!V201</f>
        <v>-295.39999999999998</v>
      </c>
      <c r="P33" s="132">
        <f>HY!W201</f>
        <v>-306.06400000000002</v>
      </c>
      <c r="Q33" s="132">
        <f>HY!X201</f>
        <v>-305.00049999999999</v>
      </c>
      <c r="R33" s="132">
        <f>HY!Y201</f>
        <v>-315.24592000000001</v>
      </c>
      <c r="S33" s="132">
        <f>HY!Z201</f>
        <v>-314.15051499999998</v>
      </c>
      <c r="T33" s="132">
        <f>HY!AA201</f>
        <v>-324.70329760000004</v>
      </c>
      <c r="U33" s="132">
        <f>HY!AB201</f>
        <v>-323.57503044999999</v>
      </c>
      <c r="V33" s="132">
        <f>HY!AC201</f>
        <v>-334.44439652800003</v>
      </c>
      <c r="W33" s="132">
        <f>HY!AD201</f>
        <v>-333.28228136349998</v>
      </c>
      <c r="X33" s="132">
        <f>HY!AE201</f>
        <v>-341.13328445856001</v>
      </c>
      <c r="Y33" s="132">
        <f>HY!AF201</f>
        <v>-339.94792699076999</v>
      </c>
      <c r="Z33" s="132">
        <f>HY!AG201</f>
        <v>-347.95595014773124</v>
      </c>
      <c r="AA33" s="132">
        <f>HY!AH201</f>
        <v>-346.74688553058542</v>
      </c>
      <c r="AB33" s="132">
        <f>HY!AI201</f>
        <v>-354.91506915068589</v>
      </c>
      <c r="AC33" s="132">
        <f>HY!AJ201</f>
        <v>-353.68182324119715</v>
      </c>
      <c r="AD33" s="132">
        <f>HY!AK201</f>
        <v>-362.01337053369963</v>
      </c>
      <c r="AE33" s="132">
        <f>HY!AL201</f>
        <v>-360.7554597060211</v>
      </c>
      <c r="AG33" s="132">
        <f t="shared" si="10"/>
        <v>-514.29999999999995</v>
      </c>
      <c r="AH33" s="132">
        <f t="shared" si="10"/>
        <v>-467</v>
      </c>
      <c r="AI33" s="132">
        <f t="shared" si="10"/>
        <v>-507</v>
      </c>
      <c r="AJ33" s="132">
        <f t="shared" si="10"/>
        <v>-586.79999999999995</v>
      </c>
      <c r="AK33" s="132">
        <f t="shared" si="10"/>
        <v>-591.4</v>
      </c>
      <c r="AL33" s="132">
        <f t="shared" si="10"/>
        <v>-611.06449999999995</v>
      </c>
      <c r="AM33" s="132">
        <f t="shared" si="10"/>
        <v>-629.396435</v>
      </c>
      <c r="AN33" s="132">
        <f t="shared" si="10"/>
        <v>-648.27832805000003</v>
      </c>
      <c r="AO33" s="132">
        <f t="shared" si="10"/>
        <v>-667.7266778915</v>
      </c>
      <c r="AP33" s="132">
        <f t="shared" si="10"/>
        <v>-681.08121144933</v>
      </c>
      <c r="AQ33" s="132">
        <f t="shared" si="10"/>
        <v>-694.70283567831666</v>
      </c>
      <c r="AR33" s="132">
        <f t="shared" si="10"/>
        <v>-708.5968923918831</v>
      </c>
      <c r="AS33" s="132">
        <f t="shared" si="10"/>
        <v>-722.76883023972073</v>
      </c>
      <c r="AU33" s="132"/>
      <c r="AV33" s="132"/>
      <c r="AW33" s="132"/>
      <c r="AX33" s="132"/>
      <c r="AY33" s="132"/>
      <c r="AZ33" s="132"/>
      <c r="BA33" s="132"/>
      <c r="BB33" s="132"/>
      <c r="BC33" s="132"/>
      <c r="BD33" s="132"/>
      <c r="BE33" s="132"/>
      <c r="BF33" s="132"/>
      <c r="BG33" s="132"/>
      <c r="BH33" s="132"/>
      <c r="BI33" s="132"/>
      <c r="BJ33" s="132"/>
      <c r="BK33" s="132"/>
      <c r="BL33" s="132"/>
      <c r="BM33" s="132"/>
      <c r="BN33" s="132"/>
      <c r="BO33" s="132"/>
      <c r="BP33" s="132"/>
      <c r="BQ33" s="132"/>
      <c r="BR33" s="132"/>
      <c r="BS33" s="132"/>
      <c r="BT33" s="132"/>
      <c r="BV33" s="132"/>
      <c r="BW33" s="132"/>
      <c r="BX33" s="132"/>
      <c r="BY33" s="132"/>
      <c r="BZ33" s="132"/>
      <c r="CA33" s="132"/>
      <c r="CB33" s="132"/>
      <c r="CC33" s="132"/>
      <c r="CD33" s="132"/>
      <c r="CE33" s="132"/>
      <c r="CF33" s="132"/>
      <c r="CG33" s="132"/>
      <c r="CH33" s="132"/>
      <c r="CM33" s="132"/>
      <c r="CN33" s="132"/>
      <c r="CO33" s="132"/>
      <c r="CP33" s="132"/>
      <c r="CQ33" s="132"/>
      <c r="CR33" s="132"/>
      <c r="CS33" s="132"/>
      <c r="CT33" s="132"/>
      <c r="CU33" s="132"/>
      <c r="CV33" s="132"/>
      <c r="CW33" s="132"/>
      <c r="CX33" s="132"/>
      <c r="CY33" s="132"/>
      <c r="CZ33" s="132"/>
      <c r="DA33" s="132"/>
      <c r="DB33" s="132"/>
      <c r="DC33" s="132"/>
      <c r="DD33" s="132"/>
      <c r="DE33" s="132"/>
      <c r="DF33" s="132"/>
      <c r="DG33" s="132"/>
      <c r="DH33" s="132"/>
      <c r="DI33" s="132"/>
      <c r="DJ33" s="132"/>
      <c r="DK33" s="132"/>
      <c r="DL33" s="132"/>
      <c r="DN33" s="132"/>
      <c r="DO33" s="132"/>
      <c r="DP33" s="132"/>
      <c r="DQ33" s="132"/>
      <c r="DR33" s="132"/>
      <c r="DS33" s="132"/>
      <c r="DT33" s="132"/>
      <c r="DU33" s="132"/>
      <c r="DV33" s="132"/>
      <c r="DW33" s="132"/>
      <c r="DX33" s="132"/>
      <c r="DY33" s="132"/>
      <c r="DZ33" s="132"/>
    </row>
    <row r="34" spans="2:130">
      <c r="B34" s="138" t="s">
        <v>2</v>
      </c>
      <c r="C34" s="82" t="s">
        <v>900</v>
      </c>
      <c r="E34" s="7"/>
      <c r="F34" s="132">
        <f>HY!M210</f>
        <v>137.9</v>
      </c>
      <c r="G34" s="132">
        <f>HY!N210</f>
        <v>149.1</v>
      </c>
      <c r="H34" s="132">
        <f>HY!O210</f>
        <v>154.4</v>
      </c>
      <c r="I34" s="132">
        <f>HY!P210</f>
        <v>153.6</v>
      </c>
      <c r="J34" s="132">
        <f>HY!Q210</f>
        <v>134</v>
      </c>
      <c r="K34" s="132">
        <f>HY!R210</f>
        <v>117.19999999999999</v>
      </c>
      <c r="L34" s="132">
        <f>HY!S210</f>
        <v>156.69999999999999</v>
      </c>
      <c r="M34" s="132">
        <f>HY!T210</f>
        <v>172.40000000000003</v>
      </c>
      <c r="N34" s="132">
        <f>HY!U210</f>
        <v>181.4</v>
      </c>
      <c r="O34" s="132">
        <f>HY!V210</f>
        <v>180.4</v>
      </c>
      <c r="P34" s="132">
        <f>HY!W210</f>
        <v>210.19754872699997</v>
      </c>
      <c r="Q34" s="132">
        <f>HY!X210</f>
        <v>180.29138627075008</v>
      </c>
      <c r="R34" s="132">
        <f>HY!Y210</f>
        <v>202.81492913289509</v>
      </c>
      <c r="S34" s="132">
        <f>HY!Z210</f>
        <v>176.45243389948001</v>
      </c>
      <c r="T34" s="132">
        <f>HY!AA210</f>
        <v>198.17884645417826</v>
      </c>
      <c r="U34" s="132">
        <f>HY!AB210</f>
        <v>171.03510332054469</v>
      </c>
      <c r="V34" s="132">
        <f>HY!AC210</f>
        <v>199.97028673402525</v>
      </c>
      <c r="W34" s="132">
        <f>HY!AD210</f>
        <v>172.38631698997762</v>
      </c>
      <c r="X34" s="132">
        <f>HY!AE210</f>
        <v>200.98576297149344</v>
      </c>
      <c r="Y34" s="132">
        <f>HY!AF210</f>
        <v>173.31830606434113</v>
      </c>
      <c r="Z34" s="132">
        <f>HY!AG210</f>
        <v>202.18125693868961</v>
      </c>
      <c r="AA34" s="132">
        <f>HY!AH210</f>
        <v>174.42001929969803</v>
      </c>
      <c r="AB34" s="132">
        <f>HY!AI210</f>
        <v>203.56268029945852</v>
      </c>
      <c r="AC34" s="132">
        <f>HY!AJ210</f>
        <v>175.69713046967883</v>
      </c>
      <c r="AD34" s="132">
        <f>HY!AK210</f>
        <v>205.13615708956917</v>
      </c>
      <c r="AE34" s="132">
        <f>HY!AL210</f>
        <v>177.15551773450812</v>
      </c>
      <c r="AG34" s="132">
        <f t="shared" si="10"/>
        <v>287</v>
      </c>
      <c r="AH34" s="132">
        <f t="shared" si="10"/>
        <v>308</v>
      </c>
      <c r="AI34" s="132">
        <f t="shared" si="10"/>
        <v>251.2</v>
      </c>
      <c r="AJ34" s="132">
        <f t="shared" si="10"/>
        <v>329.1</v>
      </c>
      <c r="AK34" s="132">
        <f t="shared" si="10"/>
        <v>361.8</v>
      </c>
      <c r="AL34" s="132">
        <f t="shared" si="10"/>
        <v>390.48893499775005</v>
      </c>
      <c r="AM34" s="132">
        <f t="shared" si="10"/>
        <v>379.2673630323751</v>
      </c>
      <c r="AN34" s="132">
        <f t="shared" si="10"/>
        <v>369.21394977472295</v>
      </c>
      <c r="AO34" s="132">
        <f t="shared" si="10"/>
        <v>372.35660372400287</v>
      </c>
      <c r="AP34" s="132">
        <f t="shared" si="10"/>
        <v>374.30406903583457</v>
      </c>
      <c r="AQ34" s="132">
        <f t="shared" si="10"/>
        <v>376.60127623838764</v>
      </c>
      <c r="AR34" s="132">
        <f t="shared" si="10"/>
        <v>379.25981076913735</v>
      </c>
      <c r="AS34" s="132">
        <f t="shared" si="10"/>
        <v>382.29167482407729</v>
      </c>
      <c r="AU34" s="132"/>
      <c r="AV34" s="132"/>
      <c r="AW34" s="132"/>
      <c r="AX34" s="132"/>
      <c r="AY34" s="132"/>
      <c r="AZ34" s="132"/>
      <c r="BA34" s="132"/>
      <c r="BB34" s="132"/>
      <c r="BC34" s="132"/>
      <c r="BD34" s="132"/>
      <c r="BE34" s="132"/>
      <c r="BF34" s="132"/>
      <c r="BG34" s="132"/>
      <c r="BH34" s="132"/>
      <c r="BI34" s="132"/>
      <c r="BJ34" s="132"/>
      <c r="BK34" s="132"/>
      <c r="BL34" s="132"/>
      <c r="BM34" s="132"/>
      <c r="BN34" s="132"/>
      <c r="BO34" s="132"/>
      <c r="BP34" s="132"/>
      <c r="BQ34" s="132"/>
      <c r="BR34" s="132"/>
      <c r="BS34" s="132"/>
      <c r="BT34" s="132"/>
      <c r="BV34" s="132"/>
      <c r="BW34" s="132"/>
      <c r="BX34" s="132"/>
      <c r="BY34" s="132"/>
      <c r="BZ34" s="132"/>
      <c r="CA34" s="132"/>
      <c r="CB34" s="132"/>
      <c r="CC34" s="132"/>
      <c r="CD34" s="132"/>
      <c r="CE34" s="132"/>
      <c r="CF34" s="132"/>
      <c r="CG34" s="132"/>
      <c r="CH34" s="132"/>
      <c r="CM34" s="132"/>
      <c r="CN34" s="132"/>
      <c r="CO34" s="132"/>
      <c r="CP34" s="132"/>
      <c r="CQ34" s="132"/>
      <c r="CR34" s="132"/>
      <c r="CS34" s="132"/>
      <c r="CT34" s="132"/>
      <c r="CU34" s="132"/>
      <c r="CV34" s="132"/>
      <c r="CW34" s="132"/>
      <c r="CX34" s="132"/>
      <c r="CY34" s="132"/>
      <c r="CZ34" s="132"/>
      <c r="DA34" s="132"/>
      <c r="DB34" s="132"/>
      <c r="DC34" s="132"/>
      <c r="DD34" s="132"/>
      <c r="DE34" s="132"/>
      <c r="DF34" s="132"/>
      <c r="DG34" s="132"/>
      <c r="DH34" s="132"/>
      <c r="DI34" s="132"/>
      <c r="DJ34" s="132"/>
      <c r="DK34" s="132"/>
      <c r="DL34" s="132"/>
      <c r="DN34" s="132"/>
      <c r="DO34" s="132"/>
      <c r="DP34" s="132"/>
      <c r="DQ34" s="132"/>
      <c r="DR34" s="132"/>
      <c r="DS34" s="132"/>
      <c r="DT34" s="132"/>
      <c r="DU34" s="132"/>
      <c r="DV34" s="132"/>
      <c r="DW34" s="132"/>
      <c r="DX34" s="132"/>
      <c r="DY34" s="132"/>
      <c r="DZ34" s="132"/>
    </row>
    <row r="35" spans="2:130">
      <c r="B35" s="138" t="s">
        <v>48</v>
      </c>
      <c r="C35" s="82" t="s">
        <v>900</v>
      </c>
      <c r="E35" s="7"/>
      <c r="F35" s="132">
        <f>HY!M214</f>
        <v>-105.2</v>
      </c>
      <c r="G35" s="132">
        <f>HY!N214</f>
        <v>-109.8</v>
      </c>
      <c r="H35" s="132">
        <f>HY!O214</f>
        <v>-96.5</v>
      </c>
      <c r="I35" s="132">
        <f>HY!P214</f>
        <v>-95.300000000000011</v>
      </c>
      <c r="J35" s="132">
        <f>HY!Q214</f>
        <v>-100.7</v>
      </c>
      <c r="K35" s="132">
        <f>HY!R214</f>
        <v>-80.2</v>
      </c>
      <c r="L35" s="132">
        <f>HY!S214</f>
        <v>-77.3</v>
      </c>
      <c r="M35" s="132">
        <f>HY!T214</f>
        <v>-83.600000000000009</v>
      </c>
      <c r="N35" s="132">
        <f>HY!U214</f>
        <v>-86.1</v>
      </c>
      <c r="O35" s="132">
        <f>HY!V214</f>
        <v>-84.5</v>
      </c>
      <c r="P35" s="132">
        <f>HY!W214</f>
        <v>0</v>
      </c>
      <c r="Q35" s="132">
        <f>HY!X214</f>
        <v>0</v>
      </c>
      <c r="R35" s="132">
        <f>HY!Y214</f>
        <v>0</v>
      </c>
      <c r="S35" s="132">
        <f>HY!Z214</f>
        <v>0</v>
      </c>
      <c r="T35" s="132">
        <f>HY!AA214</f>
        <v>0</v>
      </c>
      <c r="U35" s="132">
        <f>HY!AB214</f>
        <v>0</v>
      </c>
      <c r="V35" s="132">
        <f>HY!AC214</f>
        <v>0</v>
      </c>
      <c r="W35" s="132">
        <f>HY!AD214</f>
        <v>0</v>
      </c>
      <c r="X35" s="132">
        <f>HY!AE214</f>
        <v>0</v>
      </c>
      <c r="Y35" s="132">
        <f>HY!AF214</f>
        <v>0</v>
      </c>
      <c r="Z35" s="132">
        <f>HY!AG214</f>
        <v>0</v>
      </c>
      <c r="AA35" s="132">
        <f>HY!AH214</f>
        <v>0</v>
      </c>
      <c r="AB35" s="132">
        <f>HY!AI214</f>
        <v>0</v>
      </c>
      <c r="AC35" s="132">
        <f>HY!AJ214</f>
        <v>0</v>
      </c>
      <c r="AD35" s="132">
        <f>HY!AK214</f>
        <v>0</v>
      </c>
      <c r="AE35" s="132">
        <f>HY!AL214</f>
        <v>0</v>
      </c>
      <c r="AG35" s="132">
        <f t="shared" si="10"/>
        <v>-215</v>
      </c>
      <c r="AH35" s="132">
        <f t="shared" si="10"/>
        <v>-191.8</v>
      </c>
      <c r="AI35" s="132">
        <f t="shared" si="10"/>
        <v>-180.9</v>
      </c>
      <c r="AJ35" s="132">
        <f t="shared" si="10"/>
        <v>-160.9</v>
      </c>
      <c r="AK35" s="132">
        <f t="shared" si="10"/>
        <v>-170.6</v>
      </c>
      <c r="AL35" s="132">
        <f t="shared" si="10"/>
        <v>0</v>
      </c>
      <c r="AM35" s="132">
        <f t="shared" si="10"/>
        <v>0</v>
      </c>
      <c r="AN35" s="132">
        <f t="shared" si="10"/>
        <v>0</v>
      </c>
      <c r="AO35" s="132">
        <f t="shared" si="10"/>
        <v>0</v>
      </c>
      <c r="AP35" s="132">
        <f t="shared" si="10"/>
        <v>0</v>
      </c>
      <c r="AQ35" s="132">
        <f t="shared" si="10"/>
        <v>0</v>
      </c>
      <c r="AR35" s="132">
        <f t="shared" si="10"/>
        <v>0</v>
      </c>
      <c r="AS35" s="132">
        <f t="shared" si="10"/>
        <v>0</v>
      </c>
      <c r="AU35" s="132"/>
      <c r="AV35" s="132"/>
      <c r="AW35" s="132"/>
      <c r="AX35" s="132"/>
      <c r="AY35" s="132"/>
      <c r="AZ35" s="132"/>
      <c r="BA35" s="132"/>
      <c r="BB35" s="132"/>
      <c r="BC35" s="132"/>
      <c r="BD35" s="132"/>
      <c r="BE35" s="132"/>
      <c r="BF35" s="132"/>
      <c r="BG35" s="132"/>
      <c r="BH35" s="132"/>
      <c r="BI35" s="132"/>
      <c r="BJ35" s="132"/>
      <c r="BK35" s="132"/>
      <c r="BL35" s="132"/>
      <c r="BM35" s="132"/>
      <c r="BN35" s="132"/>
      <c r="BO35" s="132"/>
      <c r="BP35" s="132"/>
      <c r="BQ35" s="132"/>
      <c r="BR35" s="132"/>
      <c r="BS35" s="132"/>
      <c r="BT35" s="132"/>
      <c r="BV35" s="132"/>
      <c r="BW35" s="132"/>
      <c r="BX35" s="132"/>
      <c r="BY35" s="132"/>
      <c r="BZ35" s="132"/>
      <c r="CA35" s="132"/>
      <c r="CB35" s="132"/>
      <c r="CC35" s="132"/>
      <c r="CD35" s="132"/>
      <c r="CE35" s="132"/>
      <c r="CF35" s="132"/>
      <c r="CG35" s="132"/>
      <c r="CH35" s="132"/>
      <c r="CM35" s="132"/>
      <c r="CN35" s="132"/>
      <c r="CO35" s="132"/>
      <c r="CP35" s="132"/>
      <c r="CQ35" s="132"/>
      <c r="CR35" s="132"/>
      <c r="CS35" s="132"/>
      <c r="CT35" s="132"/>
      <c r="CU35" s="132"/>
      <c r="CV35" s="132"/>
      <c r="CW35" s="132"/>
      <c r="CX35" s="132"/>
      <c r="CY35" s="132"/>
      <c r="CZ35" s="132"/>
      <c r="DA35" s="132"/>
      <c r="DB35" s="132"/>
      <c r="DC35" s="132"/>
      <c r="DD35" s="132"/>
      <c r="DE35" s="132"/>
      <c r="DF35" s="132"/>
      <c r="DG35" s="132"/>
      <c r="DH35" s="132"/>
      <c r="DI35" s="132"/>
      <c r="DJ35" s="132"/>
      <c r="DK35" s="132"/>
      <c r="DL35" s="132"/>
      <c r="DN35" s="132"/>
      <c r="DO35" s="132"/>
      <c r="DP35" s="132"/>
      <c r="DQ35" s="132"/>
      <c r="DR35" s="132"/>
      <c r="DS35" s="132"/>
      <c r="DT35" s="132"/>
      <c r="DU35" s="132"/>
      <c r="DV35" s="132"/>
      <c r="DW35" s="132"/>
      <c r="DX35" s="132"/>
      <c r="DY35" s="132"/>
      <c r="DZ35" s="132"/>
    </row>
    <row r="36" spans="2:130">
      <c r="B36" s="138" t="s">
        <v>10</v>
      </c>
      <c r="C36" s="82" t="s">
        <v>900</v>
      </c>
      <c r="E36" s="7"/>
      <c r="F36" s="132">
        <f>HY!M217</f>
        <v>32.700000000000003</v>
      </c>
      <c r="G36" s="132">
        <f>HY!N217</f>
        <v>39.299999999999997</v>
      </c>
      <c r="H36" s="132">
        <f>HY!O217</f>
        <v>57.9</v>
      </c>
      <c r="I36" s="132">
        <f>HY!P217</f>
        <v>58.300000000000004</v>
      </c>
      <c r="J36" s="132">
        <f>HY!Q217</f>
        <v>33.299999999999997</v>
      </c>
      <c r="K36" s="132">
        <f>HY!R217</f>
        <v>37</v>
      </c>
      <c r="L36" s="132">
        <f>HY!S217</f>
        <v>79.400000000000006</v>
      </c>
      <c r="M36" s="132">
        <f>HY!T217</f>
        <v>88.799999999999983</v>
      </c>
      <c r="N36" s="132">
        <f>HY!U217</f>
        <v>95.3</v>
      </c>
      <c r="O36" s="132">
        <f>HY!V217</f>
        <v>95.899999999999991</v>
      </c>
      <c r="P36" s="132">
        <f>HY!W217</f>
        <v>0</v>
      </c>
      <c r="Q36" s="132">
        <f>HY!X217</f>
        <v>0</v>
      </c>
      <c r="R36" s="132">
        <f>HY!Y217</f>
        <v>0</v>
      </c>
      <c r="S36" s="132">
        <f>HY!Z217</f>
        <v>0</v>
      </c>
      <c r="T36" s="132">
        <f>HY!AA217</f>
        <v>0</v>
      </c>
      <c r="U36" s="132">
        <f>HY!AB217</f>
        <v>0</v>
      </c>
      <c r="V36" s="132">
        <f>HY!AC217</f>
        <v>0</v>
      </c>
      <c r="W36" s="132">
        <f>HY!AD217</f>
        <v>0</v>
      </c>
      <c r="X36" s="132">
        <f>HY!AE217</f>
        <v>0</v>
      </c>
      <c r="Y36" s="132">
        <f>HY!AF217</f>
        <v>0</v>
      </c>
      <c r="Z36" s="132">
        <f>HY!AG217</f>
        <v>0</v>
      </c>
      <c r="AA36" s="132">
        <f>HY!AH217</f>
        <v>0</v>
      </c>
      <c r="AB36" s="132">
        <f>HY!AI217</f>
        <v>0</v>
      </c>
      <c r="AC36" s="132">
        <f>HY!AJ217</f>
        <v>0</v>
      </c>
      <c r="AD36" s="132">
        <f>HY!AK217</f>
        <v>0</v>
      </c>
      <c r="AE36" s="132">
        <f>HY!AL217</f>
        <v>0</v>
      </c>
      <c r="AG36" s="132">
        <f t="shared" si="10"/>
        <v>72</v>
      </c>
      <c r="AH36" s="132">
        <f t="shared" si="10"/>
        <v>116.2</v>
      </c>
      <c r="AI36" s="132">
        <f t="shared" si="10"/>
        <v>70.3</v>
      </c>
      <c r="AJ36" s="132">
        <f t="shared" si="10"/>
        <v>168.2</v>
      </c>
      <c r="AK36" s="132">
        <f t="shared" si="10"/>
        <v>191.2</v>
      </c>
      <c r="AL36" s="132">
        <f t="shared" si="10"/>
        <v>0</v>
      </c>
      <c r="AM36" s="132">
        <f t="shared" si="10"/>
        <v>0</v>
      </c>
      <c r="AN36" s="132">
        <f t="shared" si="10"/>
        <v>0</v>
      </c>
      <c r="AO36" s="132">
        <f t="shared" si="10"/>
        <v>0</v>
      </c>
      <c r="AP36" s="132">
        <f t="shared" si="10"/>
        <v>0</v>
      </c>
      <c r="AQ36" s="132">
        <f t="shared" si="10"/>
        <v>0</v>
      </c>
      <c r="AR36" s="132">
        <f t="shared" si="10"/>
        <v>0</v>
      </c>
      <c r="AS36" s="132">
        <f t="shared" si="10"/>
        <v>0</v>
      </c>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V36" s="7"/>
      <c r="BW36" s="7"/>
      <c r="BX36" s="7"/>
      <c r="BY36" s="7"/>
      <c r="BZ36" s="7"/>
      <c r="CA36" s="7"/>
      <c r="CB36" s="7"/>
      <c r="CC36" s="7"/>
      <c r="CD36" s="7"/>
      <c r="CE36" s="7"/>
      <c r="CF36" s="7"/>
      <c r="CG36" s="7"/>
      <c r="CH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N36" s="7"/>
      <c r="DO36" s="7"/>
      <c r="DP36" s="7"/>
      <c r="DQ36" s="7"/>
      <c r="DR36" s="7"/>
      <c r="DS36" s="7"/>
      <c r="DT36" s="7"/>
      <c r="DU36" s="7"/>
      <c r="DV36" s="7"/>
      <c r="DW36" s="7"/>
      <c r="DX36" s="7"/>
      <c r="DY36" s="7"/>
      <c r="DZ36" s="7"/>
    </row>
    <row r="37" spans="2:130">
      <c r="B37" s="138"/>
      <c r="C37" s="82"/>
      <c r="E37" s="7"/>
      <c r="F37" s="132"/>
      <c r="G37" s="132"/>
      <c r="H37" s="132"/>
      <c r="I37" s="132"/>
      <c r="J37" s="132"/>
      <c r="K37" s="132"/>
      <c r="L37" s="132"/>
      <c r="M37" s="132"/>
      <c r="N37" s="132"/>
      <c r="O37" s="132"/>
      <c r="P37" s="132"/>
      <c r="Q37" s="132"/>
      <c r="R37" s="132"/>
      <c r="S37" s="132"/>
      <c r="T37" s="132"/>
      <c r="U37" s="132"/>
      <c r="V37" s="132"/>
      <c r="W37" s="132"/>
      <c r="X37" s="132"/>
      <c r="Y37" s="132"/>
      <c r="Z37" s="132"/>
      <c r="AA37" s="132"/>
      <c r="AB37" s="132"/>
      <c r="AC37" s="132"/>
      <c r="AD37" s="132"/>
      <c r="AE37" s="132"/>
      <c r="AG37" s="132"/>
      <c r="AH37" s="132"/>
      <c r="AI37" s="132"/>
      <c r="AJ37" s="132"/>
      <c r="AK37" s="132"/>
      <c r="AL37" s="132"/>
      <c r="AM37" s="132"/>
      <c r="AN37" s="132"/>
      <c r="AO37" s="132"/>
      <c r="AP37" s="132"/>
      <c r="AQ37" s="132"/>
      <c r="AR37" s="132"/>
      <c r="AS37" s="132"/>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V37" s="7"/>
      <c r="BW37" s="7"/>
      <c r="BX37" s="7"/>
      <c r="BY37" s="7"/>
      <c r="BZ37" s="7"/>
      <c r="CA37" s="7"/>
      <c r="CB37" s="7"/>
      <c r="CC37" s="7"/>
      <c r="CD37" s="7"/>
      <c r="CE37" s="7"/>
      <c r="CF37" s="7"/>
      <c r="CG37" s="7"/>
      <c r="CH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N37" s="7"/>
      <c r="DO37" s="7"/>
      <c r="DP37" s="7"/>
      <c r="DQ37" s="7"/>
      <c r="DR37" s="7"/>
      <c r="DS37" s="7"/>
      <c r="DT37" s="7"/>
      <c r="DU37" s="7"/>
      <c r="DV37" s="7"/>
      <c r="DW37" s="7"/>
      <c r="DX37" s="7"/>
      <c r="DY37" s="7"/>
      <c r="DZ37" s="7"/>
    </row>
    <row r="38" spans="2:130">
      <c r="B38" s="732" t="s">
        <v>1488</v>
      </c>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row>
    <row r="39" spans="2:130">
      <c r="B39" s="138" t="str">
        <f>B30</f>
        <v>Revenue</v>
      </c>
      <c r="C39" s="82" t="s">
        <v>900</v>
      </c>
      <c r="E39" s="7"/>
      <c r="F39" s="132">
        <f t="shared" ref="F39:O45" si="11">AU39</f>
        <v>1073.4000000000001</v>
      </c>
      <c r="G39" s="132">
        <f t="shared" si="11"/>
        <v>1108.5</v>
      </c>
      <c r="H39" s="132">
        <f t="shared" si="11"/>
        <v>1165.7</v>
      </c>
      <c r="I39" s="132">
        <f t="shared" si="11"/>
        <v>1065.0999999999999</v>
      </c>
      <c r="J39" s="132">
        <f t="shared" si="11"/>
        <v>1116.5999999999999</v>
      </c>
      <c r="K39" s="132">
        <f t="shared" si="11"/>
        <v>1046.2</v>
      </c>
      <c r="L39" s="132">
        <f t="shared" si="11"/>
        <v>1243.2</v>
      </c>
      <c r="M39" s="132">
        <f t="shared" si="11"/>
        <v>1171.8111267553845</v>
      </c>
      <c r="N39" s="132">
        <f t="shared" si="11"/>
        <v>1287.6581305931677</v>
      </c>
      <c r="O39" s="132">
        <f t="shared" si="11"/>
        <v>1199.1751956552512</v>
      </c>
      <c r="P39" s="132">
        <f t="shared" ref="P39:Y45" si="12">BE39</f>
        <v>1314.9038654476267</v>
      </c>
      <c r="Q39" s="132">
        <f t="shared" si="12"/>
        <v>1225.6134974480478</v>
      </c>
      <c r="R39" s="132">
        <f t="shared" si="12"/>
        <v>1335.2391381602149</v>
      </c>
      <c r="S39" s="132">
        <f t="shared" si="12"/>
        <v>1252.19203140334</v>
      </c>
      <c r="T39" s="132">
        <f t="shared" si="12"/>
        <v>1358.3496161999101</v>
      </c>
      <c r="U39" s="132">
        <f t="shared" si="12"/>
        <v>1274.7125349324363</v>
      </c>
      <c r="V39" s="132">
        <f t="shared" si="12"/>
        <v>1382.0004384528524</v>
      </c>
      <c r="W39" s="132">
        <f t="shared" si="12"/>
        <v>1297.7651536425949</v>
      </c>
      <c r="X39" s="132">
        <f t="shared" si="12"/>
        <v>1407.3421515209475</v>
      </c>
      <c r="Y39" s="132">
        <f t="shared" si="12"/>
        <v>1320.3097546184249</v>
      </c>
      <c r="Z39" s="132">
        <f t="shared" ref="Z39:AE45" si="13">BO39</f>
        <v>1433.4747525007324</v>
      </c>
      <c r="AA39" s="132">
        <f t="shared" si="13"/>
        <v>1345.7128832850724</v>
      </c>
      <c r="AB39" s="132">
        <f t="shared" si="13"/>
        <v>1437.9206710040867</v>
      </c>
      <c r="AC39" s="132">
        <f t="shared" si="13"/>
        <v>1344.4398821432701</v>
      </c>
      <c r="AD39" s="132">
        <f t="shared" si="13"/>
        <v>1463.2765330816233</v>
      </c>
      <c r="AE39" s="132">
        <f t="shared" si="13"/>
        <v>1369.1490118534666</v>
      </c>
      <c r="AF39" s="132"/>
      <c r="AG39" s="132">
        <f t="shared" ref="AG39:AS45" si="14">BV39</f>
        <v>2181.9</v>
      </c>
      <c r="AH39" s="132">
        <f t="shared" si="14"/>
        <v>2230.8000000000002</v>
      </c>
      <c r="AI39" s="132">
        <f t="shared" si="14"/>
        <v>2162.8000000000002</v>
      </c>
      <c r="AJ39" s="132">
        <f t="shared" si="14"/>
        <v>2414.054134338402</v>
      </c>
      <c r="AK39" s="132">
        <f t="shared" si="14"/>
        <v>2507.0725139916708</v>
      </c>
      <c r="AL39" s="132">
        <f t="shared" si="14"/>
        <v>2563.13906420084</v>
      </c>
      <c r="AM39" s="132">
        <f t="shared" si="14"/>
        <v>2604.1840940927791</v>
      </c>
      <c r="AN39" s="132">
        <f t="shared" si="14"/>
        <v>2650.200660768081</v>
      </c>
      <c r="AO39" s="132">
        <f t="shared" si="14"/>
        <v>2697.436455685011</v>
      </c>
      <c r="AP39" s="132">
        <f t="shared" si="14"/>
        <v>2727.0181320934084</v>
      </c>
      <c r="AQ39" s="132">
        <f t="shared" si="14"/>
        <v>2779.0944099183016</v>
      </c>
      <c r="AR39" s="132">
        <f t="shared" si="14"/>
        <v>2803.0384995673762</v>
      </c>
      <c r="AS39" s="132">
        <f t="shared" si="14"/>
        <v>2855.9587581619498</v>
      </c>
      <c r="AU39" s="256">
        <v>1073.4000000000001</v>
      </c>
      <c r="AV39" s="256">
        <v>1108.5</v>
      </c>
      <c r="AW39" s="256">
        <v>1165.7</v>
      </c>
      <c r="AX39" s="256">
        <v>1065.0999999999999</v>
      </c>
      <c r="AY39" s="256">
        <v>1116.5999999999999</v>
      </c>
      <c r="AZ39" s="256">
        <v>1046.2</v>
      </c>
      <c r="BA39" s="256">
        <v>1243.2</v>
      </c>
      <c r="BB39" s="256">
        <v>1171.8111267553845</v>
      </c>
      <c r="BC39" s="256">
        <v>1287.6581305931677</v>
      </c>
      <c r="BD39" s="256">
        <v>1199.1751956552512</v>
      </c>
      <c r="BE39" s="256">
        <v>1314.9038654476267</v>
      </c>
      <c r="BF39" s="256">
        <v>1225.6134974480478</v>
      </c>
      <c r="BG39" s="256">
        <v>1335.2391381602149</v>
      </c>
      <c r="BH39" s="256">
        <v>1252.19203140334</v>
      </c>
      <c r="BI39" s="256">
        <v>1358.3496161999101</v>
      </c>
      <c r="BJ39" s="256">
        <v>1274.7125349324363</v>
      </c>
      <c r="BK39" s="256">
        <v>1382.0004384528524</v>
      </c>
      <c r="BL39" s="256">
        <v>1297.7651536425949</v>
      </c>
      <c r="BM39" s="256">
        <v>1407.3421515209475</v>
      </c>
      <c r="BN39" s="256">
        <v>1320.3097546184249</v>
      </c>
      <c r="BO39" s="256">
        <v>1433.4747525007324</v>
      </c>
      <c r="BP39" s="256">
        <v>1345.7128832850724</v>
      </c>
      <c r="BQ39" s="256">
        <v>1437.9206710040867</v>
      </c>
      <c r="BR39" s="256">
        <v>1344.4398821432701</v>
      </c>
      <c r="BS39" s="256">
        <v>1463.2765330816233</v>
      </c>
      <c r="BT39" s="256">
        <v>1369.1490118534666</v>
      </c>
      <c r="BV39" s="256">
        <v>2181.9</v>
      </c>
      <c r="BW39" s="256">
        <v>2230.8000000000002</v>
      </c>
      <c r="BX39" s="256">
        <v>2162.8000000000002</v>
      </c>
      <c r="BY39" s="256">
        <v>2414.054134338402</v>
      </c>
      <c r="BZ39" s="256">
        <v>2507.0725139916708</v>
      </c>
      <c r="CA39" s="256">
        <v>2563.13906420084</v>
      </c>
      <c r="CB39" s="256">
        <v>2604.1840940927791</v>
      </c>
      <c r="CC39" s="256">
        <v>2650.200660768081</v>
      </c>
      <c r="CD39" s="256">
        <v>2697.436455685011</v>
      </c>
      <c r="CE39" s="256">
        <v>2727.0181320934084</v>
      </c>
      <c r="CF39" s="256">
        <v>2779.0944099183016</v>
      </c>
      <c r="CG39" s="256">
        <v>2803.0384995673762</v>
      </c>
      <c r="CH39" s="256">
        <v>2855.9587581619498</v>
      </c>
      <c r="CJ39" s="751" t="s">
        <v>1352</v>
      </c>
      <c r="CK39" s="145" t="s">
        <v>1355</v>
      </c>
      <c r="CL39" s="752" t="s">
        <v>961</v>
      </c>
      <c r="CM39" s="758">
        <f>_xll.VAData($CJ39,CM$3,$CK39,$CL39)</f>
        <v>1073.4000000000001</v>
      </c>
      <c r="CN39" s="758">
        <f>_xll.VAData($CJ39,CN$3,$CK39,$CL39)</f>
        <v>1108.5</v>
      </c>
      <c r="CO39" s="758">
        <f>_xll.VAData($CJ39,CO$3,$CK39,$CL39)</f>
        <v>1165.7</v>
      </c>
      <c r="CP39" s="758">
        <f>_xll.VAData($CJ39,CP$3,$CK39,$CL39)</f>
        <v>1065.0999999999999</v>
      </c>
      <c r="CQ39" s="758">
        <f>_xll.VAData($CJ39,CQ$3,$CK39,$CL39)</f>
        <v>1116.7</v>
      </c>
      <c r="CR39" s="758">
        <f>_xll.VAData($CJ39,CR$3,$CK39,$CL39)</f>
        <v>1045.4000000000001</v>
      </c>
      <c r="CS39" s="758">
        <f>_xll.VAData($CJ39,CS$3,$CK39,$CL39)</f>
        <v>1243.2</v>
      </c>
      <c r="CT39" s="758">
        <f>_xll.VAData($CJ39,CT$3,$CK39,$CL39)</f>
        <v>1195.5999999999999</v>
      </c>
      <c r="CU39" s="758">
        <f>_xll.VAData($CJ39,CU$3,$CK39,$CL39)</f>
        <v>1253.2</v>
      </c>
      <c r="CV39" s="758">
        <f>_xll.VAData($CJ39,CV$3,$CK39,$CL39)</f>
        <v>1201.5</v>
      </c>
      <c r="CW39" s="758">
        <f>_xll.VAData($CJ39,CW$3,$CK39,$CL39)</f>
        <v>1296.8537828896433</v>
      </c>
      <c r="CX39" s="758">
        <f>_xll.VAData($CJ39,CX$3,$CK39,$CL39)</f>
        <v>1223.8214907598378</v>
      </c>
      <c r="CY39" s="758">
        <f>_xll.VAData($CJ39,CY$3,$CK39,$CL39)</f>
        <v>1331.4995932369513</v>
      </c>
      <c r="CZ39" s="758">
        <f>_xll.VAData($CJ39,CZ$3,$CK39,$CL39)</f>
        <v>1257.8046184979587</v>
      </c>
      <c r="DA39" s="758">
        <f>_xll.VAData($CJ39,DA$3,$CK39,$CL39)</f>
        <v>1355.5634690180013</v>
      </c>
      <c r="DB39" s="758">
        <f>_xll.VAData($CJ39,DB$3,$CK39,$CL39)</f>
        <v>1281.2589496963287</v>
      </c>
      <c r="DC39" s="758">
        <f>_xll.VAData($CJ39,DC$3,$CK39,$CL39)</f>
        <v>1379.6692408555875</v>
      </c>
      <c r="DD39" s="758">
        <f>_xll.VAData($CJ39,DD$3,$CK39,$CL39)</f>
        <v>1305.2727142522913</v>
      </c>
      <c r="DE39" s="758">
        <f>_xll.VAData($CJ39,DE$3,$CK39,$CL39)</f>
        <v>1416.63741782086</v>
      </c>
      <c r="DF39" s="758">
        <f>_xll.VAData($CJ39,DF$3,$CK39,$CL39)</f>
        <v>1332.475710573505</v>
      </c>
      <c r="DG39" s="758">
        <f>_xll.VAData($CJ39,DG$3,$CK39,$CL39)</f>
        <v>1441.6239132396674</v>
      </c>
      <c r="DH39" s="758">
        <f>_xll.VAData($CJ39,DH$3,$CK39,$CL39)</f>
        <v>1357.40724144307</v>
      </c>
      <c r="DI39" s="758">
        <f>_xll.VAData($CJ39,DI$3,$CK39,$CL39)</f>
        <v>1467.536593554735</v>
      </c>
      <c r="DJ39" s="758">
        <f>_xll.VAData($CJ39,DJ$3,$CK39,$CL39)</f>
        <v>1383.0594237647724</v>
      </c>
      <c r="DK39" s="758">
        <f>_xll.VAData($CJ39,DK$3,$CK39,$CL39)</f>
        <v>1494.1845773639425</v>
      </c>
      <c r="DL39" s="758">
        <f>_xll.VAData($CJ39,DL$3,$CK39,$CL39)</f>
        <v>1409.452444058435</v>
      </c>
      <c r="DN39" s="758">
        <f>_xll.VAData($CJ39,DN$3,$CK39,$CL39)</f>
        <v>2181.9</v>
      </c>
      <c r="DO39" s="758">
        <f>_xll.VAData($CJ39,DO$3,$CK39,$CL39)</f>
        <v>2230.8000000000002</v>
      </c>
      <c r="DP39" s="758">
        <f>_xll.VAData($CJ39,DP$3,$CK39,$CL39)</f>
        <v>2162.8000000000002</v>
      </c>
      <c r="DQ39" s="758">
        <f>_xll.VAData($CJ39,DQ$3,$CK39,$CL39)</f>
        <v>2438.8000000000002</v>
      </c>
      <c r="DR39" s="758">
        <f>_xll.VAData($CJ39,DR$3,$CK39,$CL39)</f>
        <v>2454.6999999999998</v>
      </c>
      <c r="DS39" s="758">
        <f>_xll.VAData($CJ39,DS$3,$CK39,$CL39)</f>
        <v>2520.67527364948</v>
      </c>
      <c r="DT39" s="758">
        <f>_xll.VAData($CJ39,DT$3,$CK39,$CL39)</f>
        <v>2584.96162311941</v>
      </c>
      <c r="DU39" s="758">
        <f>_xll.VAData($CJ39,DU$3,$CK39,$CL39)</f>
        <v>2632.6156218083042</v>
      </c>
      <c r="DV39" s="758">
        <f>_xll.VAData($CJ39,DV$3,$CK39,$CL39)</f>
        <v>2680.5292526075391</v>
      </c>
      <c r="DW39" s="758">
        <f>_xll.VAData($CJ39,DW$3,$CK39,$CL39)</f>
        <v>2737.9323303381138</v>
      </c>
      <c r="DX39" s="758">
        <f>_xll.VAData($CJ39,DX$3,$CK39,$CL39)</f>
        <v>2787.8173479517882</v>
      </c>
      <c r="DY39" s="758">
        <f>_xll.VAData($CJ39,DY$3,$CK39,$CL39)</f>
        <v>2839.3857839296738</v>
      </c>
      <c r="DZ39" s="758">
        <f>_xll.VAData($CJ39,DZ$3,$CK39,$CL39)</f>
        <v>2892.5131314255841</v>
      </c>
    </row>
    <row r="40" spans="2:130">
      <c r="B40" s="138" t="str">
        <f t="shared" ref="B40:B45" si="15">B31</f>
        <v>Taxes &amp; Commissions</v>
      </c>
      <c r="C40" s="82" t="s">
        <v>900</v>
      </c>
      <c r="E40" s="24"/>
      <c r="F40" s="132">
        <f t="shared" si="11"/>
        <v>-678.5</v>
      </c>
      <c r="G40" s="132">
        <f t="shared" si="11"/>
        <v>-702.1</v>
      </c>
      <c r="H40" s="132">
        <f t="shared" si="11"/>
        <v>-767.4</v>
      </c>
      <c r="I40" s="132">
        <f t="shared" si="11"/>
        <v>-688.4</v>
      </c>
      <c r="J40" s="132">
        <f t="shared" si="11"/>
        <v>-722.7</v>
      </c>
      <c r="K40" s="132">
        <f t="shared" si="11"/>
        <v>-685.4</v>
      </c>
      <c r="L40" s="132">
        <f t="shared" si="11"/>
        <v>-785.1</v>
      </c>
      <c r="M40" s="132">
        <f t="shared" si="11"/>
        <v>-725.62891601496165</v>
      </c>
      <c r="N40" s="132">
        <f t="shared" si="11"/>
        <v>-803.10766339678639</v>
      </c>
      <c r="O40" s="132">
        <f t="shared" si="11"/>
        <v>-743.35431768466913</v>
      </c>
      <c r="P40" s="132">
        <f t="shared" si="12"/>
        <v>-822.39860434556851</v>
      </c>
      <c r="Q40" s="132">
        <f t="shared" si="12"/>
        <v>-762.24627128643885</v>
      </c>
      <c r="R40" s="132">
        <f t="shared" si="12"/>
        <v>-836.19748385181174</v>
      </c>
      <c r="S40" s="132">
        <f t="shared" si="12"/>
        <v>-779.26270315862291</v>
      </c>
      <c r="T40" s="132">
        <f t="shared" si="12"/>
        <v>-853.43436825577839</v>
      </c>
      <c r="U40" s="132">
        <f t="shared" si="12"/>
        <v>-795.6606795394307</v>
      </c>
      <c r="V40" s="132">
        <f t="shared" si="12"/>
        <v>-872.28417818692799</v>
      </c>
      <c r="W40" s="132">
        <f t="shared" si="12"/>
        <v>-817.80670778877663</v>
      </c>
      <c r="X40" s="132">
        <f t="shared" si="12"/>
        <v>-871.98506143584621</v>
      </c>
      <c r="Y40" s="132">
        <f t="shared" si="12"/>
        <v>-818.07626257404479</v>
      </c>
      <c r="Z40" s="132">
        <f t="shared" si="13"/>
        <v>-888.18722750757297</v>
      </c>
      <c r="AA40" s="132">
        <f t="shared" si="13"/>
        <v>-833.82684455920423</v>
      </c>
      <c r="AB40" s="132">
        <f t="shared" si="13"/>
        <v>-890.755545516913</v>
      </c>
      <c r="AC40" s="132">
        <f t="shared" si="13"/>
        <v>-832.86754254968196</v>
      </c>
      <c r="AD40" s="132">
        <f t="shared" si="13"/>
        <v>-906.47795479757269</v>
      </c>
      <c r="AE40" s="132">
        <f t="shared" si="13"/>
        <v>-848.18973132526799</v>
      </c>
      <c r="AF40" s="132"/>
      <c r="AG40" s="132">
        <f t="shared" si="14"/>
        <v>-1380.6</v>
      </c>
      <c r="AH40" s="132">
        <f t="shared" si="14"/>
        <v>-1455.8</v>
      </c>
      <c r="AI40" s="132">
        <f t="shared" si="14"/>
        <v>-1404.6</v>
      </c>
      <c r="AJ40" s="132">
        <f t="shared" si="14"/>
        <v>-1509.9087430469294</v>
      </c>
      <c r="AK40" s="132">
        <f t="shared" si="14"/>
        <v>-1568.6429556613596</v>
      </c>
      <c r="AL40" s="132">
        <f t="shared" si="14"/>
        <v>-1607.8825544470149</v>
      </c>
      <c r="AM40" s="132">
        <f t="shared" si="14"/>
        <v>-1635.6801261558123</v>
      </c>
      <c r="AN40" s="132">
        <f t="shared" si="14"/>
        <v>-1669.1710067386293</v>
      </c>
      <c r="AO40" s="132">
        <f t="shared" si="14"/>
        <v>-1686.7602931947524</v>
      </c>
      <c r="AP40" s="132">
        <f t="shared" si="14"/>
        <v>-1696.3306972041617</v>
      </c>
      <c r="AQ40" s="132">
        <f t="shared" si="14"/>
        <v>-1728.7353900877267</v>
      </c>
      <c r="AR40" s="132">
        <f t="shared" si="14"/>
        <v>-1744.8674474205679</v>
      </c>
      <c r="AS40" s="132">
        <f t="shared" si="14"/>
        <v>-1777.831988675596</v>
      </c>
      <c r="AU40" s="256">
        <v>-678.5</v>
      </c>
      <c r="AV40" s="256">
        <v>-702.1</v>
      </c>
      <c r="AW40" s="256">
        <v>-767.4</v>
      </c>
      <c r="AX40" s="256">
        <v>-688.4</v>
      </c>
      <c r="AY40" s="256">
        <v>-722.7</v>
      </c>
      <c r="AZ40" s="256">
        <v>-685.4</v>
      </c>
      <c r="BA40" s="256">
        <v>-785.1</v>
      </c>
      <c r="BB40" s="256">
        <v>-725.62891601496165</v>
      </c>
      <c r="BC40" s="256">
        <v>-803.10766339678639</v>
      </c>
      <c r="BD40" s="256">
        <v>-743.35431768466913</v>
      </c>
      <c r="BE40" s="256">
        <v>-822.39860434556851</v>
      </c>
      <c r="BF40" s="256">
        <v>-762.24627128643885</v>
      </c>
      <c r="BG40" s="256">
        <v>-836.19748385181174</v>
      </c>
      <c r="BH40" s="256">
        <v>-779.26270315862291</v>
      </c>
      <c r="BI40" s="256">
        <v>-853.43436825577839</v>
      </c>
      <c r="BJ40" s="256">
        <v>-795.6606795394307</v>
      </c>
      <c r="BK40" s="256">
        <v>-872.28417818692799</v>
      </c>
      <c r="BL40" s="256">
        <v>-817.80670778877663</v>
      </c>
      <c r="BM40" s="256">
        <v>-871.98506143584621</v>
      </c>
      <c r="BN40" s="256">
        <v>-818.07626257404479</v>
      </c>
      <c r="BO40" s="256">
        <v>-888.18722750757297</v>
      </c>
      <c r="BP40" s="256">
        <v>-833.82684455920423</v>
      </c>
      <c r="BQ40" s="256">
        <v>-890.755545516913</v>
      </c>
      <c r="BR40" s="256">
        <v>-832.86754254968196</v>
      </c>
      <c r="BS40" s="256">
        <v>-906.47795479757269</v>
      </c>
      <c r="BT40" s="256">
        <v>-848.18973132526799</v>
      </c>
      <c r="BV40" s="256">
        <v>-1380.6</v>
      </c>
      <c r="BW40" s="256">
        <v>-1455.8</v>
      </c>
      <c r="BX40" s="256">
        <v>-1404.6</v>
      </c>
      <c r="BY40" s="256">
        <v>-1509.9087430469294</v>
      </c>
      <c r="BZ40" s="256">
        <v>-1568.6429556613596</v>
      </c>
      <c r="CA40" s="256">
        <v>-1607.8825544470149</v>
      </c>
      <c r="CB40" s="256">
        <v>-1635.6801261558123</v>
      </c>
      <c r="CC40" s="256">
        <v>-1669.1710067386293</v>
      </c>
      <c r="CD40" s="256">
        <v>-1686.7602931947524</v>
      </c>
      <c r="CE40" s="256">
        <v>-1696.3306972041617</v>
      </c>
      <c r="CF40" s="256">
        <v>-1728.7353900877267</v>
      </c>
      <c r="CG40" s="256">
        <v>-1744.8674474205679</v>
      </c>
      <c r="CH40" s="256">
        <v>-1777.831988675596</v>
      </c>
      <c r="CJ40" s="751" t="s">
        <v>1352</v>
      </c>
      <c r="CK40" s="751" t="s">
        <v>1490</v>
      </c>
      <c r="CL40" s="752" t="s">
        <v>961</v>
      </c>
      <c r="CM40" s="753">
        <f>IFERROR(-_xll.VAData($CJ40,CM$3,$CK40,$CL40),"-")</f>
        <v>-678.5</v>
      </c>
      <c r="CN40" s="753">
        <f>IFERROR(-_xll.VAData($CJ40,CN$3,$CK40,$CL40),"-")</f>
        <v>-702.1</v>
      </c>
      <c r="CO40" s="753">
        <f>IFERROR(-_xll.VAData($CJ40,CO$3,$CK40,$CL40),"-")</f>
        <v>-767.4</v>
      </c>
      <c r="CP40" s="753">
        <f>IFERROR(-_xll.VAData($CJ40,CP$3,$CK40,$CL40),"-")</f>
        <v>-688.3</v>
      </c>
      <c r="CQ40" s="753">
        <f>IFERROR(-_xll.VAData($CJ40,CQ$3,$CK40,$CL40),"-")</f>
        <v>-722.8</v>
      </c>
      <c r="CR40" s="753">
        <f>IFERROR(-_xll.VAData($CJ40,CR$3,$CK40,$CL40),"-")</f>
        <v>-681.1</v>
      </c>
      <c r="CS40" s="753">
        <f>IFERROR(-_xll.VAData($CJ40,CS$3,$CK40,$CL40),"-")</f>
        <v>-785.1</v>
      </c>
      <c r="CT40" s="753">
        <f>IFERROR(-_xll.VAData($CJ40,CT$3,$CK40,$CL40),"-")</f>
        <v>-737.8</v>
      </c>
      <c r="CU40" s="753">
        <f>IFERROR(-_xll.VAData($CJ40,CU$3,$CK40,$CL40),"-")</f>
        <v>-775.8</v>
      </c>
      <c r="CV40" s="753">
        <f>IFERROR(-_xll.VAData($CJ40,CV$3,$CK40,$CL40),"-")</f>
        <v>-725.7</v>
      </c>
      <c r="CW40" s="753">
        <f>IFERROR(-_xll.VAData($CJ40,CW$3,$CK40,$CL40),"-")</f>
        <v>-783.93361609238832</v>
      </c>
      <c r="CX40" s="753">
        <f>IFERROR(-_xll.VAData($CJ40,CX$3,$CK40,$CL40),"-")</f>
        <v>-728.98231019925413</v>
      </c>
      <c r="CY40" s="753">
        <f>IFERROR(-_xll.VAData($CJ40,CY$3,$CK40,$CL40),"-")</f>
        <v>-802.04281281044541</v>
      </c>
      <c r="CZ40" s="753">
        <f>IFERROR(-_xll.VAData($CJ40,CZ$3,$CK40,$CL40),"-")</f>
        <v>-751.39631210255914</v>
      </c>
      <c r="DA40" s="753">
        <f>IFERROR(-_xll.VAData($CJ40,DA$3,$CK40,$CL40),"-")</f>
        <v>-818.06887589653672</v>
      </c>
      <c r="DB40" s="753">
        <f>IFERROR(-_xll.VAData($CJ40,DB$3,$CK40,$CL40),"-")</f>
        <v>-766.54341257120586</v>
      </c>
      <c r="DC40" s="753">
        <f>IFERROR(-_xll.VAData($CJ40,DC$3,$CK40,$CL40),"-")</f>
        <v>-834.04080869462916</v>
      </c>
      <c r="DD40" s="753">
        <f>IFERROR(-_xll.VAData($CJ40,DD$3,$CK40,$CL40),"-")</f>
        <v>-781.96167888005607</v>
      </c>
      <c r="DE40" s="753">
        <f>IFERROR(-_xll.VAData($CJ40,DE$3,$CK40,$CL40),"-")</f>
        <v>-848.49728965283123</v>
      </c>
      <c r="DF40" s="753">
        <f>IFERROR(-_xll.VAData($CJ40,DF$3,$CK40,$CL40),"-")</f>
        <v>-797.70005387479375</v>
      </c>
      <c r="DG40" s="753">
        <f>IFERROR(-_xll.VAData($CJ40,DG$3,$CK40,$CL40),"-")</f>
        <v>-863.32145419690028</v>
      </c>
      <c r="DH40" s="753">
        <f>IFERROR(-_xll.VAData($CJ40,DH$3,$CK40,$CL40),"-")</f>
        <v>-812.48330223194898</v>
      </c>
      <c r="DI40" s="753">
        <f>IFERROR(-_xll.VAData($CJ40,DI$3,$CK40,$CL40),"-")</f>
        <v>-878.69113080305874</v>
      </c>
      <c r="DJ40" s="753">
        <f>IFERROR(-_xll.VAData($CJ40,DJ$3,$CK40,$CL40),"-")</f>
        <v>-827.68922588270027</v>
      </c>
      <c r="DK40" s="753">
        <f>IFERROR(-_xll.VAData($CJ40,DK$3,$CK40,$CL40),"-")</f>
        <v>-894.49212875196895</v>
      </c>
      <c r="DL40" s="753">
        <f>IFERROR(-_xll.VAData($CJ40,DL$3,$CK40,$CL40),"-")</f>
        <v>-843.32941275712403</v>
      </c>
      <c r="DN40" s="753">
        <f>IFERROR(-_xll.VAData($CJ40,DN$3,$CK40,$CL40),"-")</f>
        <v>-1380.6</v>
      </c>
      <c r="DO40" s="753">
        <f>IFERROR(-_xll.VAData($CJ40,DO$3,$CK40,$CL40),"-")</f>
        <v>-1455.7</v>
      </c>
      <c r="DP40" s="753">
        <f>IFERROR(-_xll.VAData($CJ40,DP$3,$CK40,$CL40),"-")</f>
        <v>-1404.6</v>
      </c>
      <c r="DQ40" s="753">
        <f>IFERROR(-_xll.VAData($CJ40,DQ$3,$CK40,$CL40),"-")</f>
        <v>-1522.9</v>
      </c>
      <c r="DR40" s="753">
        <f>IFERROR(-_xll.VAData($CJ40,DR$3,$CK40,$CL40),"-")</f>
        <v>-1501.5</v>
      </c>
      <c r="DS40" s="753">
        <f>IFERROR(-_xll.VAData($CJ40,DS$3,$CK40,$CL40),"-")</f>
        <v>-1512.9159262916451</v>
      </c>
      <c r="DT40" s="753">
        <f>IFERROR(-_xll.VAData($CJ40,DT$3,$CK40,$CL40),"-")</f>
        <v>-1551.32274689922</v>
      </c>
      <c r="DU40" s="753">
        <f>IFERROR(-_xll.VAData($CJ40,DU$3,$CK40,$CL40),"-")</f>
        <v>-1582.2700212908326</v>
      </c>
      <c r="DV40" s="753">
        <f>IFERROR(-_xll.VAData($CJ40,DV$3,$CK40,$CL40),"-")</f>
        <v>-1613.2208827084</v>
      </c>
      <c r="DW40" s="753">
        <f>IFERROR(-_xll.VAData($CJ40,DW$3,$CK40,$CL40),"-")</f>
        <v>-1641.4895759647279</v>
      </c>
      <c r="DX40" s="753">
        <f>IFERROR(-_xll.VAData($CJ40,DX$3,$CK40,$CL40),"-")</f>
        <v>-1671.1707407269539</v>
      </c>
      <c r="DY40" s="753">
        <f>IFERROR(-_xll.VAData($CJ40,DY$3,$CK40,$CL40),"-")</f>
        <v>-1701.8469398182319</v>
      </c>
      <c r="DZ40" s="753">
        <f>IFERROR(-_xll.VAData($CJ40,DZ$3,$CK40,$CL40),"-")</f>
        <v>-1733.4433505656041</v>
      </c>
    </row>
    <row r="41" spans="2:130">
      <c r="B41" s="138" t="str">
        <f t="shared" si="15"/>
        <v>Variable Contribution</v>
      </c>
      <c r="C41" s="82" t="s">
        <v>900</v>
      </c>
      <c r="E41" s="7"/>
      <c r="F41" s="132">
        <f t="shared" si="11"/>
        <v>394.9</v>
      </c>
      <c r="G41" s="132">
        <f t="shared" si="11"/>
        <v>406.4</v>
      </c>
      <c r="H41" s="132">
        <f t="shared" si="11"/>
        <v>398.3</v>
      </c>
      <c r="I41" s="132">
        <f t="shared" si="11"/>
        <v>376.7</v>
      </c>
      <c r="J41" s="132">
        <f t="shared" si="11"/>
        <v>393.9</v>
      </c>
      <c r="K41" s="132">
        <f t="shared" si="11"/>
        <v>364.3</v>
      </c>
      <c r="L41" s="132">
        <f t="shared" si="11"/>
        <v>458.1</v>
      </c>
      <c r="M41" s="132">
        <f t="shared" si="11"/>
        <v>443.45903529861727</v>
      </c>
      <c r="N41" s="132">
        <f t="shared" si="11"/>
        <v>486.47527790717589</v>
      </c>
      <c r="O41" s="132">
        <f t="shared" si="11"/>
        <v>452.43720379913725</v>
      </c>
      <c r="P41" s="132">
        <f t="shared" si="12"/>
        <v>498.04997610620012</v>
      </c>
      <c r="Q41" s="132">
        <f t="shared" si="12"/>
        <v>462.89571165362298</v>
      </c>
      <c r="R41" s="132">
        <f t="shared" si="12"/>
        <v>506.92151926047285</v>
      </c>
      <c r="S41" s="132">
        <f t="shared" si="12"/>
        <v>473.75409971307573</v>
      </c>
      <c r="T41" s="132">
        <f t="shared" si="12"/>
        <v>516.01424055595601</v>
      </c>
      <c r="U41" s="132">
        <f t="shared" si="12"/>
        <v>482.38926925719142</v>
      </c>
      <c r="V41" s="132">
        <f t="shared" si="12"/>
        <v>529.18812276964331</v>
      </c>
      <c r="W41" s="132">
        <f t="shared" si="12"/>
        <v>496.69098525451</v>
      </c>
      <c r="X41" s="132">
        <f t="shared" si="12"/>
        <v>535.35709008510128</v>
      </c>
      <c r="Y41" s="132">
        <f t="shared" si="12"/>
        <v>502.23349204438</v>
      </c>
      <c r="Z41" s="132">
        <f t="shared" si="13"/>
        <v>545.28752499315726</v>
      </c>
      <c r="AA41" s="132">
        <f t="shared" si="13"/>
        <v>511.88603872586901</v>
      </c>
      <c r="AB41" s="132">
        <f t="shared" si="13"/>
        <v>547.16512548717537</v>
      </c>
      <c r="AC41" s="132">
        <f t="shared" si="13"/>
        <v>511.57233959358666</v>
      </c>
      <c r="AD41" s="132">
        <f t="shared" si="13"/>
        <v>556.79857828405136</v>
      </c>
      <c r="AE41" s="132">
        <f t="shared" si="13"/>
        <v>520.95928052819829</v>
      </c>
      <c r="AF41" s="132"/>
      <c r="AG41" s="132">
        <f t="shared" si="14"/>
        <v>801.3</v>
      </c>
      <c r="AH41" s="132">
        <f t="shared" si="14"/>
        <v>775</v>
      </c>
      <c r="AI41" s="132">
        <f t="shared" si="14"/>
        <v>758.2</v>
      </c>
      <c r="AJ41" s="132">
        <f t="shared" si="14"/>
        <v>901.61765621894949</v>
      </c>
      <c r="AK41" s="132">
        <f t="shared" si="14"/>
        <v>939.38158944787301</v>
      </c>
      <c r="AL41" s="132">
        <f t="shared" si="14"/>
        <v>962.27954367320376</v>
      </c>
      <c r="AM41" s="132">
        <f t="shared" si="14"/>
        <v>977.13567676721254</v>
      </c>
      <c r="AN41" s="132">
        <f t="shared" si="14"/>
        <v>994.16224902587874</v>
      </c>
      <c r="AO41" s="132">
        <f t="shared" si="14"/>
        <v>1018.8471798159587</v>
      </c>
      <c r="AP41" s="132">
        <f t="shared" si="14"/>
        <v>1030.6874348892486</v>
      </c>
      <c r="AQ41" s="132">
        <f t="shared" si="14"/>
        <v>1050.3590198305717</v>
      </c>
      <c r="AR41" s="132">
        <f t="shared" si="14"/>
        <v>1058.1710521468081</v>
      </c>
      <c r="AS41" s="132">
        <f t="shared" si="14"/>
        <v>1078.1267694863559</v>
      </c>
      <c r="AU41" s="256">
        <v>394.9</v>
      </c>
      <c r="AV41" s="256">
        <v>406.4</v>
      </c>
      <c r="AW41" s="256">
        <v>398.3</v>
      </c>
      <c r="AX41" s="256">
        <v>376.7</v>
      </c>
      <c r="AY41" s="256">
        <v>393.9</v>
      </c>
      <c r="AZ41" s="256">
        <v>364.3</v>
      </c>
      <c r="BA41" s="256">
        <v>458.1</v>
      </c>
      <c r="BB41" s="256">
        <v>443.45903529861727</v>
      </c>
      <c r="BC41" s="256">
        <v>486.47527790717589</v>
      </c>
      <c r="BD41" s="256">
        <v>452.43720379913725</v>
      </c>
      <c r="BE41" s="256">
        <v>498.04997610620012</v>
      </c>
      <c r="BF41" s="256">
        <v>462.89571165362298</v>
      </c>
      <c r="BG41" s="256">
        <v>506.92151926047285</v>
      </c>
      <c r="BH41" s="256">
        <v>473.75409971307573</v>
      </c>
      <c r="BI41" s="256">
        <v>516.01424055595601</v>
      </c>
      <c r="BJ41" s="256">
        <v>482.38926925719142</v>
      </c>
      <c r="BK41" s="256">
        <v>529.18812276964331</v>
      </c>
      <c r="BL41" s="256">
        <v>496.69098525451</v>
      </c>
      <c r="BM41" s="256">
        <v>535.35709008510128</v>
      </c>
      <c r="BN41" s="256">
        <v>502.23349204438</v>
      </c>
      <c r="BO41" s="256">
        <v>545.28752499315726</v>
      </c>
      <c r="BP41" s="256">
        <v>511.88603872586901</v>
      </c>
      <c r="BQ41" s="256">
        <v>547.16512548717537</v>
      </c>
      <c r="BR41" s="256">
        <v>511.57233959358666</v>
      </c>
      <c r="BS41" s="256">
        <v>556.79857828405136</v>
      </c>
      <c r="BT41" s="256">
        <v>520.95928052819829</v>
      </c>
      <c r="BV41" s="256">
        <v>801.3</v>
      </c>
      <c r="BW41" s="256">
        <v>775</v>
      </c>
      <c r="BX41" s="256">
        <v>758.2</v>
      </c>
      <c r="BY41" s="256">
        <v>901.61765621894949</v>
      </c>
      <c r="BZ41" s="256">
        <v>939.38158944787301</v>
      </c>
      <c r="CA41" s="256">
        <v>962.27954367320376</v>
      </c>
      <c r="CB41" s="256">
        <v>977.13567676721254</v>
      </c>
      <c r="CC41" s="256">
        <v>994.16224902587874</v>
      </c>
      <c r="CD41" s="256">
        <v>1018.8471798159587</v>
      </c>
      <c r="CE41" s="256">
        <v>1030.6874348892486</v>
      </c>
      <c r="CF41" s="256">
        <v>1050.3590198305717</v>
      </c>
      <c r="CG41" s="256">
        <v>1058.1710521468081</v>
      </c>
      <c r="CH41" s="256">
        <v>1078.1267694863559</v>
      </c>
      <c r="CJ41" s="751" t="s">
        <v>1352</v>
      </c>
      <c r="CK41" s="751" t="s">
        <v>1356</v>
      </c>
      <c r="CL41" s="752" t="s">
        <v>961</v>
      </c>
      <c r="CM41" s="758">
        <f>_xll.VAData($CJ41,CM$3,$CK41,$CL41)</f>
        <v>394.9</v>
      </c>
      <c r="CN41" s="758">
        <f>_xll.VAData($CJ41,CN$3,$CK41,$CL41)</f>
        <v>406.4</v>
      </c>
      <c r="CO41" s="758">
        <f>_xll.VAData($CJ41,CO$3,$CK41,$CL41)</f>
        <v>398.3</v>
      </c>
      <c r="CP41" s="758">
        <f>_xll.VAData($CJ41,CP$3,$CK41,$CL41)</f>
        <v>376.8</v>
      </c>
      <c r="CQ41" s="758">
        <f>_xll.VAData($CJ41,CQ$3,$CK41,$CL41)</f>
        <v>393.9</v>
      </c>
      <c r="CR41" s="758">
        <f>_xll.VAData($CJ41,CR$3,$CK41,$CL41)</f>
        <v>364.3</v>
      </c>
      <c r="CS41" s="758">
        <f>_xll.VAData($CJ41,CS$3,$CK41,$CL41)</f>
        <v>458.1</v>
      </c>
      <c r="CT41" s="758">
        <f>_xll.VAData($CJ41,CT$3,$CK41,$CL41)</f>
        <v>457.8</v>
      </c>
      <c r="CU41" s="758">
        <f>_xll.VAData($CJ41,CU$3,$CK41,$CL41)</f>
        <v>477.4</v>
      </c>
      <c r="CV41" s="758">
        <f>_xll.VAData($CJ41,CV$3,$CK41,$CL41)</f>
        <v>475.8</v>
      </c>
      <c r="CW41" s="758">
        <f>_xll.VAData($CJ41,CW$3,$CK41,$CL41)</f>
        <v>516.20862148164963</v>
      </c>
      <c r="CX41" s="758">
        <f>_xll.VAData($CJ41,CX$3,$CK41,$CL41)</f>
        <v>494.14366521657024</v>
      </c>
      <c r="CY41" s="758">
        <f>_xll.VAData($CJ41,CY$3,$CK41,$CL41)</f>
        <v>536.80242467525181</v>
      </c>
      <c r="CZ41" s="758">
        <f>_xll.VAData($CJ41,CZ$3,$CK41,$CL41)</f>
        <v>508.03487602013183</v>
      </c>
      <c r="DA41" s="758">
        <f>_xll.VAData($CJ41,DA$3,$CK41,$CL41)</f>
        <v>548.19556470730367</v>
      </c>
      <c r="DB41" s="758">
        <f>_xll.VAData($CJ41,DB$3,$CK41,$CL41)</f>
        <v>518.98815309843746</v>
      </c>
      <c r="DC41" s="758">
        <f>_xll.VAData($CJ41,DC$3,$CK41,$CL41)</f>
        <v>559.67310532918805</v>
      </c>
      <c r="DD41" s="758">
        <f>_xll.VAData($CJ41,DD$3,$CK41,$CL41)</f>
        <v>530.24168407642583</v>
      </c>
      <c r="DE41" s="758">
        <f>_xll.VAData($CJ41,DE$3,$CK41,$CL41)</f>
        <v>568.14012816802847</v>
      </c>
      <c r="DF41" s="758">
        <f>_xll.VAData($CJ41,DF$3,$CK41,$CL41)</f>
        <v>534.77565669871149</v>
      </c>
      <c r="DG41" s="758">
        <f>_xll.VAData($CJ41,DG$3,$CK41,$CL41)</f>
        <v>578.30245904276671</v>
      </c>
      <c r="DH41" s="758">
        <f>_xll.VAData($CJ41,DH$3,$CK41,$CL41)</f>
        <v>544.92393921111955</v>
      </c>
      <c r="DI41" s="758">
        <f>_xll.VAData($CJ41,DI$3,$CK41,$CL41)</f>
        <v>588.84546275167702</v>
      </c>
      <c r="DJ41" s="758">
        <f>_xll.VAData($CJ41,DJ$3,$CK41,$CL41)</f>
        <v>555.37019788207351</v>
      </c>
      <c r="DK41" s="758">
        <f>_xll.VAData($CJ41,DK$3,$CK41,$CL41)</f>
        <v>599.69244861197251</v>
      </c>
      <c r="DL41" s="758">
        <f>_xll.VAData($CJ41,DL$3,$CK41,$CL41)</f>
        <v>566.12303130130954</v>
      </c>
      <c r="DN41" s="758">
        <f>_xll.VAData($CJ41,DN$3,$CK41,$CL41)</f>
        <v>801.3</v>
      </c>
      <c r="DO41" s="758">
        <f>_xll.VAData($CJ41,DO$3,$CK41,$CL41)</f>
        <v>775.1</v>
      </c>
      <c r="DP41" s="758">
        <f>_xll.VAData($CJ41,DP$3,$CK41,$CL41)</f>
        <v>758.2</v>
      </c>
      <c r="DQ41" s="758">
        <f>_xll.VAData($CJ41,DQ$3,$CK41,$CL41)</f>
        <v>915.9</v>
      </c>
      <c r="DR41" s="758">
        <f>_xll.VAData($CJ41,DR$3,$CK41,$CL41)</f>
        <v>953.2</v>
      </c>
      <c r="DS41" s="758">
        <f>_xll.VAData($CJ41,DS$3,$CK41,$CL41)</f>
        <v>1010.3522866982172</v>
      </c>
      <c r="DT41" s="758">
        <f>_xll.VAData($CJ41,DT$3,$CK41,$CL41)</f>
        <v>1040.9467397825463</v>
      </c>
      <c r="DU41" s="758">
        <f>_xll.VAData($CJ41,DU$3,$CK41,$CL41)</f>
        <v>1062.9216400184775</v>
      </c>
      <c r="DV41" s="758">
        <f>_xll.VAData($CJ41,DV$3,$CK41,$CL41)</f>
        <v>1085.1101887249638</v>
      </c>
      <c r="DW41" s="758">
        <f>_xll.VAData($CJ41,DW$3,$CK41,$CL41)</f>
        <v>1096.4427543733841</v>
      </c>
      <c r="DX41" s="758">
        <f>_xll.VAData($CJ41,DX$3,$CK41,$CL41)</f>
        <v>1116.646607224834</v>
      </c>
      <c r="DY41" s="758">
        <f>_xll.VAData($CJ41,DY$3,$CK41,$CL41)</f>
        <v>1137.5388441114401</v>
      </c>
      <c r="DZ41" s="758">
        <f>_xll.VAData($CJ41,DZ$3,$CK41,$CL41)</f>
        <v>1159.06978085998</v>
      </c>
    </row>
    <row r="42" spans="2:130">
      <c r="B42" s="138" t="str">
        <f t="shared" si="15"/>
        <v>Opex</v>
      </c>
      <c r="C42" s="82" t="s">
        <v>900</v>
      </c>
      <c r="E42" s="7"/>
      <c r="F42" s="132">
        <f t="shared" si="11"/>
        <v>-257</v>
      </c>
      <c r="G42" s="132">
        <f t="shared" si="11"/>
        <v>-257.3</v>
      </c>
      <c r="H42" s="132">
        <f t="shared" si="11"/>
        <v>-243.9</v>
      </c>
      <c r="I42" s="132">
        <f t="shared" si="11"/>
        <v>-223.1</v>
      </c>
      <c r="J42" s="132">
        <f t="shared" si="11"/>
        <v>-259.89999999999998</v>
      </c>
      <c r="K42" s="132">
        <f t="shared" si="11"/>
        <v>-247.1</v>
      </c>
      <c r="L42" s="132">
        <f t="shared" si="11"/>
        <v>-301.39999999999998</v>
      </c>
      <c r="M42" s="132">
        <f t="shared" si="11"/>
        <v>-295.57567518096675</v>
      </c>
      <c r="N42" s="132">
        <f t="shared" si="11"/>
        <v>-312.15105024152973</v>
      </c>
      <c r="O42" s="132">
        <f t="shared" si="11"/>
        <v>-299.9306231674376</v>
      </c>
      <c r="P42" s="132">
        <f t="shared" si="12"/>
        <v>-319.66369267103823</v>
      </c>
      <c r="Q42" s="132">
        <f t="shared" si="12"/>
        <v>-307.49890310897376</v>
      </c>
      <c r="R42" s="132">
        <f t="shared" si="12"/>
        <v>-327.50596375751917</v>
      </c>
      <c r="S42" s="132">
        <f t="shared" si="12"/>
        <v>-314.46023432770158</v>
      </c>
      <c r="T42" s="132">
        <f t="shared" si="12"/>
        <v>-335.89919780592271</v>
      </c>
      <c r="U42" s="132">
        <f t="shared" si="12"/>
        <v>-322.32511232433126</v>
      </c>
      <c r="V42" s="132">
        <f t="shared" si="12"/>
        <v>-347.19085871859352</v>
      </c>
      <c r="W42" s="132">
        <f t="shared" si="12"/>
        <v>-336.15859626448901</v>
      </c>
      <c r="X42" s="132">
        <f t="shared" si="12"/>
        <v>-358.10360834229448</v>
      </c>
      <c r="Y42" s="132">
        <f t="shared" si="12"/>
        <v>-341.00229477066375</v>
      </c>
      <c r="Z42" s="132">
        <f t="shared" si="13"/>
        <v>-366.73536167203849</v>
      </c>
      <c r="AA42" s="132">
        <f t="shared" si="13"/>
        <v>-349.31308949665726</v>
      </c>
      <c r="AB42" s="132">
        <f t="shared" si="13"/>
        <v>-372.97237830196099</v>
      </c>
      <c r="AC42" s="132">
        <f t="shared" si="13"/>
        <v>-360.89360991610198</v>
      </c>
      <c r="AD42" s="132">
        <f t="shared" si="13"/>
        <v>-381.71626834179</v>
      </c>
      <c r="AE42" s="132">
        <f t="shared" si="13"/>
        <v>-369.48652063999231</v>
      </c>
      <c r="AF42" s="132"/>
      <c r="AG42" s="132">
        <f t="shared" si="14"/>
        <v>-514.29999999999995</v>
      </c>
      <c r="AH42" s="132">
        <f t="shared" si="14"/>
        <v>-467</v>
      </c>
      <c r="AI42" s="132">
        <f t="shared" si="14"/>
        <v>-507</v>
      </c>
      <c r="AJ42" s="132">
        <f t="shared" si="14"/>
        <v>-596.23811470591079</v>
      </c>
      <c r="AK42" s="132">
        <f t="shared" si="14"/>
        <v>-612.29958620888999</v>
      </c>
      <c r="AL42" s="132">
        <f t="shared" si="14"/>
        <v>-627.81842530570793</v>
      </c>
      <c r="AM42" s="132">
        <f t="shared" si="14"/>
        <v>-639.72441758044158</v>
      </c>
      <c r="AN42" s="132">
        <f t="shared" si="14"/>
        <v>-654.42820370254674</v>
      </c>
      <c r="AO42" s="132">
        <f t="shared" si="14"/>
        <v>-675.19814542358972</v>
      </c>
      <c r="AP42" s="132">
        <f t="shared" si="14"/>
        <v>-686.3028181182118</v>
      </c>
      <c r="AQ42" s="132">
        <f t="shared" si="14"/>
        <v>-701.03591039074104</v>
      </c>
      <c r="AR42" s="132">
        <f t="shared" si="14"/>
        <v>-712.99914253758084</v>
      </c>
      <c r="AS42" s="132">
        <f t="shared" si="14"/>
        <v>-727.83100334267999</v>
      </c>
      <c r="AU42" s="256">
        <v>-257</v>
      </c>
      <c r="AV42" s="256">
        <v>-257.3</v>
      </c>
      <c r="AW42" s="256">
        <v>-243.9</v>
      </c>
      <c r="AX42" s="256">
        <v>-223.1</v>
      </c>
      <c r="AY42" s="256">
        <v>-259.89999999999998</v>
      </c>
      <c r="AZ42" s="256">
        <v>-247.1</v>
      </c>
      <c r="BA42" s="256">
        <v>-301.39999999999998</v>
      </c>
      <c r="BB42" s="256">
        <v>-295.57567518096675</v>
      </c>
      <c r="BC42" s="256">
        <v>-312.15105024152973</v>
      </c>
      <c r="BD42" s="256">
        <v>-299.9306231674376</v>
      </c>
      <c r="BE42" s="256">
        <v>-319.66369267103823</v>
      </c>
      <c r="BF42" s="256">
        <v>-307.49890310897376</v>
      </c>
      <c r="BG42" s="256">
        <v>-327.50596375751917</v>
      </c>
      <c r="BH42" s="256">
        <v>-314.46023432770158</v>
      </c>
      <c r="BI42" s="256">
        <v>-335.89919780592271</v>
      </c>
      <c r="BJ42" s="256">
        <v>-322.32511232433126</v>
      </c>
      <c r="BK42" s="256">
        <v>-347.19085871859352</v>
      </c>
      <c r="BL42" s="256">
        <v>-336.15859626448901</v>
      </c>
      <c r="BM42" s="256">
        <v>-358.10360834229448</v>
      </c>
      <c r="BN42" s="256">
        <v>-341.00229477066375</v>
      </c>
      <c r="BO42" s="256">
        <v>-366.73536167203849</v>
      </c>
      <c r="BP42" s="256">
        <v>-349.31308949665726</v>
      </c>
      <c r="BQ42" s="256">
        <v>-372.97237830196099</v>
      </c>
      <c r="BR42" s="256">
        <v>-360.89360991610198</v>
      </c>
      <c r="BS42" s="256">
        <v>-381.71626834179</v>
      </c>
      <c r="BT42" s="256">
        <v>-369.48652063999231</v>
      </c>
      <c r="BV42" s="256">
        <v>-514.29999999999995</v>
      </c>
      <c r="BW42" s="256">
        <v>-467</v>
      </c>
      <c r="BX42" s="256">
        <v>-507</v>
      </c>
      <c r="BY42" s="256">
        <v>-596.23811470591079</v>
      </c>
      <c r="BZ42" s="256">
        <v>-612.29958620888999</v>
      </c>
      <c r="CA42" s="256">
        <v>-627.81842530570793</v>
      </c>
      <c r="CB42" s="256">
        <v>-639.72441758044158</v>
      </c>
      <c r="CC42" s="256">
        <v>-654.42820370254674</v>
      </c>
      <c r="CD42" s="256">
        <v>-675.19814542358972</v>
      </c>
      <c r="CE42" s="256">
        <v>-686.3028181182118</v>
      </c>
      <c r="CF42" s="256">
        <v>-701.03591039074104</v>
      </c>
      <c r="CG42" s="256">
        <v>-712.99914253758084</v>
      </c>
      <c r="CH42" s="256">
        <v>-727.83100334267999</v>
      </c>
      <c r="CJ42" s="751" t="s">
        <v>1352</v>
      </c>
      <c r="CK42" s="751" t="s">
        <v>1358</v>
      </c>
      <c r="CL42" s="752" t="s">
        <v>961</v>
      </c>
      <c r="CM42" s="753">
        <f>IFERROR(-_xll.VAData($CJ42,CM$3,$CK42,$CL42),"-")</f>
        <v>-257</v>
      </c>
      <c r="CN42" s="753">
        <f>IFERROR(-_xll.VAData($CJ42,CN$3,$CK42,$CL42),"-")</f>
        <v>-257.3</v>
      </c>
      <c r="CO42" s="753">
        <f>IFERROR(-_xll.VAData($CJ42,CO$3,$CK42,$CL42),"-")</f>
        <v>-243.9</v>
      </c>
      <c r="CP42" s="753">
        <f>IFERROR(-_xll.VAData($CJ42,CP$3,$CK42,$CL42),"-")</f>
        <v>-223.1</v>
      </c>
      <c r="CQ42" s="753">
        <f>IFERROR(-_xll.VAData($CJ42,CQ$3,$CK42,$CL42),"-")</f>
        <v>-259.89999999999998</v>
      </c>
      <c r="CR42" s="753">
        <f>IFERROR(-_xll.VAData($CJ42,CR$3,$CK42,$CL42),"-")</f>
        <v>-247.1</v>
      </c>
      <c r="CS42" s="753">
        <f>IFERROR(-_xll.VAData($CJ42,CS$3,$CK42,$CL42),"-")</f>
        <v>-301.39999999999998</v>
      </c>
      <c r="CT42" s="753">
        <f>IFERROR(-_xll.VAData($CJ42,CT$3,$CK42,$CL42),"-")</f>
        <v>-285.39999999999998</v>
      </c>
      <c r="CU42" s="753">
        <f>IFERROR(-_xll.VAData($CJ42,CU$3,$CK42,$CL42),"-")</f>
        <v>-296</v>
      </c>
      <c r="CV42" s="753">
        <f>IFERROR(-_xll.VAData($CJ42,CV$3,$CK42,$CL42),"-")</f>
        <v>-295.39999999999998</v>
      </c>
      <c r="CW42" s="753">
        <f>IFERROR(-_xll.VAData($CJ42,CW$3,$CK42,$CL42),"-")</f>
        <v>-306.73726897978889</v>
      </c>
      <c r="CX42" s="753">
        <f>IFERROR(-_xll.VAData($CJ42,CX$3,$CK42,$CL42),"-")</f>
        <v>-307.53441716285948</v>
      </c>
      <c r="CY42" s="753">
        <f>IFERROR(-_xll.VAData($CJ42,CY$3,$CK42,$CL42),"-")</f>
        <v>-320.19714211887299</v>
      </c>
      <c r="CZ42" s="753">
        <f>IFERROR(-_xll.VAData($CJ42,CZ$3,$CK42,$CL42),"-")</f>
        <v>-314.78833277655588</v>
      </c>
      <c r="DA42" s="753">
        <f>IFERROR(-_xll.VAData($CJ42,DA$3,$CK42,$CL42),"-")</f>
        <v>-326.67609998991242</v>
      </c>
      <c r="DB42" s="753">
        <f>IFERROR(-_xll.VAData($CJ42,DB$3,$CK42,$CL42),"-")</f>
        <v>-321.62065142341845</v>
      </c>
      <c r="DC42" s="753">
        <f>IFERROR(-_xll.VAData($CJ42,DC$3,$CK42,$CL42),"-")</f>
        <v>-332.79489103907372</v>
      </c>
      <c r="DD42" s="753">
        <f>IFERROR(-_xll.VAData($CJ42,DD$3,$CK42,$CL42),"-")</f>
        <v>-327.68301798828401</v>
      </c>
      <c r="DE42" s="753">
        <f>IFERROR(-_xll.VAData($CJ42,DE$3,$CK42,$CL42),"-")</f>
        <v>-340.31256592177851</v>
      </c>
      <c r="DF42" s="753">
        <f>IFERROR(-_xll.VAData($CJ42,DF$3,$CK42,$CL42),"-")</f>
        <v>-336.25988814647951</v>
      </c>
      <c r="DG42" s="753">
        <f>IFERROR(-_xll.VAData($CJ42,DG$3,$CK42,$CL42),"-")</f>
        <v>-347.12500498941699</v>
      </c>
      <c r="DH42" s="753">
        <f>IFERROR(-_xll.VAData($CJ42,DH$3,$CK42,$CL42),"-")</f>
        <v>-343.06418969308726</v>
      </c>
      <c r="DI42" s="753">
        <f>IFERROR(-_xll.VAData($CJ42,DI$3,$CK42,$CL42),"-")</f>
        <v>-354.11993651700698</v>
      </c>
      <c r="DJ42" s="753">
        <f>IFERROR(-_xll.VAData($CJ42,DJ$3,$CK42,$CL42),"-")</f>
        <v>-350.02856054827799</v>
      </c>
      <c r="DK42" s="753">
        <f>IFERROR(-_xll.VAData($CJ42,DK$3,$CK42,$CL42),"-")</f>
        <v>-361.27902196577526</v>
      </c>
      <c r="DL42" s="753">
        <f>IFERROR(-_xll.VAData($CJ42,DL$3,$CK42,$CL42),"-")</f>
        <v>-357.15697686398249</v>
      </c>
      <c r="DN42" s="753">
        <f>IFERROR(-_xll.VAData($CJ42,DN$3,$CK42,$CL42),"-")</f>
        <v>-514.29999999999995</v>
      </c>
      <c r="DO42" s="753">
        <f>IFERROR(-_xll.VAData($CJ42,DO$3,$CK42,$CL42),"-")</f>
        <v>-467</v>
      </c>
      <c r="DP42" s="753">
        <f>IFERROR(-_xll.VAData($CJ42,DP$3,$CK42,$CL42),"-")</f>
        <v>-507</v>
      </c>
      <c r="DQ42" s="753">
        <f>IFERROR(-_xll.VAData($CJ42,DQ$3,$CK42,$CL42),"-")</f>
        <v>-586.79999999999995</v>
      </c>
      <c r="DR42" s="753">
        <f>IFERROR(-_xll.VAData($CJ42,DR$3,$CK42,$CL42),"-")</f>
        <v>-591.4</v>
      </c>
      <c r="DS42" s="753">
        <f>IFERROR(-_xll.VAData($CJ42,DS$3,$CK42,$CL42),"-")</f>
        <v>-614.27168614264792</v>
      </c>
      <c r="DT42" s="753">
        <f>IFERROR(-_xll.VAData($CJ42,DT$3,$CK42,$CL42),"-")</f>
        <v>-632.20707152279249</v>
      </c>
      <c r="DU42" s="753">
        <f>IFERROR(-_xll.VAData($CJ42,DU$3,$CK42,$CL42),"-")</f>
        <v>-644.11474183363748</v>
      </c>
      <c r="DV42" s="753">
        <f>IFERROR(-_xll.VAData($CJ42,DV$3,$CK42,$CL42),"-")</f>
        <v>-655.01183337205248</v>
      </c>
      <c r="DW42" s="753">
        <f>IFERROR(-_xll.VAData($CJ42,DW$3,$CK42,$CL42),"-")</f>
        <v>-667.05621243213841</v>
      </c>
      <c r="DX42" s="753">
        <f>IFERROR(-_xll.VAData($CJ42,DX$3,$CK42,$CL42),"-")</f>
        <v>-680.36652058986795</v>
      </c>
      <c r="DY42" s="753">
        <f>IFERROR(-_xll.VAData($CJ42,DY$3,$CK42,$CL42),"-")</f>
        <v>-694.01932621442756</v>
      </c>
      <c r="DZ42" s="753">
        <f>IFERROR(-_xll.VAData($CJ42,DZ$3,$CK42,$CL42),"-")</f>
        <v>-708.00507815526817</v>
      </c>
    </row>
    <row r="43" spans="2:130">
      <c r="B43" s="138" t="str">
        <f t="shared" si="15"/>
        <v>EBITDA</v>
      </c>
      <c r="C43" s="82" t="s">
        <v>900</v>
      </c>
      <c r="E43" s="7"/>
      <c r="F43" s="132">
        <f t="shared" si="11"/>
        <v>137.9</v>
      </c>
      <c r="G43" s="132">
        <f t="shared" si="11"/>
        <v>149.1</v>
      </c>
      <c r="H43" s="132">
        <f t="shared" si="11"/>
        <v>154.4</v>
      </c>
      <c r="I43" s="132">
        <f t="shared" si="11"/>
        <v>153.6</v>
      </c>
      <c r="J43" s="132">
        <f t="shared" si="11"/>
        <v>134</v>
      </c>
      <c r="K43" s="132">
        <f t="shared" si="11"/>
        <v>117.2</v>
      </c>
      <c r="L43" s="132">
        <f t="shared" si="11"/>
        <v>156.69999999999999</v>
      </c>
      <c r="M43" s="132">
        <f t="shared" si="11"/>
        <v>147.92571360529712</v>
      </c>
      <c r="N43" s="132">
        <f t="shared" si="11"/>
        <v>172.91751978009501</v>
      </c>
      <c r="O43" s="132">
        <f t="shared" si="11"/>
        <v>152.68443184793534</v>
      </c>
      <c r="P43" s="132">
        <f t="shared" si="12"/>
        <v>176.65494526106977</v>
      </c>
      <c r="Q43" s="132">
        <f t="shared" si="12"/>
        <v>155.48809112530478</v>
      </c>
      <c r="R43" s="132">
        <f t="shared" si="12"/>
        <v>176.83599998579288</v>
      </c>
      <c r="S43" s="132">
        <f t="shared" si="12"/>
        <v>158.55176823327739</v>
      </c>
      <c r="T43" s="132">
        <f t="shared" si="12"/>
        <v>177.49947391101949</v>
      </c>
      <c r="U43" s="132">
        <f t="shared" si="12"/>
        <v>159.40213605898037</v>
      </c>
      <c r="V43" s="132">
        <f t="shared" si="12"/>
        <v>178.80156163000058</v>
      </c>
      <c r="W43" s="132">
        <f t="shared" si="12"/>
        <v>159.92693568912557</v>
      </c>
      <c r="X43" s="132">
        <f t="shared" si="12"/>
        <v>177.25348174280674</v>
      </c>
      <c r="Y43" s="132">
        <f t="shared" si="12"/>
        <v>161.23119727371625</v>
      </c>
      <c r="Z43" s="132">
        <f t="shared" si="13"/>
        <v>178.55216332111851</v>
      </c>
      <c r="AA43" s="132">
        <f t="shared" si="13"/>
        <v>162.5729492292115</v>
      </c>
      <c r="AB43" s="132">
        <f t="shared" si="13"/>
        <v>174.19274718521433</v>
      </c>
      <c r="AC43" s="132">
        <f t="shared" si="13"/>
        <v>150.67872967748465</v>
      </c>
      <c r="AD43" s="132">
        <f t="shared" si="13"/>
        <v>175.08230994226133</v>
      </c>
      <c r="AE43" s="132">
        <f t="shared" si="13"/>
        <v>151.47275988820601</v>
      </c>
      <c r="AF43" s="132"/>
      <c r="AG43" s="132">
        <f t="shared" si="14"/>
        <v>287</v>
      </c>
      <c r="AH43" s="132">
        <f t="shared" si="14"/>
        <v>308</v>
      </c>
      <c r="AI43" s="132">
        <f t="shared" si="14"/>
        <v>251.2</v>
      </c>
      <c r="AJ43" s="132">
        <f t="shared" si="14"/>
        <v>305.34034888307667</v>
      </c>
      <c r="AK43" s="132">
        <f t="shared" si="14"/>
        <v>325.95091274243549</v>
      </c>
      <c r="AL43" s="132">
        <f t="shared" si="14"/>
        <v>332.91726569463452</v>
      </c>
      <c r="AM43" s="132">
        <f t="shared" si="14"/>
        <v>334.88375322152052</v>
      </c>
      <c r="AN43" s="132">
        <f t="shared" si="14"/>
        <v>337.15648898897223</v>
      </c>
      <c r="AO43" s="132">
        <f t="shared" si="14"/>
        <v>340.56820423626777</v>
      </c>
      <c r="AP43" s="132">
        <f t="shared" si="14"/>
        <v>344.38461677103618</v>
      </c>
      <c r="AQ43" s="132">
        <f t="shared" si="14"/>
        <v>349.323109439831</v>
      </c>
      <c r="AR43" s="132">
        <f t="shared" si="14"/>
        <v>345.17190960922801</v>
      </c>
      <c r="AS43" s="132">
        <f t="shared" si="14"/>
        <v>350.29576614367642</v>
      </c>
      <c r="AU43" s="256">
        <v>137.9</v>
      </c>
      <c r="AV43" s="256">
        <v>149.1</v>
      </c>
      <c r="AW43" s="256">
        <v>154.4</v>
      </c>
      <c r="AX43" s="256">
        <v>153.6</v>
      </c>
      <c r="AY43" s="256">
        <v>134</v>
      </c>
      <c r="AZ43" s="256">
        <v>117.2</v>
      </c>
      <c r="BA43" s="256">
        <v>156.69999999999999</v>
      </c>
      <c r="BB43" s="256">
        <v>147.92571360529712</v>
      </c>
      <c r="BC43" s="256">
        <v>172.91751978009501</v>
      </c>
      <c r="BD43" s="256">
        <v>152.68443184793534</v>
      </c>
      <c r="BE43" s="256">
        <v>176.65494526106977</v>
      </c>
      <c r="BF43" s="256">
        <v>155.48809112530478</v>
      </c>
      <c r="BG43" s="256">
        <v>176.83599998579288</v>
      </c>
      <c r="BH43" s="256">
        <v>158.55176823327739</v>
      </c>
      <c r="BI43" s="256">
        <v>177.49947391101949</v>
      </c>
      <c r="BJ43" s="256">
        <v>159.40213605898037</v>
      </c>
      <c r="BK43" s="256">
        <v>178.80156163000058</v>
      </c>
      <c r="BL43" s="256">
        <v>159.92693568912557</v>
      </c>
      <c r="BM43" s="256">
        <v>177.25348174280674</v>
      </c>
      <c r="BN43" s="256">
        <v>161.23119727371625</v>
      </c>
      <c r="BO43" s="256">
        <v>178.55216332111851</v>
      </c>
      <c r="BP43" s="256">
        <v>162.5729492292115</v>
      </c>
      <c r="BQ43" s="256">
        <v>174.19274718521433</v>
      </c>
      <c r="BR43" s="256">
        <v>150.67872967748465</v>
      </c>
      <c r="BS43" s="256">
        <v>175.08230994226133</v>
      </c>
      <c r="BT43" s="256">
        <v>151.47275988820601</v>
      </c>
      <c r="BV43" s="256">
        <v>287</v>
      </c>
      <c r="BW43" s="256">
        <v>308</v>
      </c>
      <c r="BX43" s="256">
        <v>251.2</v>
      </c>
      <c r="BY43" s="256">
        <v>305.34034888307667</v>
      </c>
      <c r="BZ43" s="256">
        <v>325.95091274243549</v>
      </c>
      <c r="CA43" s="256">
        <v>332.91726569463452</v>
      </c>
      <c r="CB43" s="256">
        <v>334.88375322152052</v>
      </c>
      <c r="CC43" s="256">
        <v>337.15648898897223</v>
      </c>
      <c r="CD43" s="256">
        <v>340.56820423626777</v>
      </c>
      <c r="CE43" s="256">
        <v>344.38461677103618</v>
      </c>
      <c r="CF43" s="256">
        <v>349.323109439831</v>
      </c>
      <c r="CG43" s="256">
        <v>345.17190960922801</v>
      </c>
      <c r="CH43" s="256">
        <v>350.29576614367642</v>
      </c>
      <c r="CJ43" s="751" t="s">
        <v>1352</v>
      </c>
      <c r="CK43" s="751" t="s">
        <v>1357</v>
      </c>
      <c r="CL43" s="752" t="s">
        <v>961</v>
      </c>
      <c r="CM43" s="758">
        <f>_xll.VAData($CJ43,CM$3,$CK43,$CL43)</f>
        <v>137.9</v>
      </c>
      <c r="CN43" s="758">
        <f>_xll.VAData($CJ43,CN$3,$CK43,$CL43)</f>
        <v>149.1</v>
      </c>
      <c r="CO43" s="758">
        <f>_xll.VAData($CJ43,CO$3,$CK43,$CL43)</f>
        <v>154.4</v>
      </c>
      <c r="CP43" s="758">
        <f>_xll.VAData($CJ43,CP$3,$CK43,$CL43)</f>
        <v>153.6</v>
      </c>
      <c r="CQ43" s="758">
        <f>_xll.VAData($CJ43,CQ$3,$CK43,$CL43)</f>
        <v>134</v>
      </c>
      <c r="CR43" s="758">
        <f>_xll.VAData($CJ43,CR$3,$CK43,$CL43)</f>
        <v>117.2</v>
      </c>
      <c r="CS43" s="758">
        <f>_xll.VAData($CJ43,CS$3,$CK43,$CL43)</f>
        <v>156.69999999999999</v>
      </c>
      <c r="CT43" s="758">
        <f>_xll.VAData($CJ43,CT$3,$CK43,$CL43)</f>
        <v>172.4</v>
      </c>
      <c r="CU43" s="758">
        <f>_xll.VAData($CJ43,CU$3,$CK43,$CL43)</f>
        <v>181.4</v>
      </c>
      <c r="CV43" s="758">
        <f>_xll.VAData($CJ43,CV$3,$CK43,$CL43)</f>
        <v>180.4</v>
      </c>
      <c r="CW43" s="758">
        <f>_xll.VAData($CJ43,CW$3,$CK43,$CL43)</f>
        <v>204.2861177648021</v>
      </c>
      <c r="CX43" s="758">
        <f>_xll.VAData($CJ43,CX$3,$CK43,$CL43)</f>
        <v>183.23248180002599</v>
      </c>
      <c r="CY43" s="758">
        <f>_xll.VAData($CJ43,CY$3,$CK43,$CL43)</f>
        <v>209.37701115753961</v>
      </c>
      <c r="CZ43" s="758">
        <f>_xll.VAData($CJ43,CZ$3,$CK43,$CL43)</f>
        <v>188.26036135920424</v>
      </c>
      <c r="DA43" s="758">
        <f>_xll.VAData($CJ43,DA$3,$CK43,$CL43)</f>
        <v>213.72834313245775</v>
      </c>
      <c r="DB43" s="758">
        <f>_xll.VAData($CJ43,DB$3,$CK43,$CL43)</f>
        <v>192.04256270836939</v>
      </c>
      <c r="DC43" s="758">
        <f>_xll.VAData($CJ43,DC$3,$CK43,$CL43)</f>
        <v>218.47185589181336</v>
      </c>
      <c r="DD43" s="758">
        <f>_xll.VAData($CJ43,DD$3,$CK43,$CL43)</f>
        <v>196.77560981259325</v>
      </c>
      <c r="DE43" s="758">
        <f>_xll.VAData($CJ43,DE$3,$CK43,$CL43)</f>
        <v>227.82756224624976</v>
      </c>
      <c r="DF43" s="758">
        <f>_xll.VAData($CJ43,DF$3,$CK43,$CL43)</f>
        <v>198.515768552232</v>
      </c>
      <c r="DG43" s="758">
        <f>_xll.VAData($CJ43,DG$3,$CK43,$CL43)</f>
        <v>231.17745405334975</v>
      </c>
      <c r="DH43" s="758">
        <f>_xll.VAData($CJ43,DH$3,$CK43,$CL43)</f>
        <v>201.85974951803226</v>
      </c>
      <c r="DI43" s="758">
        <f>_xll.VAData($CJ43,DI$3,$CK43,$CL43)</f>
        <v>234.72552623467001</v>
      </c>
      <c r="DJ43" s="758">
        <f>_xll.VAData($CJ43,DJ$3,$CK43,$CL43)</f>
        <v>205.34163733379549</v>
      </c>
      <c r="DK43" s="758">
        <f>_xll.VAData($CJ43,DK$3,$CK43,$CL43)</f>
        <v>238.41342664619674</v>
      </c>
      <c r="DL43" s="758">
        <f>_xll.VAData($CJ43,DL$3,$CK43,$CL43)</f>
        <v>208.96605443732724</v>
      </c>
      <c r="DN43" s="758">
        <f>_xll.VAData($CJ43,DN$3,$CK43,$CL43)</f>
        <v>287</v>
      </c>
      <c r="DO43" s="758">
        <f>_xll.VAData($CJ43,DO$3,$CK43,$CL43)</f>
        <v>308</v>
      </c>
      <c r="DP43" s="758">
        <f>_xll.VAData($CJ43,DP$3,$CK43,$CL43)</f>
        <v>251.2</v>
      </c>
      <c r="DQ43" s="758">
        <f>_xll.VAData($CJ43,DQ$3,$CK43,$CL43)</f>
        <v>329.1</v>
      </c>
      <c r="DR43" s="758">
        <f>_xll.VAData($CJ43,DR$3,$CK43,$CL43)</f>
        <v>361.8</v>
      </c>
      <c r="DS43" s="758">
        <f>_xll.VAData($CJ43,DS$3,$CK43,$CL43)</f>
        <v>387.51859956482798</v>
      </c>
      <c r="DT43" s="758">
        <f>_xll.VAData($CJ43,DT$3,$CK43,$CL43)</f>
        <v>398.00594951247621</v>
      </c>
      <c r="DU43" s="758">
        <f>_xll.VAData($CJ43,DU$3,$CK43,$CL43)</f>
        <v>407.15707416205169</v>
      </c>
      <c r="DV43" s="758">
        <f>_xll.VAData($CJ43,DV$3,$CK43,$CL43)</f>
        <v>417.41204509008344</v>
      </c>
      <c r="DW43" s="758">
        <f>_xll.VAData($CJ43,DW$3,$CK43,$CL43)</f>
        <v>429.38654194124621</v>
      </c>
      <c r="DX43" s="758">
        <f>_xll.VAData($CJ43,DX$3,$CK43,$CL43)</f>
        <v>436.28008663496718</v>
      </c>
      <c r="DY43" s="758">
        <f>_xll.VAData($CJ43,DY$3,$CK43,$CL43)</f>
        <v>443.51951789701297</v>
      </c>
      <c r="DZ43" s="758">
        <f>_xll.VAData($CJ43,DZ$3,$CK43,$CL43)</f>
        <v>451.06470270471101</v>
      </c>
    </row>
    <row r="44" spans="2:130">
      <c r="B44" s="138" t="str">
        <f t="shared" si="15"/>
        <v>D&amp;A</v>
      </c>
      <c r="C44" s="82" t="s">
        <v>900</v>
      </c>
      <c r="E44" s="7"/>
      <c r="F44" s="132">
        <f t="shared" si="11"/>
        <v>-105.2</v>
      </c>
      <c r="G44" s="132">
        <f t="shared" si="11"/>
        <v>-109.8</v>
      </c>
      <c r="H44" s="132">
        <f t="shared" si="11"/>
        <v>-96.5</v>
      </c>
      <c r="I44" s="132">
        <f t="shared" si="11"/>
        <v>-95.3</v>
      </c>
      <c r="J44" s="132">
        <f t="shared" si="11"/>
        <v>-100.7</v>
      </c>
      <c r="K44" s="132">
        <f t="shared" si="11"/>
        <v>-80.2</v>
      </c>
      <c r="L44" s="132">
        <f t="shared" si="11"/>
        <v>-77.3</v>
      </c>
      <c r="M44" s="132">
        <f t="shared" si="11"/>
        <v>-83.592183288715646</v>
      </c>
      <c r="N44" s="132">
        <f t="shared" si="11"/>
        <v>-80.743512933057687</v>
      </c>
      <c r="O44" s="132">
        <f t="shared" si="11"/>
        <v>-82.856663648690898</v>
      </c>
      <c r="P44" s="132">
        <f t="shared" si="12"/>
        <v>-82.175517900474631</v>
      </c>
      <c r="Q44" s="132">
        <f t="shared" si="12"/>
        <v>-83.815118962502652</v>
      </c>
      <c r="R44" s="132">
        <f t="shared" si="12"/>
        <v>-83.359914688748304</v>
      </c>
      <c r="S44" s="132">
        <f t="shared" si="12"/>
        <v>-85.31307386471677</v>
      </c>
      <c r="T44" s="132">
        <f t="shared" si="12"/>
        <v>-84.389617829343607</v>
      </c>
      <c r="U44" s="132">
        <f t="shared" si="12"/>
        <v>-86.274758177809019</v>
      </c>
      <c r="V44" s="132">
        <f t="shared" si="12"/>
        <v>-86.777810832490317</v>
      </c>
      <c r="W44" s="132">
        <f t="shared" si="12"/>
        <v>-86.839728418320547</v>
      </c>
      <c r="X44" s="132">
        <f t="shared" si="12"/>
        <v>-84.676432614121865</v>
      </c>
      <c r="Y44" s="132">
        <f t="shared" si="12"/>
        <v>-88.023378248281404</v>
      </c>
      <c r="Z44" s="132">
        <f t="shared" si="13"/>
        <v>-85.603954286423004</v>
      </c>
      <c r="AA44" s="132">
        <f t="shared" si="13"/>
        <v>-89.072560244494966</v>
      </c>
      <c r="AB44" s="132">
        <f t="shared" si="13"/>
        <v>-92.340097443863797</v>
      </c>
      <c r="AC44" s="132">
        <f t="shared" si="13"/>
        <v>-93.553632303649948</v>
      </c>
      <c r="AD44" s="132">
        <f t="shared" si="13"/>
        <v>-93.982247542815756</v>
      </c>
      <c r="AE44" s="132">
        <f t="shared" si="13"/>
        <v>-95.224778394073255</v>
      </c>
      <c r="AF44" s="132"/>
      <c r="AG44" s="132">
        <f t="shared" si="14"/>
        <v>-215</v>
      </c>
      <c r="AH44" s="132">
        <f t="shared" si="14"/>
        <v>-191.8</v>
      </c>
      <c r="AI44" s="132">
        <f t="shared" si="14"/>
        <v>-180.9</v>
      </c>
      <c r="AJ44" s="132">
        <f t="shared" si="14"/>
        <v>-161.44203706128701</v>
      </c>
      <c r="AK44" s="132">
        <f t="shared" si="14"/>
        <v>-163.68819154388467</v>
      </c>
      <c r="AL44" s="132">
        <f t="shared" si="14"/>
        <v>-166.47907158321922</v>
      </c>
      <c r="AM44" s="132">
        <f t="shared" si="14"/>
        <v>-165.88092829679476</v>
      </c>
      <c r="AN44" s="132">
        <f t="shared" si="14"/>
        <v>-165.01152856907268</v>
      </c>
      <c r="AO44" s="132">
        <f t="shared" si="14"/>
        <v>-165.41622119441789</v>
      </c>
      <c r="AP44" s="132">
        <f t="shared" si="14"/>
        <v>-159.45920305851001</v>
      </c>
      <c r="AQ44" s="132">
        <f t="shared" si="14"/>
        <v>-159.40531936923321</v>
      </c>
      <c r="AR44" s="132">
        <f t="shared" si="14"/>
        <v>-159.68338173320876</v>
      </c>
      <c r="AS44" s="132">
        <f t="shared" si="14"/>
        <v>-161.18142834536249</v>
      </c>
      <c r="AU44" s="256">
        <v>-105.2</v>
      </c>
      <c r="AV44" s="256">
        <v>-109.8</v>
      </c>
      <c r="AW44" s="256">
        <v>-96.5</v>
      </c>
      <c r="AX44" s="256">
        <v>-95.3</v>
      </c>
      <c r="AY44" s="256">
        <v>-100.7</v>
      </c>
      <c r="AZ44" s="256">
        <v>-80.2</v>
      </c>
      <c r="BA44" s="256">
        <v>-77.3</v>
      </c>
      <c r="BB44" s="256">
        <v>-83.592183288715646</v>
      </c>
      <c r="BC44" s="256">
        <v>-80.743512933057687</v>
      </c>
      <c r="BD44" s="256">
        <v>-82.856663648690898</v>
      </c>
      <c r="BE44" s="256">
        <v>-82.175517900474631</v>
      </c>
      <c r="BF44" s="256">
        <v>-83.815118962502652</v>
      </c>
      <c r="BG44" s="256">
        <v>-83.359914688748304</v>
      </c>
      <c r="BH44" s="256">
        <v>-85.31307386471677</v>
      </c>
      <c r="BI44" s="256">
        <v>-84.389617829343607</v>
      </c>
      <c r="BJ44" s="256">
        <v>-86.274758177809019</v>
      </c>
      <c r="BK44" s="256">
        <v>-86.777810832490317</v>
      </c>
      <c r="BL44" s="256">
        <v>-86.839728418320547</v>
      </c>
      <c r="BM44" s="256">
        <v>-84.676432614121865</v>
      </c>
      <c r="BN44" s="256">
        <v>-88.023378248281404</v>
      </c>
      <c r="BO44" s="256">
        <v>-85.603954286423004</v>
      </c>
      <c r="BP44" s="256">
        <v>-89.072560244494966</v>
      </c>
      <c r="BQ44" s="256">
        <v>-92.340097443863797</v>
      </c>
      <c r="BR44" s="256">
        <v>-93.553632303649948</v>
      </c>
      <c r="BS44" s="256">
        <v>-93.982247542815756</v>
      </c>
      <c r="BT44" s="256">
        <v>-95.224778394073255</v>
      </c>
      <c r="BV44" s="256">
        <v>-215</v>
      </c>
      <c r="BW44" s="256">
        <v>-191.8</v>
      </c>
      <c r="BX44" s="256">
        <v>-180.9</v>
      </c>
      <c r="BY44" s="256">
        <v>-161.44203706128701</v>
      </c>
      <c r="BZ44" s="256">
        <v>-163.68819154388467</v>
      </c>
      <c r="CA44" s="256">
        <v>-166.47907158321922</v>
      </c>
      <c r="CB44" s="256">
        <v>-165.88092829679476</v>
      </c>
      <c r="CC44" s="256">
        <v>-165.01152856907268</v>
      </c>
      <c r="CD44" s="256">
        <v>-165.41622119441789</v>
      </c>
      <c r="CE44" s="256">
        <v>-159.45920305851001</v>
      </c>
      <c r="CF44" s="256">
        <v>-159.40531936923321</v>
      </c>
      <c r="CG44" s="256">
        <v>-159.68338173320876</v>
      </c>
      <c r="CH44" s="256">
        <v>-161.18142834536249</v>
      </c>
      <c r="CJ44" s="751" t="s">
        <v>1352</v>
      </c>
      <c r="CK44" s="751" t="s">
        <v>1359</v>
      </c>
      <c r="CL44" s="752" t="s">
        <v>961</v>
      </c>
      <c r="CM44" s="753">
        <f>IFERROR(-_xll.VAData($CJ44,CM$3,$CK44,$CL44),"-")</f>
        <v>-105.2</v>
      </c>
      <c r="CN44" s="753">
        <f>IFERROR(-_xll.VAData($CJ44,CN$3,$CK44,$CL44),"-")</f>
        <v>-109.8</v>
      </c>
      <c r="CO44" s="753">
        <f>IFERROR(-_xll.VAData($CJ44,CO$3,$CK44,$CL44),"-")</f>
        <v>-96.5</v>
      </c>
      <c r="CP44" s="753">
        <f>IFERROR(-_xll.VAData($CJ44,CP$3,$CK44,$CL44),"-")</f>
        <v>-95.3</v>
      </c>
      <c r="CQ44" s="753">
        <f>IFERROR(-_xll.VAData($CJ44,CQ$3,$CK44,$CL44),"-")</f>
        <v>-100.7</v>
      </c>
      <c r="CR44" s="753">
        <f>IFERROR(-_xll.VAData($CJ44,CR$3,$CK44,$CL44),"-")</f>
        <v>-80.2</v>
      </c>
      <c r="CS44" s="753">
        <f>IFERROR(-_xll.VAData($CJ44,CS$3,$CK44,$CL44),"-")</f>
        <v>-77.3</v>
      </c>
      <c r="CT44" s="753">
        <f>IFERROR(-_xll.VAData($CJ44,CT$3,$CK44,$CL44),"-")</f>
        <v>-83.6</v>
      </c>
      <c r="CU44" s="753">
        <f>IFERROR(-_xll.VAData($CJ44,CU$3,$CK44,$CL44),"-")</f>
        <v>-86.1</v>
      </c>
      <c r="CV44" s="753">
        <f>IFERROR(-_xll.VAData($CJ44,CV$3,$CK44,$CL44),"-")</f>
        <v>-84.5</v>
      </c>
      <c r="CW44" s="753">
        <f>IFERROR(-_xll.VAData($CJ44,CW$3,$CK44,$CL44),"-")</f>
        <v>-93.151300907468126</v>
      </c>
      <c r="CX44" s="753">
        <f>IFERROR(-_xll.VAData($CJ44,CX$3,$CK44,$CL44),"-")</f>
        <v>-94.076916423378037</v>
      </c>
      <c r="CY44" s="753">
        <f>IFERROR(-_xll.VAData($CJ44,CY$3,$CK44,$CL44),"-")</f>
        <v>-95.106483063125793</v>
      </c>
      <c r="CZ44" s="753">
        <f>IFERROR(-_xll.VAData($CJ44,CZ$3,$CK44,$CL44),"-")</f>
        <v>-96.839155394003342</v>
      </c>
      <c r="DA44" s="753">
        <f>IFERROR(-_xll.VAData($CJ44,DA$3,$CK44,$CL44),"-")</f>
        <v>-95.560450634056323</v>
      </c>
      <c r="DB44" s="753">
        <f>IFERROR(-_xll.VAData($CJ44,DB$3,$CK44,$CL44),"-")</f>
        <v>-97.407820141216916</v>
      </c>
      <c r="DC44" s="753">
        <f>IFERROR(-_xll.VAData($CJ44,DC$3,$CK44,$CL44),"-")</f>
        <v>-95.604599842790776</v>
      </c>
      <c r="DD44" s="753">
        <f>IFERROR(-_xll.VAData($CJ44,DD$3,$CK44,$CL44),"-")</f>
        <v>-97.69742472032263</v>
      </c>
      <c r="DE44" s="753">
        <f>IFERROR(-_xll.VAData($CJ44,DE$3,$CK44,$CL44),"-")</f>
        <v>-95.510381094503472</v>
      </c>
      <c r="DF44" s="753">
        <f>IFERROR(-_xll.VAData($CJ44,DF$3,$CK44,$CL44),"-")</f>
        <v>-94.964629468889598</v>
      </c>
      <c r="DG44" s="753">
        <f>IFERROR(-_xll.VAData($CJ44,DG$3,$CK44,$CL44),"-")</f>
        <v>-95.648791582639873</v>
      </c>
      <c r="DH44" s="753">
        <f>IFERROR(-_xll.VAData($CJ44,DH$3,$CK44,$CL44),"-")</f>
        <v>-96.696606909850772</v>
      </c>
      <c r="DI44" s="753">
        <f>IFERROR(-_xll.VAData($CJ44,DI$3,$CK44,$CL44),"-")</f>
        <v>-97.415020886274036</v>
      </c>
      <c r="DJ44" s="753">
        <f>IFERROR(-_xll.VAData($CJ44,DJ$3,$CK44,$CL44),"-")</f>
        <v>-97.397134888232529</v>
      </c>
      <c r="DK44" s="753">
        <f>IFERROR(-_xll.VAData($CJ44,DK$3,$CK44,$CL44),"-")</f>
        <v>-98.550440967150664</v>
      </c>
      <c r="DL44" s="753">
        <f>IFERROR(-_xll.VAData($CJ44,DL$3,$CK44,$CL44),"-")</f>
        <v>-98.662534358810404</v>
      </c>
      <c r="DN44" s="753">
        <f>IFERROR(-_xll.VAData($CJ44,DN$3,$CK44,$CL44),"-")</f>
        <v>-215</v>
      </c>
      <c r="DO44" s="753">
        <f>IFERROR(-_xll.VAData($CJ44,DO$3,$CK44,$CL44),"-")</f>
        <v>-191.8</v>
      </c>
      <c r="DP44" s="753">
        <f>IFERROR(-_xll.VAData($CJ44,DP$3,$CK44,$CL44),"-")</f>
        <v>-180.9</v>
      </c>
      <c r="DQ44" s="753">
        <f>IFERROR(-_xll.VAData($CJ44,DQ$3,$CK44,$CL44),"-")</f>
        <v>-160.9</v>
      </c>
      <c r="DR44" s="753">
        <f>IFERROR(-_xll.VAData($CJ44,DR$3,$CK44,$CL44),"-")</f>
        <v>-170.6</v>
      </c>
      <c r="DS44" s="753">
        <f>IFERROR(-_xll.VAData($CJ44,DS$3,$CK44,$CL44),"-")</f>
        <v>-187.22821733084626</v>
      </c>
      <c r="DT44" s="753">
        <f>IFERROR(-_xll.VAData($CJ44,DT$3,$CK44,$CL44),"-")</f>
        <v>-190.69892011968324</v>
      </c>
      <c r="DU44" s="753">
        <f>IFERROR(-_xll.VAData($CJ44,DU$3,$CK44,$CL44),"-")</f>
        <v>-191.78458610098062</v>
      </c>
      <c r="DV44" s="753">
        <f>IFERROR(-_xll.VAData($CJ44,DV$3,$CK44,$CL44),"-")</f>
        <v>-192.6821346806</v>
      </c>
      <c r="DW44" s="753">
        <f>IFERROR(-_xll.VAData($CJ44,DW$3,$CK44,$CL44),"-")</f>
        <v>-190.36307349407201</v>
      </c>
      <c r="DX44" s="753">
        <f>IFERROR(-_xll.VAData($CJ44,DX$3,$CK44,$CL44),"-")</f>
        <v>-191.22838238569724</v>
      </c>
      <c r="DY44" s="753">
        <f>IFERROR(-_xll.VAData($CJ44,DY$3,$CK44,$CL44),"-")</f>
        <v>-192.46482505618775</v>
      </c>
      <c r="DZ44" s="753">
        <f>IFERROR(-_xll.VAData($CJ44,DZ$3,$CK44,$CL44),"-")</f>
        <v>-194.8576431979655</v>
      </c>
    </row>
    <row r="45" spans="2:130">
      <c r="B45" s="138" t="str">
        <f t="shared" si="15"/>
        <v>EBIT</v>
      </c>
      <c r="C45" s="82" t="s">
        <v>900</v>
      </c>
      <c r="E45" s="7"/>
      <c r="F45" s="132">
        <f t="shared" si="11"/>
        <v>32.700000000000003</v>
      </c>
      <c r="G45" s="132">
        <f t="shared" si="11"/>
        <v>39.299999999999997</v>
      </c>
      <c r="H45" s="132">
        <f t="shared" si="11"/>
        <v>57.9</v>
      </c>
      <c r="I45" s="132">
        <f t="shared" si="11"/>
        <v>58.3</v>
      </c>
      <c r="J45" s="132">
        <f t="shared" si="11"/>
        <v>33.299999999999997</v>
      </c>
      <c r="K45" s="132">
        <f t="shared" si="11"/>
        <v>37</v>
      </c>
      <c r="L45" s="132">
        <f t="shared" si="11"/>
        <v>79.400000000000006</v>
      </c>
      <c r="M45" s="132">
        <f t="shared" si="11"/>
        <v>64.343602152243662</v>
      </c>
      <c r="N45" s="132">
        <f t="shared" si="11"/>
        <v>93.084506582773457</v>
      </c>
      <c r="O45" s="132">
        <f t="shared" si="11"/>
        <v>70.881332578636375</v>
      </c>
      <c r="P45" s="132">
        <f t="shared" si="12"/>
        <v>96.068181818652988</v>
      </c>
      <c r="Q45" s="132">
        <f t="shared" si="12"/>
        <v>73.290763726742213</v>
      </c>
      <c r="R45" s="132">
        <f t="shared" si="12"/>
        <v>95.850513564738364</v>
      </c>
      <c r="S45" s="132">
        <f t="shared" si="12"/>
        <v>75.942314247725605</v>
      </c>
      <c r="T45" s="132">
        <f t="shared" si="12"/>
        <v>96.018290859435908</v>
      </c>
      <c r="U45" s="132">
        <f t="shared" si="12"/>
        <v>76.366864443620457</v>
      </c>
      <c r="V45" s="132">
        <f t="shared" si="12"/>
        <v>96.142353426462279</v>
      </c>
      <c r="W45" s="132">
        <f t="shared" si="12"/>
        <v>77.434305719278001</v>
      </c>
      <c r="X45" s="132">
        <f t="shared" si="12"/>
        <v>101.3067442613644</v>
      </c>
      <c r="Y45" s="132">
        <f t="shared" si="12"/>
        <v>83.290549172824768</v>
      </c>
      <c r="Z45" s="132">
        <f t="shared" si="13"/>
        <v>103.1107010190711</v>
      </c>
      <c r="AA45" s="132">
        <f t="shared" si="13"/>
        <v>84.977205195108766</v>
      </c>
      <c r="AB45" s="132">
        <f t="shared" si="13"/>
        <v>96.403131341753806</v>
      </c>
      <c r="AC45" s="132">
        <f t="shared" si="13"/>
        <v>69.802629618143357</v>
      </c>
      <c r="AD45" s="132">
        <f t="shared" si="13"/>
        <v>97.567860765725499</v>
      </c>
      <c r="AE45" s="132">
        <f t="shared" si="13"/>
        <v>70.720663664012207</v>
      </c>
      <c r="AF45" s="132"/>
      <c r="AG45" s="132">
        <f t="shared" si="14"/>
        <v>72</v>
      </c>
      <c r="AH45" s="132">
        <f t="shared" si="14"/>
        <v>116.2</v>
      </c>
      <c r="AI45" s="132">
        <f t="shared" si="14"/>
        <v>70.3</v>
      </c>
      <c r="AJ45" s="132">
        <f t="shared" si="14"/>
        <v>143.986668484354</v>
      </c>
      <c r="AK45" s="132">
        <f t="shared" si="14"/>
        <v>164.04732942470955</v>
      </c>
      <c r="AL45" s="132">
        <f t="shared" si="14"/>
        <v>169.37448272077577</v>
      </c>
      <c r="AM45" s="132">
        <f t="shared" si="14"/>
        <v>172.89641626144356</v>
      </c>
      <c r="AN45" s="132">
        <f t="shared" si="14"/>
        <v>176.95499690883688</v>
      </c>
      <c r="AO45" s="132">
        <f t="shared" si="14"/>
        <v>181.73122221456111</v>
      </c>
      <c r="AP45" s="132">
        <f t="shared" si="14"/>
        <v>197.39285643147059</v>
      </c>
      <c r="AQ45" s="132">
        <f t="shared" si="14"/>
        <v>204.54097436535861</v>
      </c>
      <c r="AR45" s="132">
        <f t="shared" si="14"/>
        <v>204.17764298500774</v>
      </c>
      <c r="AS45" s="132">
        <f t="shared" si="14"/>
        <v>210.51975214469601</v>
      </c>
      <c r="AU45" s="256">
        <v>32.700000000000003</v>
      </c>
      <c r="AV45" s="256">
        <v>39.299999999999997</v>
      </c>
      <c r="AW45" s="256">
        <v>57.9</v>
      </c>
      <c r="AX45" s="256">
        <v>58.3</v>
      </c>
      <c r="AY45" s="256">
        <v>33.299999999999997</v>
      </c>
      <c r="AZ45" s="256">
        <v>37</v>
      </c>
      <c r="BA45" s="256">
        <v>79.400000000000006</v>
      </c>
      <c r="BB45" s="256">
        <v>64.343602152243662</v>
      </c>
      <c r="BC45" s="256">
        <v>93.084506582773457</v>
      </c>
      <c r="BD45" s="256">
        <v>70.881332578636375</v>
      </c>
      <c r="BE45" s="256">
        <v>96.068181818652988</v>
      </c>
      <c r="BF45" s="256">
        <v>73.290763726742213</v>
      </c>
      <c r="BG45" s="256">
        <v>95.850513564738364</v>
      </c>
      <c r="BH45" s="256">
        <v>75.942314247725605</v>
      </c>
      <c r="BI45" s="256">
        <v>96.018290859435908</v>
      </c>
      <c r="BJ45" s="256">
        <v>76.366864443620457</v>
      </c>
      <c r="BK45" s="256">
        <v>96.142353426462279</v>
      </c>
      <c r="BL45" s="256">
        <v>77.434305719278001</v>
      </c>
      <c r="BM45" s="256">
        <v>101.3067442613644</v>
      </c>
      <c r="BN45" s="256">
        <v>83.290549172824768</v>
      </c>
      <c r="BO45" s="256">
        <v>103.1107010190711</v>
      </c>
      <c r="BP45" s="256">
        <v>84.977205195108766</v>
      </c>
      <c r="BQ45" s="256">
        <v>96.403131341753806</v>
      </c>
      <c r="BR45" s="256">
        <v>69.802629618143357</v>
      </c>
      <c r="BS45" s="256">
        <v>97.567860765725499</v>
      </c>
      <c r="BT45" s="256">
        <v>70.720663664012207</v>
      </c>
      <c r="BV45" s="256">
        <v>72</v>
      </c>
      <c r="BW45" s="256">
        <v>116.2</v>
      </c>
      <c r="BX45" s="256">
        <v>70.3</v>
      </c>
      <c r="BY45" s="256">
        <v>143.986668484354</v>
      </c>
      <c r="BZ45" s="256">
        <v>164.04732942470955</v>
      </c>
      <c r="CA45" s="256">
        <v>169.37448272077577</v>
      </c>
      <c r="CB45" s="256">
        <v>172.89641626144356</v>
      </c>
      <c r="CC45" s="256">
        <v>176.95499690883688</v>
      </c>
      <c r="CD45" s="256">
        <v>181.73122221456111</v>
      </c>
      <c r="CE45" s="256">
        <v>197.39285643147059</v>
      </c>
      <c r="CF45" s="256">
        <v>204.54097436535861</v>
      </c>
      <c r="CG45" s="256">
        <v>204.17764298500774</v>
      </c>
      <c r="CH45" s="256">
        <v>210.51975214469601</v>
      </c>
      <c r="CJ45" s="751" t="s">
        <v>1352</v>
      </c>
      <c r="CK45" s="751" t="s">
        <v>1360</v>
      </c>
      <c r="CL45" s="752" t="s">
        <v>961</v>
      </c>
      <c r="CM45" s="758">
        <f>_xll.VAData($CJ45,CM$3,$CK45,$CL45)</f>
        <v>32.700000000000003</v>
      </c>
      <c r="CN45" s="758">
        <f>_xll.VAData($CJ45,CN$3,$CK45,$CL45)</f>
        <v>39.299999999999997</v>
      </c>
      <c r="CO45" s="758">
        <f>_xll.VAData($CJ45,CO$3,$CK45,$CL45)</f>
        <v>57.9</v>
      </c>
      <c r="CP45" s="758">
        <f>_xll.VAData($CJ45,CP$3,$CK45,$CL45)</f>
        <v>58.3</v>
      </c>
      <c r="CQ45" s="758">
        <f>_xll.VAData($CJ45,CQ$3,$CK45,$CL45)</f>
        <v>33.299999999999997</v>
      </c>
      <c r="CR45" s="758">
        <f>_xll.VAData($CJ45,CR$3,$CK45,$CL45)</f>
        <v>37</v>
      </c>
      <c r="CS45" s="758">
        <f>_xll.VAData($CJ45,CS$3,$CK45,$CL45)</f>
        <v>79.400000000000006</v>
      </c>
      <c r="CT45" s="758">
        <f>_xll.VAData($CJ45,CT$3,$CK45,$CL45)</f>
        <v>88.8</v>
      </c>
      <c r="CU45" s="758">
        <f>_xll.VAData($CJ45,CU$3,$CK45,$CL45)</f>
        <v>95.3</v>
      </c>
      <c r="CV45" s="758">
        <f>_xll.VAData($CJ45,CV$3,$CK45,$CL45)</f>
        <v>95.9</v>
      </c>
      <c r="CW45" s="758">
        <f>_xll.VAData($CJ45,CW$3,$CK45,$CL45)</f>
        <v>110.39588798705914</v>
      </c>
      <c r="CX45" s="758">
        <f>_xll.VAData($CJ45,CX$3,$CK45,$CL45)</f>
        <v>89.523202317807431</v>
      </c>
      <c r="CY45" s="758">
        <f>_xll.VAData($CJ45,CY$3,$CK45,$CL45)</f>
        <v>115.20796838364886</v>
      </c>
      <c r="CZ45" s="758">
        <f>_xll.VAData($CJ45,CZ$3,$CK45,$CL45)</f>
        <v>93.108052745161416</v>
      </c>
      <c r="DA45" s="758">
        <f>_xll.VAData($CJ45,DA$3,$CK45,$CL45)</f>
        <v>120.38924916672704</v>
      </c>
      <c r="DB45" s="758">
        <f>_xll.VAData($CJ45,DB$3,$CK45,$CL45)</f>
        <v>97.635808193984289</v>
      </c>
      <c r="DC45" s="758">
        <f>_xll.VAData($CJ45,DC$3,$CK45,$CL45)</f>
        <v>125.51033735727809</v>
      </c>
      <c r="DD45" s="758">
        <f>_xll.VAData($CJ45,DD$3,$CK45,$CL45)</f>
        <v>102.56236978121572</v>
      </c>
      <c r="DE45" s="758">
        <f>_xll.VAData($CJ45,DE$3,$CK45,$CL45)</f>
        <v>141.26444757666533</v>
      </c>
      <c r="DF45" s="758">
        <f>_xll.VAData($CJ45,DF$3,$CK45,$CL45)</f>
        <v>111.95029324597277</v>
      </c>
      <c r="DG45" s="758">
        <f>_xll.VAData($CJ45,DG$3,$CK45,$CL45)</f>
        <v>145.19406150892968</v>
      </c>
      <c r="DH45" s="758">
        <f>_xll.VAData($CJ45,DH$3,$CK45,$CL45)</f>
        <v>114.30971934762647</v>
      </c>
      <c r="DI45" s="758">
        <f>_xll.VAData($CJ45,DI$3,$CK45,$CL45)</f>
        <v>147.69812066013299</v>
      </c>
      <c r="DJ45" s="758">
        <f>_xll.VAData($CJ45,DJ$3,$CK45,$CL45)</f>
        <v>117.82600473360166</v>
      </c>
      <c r="DK45" s="758">
        <f>_xll.VAData($CJ45,DK$3,$CK45,$CL45)</f>
        <v>150.955408864589</v>
      </c>
      <c r="DL45" s="758">
        <f>_xll.VAData($CJ45,DL$3,$CK45,$CL45)</f>
        <v>120.90703231278994</v>
      </c>
      <c r="DN45" s="758">
        <f>_xll.VAData($CJ45,DN$3,$CK45,$CL45)</f>
        <v>72</v>
      </c>
      <c r="DO45" s="758">
        <f>_xll.VAData($CJ45,DO$3,$CK45,$CL45)</f>
        <v>116.2</v>
      </c>
      <c r="DP45" s="758">
        <f>_xll.VAData($CJ45,DP$3,$CK45,$CL45)</f>
        <v>70.3</v>
      </c>
      <c r="DQ45" s="758">
        <f>_xll.VAData($CJ45,DQ$3,$CK45,$CL45)</f>
        <v>168.2</v>
      </c>
      <c r="DR45" s="758">
        <f>_xll.VAData($CJ45,DR$3,$CK45,$CL45)</f>
        <v>191.2</v>
      </c>
      <c r="DS45" s="758">
        <f>_xll.VAData($CJ45,DS$3,$CK45,$CL45)</f>
        <v>199.91909030486661</v>
      </c>
      <c r="DT45" s="758">
        <f>_xll.VAData($CJ45,DT$3,$CK45,$CL45)</f>
        <v>209.64935270280563</v>
      </c>
      <c r="DU45" s="758">
        <f>_xll.VAData($CJ45,DU$3,$CK45,$CL45)</f>
        <v>220.11537860948724</v>
      </c>
      <c r="DV45" s="758">
        <f>_xll.VAData($CJ45,DV$3,$CK45,$CL45)</f>
        <v>230.36184058024349</v>
      </c>
      <c r="DW45" s="758">
        <f>_xll.VAData($CJ45,DW$3,$CK45,$CL45)</f>
        <v>252.794086673527</v>
      </c>
      <c r="DX45" s="758">
        <f>_xll.VAData($CJ45,DX$3,$CK45,$CL45)</f>
        <v>259.97140684841474</v>
      </c>
      <c r="DY45" s="758">
        <f>_xll.VAData($CJ45,DY$3,$CK45,$CL45)</f>
        <v>267.11961962279423</v>
      </c>
      <c r="DZ45" s="758">
        <f>_xll.VAData($CJ45,DZ$3,$CK45,$CL45)</f>
        <v>273.40031647690449</v>
      </c>
    </row>
    <row r="46" spans="2:130">
      <c r="B46" s="138"/>
      <c r="C46" s="82"/>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G46" s="7"/>
      <c r="AH46" s="7"/>
      <c r="AI46" s="7"/>
      <c r="AJ46" s="7"/>
      <c r="AK46" s="7"/>
      <c r="AL46" s="7"/>
      <c r="AM46" s="7"/>
      <c r="AN46" s="7"/>
      <c r="AO46" s="7"/>
      <c r="AP46" s="7"/>
      <c r="AQ46" s="7"/>
      <c r="AR46" s="7"/>
      <c r="AS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V46" s="7"/>
      <c r="BW46" s="7"/>
      <c r="BX46" s="7"/>
      <c r="BY46" s="7"/>
      <c r="BZ46" s="7"/>
      <c r="CA46" s="7"/>
      <c r="CB46" s="7"/>
      <c r="CC46" s="7"/>
      <c r="CD46" s="7"/>
      <c r="CE46" s="7"/>
      <c r="CF46" s="7"/>
      <c r="CG46" s="7"/>
      <c r="CH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N46" s="7"/>
      <c r="DO46" s="7"/>
      <c r="DP46" s="7"/>
      <c r="DQ46" s="7"/>
      <c r="DR46" s="7"/>
      <c r="DS46" s="7"/>
      <c r="DT46" s="7"/>
      <c r="DU46" s="7"/>
      <c r="DV46" s="7"/>
      <c r="DW46" s="7"/>
      <c r="DX46" s="7"/>
      <c r="DY46" s="7"/>
      <c r="DZ46" s="7"/>
    </row>
    <row r="47" spans="2:130">
      <c r="B47" s="130" t="s">
        <v>1489</v>
      </c>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row>
    <row r="48" spans="2:130">
      <c r="B48" s="138" t="str">
        <f t="shared" ref="B48:B54" si="16">B30</f>
        <v>Revenue</v>
      </c>
      <c r="C48" s="82" t="s">
        <v>842</v>
      </c>
      <c r="E48" s="7"/>
      <c r="F48" s="314">
        <f xml:space="preserve"> IFERROR(ROUND( F30/ F39,3) - 1, 0)</f>
        <v>0</v>
      </c>
      <c r="G48" s="314">
        <f t="shared" ref="G48:AE48" si="17" xml:space="preserve"> IFERROR(ROUND( G30/ G39,3) - 1, 0)</f>
        <v>0</v>
      </c>
      <c r="H48" s="314">
        <f t="shared" si="17"/>
        <v>0</v>
      </c>
      <c r="I48" s="314">
        <f t="shared" si="17"/>
        <v>0</v>
      </c>
      <c r="J48" s="314">
        <f t="shared" si="17"/>
        <v>0</v>
      </c>
      <c r="K48" s="314">
        <f t="shared" si="17"/>
        <v>0</v>
      </c>
      <c r="L48" s="314">
        <f t="shared" si="17"/>
        <v>0</v>
      </c>
      <c r="M48" s="314">
        <f t="shared" si="17"/>
        <v>2.0000000000000018E-2</v>
      </c>
      <c r="N48" s="314">
        <f t="shared" si="17"/>
        <v>-2.7000000000000024E-2</v>
      </c>
      <c r="O48" s="314">
        <f t="shared" si="17"/>
        <v>2.0000000000000018E-3</v>
      </c>
      <c r="P48" s="314">
        <f t="shared" si="17"/>
        <v>-6.0000000000000053E-3</v>
      </c>
      <c r="Q48" s="314">
        <f t="shared" si="17"/>
        <v>2.0000000000000018E-3</v>
      </c>
      <c r="R48" s="314">
        <f t="shared" si="17"/>
        <v>-1.8000000000000016E-2</v>
      </c>
      <c r="S48" s="314">
        <f t="shared" si="17"/>
        <v>-8.0000000000000071E-3</v>
      </c>
      <c r="T48" s="314">
        <f t="shared" si="17"/>
        <v>-2.5000000000000022E-2</v>
      </c>
      <c r="U48" s="314">
        <f t="shared" si="17"/>
        <v>-1.8000000000000016E-2</v>
      </c>
      <c r="V48" s="314">
        <f t="shared" si="17"/>
        <v>-2.1000000000000019E-2</v>
      </c>
      <c r="W48" s="314">
        <f t="shared" si="17"/>
        <v>-1.4000000000000012E-2</v>
      </c>
      <c r="X48" s="314">
        <f t="shared" si="17"/>
        <v>-2.5000000000000022E-2</v>
      </c>
      <c r="Y48" s="314">
        <f t="shared" si="17"/>
        <v>-1.6000000000000014E-2</v>
      </c>
      <c r="Z48" s="314">
        <f t="shared" si="17"/>
        <v>-2.8000000000000025E-2</v>
      </c>
      <c r="AA48" s="314">
        <f t="shared" si="17"/>
        <v>-2.0000000000000018E-2</v>
      </c>
      <c r="AB48" s="314">
        <f t="shared" si="17"/>
        <v>-1.7000000000000015E-2</v>
      </c>
      <c r="AC48" s="314">
        <f t="shared" si="17"/>
        <v>-3.0000000000000027E-3</v>
      </c>
      <c r="AD48" s="314">
        <f t="shared" si="17"/>
        <v>-1.9000000000000017E-2</v>
      </c>
      <c r="AE48" s="314">
        <f t="shared" si="17"/>
        <v>-5.0000000000000044E-3</v>
      </c>
      <c r="AG48" s="314">
        <f t="shared" ref="AG48:AS48" si="18" xml:space="preserve"> IFERROR(ROUND( AG30/ AG39,3) - 1, 0)</f>
        <v>0</v>
      </c>
      <c r="AH48" s="314">
        <f t="shared" si="18"/>
        <v>0</v>
      </c>
      <c r="AI48" s="314">
        <f t="shared" si="18"/>
        <v>0</v>
      </c>
      <c r="AJ48" s="314">
        <f t="shared" si="18"/>
        <v>1.0000000000000009E-2</v>
      </c>
      <c r="AK48" s="314">
        <f t="shared" si="18"/>
        <v>-2.1000000000000019E-2</v>
      </c>
      <c r="AL48" s="314">
        <f t="shared" si="18"/>
        <v>-1.100000000000001E-2</v>
      </c>
      <c r="AM48" s="314">
        <f t="shared" si="18"/>
        <v>-1.9000000000000017E-2</v>
      </c>
      <c r="AN48" s="314">
        <f t="shared" si="18"/>
        <v>-2.8000000000000025E-2</v>
      </c>
      <c r="AO48" s="314">
        <f t="shared" si="18"/>
        <v>-2.4000000000000021E-2</v>
      </c>
      <c r="AP48" s="314">
        <f t="shared" si="18"/>
        <v>-2.0000000000000018E-2</v>
      </c>
      <c r="AQ48" s="314">
        <f t="shared" si="18"/>
        <v>-2.4000000000000021E-2</v>
      </c>
      <c r="AR48" s="314">
        <f t="shared" si="18"/>
        <v>-1.7000000000000015E-2</v>
      </c>
      <c r="AS48" s="314">
        <f t="shared" si="18"/>
        <v>-2.0000000000000018E-2</v>
      </c>
      <c r="AU48" s="314"/>
      <c r="AV48" s="314"/>
      <c r="AW48" s="314"/>
      <c r="AX48" s="314"/>
      <c r="AY48" s="314"/>
      <c r="AZ48" s="314"/>
      <c r="BA48" s="314"/>
      <c r="BB48" s="314"/>
      <c r="BC48" s="314"/>
      <c r="BD48" s="314"/>
      <c r="BE48" s="314"/>
      <c r="BF48" s="314"/>
      <c r="BG48" s="314"/>
      <c r="BH48" s="314"/>
      <c r="BI48" s="314"/>
      <c r="BJ48" s="314"/>
      <c r="BK48" s="314"/>
      <c r="BL48" s="314"/>
      <c r="BM48" s="314"/>
      <c r="BN48" s="314"/>
      <c r="BO48" s="314"/>
      <c r="BP48" s="314"/>
      <c r="BQ48" s="314"/>
      <c r="BR48" s="314"/>
      <c r="BS48" s="314"/>
      <c r="BT48" s="314"/>
      <c r="BV48" s="314"/>
      <c r="BW48" s="314"/>
      <c r="BX48" s="314"/>
      <c r="BY48" s="314"/>
      <c r="BZ48" s="314"/>
      <c r="CA48" s="314"/>
      <c r="CB48" s="314"/>
      <c r="CC48" s="314"/>
      <c r="CD48" s="314"/>
      <c r="CE48" s="314"/>
      <c r="CF48" s="314"/>
      <c r="CG48" s="314"/>
      <c r="CH48" s="314"/>
      <c r="CM48" s="314"/>
      <c r="CN48" s="314"/>
      <c r="CO48" s="314"/>
      <c r="CP48" s="314"/>
      <c r="CQ48" s="314"/>
      <c r="CR48" s="314"/>
      <c r="CS48" s="314"/>
      <c r="CT48" s="314"/>
      <c r="CU48" s="314"/>
      <c r="CV48" s="314"/>
      <c r="CW48" s="314"/>
      <c r="CX48" s="314"/>
      <c r="CY48" s="314"/>
      <c r="CZ48" s="314"/>
      <c r="DA48" s="314"/>
      <c r="DB48" s="314"/>
      <c r="DC48" s="314"/>
      <c r="DD48" s="314"/>
      <c r="DE48" s="314"/>
      <c r="DF48" s="314"/>
      <c r="DG48" s="314"/>
      <c r="DH48" s="314"/>
      <c r="DI48" s="314"/>
      <c r="DJ48" s="314"/>
      <c r="DK48" s="314"/>
      <c r="DL48" s="314"/>
      <c r="DN48" s="314"/>
      <c r="DO48" s="314"/>
      <c r="DP48" s="314"/>
      <c r="DQ48" s="314"/>
      <c r="DR48" s="314"/>
      <c r="DS48" s="314"/>
      <c r="DT48" s="314"/>
      <c r="DU48" s="314"/>
      <c r="DV48" s="314"/>
      <c r="DW48" s="314"/>
      <c r="DX48" s="314"/>
      <c r="DY48" s="314"/>
      <c r="DZ48" s="314"/>
    </row>
    <row r="49" spans="1:130">
      <c r="B49" s="138" t="str">
        <f t="shared" si="16"/>
        <v>Taxes &amp; Commissions</v>
      </c>
      <c r="C49" s="82" t="s">
        <v>842</v>
      </c>
      <c r="E49" s="24"/>
      <c r="F49" s="314">
        <f t="shared" ref="F49:AE49" si="19" xml:space="preserve"> IFERROR(ROUND( F31/ F40,3) - 1, 0)</f>
        <v>0</v>
      </c>
      <c r="G49" s="314">
        <f t="shared" si="19"/>
        <v>0</v>
      </c>
      <c r="H49" s="314">
        <f t="shared" si="19"/>
        <v>0</v>
      </c>
      <c r="I49" s="314">
        <f t="shared" si="19"/>
        <v>0</v>
      </c>
      <c r="J49" s="314">
        <f t="shared" si="19"/>
        <v>0</v>
      </c>
      <c r="K49" s="314">
        <f t="shared" si="19"/>
        <v>-5.0000000000000044E-3</v>
      </c>
      <c r="L49" s="314">
        <f t="shared" si="19"/>
        <v>0</v>
      </c>
      <c r="M49" s="314">
        <f t="shared" si="19"/>
        <v>1.6999999999999904E-2</v>
      </c>
      <c r="N49" s="314">
        <f t="shared" si="19"/>
        <v>-3.400000000000003E-2</v>
      </c>
      <c r="O49" s="314">
        <f t="shared" si="19"/>
        <v>-2.4000000000000021E-2</v>
      </c>
      <c r="P49" s="314">
        <f t="shared" si="19"/>
        <v>-3.9000000000000035E-2</v>
      </c>
      <c r="Q49" s="314">
        <f t="shared" si="19"/>
        <v>-2.5000000000000022E-2</v>
      </c>
      <c r="R49" s="314">
        <f t="shared" si="19"/>
        <v>-5.1000000000000045E-2</v>
      </c>
      <c r="S49" s="314">
        <f t="shared" si="19"/>
        <v>-3.6000000000000032E-2</v>
      </c>
      <c r="T49" s="314">
        <f t="shared" si="19"/>
        <v>-6.2000000000000055E-2</v>
      </c>
      <c r="U49" s="314">
        <f t="shared" si="19"/>
        <v>-4.8000000000000043E-2</v>
      </c>
      <c r="V49" s="314">
        <f t="shared" si="19"/>
        <v>-6.2000000000000055E-2</v>
      </c>
      <c r="W49" s="314">
        <f t="shared" si="19"/>
        <v>-5.3000000000000047E-2</v>
      </c>
      <c r="X49" s="314">
        <f t="shared" si="19"/>
        <v>-4.8000000000000043E-2</v>
      </c>
      <c r="Y49" s="314">
        <f t="shared" si="19"/>
        <v>-3.9000000000000035E-2</v>
      </c>
      <c r="Z49" s="314">
        <f t="shared" si="19"/>
        <v>-5.1000000000000045E-2</v>
      </c>
      <c r="AA49" s="314">
        <f t="shared" si="19"/>
        <v>-4.3000000000000038E-2</v>
      </c>
      <c r="AB49" s="314">
        <f t="shared" si="19"/>
        <v>-4.0000000000000036E-2</v>
      </c>
      <c r="AC49" s="314">
        <f t="shared" si="19"/>
        <v>-2.6000000000000023E-2</v>
      </c>
      <c r="AD49" s="314">
        <f t="shared" si="19"/>
        <v>-4.2000000000000037E-2</v>
      </c>
      <c r="AE49" s="314">
        <f t="shared" si="19"/>
        <v>-2.9000000000000026E-2</v>
      </c>
      <c r="AG49" s="314">
        <f t="shared" ref="AG49:AS49" si="20" xml:space="preserve"> IFERROR(ROUND( AG31/ AG40,3) - 1, 0)</f>
        <v>0</v>
      </c>
      <c r="AH49" s="314">
        <f t="shared" si="20"/>
        <v>0</v>
      </c>
      <c r="AI49" s="314">
        <f t="shared" si="20"/>
        <v>0</v>
      </c>
      <c r="AJ49" s="314">
        <f t="shared" si="20"/>
        <v>8.999999999999897E-3</v>
      </c>
      <c r="AK49" s="314">
        <f t="shared" si="20"/>
        <v>-4.3000000000000038E-2</v>
      </c>
      <c r="AL49" s="314">
        <f t="shared" si="20"/>
        <v>-4.6000000000000041E-2</v>
      </c>
      <c r="AM49" s="314">
        <f t="shared" si="20"/>
        <v>-5.5000000000000049E-2</v>
      </c>
      <c r="AN49" s="314">
        <f t="shared" si="20"/>
        <v>-6.5999999999999948E-2</v>
      </c>
      <c r="AO49" s="314">
        <f t="shared" si="20"/>
        <v>-5.600000000000005E-2</v>
      </c>
      <c r="AP49" s="314">
        <f t="shared" si="20"/>
        <v>-4.7000000000000042E-2</v>
      </c>
      <c r="AQ49" s="314">
        <f t="shared" si="20"/>
        <v>-5.1000000000000045E-2</v>
      </c>
      <c r="AR49" s="314">
        <f t="shared" si="20"/>
        <v>-4.500000000000004E-2</v>
      </c>
      <c r="AS49" s="314">
        <f t="shared" si="20"/>
        <v>-4.8000000000000043E-2</v>
      </c>
      <c r="AU49" s="314"/>
      <c r="AV49" s="314"/>
      <c r="AW49" s="314"/>
      <c r="AX49" s="314"/>
      <c r="AY49" s="314"/>
      <c r="AZ49" s="314"/>
      <c r="BA49" s="314"/>
      <c r="BB49" s="314"/>
      <c r="BC49" s="314"/>
      <c r="BD49" s="314"/>
      <c r="BE49" s="314"/>
      <c r="BF49" s="314"/>
      <c r="BG49" s="314"/>
      <c r="BH49" s="314"/>
      <c r="BI49" s="314"/>
      <c r="BJ49" s="314"/>
      <c r="BK49" s="314"/>
      <c r="BL49" s="314"/>
      <c r="BM49" s="314"/>
      <c r="BN49" s="314"/>
      <c r="BO49" s="314"/>
      <c r="BP49" s="314"/>
      <c r="BQ49" s="314"/>
      <c r="BR49" s="314"/>
      <c r="BS49" s="314"/>
      <c r="BT49" s="314"/>
      <c r="BV49" s="314"/>
      <c r="BW49" s="314"/>
      <c r="BX49" s="314"/>
      <c r="BY49" s="314"/>
      <c r="BZ49" s="314"/>
      <c r="CA49" s="314"/>
      <c r="CB49" s="314"/>
      <c r="CC49" s="314"/>
      <c r="CD49" s="314"/>
      <c r="CE49" s="314"/>
      <c r="CF49" s="314"/>
      <c r="CG49" s="314"/>
      <c r="CH49" s="314"/>
      <c r="CM49" s="314"/>
      <c r="CN49" s="314"/>
      <c r="CO49" s="314"/>
      <c r="CP49" s="314"/>
      <c r="CQ49" s="314"/>
      <c r="CR49" s="314"/>
      <c r="CS49" s="314"/>
      <c r="CT49" s="314"/>
      <c r="CU49" s="314"/>
      <c r="CV49" s="314"/>
      <c r="CW49" s="314"/>
      <c r="CX49" s="314"/>
      <c r="CY49" s="314"/>
      <c r="CZ49" s="314"/>
      <c r="DA49" s="314"/>
      <c r="DB49" s="314"/>
      <c r="DC49" s="314"/>
      <c r="DD49" s="314"/>
      <c r="DE49" s="314"/>
      <c r="DF49" s="314"/>
      <c r="DG49" s="314"/>
      <c r="DH49" s="314"/>
      <c r="DI49" s="314"/>
      <c r="DJ49" s="314"/>
      <c r="DK49" s="314"/>
      <c r="DL49" s="314"/>
      <c r="DN49" s="314"/>
      <c r="DO49" s="314"/>
      <c r="DP49" s="314"/>
      <c r="DQ49" s="314"/>
      <c r="DR49" s="314"/>
      <c r="DS49" s="314"/>
      <c r="DT49" s="314"/>
      <c r="DU49" s="314"/>
      <c r="DV49" s="314"/>
      <c r="DW49" s="314"/>
      <c r="DX49" s="314"/>
      <c r="DY49" s="314"/>
      <c r="DZ49" s="314"/>
    </row>
    <row r="50" spans="1:130">
      <c r="B50" s="138" t="str">
        <f t="shared" si="16"/>
        <v>Variable Contribution</v>
      </c>
      <c r="C50" s="82" t="s">
        <v>842</v>
      </c>
      <c r="E50" s="7"/>
      <c r="F50" s="314">
        <f t="shared" ref="F50:AE50" si="21" xml:space="preserve"> IFERROR(ROUND( F32/ F41,3) - 1, 0)</f>
        <v>0</v>
      </c>
      <c r="G50" s="314">
        <f t="shared" si="21"/>
        <v>0</v>
      </c>
      <c r="H50" s="314">
        <f t="shared" si="21"/>
        <v>0</v>
      </c>
      <c r="I50" s="314">
        <f t="shared" si="21"/>
        <v>0</v>
      </c>
      <c r="J50" s="314">
        <f t="shared" si="21"/>
        <v>0</v>
      </c>
      <c r="K50" s="314">
        <f t="shared" si="21"/>
        <v>0</v>
      </c>
      <c r="L50" s="314">
        <f t="shared" si="21"/>
        <v>0</v>
      </c>
      <c r="M50" s="314">
        <f t="shared" si="21"/>
        <v>3.2000000000000028E-2</v>
      </c>
      <c r="N50" s="314">
        <f t="shared" si="21"/>
        <v>-1.9000000000000017E-2</v>
      </c>
      <c r="O50" s="314">
        <f t="shared" si="21"/>
        <v>5.2000000000000046E-2</v>
      </c>
      <c r="P50" s="314">
        <f t="shared" si="21"/>
        <v>3.6999999999999922E-2</v>
      </c>
      <c r="Q50" s="314">
        <f t="shared" si="21"/>
        <v>4.8000000000000043E-2</v>
      </c>
      <c r="R50" s="314">
        <f t="shared" si="21"/>
        <v>2.200000000000002E-2</v>
      </c>
      <c r="S50" s="314">
        <f t="shared" si="21"/>
        <v>3.6000000000000032E-2</v>
      </c>
      <c r="T50" s="314">
        <f t="shared" si="21"/>
        <v>1.2999999999999901E-2</v>
      </c>
      <c r="U50" s="314">
        <f t="shared" si="21"/>
        <v>2.4999999999999911E-2</v>
      </c>
      <c r="V50" s="314">
        <f t="shared" si="21"/>
        <v>1.0000000000000009E-2</v>
      </c>
      <c r="W50" s="314">
        <f t="shared" si="21"/>
        <v>1.8000000000000016E-2</v>
      </c>
      <c r="X50" s="314">
        <f t="shared" si="21"/>
        <v>1.2999999999999901E-2</v>
      </c>
      <c r="Y50" s="314">
        <f t="shared" si="21"/>
        <v>2.200000000000002E-2</v>
      </c>
      <c r="Z50" s="314">
        <f t="shared" si="21"/>
        <v>8.999999999999897E-3</v>
      </c>
      <c r="AA50" s="314">
        <f t="shared" si="21"/>
        <v>1.8000000000000016E-2</v>
      </c>
      <c r="AB50" s="314">
        <f t="shared" si="21"/>
        <v>2.0999999999999908E-2</v>
      </c>
      <c r="AC50" s="314">
        <f t="shared" si="21"/>
        <v>3.499999999999992E-2</v>
      </c>
      <c r="AD50" s="314">
        <f t="shared" si="21"/>
        <v>1.8999999999999906E-2</v>
      </c>
      <c r="AE50" s="314">
        <f t="shared" si="21"/>
        <v>3.2999999999999918E-2</v>
      </c>
      <c r="AG50" s="314">
        <f t="shared" ref="AG50:AS50" si="22" xml:space="preserve"> IFERROR(ROUND( AG32/ AG41,3) - 1, 0)</f>
        <v>0</v>
      </c>
      <c r="AH50" s="314">
        <f t="shared" si="22"/>
        <v>0</v>
      </c>
      <c r="AI50" s="314">
        <f t="shared" si="22"/>
        <v>0</v>
      </c>
      <c r="AJ50" s="314">
        <f t="shared" si="22"/>
        <v>1.6000000000000014E-2</v>
      </c>
      <c r="AK50" s="314">
        <f t="shared" si="22"/>
        <v>1.4999999999999902E-2</v>
      </c>
      <c r="AL50" s="314">
        <f t="shared" si="22"/>
        <v>4.0999999999999925E-2</v>
      </c>
      <c r="AM50" s="314">
        <f t="shared" si="22"/>
        <v>3.2000000000000028E-2</v>
      </c>
      <c r="AN50" s="314">
        <f t="shared" si="22"/>
        <v>2.2999999999999909E-2</v>
      </c>
      <c r="AO50" s="314">
        <f t="shared" si="22"/>
        <v>2.0999999999999908E-2</v>
      </c>
      <c r="AP50" s="314">
        <f t="shared" si="22"/>
        <v>2.4000000000000021E-2</v>
      </c>
      <c r="AQ50" s="314">
        <f t="shared" si="22"/>
        <v>2.0000000000000018E-2</v>
      </c>
      <c r="AR50" s="314">
        <f t="shared" si="22"/>
        <v>2.8000000000000025E-2</v>
      </c>
      <c r="AS50" s="314">
        <f t="shared" si="22"/>
        <v>2.4999999999999911E-2</v>
      </c>
      <c r="AU50" s="314"/>
      <c r="AV50" s="314"/>
      <c r="AW50" s="314"/>
      <c r="AX50" s="314"/>
      <c r="AY50" s="314"/>
      <c r="AZ50" s="314"/>
      <c r="BA50" s="314"/>
      <c r="BB50" s="314"/>
      <c r="BC50" s="314"/>
      <c r="BD50" s="314"/>
      <c r="BE50" s="314"/>
      <c r="BF50" s="314"/>
      <c r="BG50" s="314"/>
      <c r="BH50" s="314"/>
      <c r="BI50" s="314"/>
      <c r="BJ50" s="314"/>
      <c r="BK50" s="314"/>
      <c r="BL50" s="314"/>
      <c r="BM50" s="314"/>
      <c r="BN50" s="314"/>
      <c r="BO50" s="314"/>
      <c r="BP50" s="314"/>
      <c r="BQ50" s="314"/>
      <c r="BR50" s="314"/>
      <c r="BS50" s="314"/>
      <c r="BT50" s="314"/>
      <c r="BV50" s="314"/>
      <c r="BW50" s="314"/>
      <c r="BX50" s="314"/>
      <c r="BY50" s="314"/>
      <c r="BZ50" s="314"/>
      <c r="CA50" s="314"/>
      <c r="CB50" s="314"/>
      <c r="CC50" s="314"/>
      <c r="CD50" s="314"/>
      <c r="CE50" s="314"/>
      <c r="CF50" s="314"/>
      <c r="CG50" s="314"/>
      <c r="CH50" s="314"/>
      <c r="CM50" s="314"/>
      <c r="CN50" s="314"/>
      <c r="CO50" s="314"/>
      <c r="CP50" s="314"/>
      <c r="CQ50" s="314"/>
      <c r="CR50" s="314"/>
      <c r="CS50" s="314"/>
      <c r="CT50" s="314"/>
      <c r="CU50" s="314"/>
      <c r="CV50" s="314"/>
      <c r="CW50" s="314"/>
      <c r="CX50" s="314"/>
      <c r="CY50" s="314"/>
      <c r="CZ50" s="314"/>
      <c r="DA50" s="314"/>
      <c r="DB50" s="314"/>
      <c r="DC50" s="314"/>
      <c r="DD50" s="314"/>
      <c r="DE50" s="314"/>
      <c r="DF50" s="314"/>
      <c r="DG50" s="314"/>
      <c r="DH50" s="314"/>
      <c r="DI50" s="314"/>
      <c r="DJ50" s="314"/>
      <c r="DK50" s="314"/>
      <c r="DL50" s="314"/>
      <c r="DN50" s="314"/>
      <c r="DO50" s="314"/>
      <c r="DP50" s="314"/>
      <c r="DQ50" s="314"/>
      <c r="DR50" s="314"/>
      <c r="DS50" s="314"/>
      <c r="DT50" s="314"/>
      <c r="DU50" s="314"/>
      <c r="DV50" s="314"/>
      <c r="DW50" s="314"/>
      <c r="DX50" s="314"/>
      <c r="DY50" s="314"/>
      <c r="DZ50" s="314"/>
    </row>
    <row r="51" spans="1:130">
      <c r="B51" s="138" t="str">
        <f t="shared" si="16"/>
        <v>Opex</v>
      </c>
      <c r="C51" s="82" t="s">
        <v>842</v>
      </c>
      <c r="E51" s="7"/>
      <c r="F51" s="314">
        <f t="shared" ref="F51:AE51" si="23" xml:space="preserve"> IFERROR(ROUND( F33/ F42,3) - 1, 0)</f>
        <v>0</v>
      </c>
      <c r="G51" s="314">
        <f t="shared" si="23"/>
        <v>0</v>
      </c>
      <c r="H51" s="314">
        <f t="shared" si="23"/>
        <v>0</v>
      </c>
      <c r="I51" s="314">
        <f t="shared" si="23"/>
        <v>0</v>
      </c>
      <c r="J51" s="314">
        <f t="shared" si="23"/>
        <v>0</v>
      </c>
      <c r="K51" s="314">
        <f t="shared" si="23"/>
        <v>0</v>
      </c>
      <c r="L51" s="314">
        <f t="shared" si="23"/>
        <v>0</v>
      </c>
      <c r="M51" s="314">
        <f t="shared" si="23"/>
        <v>-3.400000000000003E-2</v>
      </c>
      <c r="N51" s="314">
        <f t="shared" si="23"/>
        <v>-5.2000000000000046E-2</v>
      </c>
      <c r="O51" s="314">
        <f t="shared" si="23"/>
        <v>-1.5000000000000013E-2</v>
      </c>
      <c r="P51" s="314">
        <f t="shared" si="23"/>
        <v>-4.3000000000000038E-2</v>
      </c>
      <c r="Q51" s="314">
        <f t="shared" si="23"/>
        <v>-8.0000000000000071E-3</v>
      </c>
      <c r="R51" s="314">
        <f t="shared" si="23"/>
        <v>-3.7000000000000033E-2</v>
      </c>
      <c r="S51" s="314">
        <f t="shared" si="23"/>
        <v>-1.0000000000000009E-3</v>
      </c>
      <c r="T51" s="314">
        <f t="shared" si="23"/>
        <v>-3.3000000000000029E-2</v>
      </c>
      <c r="U51" s="314">
        <f t="shared" si="23"/>
        <v>4.0000000000000036E-3</v>
      </c>
      <c r="V51" s="314">
        <f t="shared" si="23"/>
        <v>-3.7000000000000033E-2</v>
      </c>
      <c r="W51" s="314">
        <f t="shared" si="23"/>
        <v>-9.000000000000008E-3</v>
      </c>
      <c r="X51" s="314">
        <f t="shared" si="23"/>
        <v>-4.7000000000000042E-2</v>
      </c>
      <c r="Y51" s="314">
        <f t="shared" si="23"/>
        <v>-3.0000000000000027E-3</v>
      </c>
      <c r="Z51" s="314">
        <f t="shared" si="23"/>
        <v>-5.1000000000000045E-2</v>
      </c>
      <c r="AA51" s="314">
        <f t="shared" si="23"/>
        <v>-7.0000000000000062E-3</v>
      </c>
      <c r="AB51" s="314">
        <f t="shared" si="23"/>
        <v>-4.8000000000000043E-2</v>
      </c>
      <c r="AC51" s="314">
        <f t="shared" si="23"/>
        <v>-2.0000000000000018E-2</v>
      </c>
      <c r="AD51" s="314">
        <f t="shared" si="23"/>
        <v>-5.2000000000000046E-2</v>
      </c>
      <c r="AE51" s="314">
        <f t="shared" si="23"/>
        <v>-2.4000000000000021E-2</v>
      </c>
      <c r="AG51" s="314">
        <f t="shared" ref="AG51:AS51" si="24" xml:space="preserve"> IFERROR(ROUND( AG33/ AG42,3) - 1, 0)</f>
        <v>0</v>
      </c>
      <c r="AH51" s="314">
        <f t="shared" si="24"/>
        <v>0</v>
      </c>
      <c r="AI51" s="314">
        <f t="shared" si="24"/>
        <v>0</v>
      </c>
      <c r="AJ51" s="314">
        <f t="shared" si="24"/>
        <v>-1.6000000000000014E-2</v>
      </c>
      <c r="AK51" s="314">
        <f t="shared" si="24"/>
        <v>-3.400000000000003E-2</v>
      </c>
      <c r="AL51" s="314">
        <f t="shared" si="24"/>
        <v>-2.7000000000000024E-2</v>
      </c>
      <c r="AM51" s="314">
        <f t="shared" si="24"/>
        <v>-1.6000000000000014E-2</v>
      </c>
      <c r="AN51" s="314">
        <f t="shared" si="24"/>
        <v>-9.000000000000008E-3</v>
      </c>
      <c r="AO51" s="314">
        <f t="shared" si="24"/>
        <v>-1.100000000000001E-2</v>
      </c>
      <c r="AP51" s="314">
        <f t="shared" si="24"/>
        <v>-8.0000000000000071E-3</v>
      </c>
      <c r="AQ51" s="314">
        <f t="shared" si="24"/>
        <v>-9.000000000000008E-3</v>
      </c>
      <c r="AR51" s="314">
        <f t="shared" si="24"/>
        <v>-6.0000000000000053E-3</v>
      </c>
      <c r="AS51" s="314">
        <f t="shared" si="24"/>
        <v>-7.0000000000000062E-3</v>
      </c>
      <c r="AU51" s="314"/>
      <c r="AV51" s="314"/>
      <c r="AW51" s="314"/>
      <c r="AX51" s="314"/>
      <c r="AY51" s="314"/>
      <c r="AZ51" s="314"/>
      <c r="BA51" s="314"/>
      <c r="BB51" s="314"/>
      <c r="BC51" s="314"/>
      <c r="BD51" s="314"/>
      <c r="BE51" s="314"/>
      <c r="BF51" s="314"/>
      <c r="BG51" s="314"/>
      <c r="BH51" s="314"/>
      <c r="BI51" s="314"/>
      <c r="BJ51" s="314"/>
      <c r="BK51" s="314"/>
      <c r="BL51" s="314"/>
      <c r="BM51" s="314"/>
      <c r="BN51" s="314"/>
      <c r="BO51" s="314"/>
      <c r="BP51" s="314"/>
      <c r="BQ51" s="314"/>
      <c r="BR51" s="314"/>
      <c r="BS51" s="314"/>
      <c r="BT51" s="314"/>
      <c r="BV51" s="314"/>
      <c r="BW51" s="314"/>
      <c r="BX51" s="314"/>
      <c r="BY51" s="314"/>
      <c r="BZ51" s="314"/>
      <c r="CA51" s="314"/>
      <c r="CB51" s="314"/>
      <c r="CC51" s="314"/>
      <c r="CD51" s="314"/>
      <c r="CE51" s="314"/>
      <c r="CF51" s="314"/>
      <c r="CG51" s="314"/>
      <c r="CH51" s="314"/>
      <c r="CM51" s="314"/>
      <c r="CN51" s="314"/>
      <c r="CO51" s="314"/>
      <c r="CP51" s="314"/>
      <c r="CQ51" s="314"/>
      <c r="CR51" s="314"/>
      <c r="CS51" s="314"/>
      <c r="CT51" s="314"/>
      <c r="CU51" s="314"/>
      <c r="CV51" s="314"/>
      <c r="CW51" s="314"/>
      <c r="CX51" s="314"/>
      <c r="CY51" s="314"/>
      <c r="CZ51" s="314"/>
      <c r="DA51" s="314"/>
      <c r="DB51" s="314"/>
      <c r="DC51" s="314"/>
      <c r="DD51" s="314"/>
      <c r="DE51" s="314"/>
      <c r="DF51" s="314"/>
      <c r="DG51" s="314"/>
      <c r="DH51" s="314"/>
      <c r="DI51" s="314"/>
      <c r="DJ51" s="314"/>
      <c r="DK51" s="314"/>
      <c r="DL51" s="314"/>
      <c r="DN51" s="314"/>
      <c r="DO51" s="314"/>
      <c r="DP51" s="314"/>
      <c r="DQ51" s="314"/>
      <c r="DR51" s="314"/>
      <c r="DS51" s="314"/>
      <c r="DT51" s="314"/>
      <c r="DU51" s="314"/>
      <c r="DV51" s="314"/>
      <c r="DW51" s="314"/>
      <c r="DX51" s="314"/>
      <c r="DY51" s="314"/>
      <c r="DZ51" s="314"/>
    </row>
    <row r="52" spans="1:130">
      <c r="B52" s="138" t="str">
        <f t="shared" si="16"/>
        <v>EBITDA</v>
      </c>
      <c r="C52" s="82" t="s">
        <v>842</v>
      </c>
      <c r="E52" s="7"/>
      <c r="F52" s="314">
        <f t="shared" ref="F52:AE52" si="25" xml:space="preserve"> IFERROR(ROUND( F34/ F43,3) - 1, 0)</f>
        <v>0</v>
      </c>
      <c r="G52" s="314">
        <f t="shared" si="25"/>
        <v>0</v>
      </c>
      <c r="H52" s="314">
        <f t="shared" si="25"/>
        <v>0</v>
      </c>
      <c r="I52" s="314">
        <f t="shared" si="25"/>
        <v>0</v>
      </c>
      <c r="J52" s="314">
        <f t="shared" si="25"/>
        <v>0</v>
      </c>
      <c r="K52" s="314">
        <f t="shared" si="25"/>
        <v>0</v>
      </c>
      <c r="L52" s="314">
        <f xml:space="preserve"> IFERROR(ROUND( L34/ L43,3) - 1, 0)</f>
        <v>0</v>
      </c>
      <c r="M52" s="314">
        <f t="shared" si="25"/>
        <v>0.16500000000000004</v>
      </c>
      <c r="N52" s="314">
        <f t="shared" si="25"/>
        <v>4.8999999999999932E-2</v>
      </c>
      <c r="O52" s="314">
        <f t="shared" si="25"/>
        <v>0.18199999999999994</v>
      </c>
      <c r="P52" s="314">
        <f t="shared" si="25"/>
        <v>0.18999999999999995</v>
      </c>
      <c r="Q52" s="314">
        <f t="shared" si="25"/>
        <v>0.15999999999999992</v>
      </c>
      <c r="R52" s="314">
        <f t="shared" si="25"/>
        <v>0.14700000000000002</v>
      </c>
      <c r="S52" s="314">
        <f t="shared" si="25"/>
        <v>0.11299999999999999</v>
      </c>
      <c r="T52" s="314">
        <f t="shared" si="25"/>
        <v>0.11699999999999999</v>
      </c>
      <c r="U52" s="314">
        <f t="shared" si="25"/>
        <v>7.2999999999999954E-2</v>
      </c>
      <c r="V52" s="314">
        <f t="shared" si="25"/>
        <v>0.1180000000000001</v>
      </c>
      <c r="W52" s="314">
        <f t="shared" si="25"/>
        <v>7.8000000000000069E-2</v>
      </c>
      <c r="X52" s="314">
        <f t="shared" si="25"/>
        <v>0.1339999999999999</v>
      </c>
      <c r="Y52" s="314">
        <f t="shared" si="25"/>
        <v>7.4999999999999956E-2</v>
      </c>
      <c r="Z52" s="314">
        <f t="shared" si="25"/>
        <v>0.1319999999999999</v>
      </c>
      <c r="AA52" s="314">
        <f t="shared" si="25"/>
        <v>7.2999999999999954E-2</v>
      </c>
      <c r="AB52" s="314">
        <f t="shared" si="25"/>
        <v>0.16900000000000004</v>
      </c>
      <c r="AC52" s="314">
        <f t="shared" si="25"/>
        <v>0.16599999999999993</v>
      </c>
      <c r="AD52" s="314">
        <f t="shared" si="25"/>
        <v>0.17199999999999993</v>
      </c>
      <c r="AE52" s="314">
        <f t="shared" si="25"/>
        <v>0.16999999999999993</v>
      </c>
      <c r="AG52" s="314">
        <f t="shared" ref="AG52:AS52" si="26" xml:space="preserve"> IFERROR(ROUND( AG34/ AG43,3) - 1, 0)</f>
        <v>0</v>
      </c>
      <c r="AH52" s="314">
        <f t="shared" si="26"/>
        <v>0</v>
      </c>
      <c r="AI52" s="314">
        <f t="shared" si="26"/>
        <v>0</v>
      </c>
      <c r="AJ52" s="314">
        <f t="shared" si="26"/>
        <v>7.8000000000000069E-2</v>
      </c>
      <c r="AK52" s="314">
        <f t="shared" si="26"/>
        <v>0.1100000000000001</v>
      </c>
      <c r="AL52" s="314">
        <f t="shared" si="26"/>
        <v>0.17300000000000004</v>
      </c>
      <c r="AM52" s="314">
        <f t="shared" si="26"/>
        <v>0.13300000000000001</v>
      </c>
      <c r="AN52" s="314">
        <f t="shared" si="26"/>
        <v>9.4999999999999973E-2</v>
      </c>
      <c r="AO52" s="314">
        <f t="shared" si="26"/>
        <v>9.2999999999999972E-2</v>
      </c>
      <c r="AP52" s="314">
        <f t="shared" si="26"/>
        <v>8.6999999999999966E-2</v>
      </c>
      <c r="AQ52" s="314">
        <f t="shared" si="26"/>
        <v>7.8000000000000069E-2</v>
      </c>
      <c r="AR52" s="314">
        <f t="shared" si="26"/>
        <v>9.8999999999999977E-2</v>
      </c>
      <c r="AS52" s="314">
        <f t="shared" si="26"/>
        <v>9.099999999999997E-2</v>
      </c>
      <c r="AU52" s="314"/>
      <c r="AV52" s="314"/>
      <c r="AW52" s="314"/>
      <c r="AX52" s="314"/>
      <c r="AY52" s="314"/>
      <c r="AZ52" s="314"/>
      <c r="BA52" s="314"/>
      <c r="BB52" s="314"/>
      <c r="BC52" s="314"/>
      <c r="BD52" s="314"/>
      <c r="BE52" s="314"/>
      <c r="BF52" s="314"/>
      <c r="BG52" s="314"/>
      <c r="BH52" s="314"/>
      <c r="BI52" s="314"/>
      <c r="BJ52" s="314"/>
      <c r="BK52" s="314"/>
      <c r="BL52" s="314"/>
      <c r="BM52" s="314"/>
      <c r="BN52" s="314"/>
      <c r="BO52" s="314"/>
      <c r="BP52" s="314"/>
      <c r="BQ52" s="314"/>
      <c r="BR52" s="314"/>
      <c r="BS52" s="314"/>
      <c r="BT52" s="314"/>
      <c r="BV52" s="314"/>
      <c r="BW52" s="314"/>
      <c r="BX52" s="314"/>
      <c r="BY52" s="314"/>
      <c r="BZ52" s="314"/>
      <c r="CA52" s="314"/>
      <c r="CB52" s="314"/>
      <c r="CC52" s="314"/>
      <c r="CD52" s="314"/>
      <c r="CE52" s="314"/>
      <c r="CF52" s="314"/>
      <c r="CG52" s="314"/>
      <c r="CH52" s="314"/>
      <c r="CM52" s="314"/>
      <c r="CN52" s="314"/>
      <c r="CO52" s="314"/>
      <c r="CP52" s="314"/>
      <c r="CQ52" s="314"/>
      <c r="CR52" s="314"/>
      <c r="CS52" s="314"/>
      <c r="CT52" s="314"/>
      <c r="CU52" s="314"/>
      <c r="CV52" s="314"/>
      <c r="CW52" s="314"/>
      <c r="CX52" s="314"/>
      <c r="CY52" s="314"/>
      <c r="CZ52" s="314"/>
      <c r="DA52" s="314"/>
      <c r="DB52" s="314"/>
      <c r="DC52" s="314"/>
      <c r="DD52" s="314"/>
      <c r="DE52" s="314"/>
      <c r="DF52" s="314"/>
      <c r="DG52" s="314"/>
      <c r="DH52" s="314"/>
      <c r="DI52" s="314"/>
      <c r="DJ52" s="314"/>
      <c r="DK52" s="314"/>
      <c r="DL52" s="314"/>
      <c r="DN52" s="314"/>
      <c r="DO52" s="314"/>
      <c r="DP52" s="314"/>
      <c r="DQ52" s="314"/>
      <c r="DR52" s="314"/>
      <c r="DS52" s="314"/>
      <c r="DT52" s="314"/>
      <c r="DU52" s="314"/>
      <c r="DV52" s="314"/>
      <c r="DW52" s="314"/>
      <c r="DX52" s="314"/>
      <c r="DY52" s="314"/>
      <c r="DZ52" s="314"/>
    </row>
    <row r="53" spans="1:130">
      <c r="B53" s="138" t="str">
        <f t="shared" si="16"/>
        <v>D&amp;A</v>
      </c>
      <c r="C53" s="82" t="s">
        <v>842</v>
      </c>
      <c r="E53" s="7"/>
      <c r="F53" s="314">
        <f t="shared" ref="F53:J54" si="27" xml:space="preserve"> IFERROR(ROUND( F35/ F44,3) - 1, 0)</f>
        <v>0</v>
      </c>
      <c r="G53" s="314">
        <f t="shared" si="27"/>
        <v>0</v>
      </c>
      <c r="H53" s="314">
        <f t="shared" si="27"/>
        <v>0</v>
      </c>
      <c r="I53" s="314">
        <f t="shared" si="27"/>
        <v>0</v>
      </c>
      <c r="J53" s="314">
        <f t="shared" si="27"/>
        <v>0</v>
      </c>
      <c r="K53" s="314"/>
      <c r="L53" s="314"/>
      <c r="M53" s="314"/>
      <c r="N53" s="314"/>
      <c r="O53" s="314"/>
      <c r="P53" s="314"/>
      <c r="Q53" s="314"/>
      <c r="R53" s="314"/>
      <c r="S53" s="314"/>
      <c r="T53" s="314"/>
      <c r="U53" s="314"/>
      <c r="V53" s="314"/>
      <c r="W53" s="314"/>
      <c r="X53" s="314"/>
      <c r="Y53" s="314"/>
      <c r="Z53" s="314"/>
      <c r="AA53" s="314"/>
      <c r="AB53" s="314"/>
      <c r="AC53" s="314"/>
      <c r="AD53" s="314"/>
      <c r="AE53" s="314"/>
      <c r="AG53" s="314">
        <f t="shared" ref="AG53:AI54" si="28" xml:space="preserve"> IFERROR(ROUND( AG35/ AG44,3) - 1, 0)</f>
        <v>0</v>
      </c>
      <c r="AH53" s="314">
        <f t="shared" si="28"/>
        <v>0</v>
      </c>
      <c r="AI53" s="314">
        <f t="shared" si="28"/>
        <v>0</v>
      </c>
      <c r="AJ53" s="314"/>
      <c r="AK53" s="314"/>
      <c r="AL53" s="314"/>
      <c r="AM53" s="314"/>
      <c r="AN53" s="314"/>
      <c r="AO53" s="314"/>
      <c r="AP53" s="314"/>
      <c r="AQ53" s="314"/>
      <c r="AR53" s="314"/>
      <c r="AS53" s="314"/>
      <c r="AU53" s="314"/>
      <c r="AV53" s="314"/>
      <c r="AW53" s="314"/>
      <c r="AX53" s="314"/>
      <c r="AY53" s="314"/>
      <c r="AZ53" s="314"/>
      <c r="BA53" s="314"/>
      <c r="BB53" s="314"/>
      <c r="BC53" s="314"/>
      <c r="BD53" s="314"/>
      <c r="BE53" s="314"/>
      <c r="BF53" s="314"/>
      <c r="BG53" s="314"/>
      <c r="BH53" s="314"/>
      <c r="BI53" s="314"/>
      <c r="BJ53" s="314"/>
      <c r="BK53" s="314"/>
      <c r="BL53" s="314"/>
      <c r="BM53" s="314"/>
      <c r="BN53" s="314"/>
      <c r="BO53" s="314"/>
      <c r="BP53" s="314"/>
      <c r="BQ53" s="314"/>
      <c r="BR53" s="314"/>
      <c r="BS53" s="314"/>
      <c r="BT53" s="314"/>
      <c r="BV53" s="314"/>
      <c r="BW53" s="314"/>
      <c r="BX53" s="314"/>
      <c r="BY53" s="314"/>
      <c r="BZ53" s="314"/>
      <c r="CA53" s="314"/>
      <c r="CB53" s="314"/>
      <c r="CC53" s="314"/>
      <c r="CD53" s="314"/>
      <c r="CE53" s="314"/>
      <c r="CF53" s="314"/>
      <c r="CG53" s="314"/>
      <c r="CH53" s="314"/>
      <c r="CM53" s="314"/>
      <c r="CN53" s="314"/>
      <c r="CO53" s="314"/>
      <c r="CP53" s="314"/>
      <c r="CQ53" s="314"/>
      <c r="CR53" s="314"/>
      <c r="CS53" s="314"/>
      <c r="CT53" s="314"/>
      <c r="CU53" s="314"/>
      <c r="CV53" s="314"/>
      <c r="CW53" s="314"/>
      <c r="CX53" s="314"/>
      <c r="CY53" s="314"/>
      <c r="CZ53" s="314"/>
      <c r="DA53" s="314"/>
      <c r="DB53" s="314"/>
      <c r="DC53" s="314"/>
      <c r="DD53" s="314"/>
      <c r="DE53" s="314"/>
      <c r="DF53" s="314"/>
      <c r="DG53" s="314"/>
      <c r="DH53" s="314"/>
      <c r="DI53" s="314"/>
      <c r="DJ53" s="314"/>
      <c r="DK53" s="314"/>
      <c r="DL53" s="314"/>
      <c r="DN53" s="314"/>
      <c r="DO53" s="314"/>
      <c r="DP53" s="314"/>
      <c r="DQ53" s="314"/>
      <c r="DR53" s="314"/>
      <c r="DS53" s="314"/>
      <c r="DT53" s="314"/>
      <c r="DU53" s="314"/>
      <c r="DV53" s="314"/>
      <c r="DW53" s="314"/>
      <c r="DX53" s="314"/>
      <c r="DY53" s="314"/>
      <c r="DZ53" s="314"/>
    </row>
    <row r="54" spans="1:130">
      <c r="B54" s="138" t="str">
        <f t="shared" si="16"/>
        <v>EBIT</v>
      </c>
      <c r="C54" s="82" t="s">
        <v>842</v>
      </c>
      <c r="E54" s="7"/>
      <c r="F54" s="314">
        <f t="shared" si="27"/>
        <v>0</v>
      </c>
      <c r="G54" s="314">
        <f t="shared" si="27"/>
        <v>0</v>
      </c>
      <c r="H54" s="314">
        <f t="shared" si="27"/>
        <v>0</v>
      </c>
      <c r="I54" s="314">
        <f t="shared" si="27"/>
        <v>0</v>
      </c>
      <c r="J54" s="314">
        <f t="shared" si="27"/>
        <v>0</v>
      </c>
      <c r="K54" s="314"/>
      <c r="L54" s="314"/>
      <c r="M54" s="314"/>
      <c r="N54" s="314"/>
      <c r="O54" s="314"/>
      <c r="P54" s="314"/>
      <c r="Q54" s="314"/>
      <c r="R54" s="314"/>
      <c r="S54" s="314"/>
      <c r="T54" s="314"/>
      <c r="U54" s="314"/>
      <c r="V54" s="314"/>
      <c r="W54" s="314"/>
      <c r="X54" s="314"/>
      <c r="Y54" s="314"/>
      <c r="Z54" s="314"/>
      <c r="AA54" s="314"/>
      <c r="AB54" s="314"/>
      <c r="AC54" s="314"/>
      <c r="AD54" s="314"/>
      <c r="AE54" s="314"/>
      <c r="AG54" s="314">
        <f t="shared" si="28"/>
        <v>0</v>
      </c>
      <c r="AH54" s="314">
        <f t="shared" si="28"/>
        <v>0</v>
      </c>
      <c r="AI54" s="314">
        <f t="shared" si="28"/>
        <v>0</v>
      </c>
      <c r="AJ54" s="314"/>
      <c r="AK54" s="314"/>
      <c r="AL54" s="314"/>
      <c r="AM54" s="314"/>
      <c r="AN54" s="314"/>
      <c r="AO54" s="314"/>
      <c r="AP54" s="314"/>
      <c r="AQ54" s="314"/>
      <c r="AR54" s="314"/>
      <c r="AS54" s="314"/>
      <c r="AU54" s="314"/>
      <c r="AV54" s="314"/>
      <c r="AW54" s="314"/>
      <c r="AX54" s="314"/>
      <c r="AY54" s="314"/>
      <c r="AZ54" s="314"/>
      <c r="BA54" s="314"/>
      <c r="BB54" s="314"/>
      <c r="BC54" s="314"/>
      <c r="BD54" s="314"/>
      <c r="BE54" s="314"/>
      <c r="BF54" s="314"/>
      <c r="BG54" s="314"/>
      <c r="BH54" s="314"/>
      <c r="BI54" s="314"/>
      <c r="BJ54" s="314"/>
      <c r="BK54" s="314"/>
      <c r="BL54" s="314"/>
      <c r="BM54" s="314"/>
      <c r="BN54" s="314"/>
      <c r="BO54" s="314"/>
      <c r="BP54" s="314"/>
      <c r="BQ54" s="314"/>
      <c r="BR54" s="314"/>
      <c r="BS54" s="314"/>
      <c r="BT54" s="314"/>
      <c r="BV54" s="314"/>
      <c r="BW54" s="314"/>
      <c r="BX54" s="314"/>
      <c r="BY54" s="314"/>
      <c r="BZ54" s="314"/>
      <c r="CA54" s="314"/>
      <c r="CB54" s="314"/>
      <c r="CC54" s="314"/>
      <c r="CD54" s="314"/>
      <c r="CE54" s="314"/>
      <c r="CF54" s="314"/>
      <c r="CG54" s="314"/>
      <c r="CH54" s="314"/>
      <c r="CM54" s="314"/>
      <c r="CN54" s="314"/>
      <c r="CO54" s="314"/>
      <c r="CP54" s="314"/>
      <c r="CQ54" s="314"/>
      <c r="CR54" s="314"/>
      <c r="CS54" s="314"/>
      <c r="CT54" s="314"/>
      <c r="CU54" s="314"/>
      <c r="CV54" s="314"/>
      <c r="CW54" s="314"/>
      <c r="CX54" s="314"/>
      <c r="CY54" s="314"/>
      <c r="CZ54" s="314"/>
      <c r="DA54" s="314"/>
      <c r="DB54" s="314"/>
      <c r="DC54" s="314"/>
      <c r="DD54" s="314"/>
      <c r="DE54" s="314"/>
      <c r="DF54" s="314"/>
      <c r="DG54" s="314"/>
      <c r="DH54" s="314"/>
      <c r="DI54" s="314"/>
      <c r="DJ54" s="314"/>
      <c r="DK54" s="314"/>
      <c r="DL54" s="314"/>
      <c r="DN54" s="314"/>
      <c r="DO54" s="314"/>
      <c r="DP54" s="314"/>
      <c r="DQ54" s="314"/>
      <c r="DR54" s="314"/>
      <c r="DS54" s="314"/>
      <c r="DT54" s="314"/>
      <c r="DU54" s="314"/>
      <c r="DV54" s="314"/>
      <c r="DW54" s="314"/>
      <c r="DX54" s="314"/>
      <c r="DY54" s="314"/>
      <c r="DZ54" s="314"/>
    </row>
    <row r="55" spans="1:130">
      <c r="B55" s="138"/>
      <c r="C55" s="82"/>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G55" s="7"/>
      <c r="AH55" s="7"/>
      <c r="AI55" s="7"/>
      <c r="AJ55" s="7"/>
      <c r="AK55" s="7"/>
      <c r="AL55" s="7"/>
      <c r="AM55" s="7"/>
      <c r="AN55" s="7"/>
      <c r="AO55" s="7"/>
      <c r="AP55" s="7"/>
      <c r="AQ55" s="7"/>
      <c r="AR55" s="7"/>
      <c r="AS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V55" s="7"/>
      <c r="BW55" s="7"/>
      <c r="BX55" s="7"/>
      <c r="BY55" s="7"/>
      <c r="BZ55" s="7"/>
      <c r="CA55" s="7"/>
      <c r="CB55" s="7"/>
      <c r="CC55" s="7"/>
      <c r="CD55" s="7"/>
      <c r="CE55" s="7"/>
      <c r="CF55" s="7"/>
      <c r="CG55" s="7"/>
      <c r="CH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N55" s="7"/>
      <c r="DO55" s="7"/>
      <c r="DP55" s="7"/>
      <c r="DQ55" s="7"/>
      <c r="DR55" s="7"/>
      <c r="DS55" s="7"/>
      <c r="DT55" s="7"/>
      <c r="DU55" s="7"/>
      <c r="DV55" s="7"/>
      <c r="DW55" s="7"/>
      <c r="DX55" s="7"/>
      <c r="DY55" s="7"/>
      <c r="DZ55" s="7"/>
    </row>
    <row r="56" spans="1:130">
      <c r="A56" s="754" t="s">
        <v>971</v>
      </c>
      <c r="B56" s="731" t="s">
        <v>1492</v>
      </c>
      <c r="C56" s="290"/>
      <c r="D56" s="290"/>
      <c r="E56" s="290"/>
      <c r="F56" s="290"/>
      <c r="G56" s="290"/>
      <c r="H56" s="290"/>
      <c r="I56" s="290"/>
      <c r="J56" s="290"/>
      <c r="K56" s="290"/>
      <c r="L56" s="290"/>
      <c r="M56" s="290"/>
      <c r="N56" s="290"/>
      <c r="O56" s="290"/>
      <c r="P56" s="290"/>
      <c r="Q56" s="290"/>
      <c r="R56" s="290"/>
      <c r="S56" s="290"/>
      <c r="T56" s="290"/>
      <c r="U56" s="290"/>
      <c r="V56" s="290"/>
      <c r="W56" s="290"/>
      <c r="X56" s="290"/>
      <c r="Y56" s="290"/>
      <c r="Z56" s="290"/>
      <c r="AA56" s="290"/>
      <c r="AB56" s="290"/>
      <c r="AC56" s="290"/>
      <c r="AD56" s="290"/>
      <c r="AE56" s="290"/>
      <c r="AF56" s="290"/>
      <c r="AG56" s="290"/>
      <c r="AH56" s="290"/>
      <c r="AI56" s="290"/>
      <c r="AJ56" s="290"/>
      <c r="AK56" s="290"/>
      <c r="AL56" s="290"/>
      <c r="AM56" s="290"/>
      <c r="AN56" s="290"/>
      <c r="AO56" s="290"/>
      <c r="AP56" s="290"/>
      <c r="AQ56" s="290"/>
      <c r="AR56" s="290"/>
      <c r="AS56" s="290"/>
    </row>
    <row r="57" spans="1:130">
      <c r="B57" s="138" t="s">
        <v>1</v>
      </c>
      <c r="C57" s="82" t="s">
        <v>900</v>
      </c>
      <c r="E57" s="7"/>
      <c r="F57" s="132">
        <f>HY!M244</f>
        <v>79.599999999999994</v>
      </c>
      <c r="G57" s="132">
        <f>HY!N244</f>
        <v>117.30000000000001</v>
      </c>
      <c r="H57" s="132">
        <f>HY!O244</f>
        <v>108.8</v>
      </c>
      <c r="I57" s="132">
        <f>HY!P244</f>
        <v>94.8</v>
      </c>
      <c r="J57" s="132">
        <f>HY!Q244</f>
        <v>80.3</v>
      </c>
      <c r="K57" s="132">
        <f>HY!R244</f>
        <v>83.100000000000009</v>
      </c>
      <c r="L57" s="132">
        <f>HY!S244</f>
        <v>88.1</v>
      </c>
      <c r="M57" s="132">
        <f>HY!T244</f>
        <v>87.700000000000017</v>
      </c>
      <c r="N57" s="132">
        <f>HY!U244</f>
        <v>91.7</v>
      </c>
      <c r="O57" s="132">
        <f>HY!V244</f>
        <v>89.899999999999991</v>
      </c>
      <c r="P57" s="132">
        <f>HY!W244</f>
        <v>93.992499999999993</v>
      </c>
      <c r="Q57" s="132">
        <f>HY!X244</f>
        <v>92.14749999999998</v>
      </c>
      <c r="R57" s="132">
        <f>HY!Y244</f>
        <v>96.342312499999977</v>
      </c>
      <c r="S57" s="132">
        <f>HY!Z244</f>
        <v>94.451187499999975</v>
      </c>
      <c r="T57" s="132">
        <f>HY!AA244</f>
        <v>99.23258187499998</v>
      </c>
      <c r="U57" s="132">
        <f>HY!AB244</f>
        <v>97.284723124999971</v>
      </c>
      <c r="V57" s="132">
        <f>HY!AC244</f>
        <v>102.20955933124998</v>
      </c>
      <c r="W57" s="132">
        <f>HY!AD244</f>
        <v>100.20326481874997</v>
      </c>
      <c r="X57" s="132">
        <f>HY!AE244</f>
        <v>105.27584611118748</v>
      </c>
      <c r="Y57" s="132">
        <f>HY!AF244</f>
        <v>103.20936276331247</v>
      </c>
      <c r="Z57" s="132">
        <f>HY!AG244</f>
        <v>108.4341214945231</v>
      </c>
      <c r="AA57" s="132">
        <f>HY!AH244</f>
        <v>106.30564364621185</v>
      </c>
      <c r="AB57" s="132">
        <f>HY!AI244</f>
        <v>111.68714513935879</v>
      </c>
      <c r="AC57" s="132">
        <f>HY!AJ244</f>
        <v>109.49481295559821</v>
      </c>
      <c r="AD57" s="132">
        <f>HY!AK244</f>
        <v>115.03775949353955</v>
      </c>
      <c r="AE57" s="132">
        <f>HY!AL244</f>
        <v>112.77965734426616</v>
      </c>
      <c r="AG57" s="132">
        <f t="shared" ref="AG57:AS63" si="29">SUMIFS($F57:$AE57,$F$3:$AE$3,AG$5)</f>
        <v>196.9</v>
      </c>
      <c r="AH57" s="132">
        <f t="shared" si="29"/>
        <v>203.6</v>
      </c>
      <c r="AI57" s="132">
        <f t="shared" si="29"/>
        <v>163.4</v>
      </c>
      <c r="AJ57" s="132">
        <f t="shared" si="29"/>
        <v>175.8</v>
      </c>
      <c r="AK57" s="132">
        <f t="shared" si="29"/>
        <v>181.6</v>
      </c>
      <c r="AL57" s="132">
        <f t="shared" si="29"/>
        <v>186.14</v>
      </c>
      <c r="AM57" s="132">
        <f t="shared" si="29"/>
        <v>190.79349999999994</v>
      </c>
      <c r="AN57" s="132">
        <f t="shared" si="29"/>
        <v>196.51730499999996</v>
      </c>
      <c r="AO57" s="132">
        <f t="shared" si="29"/>
        <v>202.41282414999995</v>
      </c>
      <c r="AP57" s="132">
        <f t="shared" si="29"/>
        <v>208.48520887449996</v>
      </c>
      <c r="AQ57" s="132">
        <f t="shared" si="29"/>
        <v>214.73976514073496</v>
      </c>
      <c r="AR57" s="132">
        <f t="shared" si="29"/>
        <v>221.181958094957</v>
      </c>
      <c r="AS57" s="132">
        <f t="shared" si="29"/>
        <v>227.81741683780569</v>
      </c>
      <c r="AU57" s="132"/>
      <c r="AV57" s="132"/>
      <c r="AW57" s="132"/>
      <c r="AX57" s="132"/>
      <c r="AY57" s="132"/>
      <c r="AZ57" s="132"/>
      <c r="BA57" s="132"/>
      <c r="BB57" s="132"/>
      <c r="BC57" s="132"/>
      <c r="BD57" s="132"/>
      <c r="BE57" s="132"/>
      <c r="BF57" s="132"/>
      <c r="BG57" s="132"/>
      <c r="BH57" s="132"/>
      <c r="BI57" s="132"/>
      <c r="BJ57" s="132"/>
      <c r="BK57" s="132"/>
      <c r="BL57" s="132"/>
      <c r="BM57" s="132"/>
      <c r="BN57" s="132"/>
      <c r="BO57" s="132"/>
      <c r="BP57" s="132"/>
      <c r="BQ57" s="132"/>
      <c r="BR57" s="132"/>
      <c r="BS57" s="132"/>
      <c r="BT57" s="132"/>
      <c r="BV57" s="132"/>
      <c r="BW57" s="132"/>
      <c r="BX57" s="132"/>
      <c r="BY57" s="132"/>
      <c r="BZ57" s="132"/>
      <c r="CA57" s="132"/>
      <c r="CB57" s="132"/>
      <c r="CC57" s="132"/>
      <c r="CD57" s="132"/>
      <c r="CE57" s="132"/>
      <c r="CF57" s="132"/>
      <c r="CG57" s="132"/>
      <c r="CH57" s="132"/>
      <c r="CM57" s="132"/>
      <c r="CN57" s="132"/>
      <c r="CO57" s="132"/>
      <c r="CP57" s="132"/>
      <c r="CQ57" s="132"/>
      <c r="CR57" s="132"/>
      <c r="CS57" s="132"/>
      <c r="CT57" s="132"/>
      <c r="CU57" s="132"/>
      <c r="CV57" s="132"/>
      <c r="CW57" s="132"/>
      <c r="CX57" s="132"/>
      <c r="CY57" s="132"/>
      <c r="CZ57" s="132"/>
      <c r="DA57" s="132"/>
      <c r="DB57" s="132"/>
      <c r="DC57" s="132"/>
      <c r="DD57" s="132"/>
      <c r="DE57" s="132"/>
      <c r="DF57" s="132"/>
      <c r="DG57" s="132"/>
      <c r="DH57" s="132"/>
      <c r="DI57" s="132"/>
      <c r="DJ57" s="132"/>
      <c r="DK57" s="132"/>
      <c r="DL57" s="132"/>
      <c r="DN57" s="132"/>
      <c r="DO57" s="132"/>
      <c r="DP57" s="132"/>
      <c r="DQ57" s="132"/>
      <c r="DR57" s="132"/>
      <c r="DS57" s="132"/>
      <c r="DT57" s="132"/>
      <c r="DU57" s="132"/>
      <c r="DV57" s="132"/>
      <c r="DW57" s="132"/>
      <c r="DX57" s="132"/>
      <c r="DY57" s="132"/>
      <c r="DZ57" s="132"/>
    </row>
    <row r="58" spans="1:130">
      <c r="B58" s="138" t="s">
        <v>1272</v>
      </c>
      <c r="C58" s="82" t="s">
        <v>900</v>
      </c>
      <c r="E58" s="7"/>
      <c r="F58" s="132">
        <f>HY!M247</f>
        <v>-5</v>
      </c>
      <c r="G58" s="132">
        <f>HY!N247</f>
        <v>-5.5999999999999943</v>
      </c>
      <c r="H58" s="132">
        <f>HY!O247</f>
        <v>-7.3999999999999915</v>
      </c>
      <c r="I58" s="132">
        <f>HY!P247</f>
        <v>-3.0000000000000142</v>
      </c>
      <c r="J58" s="132">
        <f>HY!Q247</f>
        <v>-0.39999999999999147</v>
      </c>
      <c r="K58" s="132">
        <f>HY!R247</f>
        <v>-1.3000000000000256</v>
      </c>
      <c r="L58" s="132">
        <f>HY!S247</f>
        <v>-1.7999999999999972</v>
      </c>
      <c r="M58" s="132">
        <f>HY!T247</f>
        <v>-1.2000000000000028</v>
      </c>
      <c r="N58" s="132">
        <f>HY!U247</f>
        <v>-1.5</v>
      </c>
      <c r="O58" s="132">
        <f>HY!V247</f>
        <v>-0.90000000000000568</v>
      </c>
      <c r="P58" s="132">
        <f>HY!W247</f>
        <v>-0.94097052280312055</v>
      </c>
      <c r="Q58" s="132">
        <f>HY!X247</f>
        <v>-0.92250000000000576</v>
      </c>
      <c r="R58" s="132">
        <f>HY!Y247</f>
        <v>-0.96449478587319837</v>
      </c>
      <c r="S58" s="132">
        <f>HY!Z247</f>
        <v>-0.94556250000000586</v>
      </c>
      <c r="T58" s="132">
        <f>HY!AA247</f>
        <v>-0.99342962944939439</v>
      </c>
      <c r="U58" s="132">
        <f>HY!AB247</f>
        <v>-0.97392937500000598</v>
      </c>
      <c r="V58" s="132">
        <f>HY!AC247</f>
        <v>-1.0232325183328761</v>
      </c>
      <c r="W58" s="132">
        <f>HY!AD247</f>
        <v>-1.0031472562500061</v>
      </c>
      <c r="X58" s="132">
        <f>HY!AE247</f>
        <v>-1.0539294938828625</v>
      </c>
      <c r="Y58" s="132">
        <f>HY!AF247</f>
        <v>-1.0332416739375063</v>
      </c>
      <c r="Z58" s="132">
        <f>HY!AG247</f>
        <v>-1.0855473786993484</v>
      </c>
      <c r="AA58" s="132">
        <f>HY!AH247</f>
        <v>-1.0642389241556316</v>
      </c>
      <c r="AB58" s="132">
        <f>HY!AI247</f>
        <v>-1.1181138000603288</v>
      </c>
      <c r="AC58" s="132">
        <f>HY!AJ247</f>
        <v>-1.0961660918803005</v>
      </c>
      <c r="AD58" s="132">
        <f>HY!AK247</f>
        <v>-1.1516572140621386</v>
      </c>
      <c r="AE58" s="132">
        <f>HY!AL247</f>
        <v>-1.1290510746367095</v>
      </c>
      <c r="AG58" s="132">
        <f t="shared" si="29"/>
        <v>-10.599999999999994</v>
      </c>
      <c r="AH58" s="132">
        <f t="shared" si="29"/>
        <v>-10.400000000000006</v>
      </c>
      <c r="AI58" s="132">
        <f t="shared" si="29"/>
        <v>-1.7000000000000171</v>
      </c>
      <c r="AJ58" s="132">
        <f t="shared" si="29"/>
        <v>-3</v>
      </c>
      <c r="AK58" s="132">
        <f t="shared" si="29"/>
        <v>-2.4000000000000057</v>
      </c>
      <c r="AL58" s="132">
        <f t="shared" si="29"/>
        <v>-1.8634705228031263</v>
      </c>
      <c r="AM58" s="132">
        <f t="shared" si="29"/>
        <v>-1.9100572858732043</v>
      </c>
      <c r="AN58" s="132">
        <f t="shared" si="29"/>
        <v>-1.9673590044494005</v>
      </c>
      <c r="AO58" s="132">
        <f t="shared" si="29"/>
        <v>-2.0263797745828822</v>
      </c>
      <c r="AP58" s="132">
        <f t="shared" si="29"/>
        <v>-2.0871711678203688</v>
      </c>
      <c r="AQ58" s="132">
        <f t="shared" si="29"/>
        <v>-2.14978630285498</v>
      </c>
      <c r="AR58" s="132">
        <f t="shared" si="29"/>
        <v>-2.2142798919406292</v>
      </c>
      <c r="AS58" s="132">
        <f t="shared" si="29"/>
        <v>-2.2807082886988481</v>
      </c>
      <c r="AU58" s="132"/>
      <c r="AV58" s="132"/>
      <c r="AW58" s="132"/>
      <c r="AX58" s="132"/>
      <c r="AY58" s="132"/>
      <c r="AZ58" s="132"/>
      <c r="BA58" s="132"/>
      <c r="BB58" s="132"/>
      <c r="BC58" s="132"/>
      <c r="BD58" s="132"/>
      <c r="BE58" s="132"/>
      <c r="BF58" s="132"/>
      <c r="BG58" s="132"/>
      <c r="BH58" s="132"/>
      <c r="BI58" s="132"/>
      <c r="BJ58" s="132"/>
      <c r="BK58" s="132"/>
      <c r="BL58" s="132"/>
      <c r="BM58" s="132"/>
      <c r="BN58" s="132"/>
      <c r="BO58" s="132"/>
      <c r="BP58" s="132"/>
      <c r="BQ58" s="132"/>
      <c r="BR58" s="132"/>
      <c r="BS58" s="132"/>
      <c r="BT58" s="132"/>
      <c r="BV58" s="132"/>
      <c r="BW58" s="132"/>
      <c r="BX58" s="132"/>
      <c r="BY58" s="132"/>
      <c r="BZ58" s="132"/>
      <c r="CA58" s="132"/>
      <c r="CB58" s="132"/>
      <c r="CC58" s="132"/>
      <c r="CD58" s="132"/>
      <c r="CE58" s="132"/>
      <c r="CF58" s="132"/>
      <c r="CG58" s="132"/>
      <c r="CH58" s="132"/>
      <c r="CM58" s="132"/>
      <c r="CN58" s="132"/>
      <c r="CO58" s="132"/>
      <c r="CP58" s="132"/>
      <c r="CQ58" s="132"/>
      <c r="CR58" s="132"/>
      <c r="CS58" s="132"/>
      <c r="CT58" s="132"/>
      <c r="CU58" s="132"/>
      <c r="CV58" s="132"/>
      <c r="CW58" s="132"/>
      <c r="CX58" s="132"/>
      <c r="CY58" s="132"/>
      <c r="CZ58" s="132"/>
      <c r="DA58" s="132"/>
      <c r="DB58" s="132"/>
      <c r="DC58" s="132"/>
      <c r="DD58" s="132"/>
      <c r="DE58" s="132"/>
      <c r="DF58" s="132"/>
      <c r="DG58" s="132"/>
      <c r="DH58" s="132"/>
      <c r="DI58" s="132"/>
      <c r="DJ58" s="132"/>
      <c r="DK58" s="132"/>
      <c r="DL58" s="132"/>
      <c r="DN58" s="132"/>
      <c r="DO58" s="132"/>
      <c r="DP58" s="132"/>
      <c r="DQ58" s="132"/>
      <c r="DR58" s="132"/>
      <c r="DS58" s="132"/>
      <c r="DT58" s="132"/>
      <c r="DU58" s="132"/>
      <c r="DV58" s="132"/>
      <c r="DW58" s="132"/>
      <c r="DX58" s="132"/>
      <c r="DY58" s="132"/>
      <c r="DZ58" s="132"/>
    </row>
    <row r="59" spans="1:130">
      <c r="B59" s="138" t="s">
        <v>1218</v>
      </c>
      <c r="C59" s="82" t="s">
        <v>900</v>
      </c>
      <c r="E59" s="7"/>
      <c r="F59" s="132">
        <f>HY!M250</f>
        <v>74.599999999999994</v>
      </c>
      <c r="G59" s="132">
        <f>HY!N250</f>
        <v>111.70000000000002</v>
      </c>
      <c r="H59" s="132">
        <f>HY!O250</f>
        <v>101.4</v>
      </c>
      <c r="I59" s="132">
        <f>HY!P250</f>
        <v>91.799999999999983</v>
      </c>
      <c r="J59" s="132">
        <f>HY!Q250</f>
        <v>79.900000000000006</v>
      </c>
      <c r="K59" s="132">
        <f>HY!R250</f>
        <v>81.799999999999983</v>
      </c>
      <c r="L59" s="132">
        <f>HY!S250</f>
        <v>86.3</v>
      </c>
      <c r="M59" s="132">
        <f>HY!T250</f>
        <v>86.500000000000014</v>
      </c>
      <c r="N59" s="132">
        <f>HY!U250</f>
        <v>90.2</v>
      </c>
      <c r="O59" s="132">
        <f>HY!V250</f>
        <v>88.999999999999986</v>
      </c>
      <c r="P59" s="132">
        <f>HY!W250</f>
        <v>93.051529477196866</v>
      </c>
      <c r="Q59" s="132">
        <f>HY!X250</f>
        <v>91.22499999999998</v>
      </c>
      <c r="R59" s="132">
        <f>HY!Y250</f>
        <v>95.377817714126778</v>
      </c>
      <c r="S59" s="132">
        <f>HY!Z250</f>
        <v>93.505624999999966</v>
      </c>
      <c r="T59" s="132">
        <f>HY!AA250</f>
        <v>98.239152245550585</v>
      </c>
      <c r="U59" s="132">
        <f>HY!AB250</f>
        <v>96.310793749999959</v>
      </c>
      <c r="V59" s="132">
        <f>HY!AC250</f>
        <v>101.1863268129171</v>
      </c>
      <c r="W59" s="132">
        <f>HY!AD250</f>
        <v>99.200117562499969</v>
      </c>
      <c r="X59" s="132">
        <f>HY!AE250</f>
        <v>104.22191661730461</v>
      </c>
      <c r="Y59" s="132">
        <f>HY!AF250</f>
        <v>102.17612108937496</v>
      </c>
      <c r="Z59" s="132">
        <f>HY!AG250</f>
        <v>107.34857411582375</v>
      </c>
      <c r="AA59" s="132">
        <f>HY!AH250</f>
        <v>105.24140472205622</v>
      </c>
      <c r="AB59" s="132">
        <f>HY!AI250</f>
        <v>110.56903133929846</v>
      </c>
      <c r="AC59" s="132">
        <f>HY!AJ250</f>
        <v>108.3986468637179</v>
      </c>
      <c r="AD59" s="132">
        <f>HY!AK250</f>
        <v>113.88610227947741</v>
      </c>
      <c r="AE59" s="132">
        <f>HY!AL250</f>
        <v>111.65060626962945</v>
      </c>
      <c r="AG59" s="132">
        <f t="shared" si="29"/>
        <v>186.3</v>
      </c>
      <c r="AH59" s="132">
        <f t="shared" si="29"/>
        <v>193.2</v>
      </c>
      <c r="AI59" s="132">
        <f t="shared" si="29"/>
        <v>161.69999999999999</v>
      </c>
      <c r="AJ59" s="132">
        <f t="shared" si="29"/>
        <v>172.8</v>
      </c>
      <c r="AK59" s="132">
        <f t="shared" si="29"/>
        <v>179.2</v>
      </c>
      <c r="AL59" s="132">
        <f t="shared" si="29"/>
        <v>184.27652947719685</v>
      </c>
      <c r="AM59" s="132">
        <f t="shared" si="29"/>
        <v>188.88344271412674</v>
      </c>
      <c r="AN59" s="132">
        <f t="shared" si="29"/>
        <v>194.54994599555056</v>
      </c>
      <c r="AO59" s="132">
        <f t="shared" si="29"/>
        <v>200.38644437541706</v>
      </c>
      <c r="AP59" s="132">
        <f t="shared" si="29"/>
        <v>206.39803770667959</v>
      </c>
      <c r="AQ59" s="132">
        <f t="shared" si="29"/>
        <v>212.58997883787998</v>
      </c>
      <c r="AR59" s="132">
        <f t="shared" si="29"/>
        <v>218.96767820301636</v>
      </c>
      <c r="AS59" s="132">
        <f t="shared" si="29"/>
        <v>225.53670854910686</v>
      </c>
      <c r="AU59" s="132"/>
      <c r="AV59" s="132"/>
      <c r="AW59" s="132"/>
      <c r="AX59" s="132"/>
      <c r="AY59" s="132"/>
      <c r="AZ59" s="132"/>
      <c r="BA59" s="132"/>
      <c r="BB59" s="132"/>
      <c r="BC59" s="132"/>
      <c r="BD59" s="132"/>
      <c r="BE59" s="132"/>
      <c r="BF59" s="132"/>
      <c r="BG59" s="132"/>
      <c r="BH59" s="132"/>
      <c r="BI59" s="132"/>
      <c r="BJ59" s="132"/>
      <c r="BK59" s="132"/>
      <c r="BL59" s="132"/>
      <c r="BM59" s="132"/>
      <c r="BN59" s="132"/>
      <c r="BO59" s="132"/>
      <c r="BP59" s="132"/>
      <c r="BQ59" s="132"/>
      <c r="BR59" s="132"/>
      <c r="BS59" s="132"/>
      <c r="BT59" s="132"/>
      <c r="BV59" s="132"/>
      <c r="BW59" s="132"/>
      <c r="BX59" s="132"/>
      <c r="BY59" s="132"/>
      <c r="BZ59" s="132"/>
      <c r="CA59" s="132"/>
      <c r="CB59" s="132"/>
      <c r="CC59" s="132"/>
      <c r="CD59" s="132"/>
      <c r="CE59" s="132"/>
      <c r="CF59" s="132"/>
      <c r="CG59" s="132"/>
      <c r="CH59" s="132"/>
      <c r="CM59" s="132"/>
      <c r="CN59" s="132"/>
      <c r="CO59" s="132"/>
      <c r="CP59" s="132"/>
      <c r="CQ59" s="132"/>
      <c r="CR59" s="132"/>
      <c r="CS59" s="132"/>
      <c r="CT59" s="132"/>
      <c r="CU59" s="132"/>
      <c r="CV59" s="132"/>
      <c r="CW59" s="132"/>
      <c r="CX59" s="132"/>
      <c r="CY59" s="132"/>
      <c r="CZ59" s="132"/>
      <c r="DA59" s="132"/>
      <c r="DB59" s="132"/>
      <c r="DC59" s="132"/>
      <c r="DD59" s="132"/>
      <c r="DE59" s="132"/>
      <c r="DF59" s="132"/>
      <c r="DG59" s="132"/>
      <c r="DH59" s="132"/>
      <c r="DI59" s="132"/>
      <c r="DJ59" s="132"/>
      <c r="DK59" s="132"/>
      <c r="DL59" s="132"/>
      <c r="DN59" s="132"/>
      <c r="DO59" s="132"/>
      <c r="DP59" s="132"/>
      <c r="DQ59" s="132"/>
      <c r="DR59" s="132"/>
      <c r="DS59" s="132"/>
      <c r="DT59" s="132"/>
      <c r="DU59" s="132"/>
      <c r="DV59" s="132"/>
      <c r="DW59" s="132"/>
      <c r="DX59" s="132"/>
      <c r="DY59" s="132"/>
      <c r="DZ59" s="132"/>
    </row>
    <row r="60" spans="1:130">
      <c r="B60" s="138" t="s">
        <v>4</v>
      </c>
      <c r="C60" s="82" t="s">
        <v>900</v>
      </c>
      <c r="E60" s="7"/>
      <c r="F60" s="132">
        <f>HY!M253</f>
        <v>-55</v>
      </c>
      <c r="G60" s="132">
        <f>HY!N253</f>
        <v>-58.099999999999994</v>
      </c>
      <c r="H60" s="132">
        <f>HY!O253</f>
        <v>-58.5</v>
      </c>
      <c r="I60" s="132">
        <f>HY!P253</f>
        <v>-51.599999999999994</v>
      </c>
      <c r="J60" s="132">
        <f>HY!Q253</f>
        <v>-51.6</v>
      </c>
      <c r="K60" s="132">
        <f>HY!R253</f>
        <v>-51.1</v>
      </c>
      <c r="L60" s="132">
        <f>HY!S253</f>
        <v>-52.8</v>
      </c>
      <c r="M60" s="132">
        <f>HY!T253</f>
        <v>-57.600000000000009</v>
      </c>
      <c r="N60" s="132">
        <f>HY!U253</f>
        <v>-54.2</v>
      </c>
      <c r="O60" s="132">
        <f>HY!V253</f>
        <v>-55.099999999999994</v>
      </c>
      <c r="P60" s="132">
        <f>HY!W253</f>
        <v>-57.335424999999994</v>
      </c>
      <c r="Q60" s="132">
        <f>HY!X253</f>
        <v>-56.209974999999986</v>
      </c>
      <c r="R60" s="132">
        <f>HY!Y253</f>
        <v>-58.768810624999986</v>
      </c>
      <c r="S60" s="132">
        <f>HY!Z253</f>
        <v>-57.615224374999983</v>
      </c>
      <c r="T60" s="132">
        <f>HY!AA253</f>
        <v>-60.531874943749983</v>
      </c>
      <c r="U60" s="132">
        <f>HY!AB253</f>
        <v>-59.343681106249981</v>
      </c>
      <c r="V60" s="132">
        <f>HY!AC253</f>
        <v>-62.347831192062486</v>
      </c>
      <c r="W60" s="132">
        <f>HY!AD253</f>
        <v>-61.123991539437483</v>
      </c>
      <c r="X60" s="132">
        <f>HY!AE253</f>
        <v>-64.218266127824364</v>
      </c>
      <c r="Y60" s="132">
        <f>HY!AF253</f>
        <v>-62.957711285620604</v>
      </c>
      <c r="Z60" s="132">
        <f>HY!AG253</f>
        <v>-66.144814111659088</v>
      </c>
      <c r="AA60" s="132">
        <f>HY!AH253</f>
        <v>-64.846442624189223</v>
      </c>
      <c r="AB60" s="132">
        <f>HY!AI253</f>
        <v>-68.129158535008855</v>
      </c>
      <c r="AC60" s="132">
        <f>HY!AJ253</f>
        <v>-66.791835902914897</v>
      </c>
      <c r="AD60" s="132">
        <f>HY!AK253</f>
        <v>-70.173033291059127</v>
      </c>
      <c r="AE60" s="132">
        <f>HY!AL253</f>
        <v>-68.795590980002359</v>
      </c>
      <c r="AG60" s="132">
        <f t="shared" si="29"/>
        <v>-113.1</v>
      </c>
      <c r="AH60" s="132">
        <f t="shared" si="29"/>
        <v>-110.1</v>
      </c>
      <c r="AI60" s="132">
        <f t="shared" si="29"/>
        <v>-102.7</v>
      </c>
      <c r="AJ60" s="132">
        <f t="shared" si="29"/>
        <v>-110.4</v>
      </c>
      <c r="AK60" s="132">
        <f t="shared" si="29"/>
        <v>-109.3</v>
      </c>
      <c r="AL60" s="132">
        <f t="shared" si="29"/>
        <v>-113.54539999999997</v>
      </c>
      <c r="AM60" s="132">
        <f t="shared" si="29"/>
        <v>-116.38403499999997</v>
      </c>
      <c r="AN60" s="132">
        <f t="shared" si="29"/>
        <v>-119.87555604999997</v>
      </c>
      <c r="AO60" s="132">
        <f t="shared" si="29"/>
        <v>-123.47182273149997</v>
      </c>
      <c r="AP60" s="132">
        <f t="shared" si="29"/>
        <v>-127.17597741344497</v>
      </c>
      <c r="AQ60" s="132">
        <f t="shared" si="29"/>
        <v>-130.99125673584831</v>
      </c>
      <c r="AR60" s="132">
        <f t="shared" si="29"/>
        <v>-134.92099443792375</v>
      </c>
      <c r="AS60" s="132">
        <f t="shared" si="29"/>
        <v>-138.96862427106149</v>
      </c>
      <c r="AU60" s="132"/>
      <c r="AV60" s="132"/>
      <c r="AW60" s="132"/>
      <c r="AX60" s="132"/>
      <c r="AY60" s="132"/>
      <c r="AZ60" s="132"/>
      <c r="BA60" s="132"/>
      <c r="BB60" s="132"/>
      <c r="BC60" s="132"/>
      <c r="BD60" s="132"/>
      <c r="BE60" s="132"/>
      <c r="BF60" s="132"/>
      <c r="BG60" s="132"/>
      <c r="BH60" s="132"/>
      <c r="BI60" s="132"/>
      <c r="BJ60" s="132"/>
      <c r="BK60" s="132"/>
      <c r="BL60" s="132"/>
      <c r="BM60" s="132"/>
      <c r="BN60" s="132"/>
      <c r="BO60" s="132"/>
      <c r="BP60" s="132"/>
      <c r="BQ60" s="132"/>
      <c r="BR60" s="132"/>
      <c r="BS60" s="132"/>
      <c r="BT60" s="132"/>
      <c r="BV60" s="132"/>
      <c r="BW60" s="132"/>
      <c r="BX60" s="132"/>
      <c r="BY60" s="132"/>
      <c r="BZ60" s="132"/>
      <c r="CA60" s="132"/>
      <c r="CB60" s="132"/>
      <c r="CC60" s="132"/>
      <c r="CD60" s="132"/>
      <c r="CE60" s="132"/>
      <c r="CF60" s="132"/>
      <c r="CG60" s="132"/>
      <c r="CH60" s="132"/>
      <c r="CM60" s="132"/>
      <c r="CN60" s="132"/>
      <c r="CO60" s="132"/>
      <c r="CP60" s="132"/>
      <c r="CQ60" s="132"/>
      <c r="CR60" s="132"/>
      <c r="CS60" s="132"/>
      <c r="CT60" s="132"/>
      <c r="CU60" s="132"/>
      <c r="CV60" s="132"/>
      <c r="CW60" s="132"/>
      <c r="CX60" s="132"/>
      <c r="CY60" s="132"/>
      <c r="CZ60" s="132"/>
      <c r="DA60" s="132"/>
      <c r="DB60" s="132"/>
      <c r="DC60" s="132"/>
      <c r="DD60" s="132"/>
      <c r="DE60" s="132"/>
      <c r="DF60" s="132"/>
      <c r="DG60" s="132"/>
      <c r="DH60" s="132"/>
      <c r="DI60" s="132"/>
      <c r="DJ60" s="132"/>
      <c r="DK60" s="132"/>
      <c r="DL60" s="132"/>
      <c r="DN60" s="132"/>
      <c r="DO60" s="132"/>
      <c r="DP60" s="132"/>
      <c r="DQ60" s="132"/>
      <c r="DR60" s="132"/>
      <c r="DS60" s="132"/>
      <c r="DT60" s="132"/>
      <c r="DU60" s="132"/>
      <c r="DV60" s="132"/>
      <c r="DW60" s="132"/>
      <c r="DX60" s="132"/>
      <c r="DY60" s="132"/>
      <c r="DZ60" s="132"/>
    </row>
    <row r="61" spans="1:130">
      <c r="B61" s="138" t="s">
        <v>2</v>
      </c>
      <c r="C61" s="82" t="s">
        <v>900</v>
      </c>
      <c r="E61" s="7"/>
      <c r="F61" s="132">
        <f>HY!M256</f>
        <v>19.600000000000001</v>
      </c>
      <c r="G61" s="132">
        <f>HY!N256</f>
        <v>53.6</v>
      </c>
      <c r="H61" s="132">
        <f>HY!O256</f>
        <v>42.9</v>
      </c>
      <c r="I61" s="132">
        <f>HY!P256</f>
        <v>40.199999999999996</v>
      </c>
      <c r="J61" s="132">
        <f>HY!Q256</f>
        <v>28.3</v>
      </c>
      <c r="K61" s="132">
        <f>HY!R256</f>
        <v>30.7</v>
      </c>
      <c r="L61" s="132">
        <f>HY!S256</f>
        <v>33.5</v>
      </c>
      <c r="M61" s="132">
        <f>HY!T256</f>
        <v>28.9</v>
      </c>
      <c r="N61" s="132">
        <f>HY!U256</f>
        <v>36</v>
      </c>
      <c r="O61" s="132">
        <f>HY!V256</f>
        <v>33.900000000000006</v>
      </c>
      <c r="P61" s="132">
        <f>HY!W256</f>
        <v>35.716104477196872</v>
      </c>
      <c r="Q61" s="132">
        <f>HY!X256</f>
        <v>35.015024999999994</v>
      </c>
      <c r="R61" s="132">
        <f>HY!Y256</f>
        <v>36.609007089126791</v>
      </c>
      <c r="S61" s="132">
        <f>HY!Z256</f>
        <v>35.890400624999984</v>
      </c>
      <c r="T61" s="132">
        <f>HY!AA256</f>
        <v>37.707277301800602</v>
      </c>
      <c r="U61" s="132">
        <f>HY!AB256</f>
        <v>36.967112643749978</v>
      </c>
      <c r="V61" s="132">
        <f>HY!AC256</f>
        <v>38.838495620854616</v>
      </c>
      <c r="W61" s="132">
        <f>HY!AD256</f>
        <v>38.076126023062486</v>
      </c>
      <c r="X61" s="132">
        <f>HY!AE256</f>
        <v>40.00365048948025</v>
      </c>
      <c r="Y61" s="132">
        <f>HY!AF256</f>
        <v>39.218409803754355</v>
      </c>
      <c r="Z61" s="132">
        <f>HY!AG256</f>
        <v>41.203760004164664</v>
      </c>
      <c r="AA61" s="132">
        <f>HY!AH256</f>
        <v>40.394962097866994</v>
      </c>
      <c r="AB61" s="132">
        <f>HY!AI256</f>
        <v>42.439872804289607</v>
      </c>
      <c r="AC61" s="132">
        <f>HY!AJ256</f>
        <v>41.606810960803003</v>
      </c>
      <c r="AD61" s="132">
        <f>HY!AK256</f>
        <v>43.713068988418286</v>
      </c>
      <c r="AE61" s="132">
        <f>HY!AL256</f>
        <v>42.85501528962709</v>
      </c>
      <c r="AG61" s="132">
        <f t="shared" si="29"/>
        <v>73.2</v>
      </c>
      <c r="AH61" s="132">
        <f t="shared" si="29"/>
        <v>83.1</v>
      </c>
      <c r="AI61" s="132">
        <f t="shared" si="29"/>
        <v>59</v>
      </c>
      <c r="AJ61" s="132">
        <f t="shared" si="29"/>
        <v>62.4</v>
      </c>
      <c r="AK61" s="132">
        <f t="shared" si="29"/>
        <v>69.900000000000006</v>
      </c>
      <c r="AL61" s="132">
        <f t="shared" si="29"/>
        <v>70.731129477196873</v>
      </c>
      <c r="AM61" s="132">
        <f t="shared" si="29"/>
        <v>72.499407714126775</v>
      </c>
      <c r="AN61" s="132">
        <f t="shared" si="29"/>
        <v>74.674389945550587</v>
      </c>
      <c r="AO61" s="132">
        <f t="shared" si="29"/>
        <v>76.914621643917101</v>
      </c>
      <c r="AP61" s="132">
        <f t="shared" si="29"/>
        <v>79.222060293234605</v>
      </c>
      <c r="AQ61" s="132">
        <f t="shared" si="29"/>
        <v>81.598722102031658</v>
      </c>
      <c r="AR61" s="132">
        <f t="shared" si="29"/>
        <v>84.04668376509261</v>
      </c>
      <c r="AS61" s="132">
        <f t="shared" si="29"/>
        <v>86.568084278045376</v>
      </c>
      <c r="AU61" s="132"/>
      <c r="AV61" s="132"/>
      <c r="AW61" s="132"/>
      <c r="AX61" s="132"/>
      <c r="AY61" s="132"/>
      <c r="AZ61" s="132"/>
      <c r="BA61" s="132"/>
      <c r="BB61" s="132"/>
      <c r="BC61" s="132"/>
      <c r="BD61" s="132"/>
      <c r="BE61" s="132"/>
      <c r="BF61" s="132"/>
      <c r="BG61" s="132"/>
      <c r="BH61" s="132"/>
      <c r="BI61" s="132"/>
      <c r="BJ61" s="132"/>
      <c r="BK61" s="132"/>
      <c r="BL61" s="132"/>
      <c r="BM61" s="132"/>
      <c r="BN61" s="132"/>
      <c r="BO61" s="132"/>
      <c r="BP61" s="132"/>
      <c r="BQ61" s="132"/>
      <c r="BR61" s="132"/>
      <c r="BS61" s="132"/>
      <c r="BT61" s="132"/>
      <c r="BV61" s="132"/>
      <c r="BW61" s="132"/>
      <c r="BX61" s="132"/>
      <c r="BY61" s="132"/>
      <c r="BZ61" s="132"/>
      <c r="CA61" s="132"/>
      <c r="CB61" s="132"/>
      <c r="CC61" s="132"/>
      <c r="CD61" s="132"/>
      <c r="CE61" s="132"/>
      <c r="CF61" s="132"/>
      <c r="CG61" s="132"/>
      <c r="CH61" s="132"/>
      <c r="CM61" s="132"/>
      <c r="CN61" s="132"/>
      <c r="CO61" s="132"/>
      <c r="CP61" s="132"/>
      <c r="CQ61" s="132"/>
      <c r="CR61" s="132"/>
      <c r="CS61" s="132"/>
      <c r="CT61" s="132"/>
      <c r="CU61" s="132"/>
      <c r="CV61" s="132"/>
      <c r="CW61" s="132"/>
      <c r="CX61" s="132"/>
      <c r="CY61" s="132"/>
      <c r="CZ61" s="132"/>
      <c r="DA61" s="132"/>
      <c r="DB61" s="132"/>
      <c r="DC61" s="132"/>
      <c r="DD61" s="132"/>
      <c r="DE61" s="132"/>
      <c r="DF61" s="132"/>
      <c r="DG61" s="132"/>
      <c r="DH61" s="132"/>
      <c r="DI61" s="132"/>
      <c r="DJ61" s="132"/>
      <c r="DK61" s="132"/>
      <c r="DL61" s="132"/>
      <c r="DN61" s="132"/>
      <c r="DO61" s="132"/>
      <c r="DP61" s="132"/>
      <c r="DQ61" s="132"/>
      <c r="DR61" s="132"/>
      <c r="DS61" s="132"/>
      <c r="DT61" s="132"/>
      <c r="DU61" s="132"/>
      <c r="DV61" s="132"/>
      <c r="DW61" s="132"/>
      <c r="DX61" s="132"/>
      <c r="DY61" s="132"/>
      <c r="DZ61" s="132"/>
    </row>
    <row r="62" spans="1:130">
      <c r="B62" s="138" t="s">
        <v>48</v>
      </c>
      <c r="C62" s="82" t="s">
        <v>900</v>
      </c>
      <c r="E62" s="7"/>
      <c r="F62" s="132">
        <f>HY!M258</f>
        <v>-37.5</v>
      </c>
      <c r="G62" s="132">
        <f>HY!N258</f>
        <v>-33.900000000000006</v>
      </c>
      <c r="H62" s="132">
        <f>HY!O258</f>
        <v>-26.9</v>
      </c>
      <c r="I62" s="132">
        <f>HY!P258</f>
        <v>-21.800000000000004</v>
      </c>
      <c r="J62" s="132">
        <f>HY!Q258</f>
        <v>-18.7</v>
      </c>
      <c r="K62" s="132">
        <f>HY!R258</f>
        <v>-20.3</v>
      </c>
      <c r="L62" s="132">
        <f>HY!S258</f>
        <v>-20.2</v>
      </c>
      <c r="M62" s="132">
        <f>HY!T258</f>
        <v>-21.7</v>
      </c>
      <c r="N62" s="132">
        <f>HY!U258</f>
        <v>-21.1</v>
      </c>
      <c r="O62" s="132">
        <f>HY!V258</f>
        <v>-21.299999999999997</v>
      </c>
      <c r="P62" s="132">
        <f>HY!W258</f>
        <v>0</v>
      </c>
      <c r="Q62" s="132">
        <f>HY!X258</f>
        <v>0</v>
      </c>
      <c r="R62" s="132">
        <f>HY!Y258</f>
        <v>0</v>
      </c>
      <c r="S62" s="132">
        <f>HY!Z258</f>
        <v>0</v>
      </c>
      <c r="T62" s="132">
        <f>HY!AA258</f>
        <v>0</v>
      </c>
      <c r="U62" s="132">
        <f>HY!AB258</f>
        <v>0</v>
      </c>
      <c r="V62" s="132">
        <f>HY!AC258</f>
        <v>0</v>
      </c>
      <c r="W62" s="132">
        <f>HY!AD258</f>
        <v>0</v>
      </c>
      <c r="X62" s="132">
        <f>HY!AE258</f>
        <v>0</v>
      </c>
      <c r="Y62" s="132">
        <f>HY!AF258</f>
        <v>0</v>
      </c>
      <c r="Z62" s="132">
        <f>HY!AG258</f>
        <v>0</v>
      </c>
      <c r="AA62" s="132">
        <f>HY!AH258</f>
        <v>0</v>
      </c>
      <c r="AB62" s="132">
        <f>HY!AI258</f>
        <v>0</v>
      </c>
      <c r="AC62" s="132">
        <f>HY!AJ258</f>
        <v>0</v>
      </c>
      <c r="AD62" s="132">
        <f>HY!AK258</f>
        <v>0</v>
      </c>
      <c r="AE62" s="132">
        <f>HY!AL258</f>
        <v>0</v>
      </c>
      <c r="AG62" s="132">
        <f t="shared" si="29"/>
        <v>-71.400000000000006</v>
      </c>
      <c r="AH62" s="132">
        <f t="shared" si="29"/>
        <v>-48.7</v>
      </c>
      <c r="AI62" s="132">
        <f t="shared" si="29"/>
        <v>-39</v>
      </c>
      <c r="AJ62" s="132">
        <f t="shared" si="29"/>
        <v>-41.9</v>
      </c>
      <c r="AK62" s="132">
        <f t="shared" si="29"/>
        <v>-42.4</v>
      </c>
      <c r="AL62" s="132">
        <f t="shared" si="29"/>
        <v>0</v>
      </c>
      <c r="AM62" s="132">
        <f t="shared" si="29"/>
        <v>0</v>
      </c>
      <c r="AN62" s="132">
        <f t="shared" si="29"/>
        <v>0</v>
      </c>
      <c r="AO62" s="132">
        <f t="shared" si="29"/>
        <v>0</v>
      </c>
      <c r="AP62" s="132">
        <f t="shared" si="29"/>
        <v>0</v>
      </c>
      <c r="AQ62" s="132">
        <f t="shared" si="29"/>
        <v>0</v>
      </c>
      <c r="AR62" s="132">
        <f t="shared" si="29"/>
        <v>0</v>
      </c>
      <c r="AS62" s="132">
        <f t="shared" si="29"/>
        <v>0</v>
      </c>
      <c r="AU62" s="132"/>
      <c r="AV62" s="132"/>
      <c r="AW62" s="132"/>
      <c r="AX62" s="132"/>
      <c r="AY62" s="132"/>
      <c r="AZ62" s="132"/>
      <c r="BA62" s="132"/>
      <c r="BB62" s="132"/>
      <c r="BC62" s="132"/>
      <c r="BD62" s="132"/>
      <c r="BE62" s="132"/>
      <c r="BF62" s="132"/>
      <c r="BG62" s="132"/>
      <c r="BH62" s="132"/>
      <c r="BI62" s="132"/>
      <c r="BJ62" s="132"/>
      <c r="BK62" s="132"/>
      <c r="BL62" s="132"/>
      <c r="BM62" s="132"/>
      <c r="BN62" s="132"/>
      <c r="BO62" s="132"/>
      <c r="BP62" s="132"/>
      <c r="BQ62" s="132"/>
      <c r="BR62" s="132"/>
      <c r="BS62" s="132"/>
      <c r="BT62" s="132"/>
      <c r="BV62" s="132"/>
      <c r="BW62" s="132"/>
      <c r="BX62" s="132"/>
      <c r="BY62" s="132"/>
      <c r="BZ62" s="132"/>
      <c r="CA62" s="132"/>
      <c r="CB62" s="132"/>
      <c r="CC62" s="132"/>
      <c r="CD62" s="132"/>
      <c r="CE62" s="132"/>
      <c r="CF62" s="132"/>
      <c r="CG62" s="132"/>
      <c r="CH62" s="132"/>
      <c r="CM62" s="132"/>
      <c r="CN62" s="132"/>
      <c r="CO62" s="132"/>
      <c r="CP62" s="132"/>
      <c r="CQ62" s="132"/>
      <c r="CR62" s="132"/>
      <c r="CS62" s="132"/>
      <c r="CT62" s="132"/>
      <c r="CU62" s="132"/>
      <c r="CV62" s="132"/>
      <c r="CW62" s="132"/>
      <c r="CX62" s="132"/>
      <c r="CY62" s="132"/>
      <c r="CZ62" s="132"/>
      <c r="DA62" s="132"/>
      <c r="DB62" s="132"/>
      <c r="DC62" s="132"/>
      <c r="DD62" s="132"/>
      <c r="DE62" s="132"/>
      <c r="DF62" s="132"/>
      <c r="DG62" s="132"/>
      <c r="DH62" s="132"/>
      <c r="DI62" s="132"/>
      <c r="DJ62" s="132"/>
      <c r="DK62" s="132"/>
      <c r="DL62" s="132"/>
      <c r="DN62" s="132"/>
      <c r="DO62" s="132"/>
      <c r="DP62" s="132"/>
      <c r="DQ62" s="132"/>
      <c r="DR62" s="132"/>
      <c r="DS62" s="132"/>
      <c r="DT62" s="132"/>
      <c r="DU62" s="132"/>
      <c r="DV62" s="132"/>
      <c r="DW62" s="132"/>
      <c r="DX62" s="132"/>
      <c r="DY62" s="132"/>
      <c r="DZ62" s="132"/>
    </row>
    <row r="63" spans="1:130">
      <c r="B63" s="138" t="s">
        <v>10</v>
      </c>
      <c r="C63" s="82" t="s">
        <v>900</v>
      </c>
      <c r="E63" s="7"/>
      <c r="F63" s="132">
        <f>HY!M260</f>
        <v>-17.899999999999999</v>
      </c>
      <c r="G63" s="132">
        <f>HY!N260</f>
        <v>19.7</v>
      </c>
      <c r="H63" s="132">
        <f>HY!O260</f>
        <v>16</v>
      </c>
      <c r="I63" s="132">
        <f>HY!P260</f>
        <v>18.399999999999999</v>
      </c>
      <c r="J63" s="132">
        <f>HY!Q260</f>
        <v>9.6</v>
      </c>
      <c r="K63" s="132">
        <f>HY!R260</f>
        <v>10.4</v>
      </c>
      <c r="L63" s="132">
        <f>HY!S260</f>
        <v>13.3</v>
      </c>
      <c r="M63" s="132">
        <f>HY!T260</f>
        <v>7.1999999999999993</v>
      </c>
      <c r="N63" s="132">
        <f>HY!U260</f>
        <v>14.9</v>
      </c>
      <c r="O63" s="132">
        <f>HY!V260</f>
        <v>12.6</v>
      </c>
      <c r="P63" s="132">
        <f>HY!W260</f>
        <v>0</v>
      </c>
      <c r="Q63" s="132">
        <f>HY!X260</f>
        <v>0</v>
      </c>
      <c r="R63" s="132">
        <f>HY!Y260</f>
        <v>0</v>
      </c>
      <c r="S63" s="132">
        <f>HY!Z260</f>
        <v>0</v>
      </c>
      <c r="T63" s="132">
        <f>HY!AA260</f>
        <v>0</v>
      </c>
      <c r="U63" s="132">
        <f>HY!AB260</f>
        <v>0</v>
      </c>
      <c r="V63" s="132">
        <f>HY!AC260</f>
        <v>0</v>
      </c>
      <c r="W63" s="132">
        <f>HY!AD260</f>
        <v>0</v>
      </c>
      <c r="X63" s="132">
        <f>HY!AE260</f>
        <v>0</v>
      </c>
      <c r="Y63" s="132">
        <f>HY!AF260</f>
        <v>0</v>
      </c>
      <c r="Z63" s="132">
        <f>HY!AG260</f>
        <v>0</v>
      </c>
      <c r="AA63" s="132">
        <f>HY!AH260</f>
        <v>0</v>
      </c>
      <c r="AB63" s="132">
        <f>HY!AI260</f>
        <v>0</v>
      </c>
      <c r="AC63" s="132">
        <f>HY!AJ260</f>
        <v>0</v>
      </c>
      <c r="AD63" s="132">
        <f>HY!AK260</f>
        <v>0</v>
      </c>
      <c r="AE63" s="132">
        <f>HY!AL260</f>
        <v>0</v>
      </c>
      <c r="AG63" s="132">
        <f t="shared" si="29"/>
        <v>1.8000000000000007</v>
      </c>
      <c r="AH63" s="132">
        <f t="shared" si="29"/>
        <v>34.4</v>
      </c>
      <c r="AI63" s="132">
        <f t="shared" si="29"/>
        <v>20</v>
      </c>
      <c r="AJ63" s="132">
        <f t="shared" si="29"/>
        <v>20.5</v>
      </c>
      <c r="AK63" s="132">
        <f t="shared" si="29"/>
        <v>27.5</v>
      </c>
      <c r="AL63" s="132">
        <f t="shared" si="29"/>
        <v>0</v>
      </c>
      <c r="AM63" s="132">
        <f t="shared" si="29"/>
        <v>0</v>
      </c>
      <c r="AN63" s="132">
        <f t="shared" si="29"/>
        <v>0</v>
      </c>
      <c r="AO63" s="132">
        <f t="shared" si="29"/>
        <v>0</v>
      </c>
      <c r="AP63" s="132">
        <f t="shared" si="29"/>
        <v>0</v>
      </c>
      <c r="AQ63" s="132">
        <f t="shared" si="29"/>
        <v>0</v>
      </c>
      <c r="AR63" s="132">
        <f t="shared" si="29"/>
        <v>0</v>
      </c>
      <c r="AS63" s="132">
        <f t="shared" si="29"/>
        <v>0</v>
      </c>
      <c r="AU63" s="132"/>
      <c r="AV63" s="132"/>
      <c r="AW63" s="132"/>
      <c r="AX63" s="132"/>
      <c r="AY63" s="132"/>
      <c r="AZ63" s="132"/>
      <c r="BA63" s="132"/>
      <c r="BB63" s="132"/>
      <c r="BC63" s="132"/>
      <c r="BD63" s="132"/>
      <c r="BE63" s="132"/>
      <c r="BF63" s="132"/>
      <c r="BG63" s="132"/>
      <c r="BH63" s="132"/>
      <c r="BI63" s="132"/>
      <c r="BJ63" s="132"/>
      <c r="BK63" s="132"/>
      <c r="BL63" s="132"/>
      <c r="BM63" s="132"/>
      <c r="BN63" s="132"/>
      <c r="BO63" s="132"/>
      <c r="BP63" s="132"/>
      <c r="BQ63" s="132"/>
      <c r="BR63" s="132"/>
      <c r="BS63" s="132"/>
      <c r="BT63" s="132"/>
      <c r="BV63" s="132"/>
      <c r="BW63" s="132"/>
      <c r="BX63" s="132"/>
      <c r="BY63" s="132"/>
      <c r="BZ63" s="132"/>
      <c r="CA63" s="132"/>
      <c r="CB63" s="132"/>
      <c r="CC63" s="132"/>
      <c r="CD63" s="132"/>
      <c r="CE63" s="132"/>
      <c r="CF63" s="132"/>
      <c r="CG63" s="132"/>
      <c r="CH63" s="132"/>
      <c r="CM63" s="132"/>
      <c r="CN63" s="132"/>
      <c r="CO63" s="132"/>
      <c r="CP63" s="132"/>
      <c r="CQ63" s="132"/>
      <c r="CR63" s="132"/>
      <c r="CS63" s="132"/>
      <c r="CT63" s="132"/>
      <c r="CU63" s="132"/>
      <c r="CV63" s="132"/>
      <c r="CW63" s="132"/>
      <c r="CX63" s="132"/>
      <c r="CY63" s="132"/>
      <c r="CZ63" s="132"/>
      <c r="DA63" s="132"/>
      <c r="DB63" s="132"/>
      <c r="DC63" s="132"/>
      <c r="DD63" s="132"/>
      <c r="DE63" s="132"/>
      <c r="DF63" s="132"/>
      <c r="DG63" s="132"/>
      <c r="DH63" s="132"/>
      <c r="DI63" s="132"/>
      <c r="DJ63" s="132"/>
      <c r="DK63" s="132"/>
      <c r="DL63" s="132"/>
      <c r="DN63" s="132"/>
      <c r="DO63" s="132"/>
      <c r="DP63" s="132"/>
      <c r="DQ63" s="132"/>
      <c r="DR63" s="132"/>
      <c r="DS63" s="132"/>
      <c r="DT63" s="132"/>
      <c r="DU63" s="132"/>
      <c r="DV63" s="132"/>
      <c r="DW63" s="132"/>
      <c r="DX63" s="132"/>
      <c r="DY63" s="132"/>
      <c r="DZ63" s="132"/>
    </row>
    <row r="65" spans="2:130">
      <c r="B65" s="732" t="s">
        <v>1493</v>
      </c>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row>
    <row r="66" spans="2:130">
      <c r="B66" s="138" t="str">
        <f>B57</f>
        <v>Revenue</v>
      </c>
      <c r="C66" s="82" t="s">
        <v>900</v>
      </c>
      <c r="E66" s="7"/>
      <c r="F66" s="132">
        <f t="shared" ref="F66:F72" si="30">AU66</f>
        <v>79.599999999999994</v>
      </c>
      <c r="G66" s="132">
        <f t="shared" ref="G66:G72" si="31">AV66</f>
        <v>117.3</v>
      </c>
      <c r="H66" s="132">
        <f t="shared" ref="H66:H72" si="32">AW66</f>
        <v>108.8</v>
      </c>
      <c r="I66" s="132">
        <f t="shared" ref="I66:I72" si="33">AX66</f>
        <v>94.8</v>
      </c>
      <c r="J66" s="132">
        <f t="shared" ref="J66:J72" si="34">AY66</f>
        <v>93</v>
      </c>
      <c r="K66" s="132">
        <f t="shared" ref="K66:K72" si="35">AZ66</f>
        <v>83.1</v>
      </c>
      <c r="L66" s="132">
        <f t="shared" ref="L66:L72" si="36">BA66</f>
        <v>88.1</v>
      </c>
      <c r="M66" s="132">
        <f t="shared" ref="M66:M72" si="37">BB66</f>
        <v>84.857865766069963</v>
      </c>
      <c r="N66" s="132">
        <f t="shared" ref="N66:N72" si="38">BC66</f>
        <v>89.520075248020206</v>
      </c>
      <c r="O66" s="132">
        <f t="shared" ref="O66:O72" si="39">BD66</f>
        <v>87.524862574319584</v>
      </c>
      <c r="P66" s="132">
        <f t="shared" ref="P66:P72" si="40">BE66</f>
        <v>91.961460012440597</v>
      </c>
      <c r="Q66" s="132">
        <f t="shared" ref="Q66:Q72" si="41">BF66</f>
        <v>89.984622787485549</v>
      </c>
      <c r="R66" s="132">
        <f t="shared" ref="R66:R72" si="42">BG66</f>
        <v>94.417558512370107</v>
      </c>
      <c r="S66" s="132">
        <f t="shared" ref="S66:S72" si="43">BH66</f>
        <v>91.893454599462657</v>
      </c>
      <c r="T66" s="132">
        <f t="shared" ref="T66:T72" si="44">BI66</f>
        <v>96.878022148673566</v>
      </c>
      <c r="U66" s="132">
        <f t="shared" ref="U66:U72" si="45">BJ66</f>
        <v>94.241895763128213</v>
      </c>
      <c r="V66" s="132">
        <f t="shared" ref="V66:V72" si="46">BK66</f>
        <v>99.72870609762316</v>
      </c>
      <c r="W66" s="132">
        <f t="shared" ref="W66:W72" si="47">BL66</f>
        <v>98.184263690175456</v>
      </c>
      <c r="X66" s="132">
        <f t="shared" ref="X66:X72" si="48">BM66</f>
        <v>104.364245116072</v>
      </c>
      <c r="Y66" s="132">
        <f t="shared" ref="Y66:Y72" si="49">BN66</f>
        <v>103.9748619452505</v>
      </c>
      <c r="Z66" s="132">
        <f t="shared" ref="Z66:Z72" si="50">BO66</f>
        <v>107.51285815938925</v>
      </c>
      <c r="AA66" s="132">
        <f t="shared" ref="AA66:AA72" si="51">BP66</f>
        <v>107.17571853498525</v>
      </c>
      <c r="AB66" s="132">
        <f t="shared" ref="AB66:AB72" si="52">BQ66</f>
        <v>110.372814078728</v>
      </c>
      <c r="AC66" s="132">
        <f t="shared" ref="AC66:AC72" si="53">BR66</f>
        <v>109.82665010206067</v>
      </c>
      <c r="AD66" s="132">
        <f t="shared" ref="AD66:AD72" si="54">BS66</f>
        <v>113.50817196312266</v>
      </c>
      <c r="AE66" s="132">
        <f t="shared" ref="AE66:AE72" si="55">BT66</f>
        <v>112.94145018572766</v>
      </c>
      <c r="AF66" s="132"/>
      <c r="AG66" s="132">
        <f t="shared" ref="AG66:AG72" si="56">BV66</f>
        <v>196.9</v>
      </c>
      <c r="AH66" s="132">
        <f t="shared" ref="AH66:AH72" si="57">BW66</f>
        <v>203.6</v>
      </c>
      <c r="AI66" s="132">
        <f t="shared" ref="AI66:AI72" si="58">BX66</f>
        <v>176.1</v>
      </c>
      <c r="AJ66" s="132">
        <f t="shared" ref="AJ66:AJ72" si="59">BY66</f>
        <v>172.48988541492261</v>
      </c>
      <c r="AK66" s="132">
        <f t="shared" ref="AK66:AK72" si="60">BZ66</f>
        <v>176.99841404010581</v>
      </c>
      <c r="AL66" s="132">
        <f t="shared" ref="AL66:AL72" si="61">CA66</f>
        <v>181.87687924493349</v>
      </c>
      <c r="AM66" s="132">
        <f t="shared" ref="AM66:AM72" si="62">CB66</f>
        <v>186.51599487711019</v>
      </c>
      <c r="AN66" s="132">
        <f t="shared" ref="AN66:AN72" si="63">CC66</f>
        <v>191.1412890738074</v>
      </c>
      <c r="AO66" s="132">
        <f t="shared" ref="AO66:AO72" si="64">CD66</f>
        <v>197.31211885139001</v>
      </c>
      <c r="AP66" s="132">
        <f t="shared" ref="AP66:AP72" si="65">CE66</f>
        <v>205.32120427702182</v>
      </c>
      <c r="AQ66" s="132">
        <f t="shared" ref="AQ66:AQ72" si="66">CF66</f>
        <v>210.94504786146516</v>
      </c>
      <c r="AR66" s="132">
        <f t="shared" ref="AR66:AR72" si="67">CG66</f>
        <v>215.2114484517808</v>
      </c>
      <c r="AS66" s="132">
        <f t="shared" ref="AS66:AS72" si="68">CH66</f>
        <v>220.7106861782548</v>
      </c>
      <c r="AU66" s="256">
        <v>79.599999999999994</v>
      </c>
      <c r="AV66" s="256">
        <v>117.3</v>
      </c>
      <c r="AW66" s="256">
        <v>108.8</v>
      </c>
      <c r="AX66" s="256">
        <v>94.8</v>
      </c>
      <c r="AY66" s="256">
        <v>93</v>
      </c>
      <c r="AZ66" s="256">
        <v>83.1</v>
      </c>
      <c r="BA66" s="256">
        <v>88.1</v>
      </c>
      <c r="BB66" s="256">
        <v>84.857865766069963</v>
      </c>
      <c r="BC66" s="256">
        <v>89.520075248020206</v>
      </c>
      <c r="BD66" s="256">
        <v>87.524862574319584</v>
      </c>
      <c r="BE66" s="256">
        <v>91.961460012440597</v>
      </c>
      <c r="BF66" s="256">
        <v>89.984622787485549</v>
      </c>
      <c r="BG66" s="256">
        <v>94.417558512370107</v>
      </c>
      <c r="BH66" s="256">
        <v>91.893454599462657</v>
      </c>
      <c r="BI66" s="256">
        <v>96.878022148673566</v>
      </c>
      <c r="BJ66" s="256">
        <v>94.241895763128213</v>
      </c>
      <c r="BK66" s="256">
        <v>99.72870609762316</v>
      </c>
      <c r="BL66" s="256">
        <v>98.184263690175456</v>
      </c>
      <c r="BM66" s="256">
        <v>104.364245116072</v>
      </c>
      <c r="BN66" s="256">
        <v>103.9748619452505</v>
      </c>
      <c r="BO66" s="256">
        <v>107.51285815938925</v>
      </c>
      <c r="BP66" s="256">
        <v>107.17571853498525</v>
      </c>
      <c r="BQ66" s="256">
        <v>110.372814078728</v>
      </c>
      <c r="BR66" s="256">
        <v>109.82665010206067</v>
      </c>
      <c r="BS66" s="256">
        <v>113.50817196312266</v>
      </c>
      <c r="BT66" s="256">
        <v>112.94145018572766</v>
      </c>
      <c r="BV66" s="256">
        <v>196.9</v>
      </c>
      <c r="BW66" s="256">
        <v>203.6</v>
      </c>
      <c r="BX66" s="256">
        <v>176.1</v>
      </c>
      <c r="BY66" s="256">
        <v>172.48988541492261</v>
      </c>
      <c r="BZ66" s="256">
        <v>176.99841404010581</v>
      </c>
      <c r="CA66" s="256">
        <v>181.87687924493349</v>
      </c>
      <c r="CB66" s="256">
        <v>186.51599487711019</v>
      </c>
      <c r="CC66" s="256">
        <v>191.1412890738074</v>
      </c>
      <c r="CD66" s="256">
        <v>197.31211885139001</v>
      </c>
      <c r="CE66" s="256">
        <v>205.32120427702182</v>
      </c>
      <c r="CF66" s="256">
        <v>210.94504786146516</v>
      </c>
      <c r="CG66" s="256">
        <v>215.2114484517808</v>
      </c>
      <c r="CH66" s="256">
        <v>220.7106861782548</v>
      </c>
      <c r="CJ66" s="751" t="s">
        <v>1352</v>
      </c>
      <c r="CK66" s="145" t="s">
        <v>1361</v>
      </c>
      <c r="CL66" s="752" t="s">
        <v>961</v>
      </c>
      <c r="CM66" s="758">
        <f>_xll.VAData($CJ66,CM$3,$CK66,$CL66)</f>
        <v>79.599999999999994</v>
      </c>
      <c r="CN66" s="758">
        <f>_xll.VAData($CJ66,CN$3,$CK66,$CL66)</f>
        <v>117.3</v>
      </c>
      <c r="CO66" s="758">
        <f>_xll.VAData($CJ66,CO$3,$CK66,$CL66)</f>
        <v>108.8</v>
      </c>
      <c r="CP66" s="758">
        <f>_xll.VAData($CJ66,CP$3,$CK66,$CL66)</f>
        <v>94.8</v>
      </c>
      <c r="CQ66" s="758">
        <f>_xll.VAData($CJ66,CQ$3,$CK66,$CL66)</f>
        <v>80.3</v>
      </c>
      <c r="CR66" s="758">
        <f>_xll.VAData($CJ66,CR$3,$CK66,$CL66)</f>
        <v>83.1</v>
      </c>
      <c r="CS66" s="758">
        <f>_xll.VAData($CJ66,CS$3,$CK66,$CL66)</f>
        <v>88.1</v>
      </c>
      <c r="CT66" s="758">
        <f>_xll.VAData($CJ66,CT$3,$CK66,$CL66)</f>
        <v>87.7</v>
      </c>
      <c r="CU66" s="758">
        <f>_xll.VAData($CJ66,CU$3,$CK66,$CL66)</f>
        <v>91.7</v>
      </c>
      <c r="CV66" s="758">
        <f>_xll.VAData($CJ66,CV$3,$CK66,$CL66)</f>
        <v>89.9</v>
      </c>
      <c r="CW66" s="758">
        <f>_xll.VAData($CJ66,CW$3,$CK66,$CL66)</f>
        <v>93.443064857848839</v>
      </c>
      <c r="CX66" s="758">
        <f>_xll.VAData($CJ66,CX$3,$CK66,$CL66)</f>
        <v>91.723116772723102</v>
      </c>
      <c r="CY66" s="758">
        <f>_xll.VAData($CJ66,CY$3,$CK66,$CL66)</f>
        <v>95.629238161132648</v>
      </c>
      <c r="CZ66" s="758">
        <f>_xll.VAData($CJ66,CZ$3,$CK66,$CL66)</f>
        <v>93.917224782753351</v>
      </c>
      <c r="DA66" s="758">
        <f>_xll.VAData($CJ66,DA$3,$CK66,$CL66)</f>
        <v>98.024724028647057</v>
      </c>
      <c r="DB66" s="758">
        <f>_xll.VAData($CJ66,DB$3,$CK66,$CL66)</f>
        <v>96.240922169845021</v>
      </c>
      <c r="DC66" s="758">
        <f>_xll.VAData($CJ66,DC$3,$CK66,$CL66)</f>
        <v>100.52379099098594</v>
      </c>
      <c r="DD66" s="758">
        <f>_xll.VAData($CJ66,DD$3,$CK66,$CL66)</f>
        <v>98.695395279044916</v>
      </c>
      <c r="DE66" s="758">
        <f>_xll.VAData($CJ66,DE$3,$CK66,$CL66)</f>
        <v>104.596878829628</v>
      </c>
      <c r="DF66" s="758">
        <f>_xll.VAData($CJ66,DF$3,$CK66,$CL66)</f>
        <v>102.83492237767375</v>
      </c>
      <c r="DG66" s="758">
        <f>_xll.VAData($CJ66,DG$3,$CK66,$CL66)</f>
        <v>107.55668756057349</v>
      </c>
      <c r="DH66" s="758">
        <f>_xll.VAData($CJ66,DH$3,$CK66,$CL66)</f>
        <v>105.81142717574726</v>
      </c>
      <c r="DI66" s="758">
        <f>_xll.VAData($CJ66,DI$3,$CK66,$CL66)</f>
        <v>110.59238401088599</v>
      </c>
      <c r="DJ66" s="758">
        <f>_xll.VAData($CJ66,DJ$3,$CK66,$CL66)</f>
        <v>108.7466353257975</v>
      </c>
      <c r="DK66" s="758">
        <f>_xll.VAData($CJ66,DK$3,$CK66,$CL66)</f>
        <v>113.72223373537226</v>
      </c>
      <c r="DL66" s="758">
        <f>_xll.VAData($CJ66,DL$3,$CK66,$CL66)</f>
        <v>111.82886884278425</v>
      </c>
      <c r="DN66" s="758">
        <f>_xll.VAData($CJ66,DN$3,$CK66,$CL66)</f>
        <v>196.9</v>
      </c>
      <c r="DO66" s="758">
        <f>_xll.VAData($CJ66,DO$3,$CK66,$CL66)</f>
        <v>203.6</v>
      </c>
      <c r="DP66" s="758">
        <f>_xll.VAData($CJ66,DP$3,$CK66,$CL66)</f>
        <v>163.4</v>
      </c>
      <c r="DQ66" s="758">
        <f>_xll.VAData($CJ66,DQ$3,$CK66,$CL66)</f>
        <v>175.8</v>
      </c>
      <c r="DR66" s="758">
        <f>_xll.VAData($CJ66,DR$3,$CK66,$CL66)</f>
        <v>181.6</v>
      </c>
      <c r="DS66" s="758">
        <f>_xll.VAData($CJ66,DS$3,$CK66,$CL66)</f>
        <v>185.16618163057188</v>
      </c>
      <c r="DT66" s="758">
        <f>_xll.VAData($CJ66,DT$3,$CK66,$CL66)</f>
        <v>189.85240003809966</v>
      </c>
      <c r="DU66" s="758">
        <f>_xll.VAData($CJ66,DU$3,$CK66,$CL66)</f>
        <v>194.58353264324666</v>
      </c>
      <c r="DV66" s="758">
        <f>_xll.VAData($CJ66,DV$3,$CK66,$CL66)</f>
        <v>199.53644362544256</v>
      </c>
      <c r="DW66" s="758">
        <f>_xll.VAData($CJ66,DW$3,$CK66,$CL66)</f>
        <v>207.37475546198181</v>
      </c>
      <c r="DX66" s="758">
        <f>_xll.VAData($CJ66,DX$3,$CK66,$CL66)</f>
        <v>213.16368207904981</v>
      </c>
      <c r="DY66" s="758">
        <f>_xll.VAData($CJ66,DY$3,$CK66,$CL66)</f>
        <v>219.006382435619</v>
      </c>
      <c r="DZ66" s="758">
        <f>_xll.VAData($CJ66,DZ$3,$CK66,$CL66)</f>
        <v>225.06878171965059</v>
      </c>
    </row>
    <row r="67" spans="2:130">
      <c r="B67" s="138" t="str">
        <f t="shared" ref="B67:B72" si="69">B58</f>
        <v>Taxes &amp; Commissions</v>
      </c>
      <c r="C67" s="82" t="s">
        <v>900</v>
      </c>
      <c r="E67" s="24"/>
      <c r="F67" s="132">
        <f t="shared" si="30"/>
        <v>-5</v>
      </c>
      <c r="G67" s="132">
        <f t="shared" si="31"/>
        <v>-5.5999999999999899</v>
      </c>
      <c r="H67" s="132">
        <f t="shared" si="32"/>
        <v>-7.4</v>
      </c>
      <c r="I67" s="132">
        <f t="shared" si="33"/>
        <v>-3</v>
      </c>
      <c r="J67" s="132">
        <f t="shared" si="34"/>
        <v>-1.3</v>
      </c>
      <c r="K67" s="132">
        <f t="shared" si="35"/>
        <v>-1.3</v>
      </c>
      <c r="L67" s="132">
        <f t="shared" si="36"/>
        <v>-1.8</v>
      </c>
      <c r="M67" s="132">
        <f t="shared" si="37"/>
        <v>-1.4937872719262486</v>
      </c>
      <c r="N67" s="132">
        <f t="shared" si="38"/>
        <v>-1.6148597973504715</v>
      </c>
      <c r="O67" s="132">
        <f t="shared" si="39"/>
        <v>-1.5783205288978643</v>
      </c>
      <c r="P67" s="132">
        <f t="shared" si="40"/>
        <v>-1.6611485380261328</v>
      </c>
      <c r="Q67" s="132">
        <f t="shared" si="41"/>
        <v>-1.6250138792061686</v>
      </c>
      <c r="R67" s="132">
        <f t="shared" si="42"/>
        <v>-1.7604185998388167</v>
      </c>
      <c r="S67" s="132">
        <f t="shared" si="43"/>
        <v>-1.7124431238728333</v>
      </c>
      <c r="T67" s="132">
        <f t="shared" si="44"/>
        <v>-1.8090569434296766</v>
      </c>
      <c r="U67" s="132">
        <f t="shared" si="45"/>
        <v>-1.7580229199821467</v>
      </c>
      <c r="V67" s="132">
        <f t="shared" si="46"/>
        <v>-2.0368213397653259</v>
      </c>
      <c r="W67" s="132">
        <f t="shared" si="47"/>
        <v>-1.9952435221373439</v>
      </c>
      <c r="X67" s="132">
        <f t="shared" si="48"/>
        <v>-2.1266354583886669</v>
      </c>
      <c r="Y67" s="132">
        <f t="shared" si="49"/>
        <v>-2.1005771243589666</v>
      </c>
      <c r="Z67" s="132">
        <f t="shared" si="50"/>
        <v>-2.1909163116479999</v>
      </c>
      <c r="AA67" s="132">
        <f t="shared" si="51"/>
        <v>-2.1658176589220002</v>
      </c>
      <c r="AB67" s="132">
        <f t="shared" si="52"/>
        <v>-2.2425016828529998</v>
      </c>
      <c r="AC67" s="132">
        <f t="shared" si="53"/>
        <v>-2.2011756944744998</v>
      </c>
      <c r="AD67" s="132">
        <f t="shared" si="54"/>
        <v>-2.3043881788260001</v>
      </c>
      <c r="AE67" s="132">
        <f t="shared" si="55"/>
        <v>-2.2616945245325</v>
      </c>
      <c r="AF67" s="132"/>
      <c r="AG67" s="132">
        <f t="shared" si="56"/>
        <v>-10.6</v>
      </c>
      <c r="AH67" s="132">
        <f t="shared" si="57"/>
        <v>-10.4</v>
      </c>
      <c r="AI67" s="132">
        <f t="shared" si="58"/>
        <v>-2.6</v>
      </c>
      <c r="AJ67" s="132">
        <f t="shared" si="59"/>
        <v>-3.2080134448165545</v>
      </c>
      <c r="AK67" s="132">
        <f t="shared" si="60"/>
        <v>-3.1199180921113188</v>
      </c>
      <c r="AL67" s="132">
        <f t="shared" si="61"/>
        <v>-3.2099041273227886</v>
      </c>
      <c r="AM67" s="132">
        <f t="shared" si="62"/>
        <v>-3.296119031340305</v>
      </c>
      <c r="AN67" s="132">
        <f t="shared" si="63"/>
        <v>-3.3811440992577499</v>
      </c>
      <c r="AO67" s="132">
        <f t="shared" si="64"/>
        <v>-3.703513135304493</v>
      </c>
      <c r="AP67" s="132">
        <f t="shared" si="65"/>
        <v>-3.7132543790452659</v>
      </c>
      <c r="AQ67" s="132">
        <f t="shared" si="66"/>
        <v>-3.8156094329008581</v>
      </c>
      <c r="AR67" s="132">
        <f t="shared" si="67"/>
        <v>-3.7553324553626974</v>
      </c>
      <c r="AS67" s="132">
        <f t="shared" si="68"/>
        <v>-3.8488162914241375</v>
      </c>
      <c r="AU67" s="256">
        <v>-5</v>
      </c>
      <c r="AV67" s="256">
        <v>-5.5999999999999899</v>
      </c>
      <c r="AW67" s="256">
        <v>-7.4</v>
      </c>
      <c r="AX67" s="256">
        <v>-3</v>
      </c>
      <c r="AY67" s="256">
        <v>-1.3</v>
      </c>
      <c r="AZ67" s="256">
        <v>-1.3</v>
      </c>
      <c r="BA67" s="256">
        <v>-1.8</v>
      </c>
      <c r="BB67" s="256">
        <v>-1.4937872719262486</v>
      </c>
      <c r="BC67" s="256">
        <v>-1.6148597973504715</v>
      </c>
      <c r="BD67" s="256">
        <v>-1.5783205288978643</v>
      </c>
      <c r="BE67" s="256">
        <v>-1.6611485380261328</v>
      </c>
      <c r="BF67" s="256">
        <v>-1.6250138792061686</v>
      </c>
      <c r="BG67" s="256">
        <v>-1.7604185998388167</v>
      </c>
      <c r="BH67" s="256">
        <v>-1.7124431238728333</v>
      </c>
      <c r="BI67" s="256">
        <v>-1.8090569434296766</v>
      </c>
      <c r="BJ67" s="256">
        <v>-1.7580229199821467</v>
      </c>
      <c r="BK67" s="256">
        <v>-2.0368213397653259</v>
      </c>
      <c r="BL67" s="256">
        <v>-1.9952435221373439</v>
      </c>
      <c r="BM67" s="256">
        <v>-2.1266354583886669</v>
      </c>
      <c r="BN67" s="256">
        <v>-2.1005771243589666</v>
      </c>
      <c r="BO67" s="256">
        <v>-2.1909163116479999</v>
      </c>
      <c r="BP67" s="256">
        <v>-2.1658176589220002</v>
      </c>
      <c r="BQ67" s="256">
        <v>-2.2425016828529998</v>
      </c>
      <c r="BR67" s="256">
        <v>-2.2011756944744998</v>
      </c>
      <c r="BS67" s="256">
        <v>-2.3043881788260001</v>
      </c>
      <c r="BT67" s="256">
        <v>-2.2616945245325</v>
      </c>
      <c r="BV67" s="256">
        <v>-10.6</v>
      </c>
      <c r="BW67" s="256">
        <v>-10.4</v>
      </c>
      <c r="BX67" s="256">
        <v>-2.6</v>
      </c>
      <c r="BY67" s="256">
        <v>-3.2080134448165545</v>
      </c>
      <c r="BZ67" s="256">
        <v>-3.1199180921113188</v>
      </c>
      <c r="CA67" s="256">
        <v>-3.2099041273227886</v>
      </c>
      <c r="CB67" s="256">
        <v>-3.296119031340305</v>
      </c>
      <c r="CC67" s="256">
        <v>-3.3811440992577499</v>
      </c>
      <c r="CD67" s="256">
        <v>-3.703513135304493</v>
      </c>
      <c r="CE67" s="256">
        <v>-3.7132543790452659</v>
      </c>
      <c r="CF67" s="256">
        <v>-3.8156094329008581</v>
      </c>
      <c r="CG67" s="256">
        <v>-3.7553324553626974</v>
      </c>
      <c r="CH67" s="256">
        <v>-3.8488162914241375</v>
      </c>
      <c r="CJ67" s="751" t="s">
        <v>1352</v>
      </c>
      <c r="CK67" s="751" t="s">
        <v>1491</v>
      </c>
      <c r="CL67" s="752" t="s">
        <v>961</v>
      </c>
      <c r="CM67" s="753">
        <f>IFERROR(-_xll.VAData($CJ67,CM$3,$CK67,$CL67),"-")</f>
        <v>-5</v>
      </c>
      <c r="CN67" s="753">
        <f>IFERROR(-_xll.VAData($CJ67,CN$3,$CK67,$CL67),"-")</f>
        <v>-5.6</v>
      </c>
      <c r="CO67" s="753">
        <f>IFERROR(-_xll.VAData($CJ67,CO$3,$CK67,$CL67),"-")</f>
        <v>-7.4</v>
      </c>
      <c r="CP67" s="753">
        <f>IFERROR(-_xll.VAData($CJ67,CP$3,$CK67,$CL67),"-")</f>
        <v>-3</v>
      </c>
      <c r="CQ67" s="753">
        <f>IFERROR(-_xll.VAData($CJ67,CQ$3,$CK67,$CL67),"-")</f>
        <v>-0.39999999999999097</v>
      </c>
      <c r="CR67" s="753">
        <f>IFERROR(-_xll.VAData($CJ67,CR$3,$CK67,$CL67),"-")</f>
        <v>-1.3</v>
      </c>
      <c r="CS67" s="753">
        <f>IFERROR(-_xll.VAData($CJ67,CS$3,$CK67,$CL67),"-")</f>
        <v>-1.8</v>
      </c>
      <c r="CT67" s="753">
        <f>IFERROR(-_xll.VAData($CJ67,CT$3,$CK67,$CL67),"-")</f>
        <v>-1.2</v>
      </c>
      <c r="CU67" s="753">
        <f>IFERROR(-_xll.VAData($CJ67,CU$3,$CK67,$CL67),"-")</f>
        <v>-1.5</v>
      </c>
      <c r="CV67" s="753">
        <f>IFERROR(-_xll.VAData($CJ67,CV$3,$CK67,$CL67),"-")</f>
        <v>-0.9</v>
      </c>
      <c r="CW67" s="753">
        <f>IFERROR(-_xll.VAData($CJ67,CW$3,$CK67,$CL67),"-")</f>
        <v>-1.1249723937362652</v>
      </c>
      <c r="CX67" s="753">
        <f>IFERROR(-_xll.VAData($CJ67,CX$3,$CK67,$CL67),"-")</f>
        <v>-1.0333969379449095</v>
      </c>
      <c r="CY67" s="753">
        <f>IFERROR(-_xll.VAData($CJ67,CY$3,$CK67,$CL67),"-")</f>
        <v>-1.1365483743387796</v>
      </c>
      <c r="CZ67" s="753">
        <f>IFERROR(-_xll.VAData($CJ67,CZ$3,$CK67,$CL67),"-")</f>
        <v>-1.0327810658241008</v>
      </c>
      <c r="DA67" s="753">
        <f>IFERROR(-_xll.VAData($CJ67,DA$3,$CK67,$CL67),"-")</f>
        <v>-1.166376046840742</v>
      </c>
      <c r="DB67" s="753">
        <f>IFERROR(-_xll.VAData($CJ67,DB$3,$CK67,$CL67),"-")</f>
        <v>-1.059738954862768</v>
      </c>
      <c r="DC67" s="753">
        <f>IFERROR(-_xll.VAData($CJ67,DC$3,$CK67,$CL67),"-")</f>
        <v>-1.1977495745200557</v>
      </c>
      <c r="DD67" s="753">
        <f>IFERROR(-_xll.VAData($CJ67,DD$3,$CK67,$CL67),"-")</f>
        <v>-1.0882187475618772</v>
      </c>
      <c r="DE67" s="753">
        <f>IFERROR(-_xll.VAData($CJ67,DE$3,$CK67,$CL67),"-")</f>
        <v>-1.294778671602715</v>
      </c>
      <c r="DF67" s="753">
        <f>IFERROR(-_xll.VAData($CJ67,DF$3,$CK67,$CL67),"-")</f>
        <v>-1.1113701522906274</v>
      </c>
      <c r="DG67" s="753">
        <f>IFERROR(-_xll.VAData($CJ67,DG$3,$CK67,$CL67),"-")</f>
        <v>-1.3310471890910875</v>
      </c>
      <c r="DH67" s="753">
        <f>IFERROR(-_xll.VAData($CJ67,DH$3,$CK67,$CL67),"-")</f>
        <v>-1.1436246207534075</v>
      </c>
      <c r="DI67" s="753">
        <f>IFERROR(-_xll.VAData($CJ67,DI$3,$CK67,$CL67),"-")</f>
        <v>-1.3681994093635825</v>
      </c>
      <c r="DJ67" s="753">
        <f>IFERROR(-_xll.VAData($CJ67,DJ$3,$CK67,$CL67),"-")</f>
        <v>-1.1755393527160749</v>
      </c>
      <c r="DK67" s="753">
        <f>IFERROR(-_xll.VAData($CJ67,DK$3,$CK67,$CL67),"-")</f>
        <v>-1.4065235206932849</v>
      </c>
      <c r="DL67" s="753">
        <f>IFERROR(-_xll.VAData($CJ67,DL$3,$CK67,$CL67),"-")</f>
        <v>-1.2090018738036774</v>
      </c>
      <c r="DN67" s="753">
        <f>IFERROR(-_xll.VAData($CJ67,DN$3,$CK67,$CL67),"-")</f>
        <v>-10.6</v>
      </c>
      <c r="DO67" s="753">
        <f>IFERROR(-_xll.VAData($CJ67,DO$3,$CK67,$CL67),"-")</f>
        <v>-10.4</v>
      </c>
      <c r="DP67" s="753">
        <f>IFERROR(-_xll.VAData($CJ67,DP$3,$CK67,$CL67),"-")</f>
        <v>-1.7000000000000199</v>
      </c>
      <c r="DQ67" s="753">
        <f>IFERROR(-_xll.VAData($CJ67,DQ$3,$CK67,$CL67),"-")</f>
        <v>-3</v>
      </c>
      <c r="DR67" s="753">
        <f>IFERROR(-_xll.VAData($CJ67,DR$3,$CK67,$CL67),"-")</f>
        <v>-2.4</v>
      </c>
      <c r="DS67" s="753">
        <f>IFERROR(-_xll.VAData($CJ67,DS$3,$CK67,$CL67),"-")</f>
        <v>-2.1583693316811385</v>
      </c>
      <c r="DT67" s="753">
        <f>IFERROR(-_xll.VAData($CJ67,DT$3,$CK67,$CL67),"-")</f>
        <v>-2.2158393010982649</v>
      </c>
      <c r="DU67" s="753">
        <f>IFERROR(-_xll.VAData($CJ67,DU$3,$CK67,$CL67),"-")</f>
        <v>-2.27350033607429</v>
      </c>
      <c r="DV67" s="753">
        <f>IFERROR(-_xll.VAData($CJ67,DV$3,$CK67,$CL67),"-")</f>
        <v>-2.3340457991160073</v>
      </c>
      <c r="DW67" s="753">
        <f>IFERROR(-_xll.VAData($CJ67,DW$3,$CK67,$CL67),"-")</f>
        <v>-2.4724430392398742</v>
      </c>
      <c r="DX67" s="753">
        <f>IFERROR(-_xll.VAData($CJ67,DX$3,$CK67,$CL67),"-")</f>
        <v>-2.54100427990174</v>
      </c>
      <c r="DY67" s="753">
        <f>IFERROR(-_xll.VAData($CJ67,DY$3,$CK67,$CL67),"-")</f>
        <v>-2.61034563917433</v>
      </c>
      <c r="DZ67" s="753">
        <f>IFERROR(-_xll.VAData($CJ67,DZ$3,$CK67,$CL67),"-")</f>
        <v>-2.6822163463086799</v>
      </c>
    </row>
    <row r="68" spans="2:130">
      <c r="B68" s="138" t="str">
        <f t="shared" si="69"/>
        <v>Variable Contribution</v>
      </c>
      <c r="C68" s="82" t="s">
        <v>900</v>
      </c>
      <c r="E68" s="7"/>
      <c r="F68" s="132">
        <f t="shared" si="30"/>
        <v>74.599999999999994</v>
      </c>
      <c r="G68" s="132">
        <f t="shared" si="31"/>
        <v>111.7</v>
      </c>
      <c r="H68" s="132">
        <f t="shared" si="32"/>
        <v>101.4</v>
      </c>
      <c r="I68" s="132">
        <f t="shared" si="33"/>
        <v>91.8</v>
      </c>
      <c r="J68" s="132">
        <f t="shared" si="34"/>
        <v>91.7</v>
      </c>
      <c r="K68" s="132">
        <f t="shared" si="35"/>
        <v>81.8</v>
      </c>
      <c r="L68" s="132">
        <f t="shared" si="36"/>
        <v>86.3</v>
      </c>
      <c r="M68" s="132">
        <f t="shared" si="37"/>
        <v>83.025427529176213</v>
      </c>
      <c r="N68" s="132">
        <f t="shared" si="38"/>
        <v>87.733635917577203</v>
      </c>
      <c r="O68" s="132">
        <f t="shared" si="39"/>
        <v>85.354755271856533</v>
      </c>
      <c r="P68" s="132">
        <f t="shared" si="40"/>
        <v>90.232051598027439</v>
      </c>
      <c r="Q68" s="132">
        <f t="shared" si="41"/>
        <v>87.861956636095272</v>
      </c>
      <c r="R68" s="132">
        <f t="shared" si="42"/>
        <v>92.683772837112429</v>
      </c>
      <c r="S68" s="132">
        <f t="shared" si="43"/>
        <v>89.506908322658447</v>
      </c>
      <c r="T68" s="132">
        <f t="shared" si="44"/>
        <v>95.183608545146257</v>
      </c>
      <c r="U68" s="132">
        <f t="shared" si="45"/>
        <v>91.842553525808754</v>
      </c>
      <c r="V68" s="132">
        <f t="shared" si="46"/>
        <v>98.066834834891182</v>
      </c>
      <c r="W68" s="132">
        <f t="shared" si="47"/>
        <v>96.071371823062378</v>
      </c>
      <c r="X68" s="132">
        <f t="shared" si="48"/>
        <v>101.96035558830566</v>
      </c>
      <c r="Y68" s="132">
        <f t="shared" si="49"/>
        <v>100.71100324010503</v>
      </c>
      <c r="Z68" s="132">
        <f t="shared" si="50"/>
        <v>105.04226538622733</v>
      </c>
      <c r="AA68" s="132">
        <f t="shared" si="51"/>
        <v>103.838924424979</v>
      </c>
      <c r="AB68" s="132">
        <f t="shared" si="52"/>
        <v>107.5154973501145</v>
      </c>
      <c r="AC68" s="132">
        <f t="shared" si="53"/>
        <v>105.534145796174</v>
      </c>
      <c r="AD68" s="132">
        <f t="shared" si="54"/>
        <v>110.48261101817999</v>
      </c>
      <c r="AE68" s="132">
        <f t="shared" si="55"/>
        <v>108.435687481743</v>
      </c>
      <c r="AF68" s="132"/>
      <c r="AG68" s="132">
        <f t="shared" si="56"/>
        <v>186.3</v>
      </c>
      <c r="AH68" s="132">
        <f t="shared" si="57"/>
        <v>193.2</v>
      </c>
      <c r="AI68" s="132">
        <f t="shared" si="58"/>
        <v>173.5</v>
      </c>
      <c r="AJ68" s="132">
        <f t="shared" si="59"/>
        <v>169.20962193394124</v>
      </c>
      <c r="AK68" s="132">
        <f t="shared" si="60"/>
        <v>173.19891948411038</v>
      </c>
      <c r="AL68" s="132">
        <f t="shared" si="61"/>
        <v>178.15450109886288</v>
      </c>
      <c r="AM68" s="132">
        <f t="shared" si="62"/>
        <v>182.78551861582662</v>
      </c>
      <c r="AN68" s="132">
        <f t="shared" si="63"/>
        <v>187.37048078197486</v>
      </c>
      <c r="AO68" s="132">
        <f t="shared" si="64"/>
        <v>193.62072097143857</v>
      </c>
      <c r="AP68" s="132">
        <f t="shared" si="65"/>
        <v>200.14004795101781</v>
      </c>
      <c r="AQ68" s="132">
        <f t="shared" si="66"/>
        <v>205.51034091442361</v>
      </c>
      <c r="AR68" s="132">
        <f t="shared" si="67"/>
        <v>208.85604023557974</v>
      </c>
      <c r="AS68" s="132">
        <f t="shared" si="68"/>
        <v>213.94451542139751</v>
      </c>
      <c r="AU68" s="256">
        <v>74.599999999999994</v>
      </c>
      <c r="AV68" s="256">
        <v>111.7</v>
      </c>
      <c r="AW68" s="256">
        <v>101.4</v>
      </c>
      <c r="AX68" s="256">
        <v>91.8</v>
      </c>
      <c r="AY68" s="256">
        <v>91.7</v>
      </c>
      <c r="AZ68" s="256">
        <v>81.8</v>
      </c>
      <c r="BA68" s="256">
        <v>86.3</v>
      </c>
      <c r="BB68" s="256">
        <v>83.025427529176213</v>
      </c>
      <c r="BC68" s="256">
        <v>87.733635917577203</v>
      </c>
      <c r="BD68" s="256">
        <v>85.354755271856533</v>
      </c>
      <c r="BE68" s="256">
        <v>90.232051598027439</v>
      </c>
      <c r="BF68" s="256">
        <v>87.861956636095272</v>
      </c>
      <c r="BG68" s="256">
        <v>92.683772837112429</v>
      </c>
      <c r="BH68" s="256">
        <v>89.506908322658447</v>
      </c>
      <c r="BI68" s="256">
        <v>95.183608545146257</v>
      </c>
      <c r="BJ68" s="256">
        <v>91.842553525808754</v>
      </c>
      <c r="BK68" s="256">
        <v>98.066834834891182</v>
      </c>
      <c r="BL68" s="256">
        <v>96.071371823062378</v>
      </c>
      <c r="BM68" s="256">
        <v>101.96035558830566</v>
      </c>
      <c r="BN68" s="256">
        <v>100.71100324010503</v>
      </c>
      <c r="BO68" s="256">
        <v>105.04226538622733</v>
      </c>
      <c r="BP68" s="256">
        <v>103.838924424979</v>
      </c>
      <c r="BQ68" s="256">
        <v>107.5154973501145</v>
      </c>
      <c r="BR68" s="256">
        <v>105.534145796174</v>
      </c>
      <c r="BS68" s="256">
        <v>110.48261101817999</v>
      </c>
      <c r="BT68" s="256">
        <v>108.435687481743</v>
      </c>
      <c r="BV68" s="256">
        <v>186.3</v>
      </c>
      <c r="BW68" s="256">
        <v>193.2</v>
      </c>
      <c r="BX68" s="256">
        <v>173.5</v>
      </c>
      <c r="BY68" s="256">
        <v>169.20962193394124</v>
      </c>
      <c r="BZ68" s="256">
        <v>173.19891948411038</v>
      </c>
      <c r="CA68" s="256">
        <v>178.15450109886288</v>
      </c>
      <c r="CB68" s="256">
        <v>182.78551861582662</v>
      </c>
      <c r="CC68" s="256">
        <v>187.37048078197486</v>
      </c>
      <c r="CD68" s="256">
        <v>193.62072097143857</v>
      </c>
      <c r="CE68" s="256">
        <v>200.14004795101781</v>
      </c>
      <c r="CF68" s="256">
        <v>205.51034091442361</v>
      </c>
      <c r="CG68" s="256">
        <v>208.85604023557974</v>
      </c>
      <c r="CH68" s="256">
        <v>213.94451542139751</v>
      </c>
      <c r="CJ68" s="751" t="s">
        <v>1352</v>
      </c>
      <c r="CK68" s="751" t="s">
        <v>1362</v>
      </c>
      <c r="CL68" s="752" t="s">
        <v>961</v>
      </c>
      <c r="CM68" s="758">
        <f>_xll.VAData($CJ68,CM$3,$CK68,$CL68)</f>
        <v>74.599999999999994</v>
      </c>
      <c r="CN68" s="758">
        <f>_xll.VAData($CJ68,CN$3,$CK68,$CL68)</f>
        <v>111.7</v>
      </c>
      <c r="CO68" s="758">
        <f>_xll.VAData($CJ68,CO$3,$CK68,$CL68)</f>
        <v>101.4</v>
      </c>
      <c r="CP68" s="758">
        <f>_xll.VAData($CJ68,CP$3,$CK68,$CL68)</f>
        <v>91.8</v>
      </c>
      <c r="CQ68" s="758">
        <f>_xll.VAData($CJ68,CQ$3,$CK68,$CL68)</f>
        <v>79.900000000000006</v>
      </c>
      <c r="CR68" s="758">
        <f>_xll.VAData($CJ68,CR$3,$CK68,$CL68)</f>
        <v>81.8</v>
      </c>
      <c r="CS68" s="758">
        <f>_xll.VAData($CJ68,CS$3,$CK68,$CL68)</f>
        <v>86.3</v>
      </c>
      <c r="CT68" s="758">
        <f>_xll.VAData($CJ68,CT$3,$CK68,$CL68)</f>
        <v>86.5</v>
      </c>
      <c r="CU68" s="758">
        <f>_xll.VAData($CJ68,CU$3,$CK68,$CL68)</f>
        <v>90.2</v>
      </c>
      <c r="CV68" s="758">
        <f>_xll.VAData($CJ68,CV$3,$CK68,$CL68)</f>
        <v>89</v>
      </c>
      <c r="CW68" s="758">
        <f>_xll.VAData($CJ68,CW$3,$CK68,$CL68)</f>
        <v>92.631544426394882</v>
      </c>
      <c r="CX68" s="758">
        <f>_xll.VAData($CJ68,CX$3,$CK68,$CL68)</f>
        <v>91.158632996336095</v>
      </c>
      <c r="CY68" s="758">
        <f>_xll.VAData($CJ68,CY$3,$CK68,$CL68)</f>
        <v>94.953142270205205</v>
      </c>
      <c r="CZ68" s="758">
        <f>_xll.VAData($CJ68,CZ$3,$CK68,$CL68)</f>
        <v>93.517461812106362</v>
      </c>
      <c r="DA68" s="758">
        <f>_xll.VAData($CJ68,DA$3,$CK68,$CL68)</f>
        <v>97.446043114908335</v>
      </c>
      <c r="DB68" s="758">
        <f>_xll.VAData($CJ68,DB$3,$CK68,$CL68)</f>
        <v>95.924755734920069</v>
      </c>
      <c r="DC68" s="758">
        <f>_xll.VAData($CJ68,DC$3,$CK68,$CL68)</f>
        <v>100.05078072028543</v>
      </c>
      <c r="DD68" s="758">
        <f>_xll.VAData($CJ68,DD$3,$CK68,$CL68)</f>
        <v>98.474789797313861</v>
      </c>
      <c r="DE68" s="758">
        <f>_xll.VAData($CJ68,DE$3,$CK68,$CL68)</f>
        <v>103.3021001580255</v>
      </c>
      <c r="DF68" s="758">
        <f>_xll.VAData($CJ68,DF$3,$CK68,$CL68)</f>
        <v>101.72355222538324</v>
      </c>
      <c r="DG68" s="758">
        <f>_xll.VAData($CJ68,DG$3,$CK68,$CL68)</f>
        <v>106.2256403714825</v>
      </c>
      <c r="DH68" s="758">
        <f>_xll.VAData($CJ68,DH$3,$CK68,$CL68)</f>
        <v>104.66780255499376</v>
      </c>
      <c r="DI68" s="758">
        <f>_xll.VAData($CJ68,DI$3,$CK68,$CL68)</f>
        <v>109.22418460152225</v>
      </c>
      <c r="DJ68" s="758">
        <f>_xll.VAData($CJ68,DJ$3,$CK68,$CL68)</f>
        <v>107.5710959730815</v>
      </c>
      <c r="DK68" s="758">
        <f>_xll.VAData($CJ68,DK$3,$CK68,$CL68)</f>
        <v>112.31571021467875</v>
      </c>
      <c r="DL68" s="758">
        <f>_xll.VAData($CJ68,DL$3,$CK68,$CL68)</f>
        <v>110.6198669689805</v>
      </c>
      <c r="DN68" s="758">
        <f>_xll.VAData($CJ68,DN$3,$CK68,$CL68)</f>
        <v>186.3</v>
      </c>
      <c r="DO68" s="758">
        <f>_xll.VAData($CJ68,DO$3,$CK68,$CL68)</f>
        <v>193.2</v>
      </c>
      <c r="DP68" s="758">
        <f>_xll.VAData($CJ68,DP$3,$CK68,$CL68)</f>
        <v>161.69999999999999</v>
      </c>
      <c r="DQ68" s="758">
        <f>_xll.VAData($CJ68,DQ$3,$CK68,$CL68)</f>
        <v>172.8</v>
      </c>
      <c r="DR68" s="758">
        <f>_xll.VAData($CJ68,DR$3,$CK68,$CL68)</f>
        <v>179.2</v>
      </c>
      <c r="DS68" s="758">
        <f>_xll.VAData($CJ68,DS$3,$CK68,$CL68)</f>
        <v>183.79017742273101</v>
      </c>
      <c r="DT68" s="758">
        <f>_xll.VAData($CJ68,DT$3,$CK68,$CL68)</f>
        <v>188.63158963004301</v>
      </c>
      <c r="DU68" s="758">
        <f>_xll.VAData($CJ68,DU$3,$CK68,$CL68)</f>
        <v>193.51462730917663</v>
      </c>
      <c r="DV68" s="758">
        <f>_xll.VAData($CJ68,DV$3,$CK68,$CL68)</f>
        <v>198.63536349419701</v>
      </c>
      <c r="DW68" s="758">
        <f>_xll.VAData($CJ68,DW$3,$CK68,$CL68)</f>
        <v>204.902312422742</v>
      </c>
      <c r="DX68" s="758">
        <f>_xll.VAData($CJ68,DX$3,$CK68,$CL68)</f>
        <v>210.62267779914799</v>
      </c>
      <c r="DY68" s="758">
        <f>_xll.VAData($CJ68,DY$3,$CK68,$CL68)</f>
        <v>216.3960367964446</v>
      </c>
      <c r="DZ68" s="758">
        <f>_xll.VAData($CJ68,DZ$3,$CK68,$CL68)</f>
        <v>222.38656537334199</v>
      </c>
    </row>
    <row r="69" spans="2:130">
      <c r="B69" s="138" t="str">
        <f t="shared" si="69"/>
        <v>Opex</v>
      </c>
      <c r="C69" s="82" t="s">
        <v>900</v>
      </c>
      <c r="E69" s="7"/>
      <c r="F69" s="132">
        <f t="shared" si="30"/>
        <v>-55</v>
      </c>
      <c r="G69" s="132">
        <f t="shared" si="31"/>
        <v>-58.1</v>
      </c>
      <c r="H69" s="132">
        <f t="shared" si="32"/>
        <v>-58.5</v>
      </c>
      <c r="I69" s="132">
        <f t="shared" si="33"/>
        <v>-51.6</v>
      </c>
      <c r="J69" s="132">
        <f t="shared" si="34"/>
        <v>-55.9</v>
      </c>
      <c r="K69" s="132">
        <f t="shared" si="35"/>
        <v>-51.1</v>
      </c>
      <c r="L69" s="132">
        <f t="shared" si="36"/>
        <v>-52.8</v>
      </c>
      <c r="M69" s="132">
        <f t="shared" si="37"/>
        <v>-52.470961548123228</v>
      </c>
      <c r="N69" s="132">
        <f t="shared" si="38"/>
        <v>-54.278535492478412</v>
      </c>
      <c r="O69" s="132">
        <f t="shared" si="39"/>
        <v>-53.919181555926478</v>
      </c>
      <c r="P69" s="132">
        <f t="shared" si="40"/>
        <v>-55.705898044965465</v>
      </c>
      <c r="Q69" s="132">
        <f t="shared" si="41"/>
        <v>-55.260387998628623</v>
      </c>
      <c r="R69" s="132">
        <f t="shared" si="42"/>
        <v>-57.240821501181699</v>
      </c>
      <c r="S69" s="132">
        <f t="shared" si="43"/>
        <v>-56.891575378223642</v>
      </c>
      <c r="T69" s="132">
        <f t="shared" si="44"/>
        <v>-58.724951392287117</v>
      </c>
      <c r="U69" s="132">
        <f t="shared" si="45"/>
        <v>-58.320988252533255</v>
      </c>
      <c r="V69" s="132">
        <f t="shared" si="46"/>
        <v>-60.096829764032819</v>
      </c>
      <c r="W69" s="132">
        <f t="shared" si="47"/>
        <v>-60.736337501013764</v>
      </c>
      <c r="X69" s="132">
        <f t="shared" si="48"/>
        <v>-62.590598573450301</v>
      </c>
      <c r="Y69" s="132">
        <f t="shared" si="49"/>
        <v>-63.525663383128347</v>
      </c>
      <c r="Z69" s="132">
        <f t="shared" si="50"/>
        <v>-64.409364349386223</v>
      </c>
      <c r="AA69" s="132">
        <f t="shared" si="51"/>
        <v>-65.38373297731205</v>
      </c>
      <c r="AB69" s="132">
        <f t="shared" si="52"/>
        <v>-66.067150824043935</v>
      </c>
      <c r="AC69" s="132">
        <f t="shared" si="53"/>
        <v>-66.554188427075673</v>
      </c>
      <c r="AD69" s="132">
        <f t="shared" si="54"/>
        <v>-67.94250286063793</v>
      </c>
      <c r="AE69" s="132">
        <f t="shared" si="55"/>
        <v>-68.443037069820605</v>
      </c>
      <c r="AF69" s="132"/>
      <c r="AG69" s="132">
        <f t="shared" si="56"/>
        <v>-113.1</v>
      </c>
      <c r="AH69" s="132">
        <f t="shared" si="57"/>
        <v>-110.1</v>
      </c>
      <c r="AI69" s="132">
        <f t="shared" si="58"/>
        <v>-107</v>
      </c>
      <c r="AJ69" s="132">
        <f t="shared" si="59"/>
        <v>-105.25057693166511</v>
      </c>
      <c r="AK69" s="132">
        <f t="shared" si="60"/>
        <v>-108.05229709858222</v>
      </c>
      <c r="AL69" s="132">
        <f t="shared" si="61"/>
        <v>-110.71841103180589</v>
      </c>
      <c r="AM69" s="132">
        <f t="shared" si="62"/>
        <v>-113.40617326627262</v>
      </c>
      <c r="AN69" s="132">
        <f t="shared" si="63"/>
        <v>-116.08402502155096</v>
      </c>
      <c r="AO69" s="132">
        <f t="shared" si="64"/>
        <v>-119.27748783081968</v>
      </c>
      <c r="AP69" s="132">
        <f t="shared" si="65"/>
        <v>-122.92573459347049</v>
      </c>
      <c r="AQ69" s="132">
        <f t="shared" si="66"/>
        <v>-126.03571429045483</v>
      </c>
      <c r="AR69" s="132">
        <f t="shared" si="67"/>
        <v>-127.7888873974904</v>
      </c>
      <c r="AS69" s="132">
        <f t="shared" si="68"/>
        <v>-130.8727004734682</v>
      </c>
      <c r="AU69" s="256">
        <v>-55</v>
      </c>
      <c r="AV69" s="256">
        <v>-58.1</v>
      </c>
      <c r="AW69" s="256">
        <v>-58.5</v>
      </c>
      <c r="AX69" s="256">
        <v>-51.6</v>
      </c>
      <c r="AY69" s="256">
        <v>-55.9</v>
      </c>
      <c r="AZ69" s="256">
        <v>-51.1</v>
      </c>
      <c r="BA69" s="256">
        <v>-52.8</v>
      </c>
      <c r="BB69" s="256">
        <v>-52.470961548123228</v>
      </c>
      <c r="BC69" s="256">
        <v>-54.278535492478412</v>
      </c>
      <c r="BD69" s="256">
        <v>-53.919181555926478</v>
      </c>
      <c r="BE69" s="256">
        <v>-55.705898044965465</v>
      </c>
      <c r="BF69" s="256">
        <v>-55.260387998628623</v>
      </c>
      <c r="BG69" s="256">
        <v>-57.240821501181699</v>
      </c>
      <c r="BH69" s="256">
        <v>-56.891575378223642</v>
      </c>
      <c r="BI69" s="256">
        <v>-58.724951392287117</v>
      </c>
      <c r="BJ69" s="256">
        <v>-58.320988252533255</v>
      </c>
      <c r="BK69" s="256">
        <v>-60.096829764032819</v>
      </c>
      <c r="BL69" s="256">
        <v>-60.736337501013764</v>
      </c>
      <c r="BM69" s="256">
        <v>-62.590598573450301</v>
      </c>
      <c r="BN69" s="256">
        <v>-63.525663383128347</v>
      </c>
      <c r="BO69" s="256">
        <v>-64.409364349386223</v>
      </c>
      <c r="BP69" s="256">
        <v>-65.38373297731205</v>
      </c>
      <c r="BQ69" s="256">
        <v>-66.067150824043935</v>
      </c>
      <c r="BR69" s="256">
        <v>-66.554188427075673</v>
      </c>
      <c r="BS69" s="256">
        <v>-67.94250286063793</v>
      </c>
      <c r="BT69" s="256">
        <v>-68.443037069820605</v>
      </c>
      <c r="BV69" s="256">
        <v>-113.1</v>
      </c>
      <c r="BW69" s="256">
        <v>-110.1</v>
      </c>
      <c r="BX69" s="256">
        <v>-107</v>
      </c>
      <c r="BY69" s="256">
        <v>-105.25057693166511</v>
      </c>
      <c r="BZ69" s="256">
        <v>-108.05229709858222</v>
      </c>
      <c r="CA69" s="256">
        <v>-110.71841103180589</v>
      </c>
      <c r="CB69" s="256">
        <v>-113.40617326627262</v>
      </c>
      <c r="CC69" s="256">
        <v>-116.08402502155096</v>
      </c>
      <c r="CD69" s="256">
        <v>-119.27748783081968</v>
      </c>
      <c r="CE69" s="256">
        <v>-122.92573459347049</v>
      </c>
      <c r="CF69" s="256">
        <v>-126.03571429045483</v>
      </c>
      <c r="CG69" s="256">
        <v>-127.7888873974904</v>
      </c>
      <c r="CH69" s="256">
        <v>-130.8727004734682</v>
      </c>
      <c r="CJ69" s="751" t="s">
        <v>1352</v>
      </c>
      <c r="CK69" s="751" t="s">
        <v>1363</v>
      </c>
      <c r="CL69" s="752" t="s">
        <v>961</v>
      </c>
      <c r="CM69" s="753">
        <f>IFERROR(-_xll.VAData($CJ69,CM$3,$CK69,$CL69),"-")</f>
        <v>-55</v>
      </c>
      <c r="CN69" s="753">
        <f>IFERROR(-_xll.VAData($CJ69,CN$3,$CK69,$CL69),"-")</f>
        <v>-58.1</v>
      </c>
      <c r="CO69" s="753">
        <f>IFERROR(-_xll.VAData($CJ69,CO$3,$CK69,$CL69),"-")</f>
        <v>-58.5</v>
      </c>
      <c r="CP69" s="753">
        <f>IFERROR(-_xll.VAData($CJ69,CP$3,$CK69,$CL69),"-")</f>
        <v>-51.6</v>
      </c>
      <c r="CQ69" s="753">
        <f>IFERROR(-_xll.VAData($CJ69,CQ$3,$CK69,$CL69),"-")</f>
        <v>-51.6</v>
      </c>
      <c r="CR69" s="753">
        <f>IFERROR(-_xll.VAData($CJ69,CR$3,$CK69,$CL69),"-")</f>
        <v>-51.1</v>
      </c>
      <c r="CS69" s="753">
        <f>IFERROR(-_xll.VAData($CJ69,CS$3,$CK69,$CL69),"-")</f>
        <v>-52.8</v>
      </c>
      <c r="CT69" s="753">
        <f>IFERROR(-_xll.VAData($CJ69,CT$3,$CK69,$CL69),"-")</f>
        <v>-57.6</v>
      </c>
      <c r="CU69" s="753">
        <f>IFERROR(-_xll.VAData($CJ69,CU$3,$CK69,$CL69),"-")</f>
        <v>-54.2</v>
      </c>
      <c r="CV69" s="753">
        <f>IFERROR(-_xll.VAData($CJ69,CV$3,$CK69,$CL69),"-")</f>
        <v>-55.1</v>
      </c>
      <c r="CW69" s="753">
        <f>IFERROR(-_xll.VAData($CJ69,CW$3,$CK69,$CL69),"-")</f>
        <v>-56.335496669104799</v>
      </c>
      <c r="CX69" s="753">
        <f>IFERROR(-_xll.VAData($CJ69,CX$3,$CK69,$CL69),"-")</f>
        <v>-56.516040066397615</v>
      </c>
      <c r="CY69" s="753">
        <f>IFERROR(-_xll.VAData($CJ69,CY$3,$CK69,$CL69),"-")</f>
        <v>-57.766638482205103</v>
      </c>
      <c r="CZ69" s="753">
        <f>IFERROR(-_xll.VAData($CJ69,CZ$3,$CK69,$CL69),"-")</f>
        <v>-57.962290842058017</v>
      </c>
      <c r="DA69" s="753">
        <f>IFERROR(-_xll.VAData($CJ69,DA$3,$CK69,$CL69),"-")</f>
        <v>-59.161472655767703</v>
      </c>
      <c r="DB69" s="753">
        <f>IFERROR(-_xll.VAData($CJ69,DB$3,$CK69,$CL69),"-")</f>
        <v>-59.316734064968259</v>
      </c>
      <c r="DC69" s="753">
        <f>IFERROR(-_xll.VAData($CJ69,DC$3,$CK69,$CL69),"-")</f>
        <v>-60.600639744683654</v>
      </c>
      <c r="DD69" s="753">
        <f>IFERROR(-_xll.VAData($CJ69,DD$3,$CK69,$CL69),"-")</f>
        <v>-60.756096967840556</v>
      </c>
      <c r="DE69" s="753">
        <f>IFERROR(-_xll.VAData($CJ69,DE$3,$CK69,$CL69),"-")</f>
        <v>-62.835010689964697</v>
      </c>
      <c r="DF69" s="753">
        <f>IFERROR(-_xll.VAData($CJ69,DF$3,$CK69,$CL69),"-")</f>
        <v>-63.080148367316774</v>
      </c>
      <c r="DG69" s="753">
        <f>IFERROR(-_xll.VAData($CJ69,DG$3,$CK69,$CL69),"-")</f>
        <v>-64.566479192132675</v>
      </c>
      <c r="DH69" s="753">
        <f>IFERROR(-_xll.VAData($CJ69,DH$3,$CK69,$CL69),"-")</f>
        <v>-64.827385724024623</v>
      </c>
      <c r="DI69" s="753">
        <f>IFERROR(-_xll.VAData($CJ69,DI$3,$CK69,$CL69),"-")</f>
        <v>-66.345260985133677</v>
      </c>
      <c r="DJ69" s="753">
        <f>IFERROR(-_xll.VAData($CJ69,DJ$3,$CK69,$CL69),"-")</f>
        <v>-66.59995499924608</v>
      </c>
      <c r="DK69" s="753">
        <f>IFERROR(-_xll.VAData($CJ69,DK$3,$CK69,$CL69),"-")</f>
        <v>-68.174810409201925</v>
      </c>
      <c r="DL69" s="753">
        <f>IFERROR(-_xll.VAData($CJ69,DL$3,$CK69,$CL69),"-")</f>
        <v>-68.433239043580272</v>
      </c>
      <c r="DN69" s="753">
        <f>IFERROR(-_xll.VAData($CJ69,DN$3,$CK69,$CL69),"-")</f>
        <v>-113.1</v>
      </c>
      <c r="DO69" s="753">
        <f>IFERROR(-_xll.VAData($CJ69,DO$3,$CK69,$CL69),"-")</f>
        <v>-110.1</v>
      </c>
      <c r="DP69" s="753">
        <f>IFERROR(-_xll.VAData($CJ69,DP$3,$CK69,$CL69),"-")</f>
        <v>-102.7</v>
      </c>
      <c r="DQ69" s="753">
        <f>IFERROR(-_xll.VAData($CJ69,DQ$3,$CK69,$CL69),"-")</f>
        <v>-110.4</v>
      </c>
      <c r="DR69" s="753">
        <f>IFERROR(-_xll.VAData($CJ69,DR$3,$CK69,$CL69),"-")</f>
        <v>-109.3</v>
      </c>
      <c r="DS69" s="753">
        <f>IFERROR(-_xll.VAData($CJ69,DS$3,$CK69,$CL69),"-")</f>
        <v>-112.85153673550234</v>
      </c>
      <c r="DT69" s="753">
        <f>IFERROR(-_xll.VAData($CJ69,DT$3,$CK69,$CL69),"-")</f>
        <v>-115.37987825451732</v>
      </c>
      <c r="DU69" s="753">
        <f>IFERROR(-_xll.VAData($CJ69,DU$3,$CK69,$CL69),"-")</f>
        <v>-117.93849994319413</v>
      </c>
      <c r="DV69" s="753">
        <f>IFERROR(-_xll.VAData($CJ69,DV$3,$CK69,$CL69),"-")</f>
        <v>-120.61189620055281</v>
      </c>
      <c r="DW69" s="753">
        <f>IFERROR(-_xll.VAData($CJ69,DW$3,$CK69,$CL69),"-")</f>
        <v>-124.0619373077034</v>
      </c>
      <c r="DX69" s="753">
        <f>IFERROR(-_xll.VAData($CJ69,DX$3,$CK69,$CL69),"-")</f>
        <v>-127.0978552232086</v>
      </c>
      <c r="DY69" s="753">
        <f>IFERROR(-_xll.VAData($CJ69,DY$3,$CK69,$CL69),"-")</f>
        <v>-130.1946655103288</v>
      </c>
      <c r="DZ69" s="753">
        <f>IFERROR(-_xll.VAData($CJ69,DZ$3,$CK69,$CL69),"-")</f>
        <v>-133.383468779504</v>
      </c>
    </row>
    <row r="70" spans="2:130">
      <c r="B70" s="138" t="str">
        <f t="shared" si="69"/>
        <v>EBITDA</v>
      </c>
      <c r="C70" s="82" t="s">
        <v>900</v>
      </c>
      <c r="E70" s="7"/>
      <c r="F70" s="132">
        <f t="shared" si="30"/>
        <v>19.600000000000001</v>
      </c>
      <c r="G70" s="132">
        <f t="shared" si="31"/>
        <v>53.6</v>
      </c>
      <c r="H70" s="132">
        <f t="shared" si="32"/>
        <v>42.9</v>
      </c>
      <c r="I70" s="132">
        <f t="shared" si="33"/>
        <v>40.200000000000003</v>
      </c>
      <c r="J70" s="132">
        <f t="shared" si="34"/>
        <v>35.799999999999997</v>
      </c>
      <c r="K70" s="132">
        <f t="shared" si="35"/>
        <v>30.7</v>
      </c>
      <c r="L70" s="132">
        <f t="shared" si="36"/>
        <v>33.5</v>
      </c>
      <c r="M70" s="132">
        <f t="shared" si="37"/>
        <v>30.765827588387921</v>
      </c>
      <c r="N70" s="132">
        <f t="shared" si="38"/>
        <v>33.621137898615913</v>
      </c>
      <c r="O70" s="132">
        <f t="shared" si="39"/>
        <v>31.8331159952494</v>
      </c>
      <c r="P70" s="132">
        <f t="shared" si="40"/>
        <v>34.649737663484899</v>
      </c>
      <c r="Q70" s="132">
        <f t="shared" si="41"/>
        <v>32.960852955604651</v>
      </c>
      <c r="R70" s="132">
        <f t="shared" si="42"/>
        <v>35.551199931825089</v>
      </c>
      <c r="S70" s="132">
        <f t="shared" si="43"/>
        <v>33.114434146950785</v>
      </c>
      <c r="T70" s="132">
        <f t="shared" si="44"/>
        <v>36.536155015636517</v>
      </c>
      <c r="U70" s="132">
        <f t="shared" si="45"/>
        <v>34.019783213142802</v>
      </c>
      <c r="V70" s="132">
        <f t="shared" si="46"/>
        <v>37.971584366923267</v>
      </c>
      <c r="W70" s="132">
        <f t="shared" si="47"/>
        <v>35.610889080514603</v>
      </c>
      <c r="X70" s="132">
        <f t="shared" si="48"/>
        <v>39.52154457594883</v>
      </c>
      <c r="Y70" s="132">
        <f t="shared" si="49"/>
        <v>37.478663992626366</v>
      </c>
      <c r="Z70" s="132">
        <f t="shared" si="50"/>
        <v>40.80889295185677</v>
      </c>
      <c r="AA70" s="132">
        <f t="shared" si="51"/>
        <v>38.773215409822697</v>
      </c>
      <c r="AB70" s="132">
        <f t="shared" si="52"/>
        <v>41.8575012626819</v>
      </c>
      <c r="AC70" s="132">
        <f t="shared" si="53"/>
        <v>39.866832660407098</v>
      </c>
      <c r="AD70" s="132">
        <f t="shared" si="54"/>
        <v>43.014868780314849</v>
      </c>
      <c r="AE70" s="132">
        <f t="shared" si="55"/>
        <v>40.960020467004249</v>
      </c>
      <c r="AF70" s="132"/>
      <c r="AG70" s="132">
        <f t="shared" si="56"/>
        <v>73.2</v>
      </c>
      <c r="AH70" s="132">
        <f t="shared" si="57"/>
        <v>83.1</v>
      </c>
      <c r="AI70" s="132">
        <f t="shared" si="58"/>
        <v>66.5</v>
      </c>
      <c r="AJ70" s="132">
        <f t="shared" si="59"/>
        <v>64.159022545003964</v>
      </c>
      <c r="AK70" s="132">
        <f t="shared" si="60"/>
        <v>65.635301244196754</v>
      </c>
      <c r="AL70" s="132">
        <f t="shared" si="61"/>
        <v>67.858585018584549</v>
      </c>
      <c r="AM70" s="132">
        <f t="shared" si="62"/>
        <v>69.785635475422524</v>
      </c>
      <c r="AN70" s="132">
        <f t="shared" si="63"/>
        <v>71.695977083478695</v>
      </c>
      <c r="AO70" s="132">
        <f t="shared" si="64"/>
        <v>74.615994392331316</v>
      </c>
      <c r="AP70" s="132">
        <f t="shared" si="65"/>
        <v>78.11948584821458</v>
      </c>
      <c r="AQ70" s="132">
        <f t="shared" si="66"/>
        <v>80.522512757520246</v>
      </c>
      <c r="AR70" s="132">
        <f t="shared" si="67"/>
        <v>82.92328081545628</v>
      </c>
      <c r="AS70" s="132">
        <f t="shared" si="68"/>
        <v>85.171090151103897</v>
      </c>
      <c r="AU70" s="256">
        <v>19.600000000000001</v>
      </c>
      <c r="AV70" s="256">
        <v>53.6</v>
      </c>
      <c r="AW70" s="256">
        <v>42.9</v>
      </c>
      <c r="AX70" s="256">
        <v>40.200000000000003</v>
      </c>
      <c r="AY70" s="256">
        <v>35.799999999999997</v>
      </c>
      <c r="AZ70" s="256">
        <v>30.7</v>
      </c>
      <c r="BA70" s="256">
        <v>33.5</v>
      </c>
      <c r="BB70" s="256">
        <v>30.765827588387921</v>
      </c>
      <c r="BC70" s="256">
        <v>33.621137898615913</v>
      </c>
      <c r="BD70" s="256">
        <v>31.8331159952494</v>
      </c>
      <c r="BE70" s="256">
        <v>34.649737663484899</v>
      </c>
      <c r="BF70" s="256">
        <v>32.960852955604651</v>
      </c>
      <c r="BG70" s="256">
        <v>35.551199931825089</v>
      </c>
      <c r="BH70" s="256">
        <v>33.114434146950785</v>
      </c>
      <c r="BI70" s="256">
        <v>36.536155015636517</v>
      </c>
      <c r="BJ70" s="256">
        <v>34.019783213142802</v>
      </c>
      <c r="BK70" s="256">
        <v>37.971584366923267</v>
      </c>
      <c r="BL70" s="256">
        <v>35.610889080514603</v>
      </c>
      <c r="BM70" s="256">
        <v>39.52154457594883</v>
      </c>
      <c r="BN70" s="256">
        <v>37.478663992626366</v>
      </c>
      <c r="BO70" s="256">
        <v>40.80889295185677</v>
      </c>
      <c r="BP70" s="256">
        <v>38.773215409822697</v>
      </c>
      <c r="BQ70" s="256">
        <v>41.8575012626819</v>
      </c>
      <c r="BR70" s="256">
        <v>39.866832660407098</v>
      </c>
      <c r="BS70" s="256">
        <v>43.014868780314849</v>
      </c>
      <c r="BT70" s="256">
        <v>40.960020467004249</v>
      </c>
      <c r="BV70" s="256">
        <v>73.2</v>
      </c>
      <c r="BW70" s="256">
        <v>83.1</v>
      </c>
      <c r="BX70" s="256">
        <v>66.5</v>
      </c>
      <c r="BY70" s="256">
        <v>64.159022545003964</v>
      </c>
      <c r="BZ70" s="256">
        <v>65.635301244196754</v>
      </c>
      <c r="CA70" s="256">
        <v>67.858585018584549</v>
      </c>
      <c r="CB70" s="256">
        <v>69.785635475422524</v>
      </c>
      <c r="CC70" s="256">
        <v>71.695977083478695</v>
      </c>
      <c r="CD70" s="256">
        <v>74.615994392331316</v>
      </c>
      <c r="CE70" s="256">
        <v>78.11948584821458</v>
      </c>
      <c r="CF70" s="256">
        <v>80.522512757520246</v>
      </c>
      <c r="CG70" s="256">
        <v>82.92328081545628</v>
      </c>
      <c r="CH70" s="256">
        <v>85.171090151103897</v>
      </c>
      <c r="CJ70" s="751" t="s">
        <v>1352</v>
      </c>
      <c r="CK70" s="751" t="s">
        <v>1364</v>
      </c>
      <c r="CL70" s="752" t="s">
        <v>961</v>
      </c>
      <c r="CM70" s="758">
        <f>_xll.VAData($CJ70,CM$3,$CK70,$CL70)</f>
        <v>19.600000000000001</v>
      </c>
      <c r="CN70" s="758">
        <f>_xll.VAData($CJ70,CN$3,$CK70,$CL70)</f>
        <v>53.6</v>
      </c>
      <c r="CO70" s="758">
        <f>_xll.VAData($CJ70,CO$3,$CK70,$CL70)</f>
        <v>42.9</v>
      </c>
      <c r="CP70" s="758">
        <f>_xll.VAData($CJ70,CP$3,$CK70,$CL70)</f>
        <v>40.200000000000003</v>
      </c>
      <c r="CQ70" s="758">
        <f>_xll.VAData($CJ70,CQ$3,$CK70,$CL70)</f>
        <v>28.3</v>
      </c>
      <c r="CR70" s="758">
        <f>_xll.VAData($CJ70,CR$3,$CK70,$CL70)</f>
        <v>30.7</v>
      </c>
      <c r="CS70" s="758">
        <f>_xll.VAData($CJ70,CS$3,$CK70,$CL70)</f>
        <v>33.5</v>
      </c>
      <c r="CT70" s="758">
        <f>_xll.VAData($CJ70,CT$3,$CK70,$CL70)</f>
        <v>28.9</v>
      </c>
      <c r="CU70" s="758">
        <f>_xll.VAData($CJ70,CU$3,$CK70,$CL70)</f>
        <v>36</v>
      </c>
      <c r="CV70" s="758">
        <f>_xll.VAData($CJ70,CV$3,$CK70,$CL70)</f>
        <v>33.9</v>
      </c>
      <c r="CW70" s="758">
        <f>_xll.VAData($CJ70,CW$3,$CK70,$CL70)</f>
        <v>36.17484294885903</v>
      </c>
      <c r="CX70" s="758">
        <f>_xll.VAData($CJ70,CX$3,$CK70,$CL70)</f>
        <v>34.517044600938725</v>
      </c>
      <c r="CY70" s="758">
        <f>_xll.VAData($CJ70,CY$3,$CK70,$CL70)</f>
        <v>37.006381740546701</v>
      </c>
      <c r="CZ70" s="758">
        <f>_xll.VAData($CJ70,CZ$3,$CK70,$CL70)</f>
        <v>35.368316640247734</v>
      </c>
      <c r="DA70" s="758">
        <f>_xll.VAData($CJ70,DA$3,$CK70,$CL70)</f>
        <v>38.036402703821537</v>
      </c>
      <c r="DB70" s="758">
        <f>_xll.VAData($CJ70,DB$3,$CK70,$CL70)</f>
        <v>36.359717746707162</v>
      </c>
      <c r="DC70" s="758">
        <f>_xll.VAData($CJ70,DC$3,$CK70,$CL70)</f>
        <v>39.127203289681638</v>
      </c>
      <c r="DD70" s="758">
        <f>_xll.VAData($CJ70,DD$3,$CK70,$CL70)</f>
        <v>37.403450836832441</v>
      </c>
      <c r="DE70" s="758">
        <f>_xll.VAData($CJ70,DE$3,$CK70,$CL70)</f>
        <v>40.467089468060848</v>
      </c>
      <c r="DF70" s="758">
        <f>_xll.VAData($CJ70,DF$3,$CK70,$CL70)</f>
        <v>38.643403858066378</v>
      </c>
      <c r="DG70" s="758">
        <f>_xll.VAData($CJ70,DG$3,$CK70,$CL70)</f>
        <v>41.659161179349923</v>
      </c>
      <c r="DH70" s="758">
        <f>_xll.VAData($CJ70,DH$3,$CK70,$CL70)</f>
        <v>39.840416830969325</v>
      </c>
      <c r="DI70" s="758">
        <f>_xll.VAData($CJ70,DI$3,$CK70,$CL70)</f>
        <v>42.878923616388626</v>
      </c>
      <c r="DJ70" s="758">
        <f>_xll.VAData($CJ70,DJ$3,$CK70,$CL70)</f>
        <v>40.971140973835375</v>
      </c>
      <c r="DK70" s="758">
        <f>_xll.VAData($CJ70,DK$3,$CK70,$CL70)</f>
        <v>44.140899805476799</v>
      </c>
      <c r="DL70" s="758">
        <f>_xll.VAData($CJ70,DL$3,$CK70,$CL70)</f>
        <v>42.186627925400202</v>
      </c>
      <c r="DN70" s="758">
        <f>_xll.VAData($CJ70,DN$3,$CK70,$CL70)</f>
        <v>73.2</v>
      </c>
      <c r="DO70" s="758">
        <f>_xll.VAData($CJ70,DO$3,$CK70,$CL70)</f>
        <v>83.1</v>
      </c>
      <c r="DP70" s="758">
        <f>_xll.VAData($CJ70,DP$3,$CK70,$CL70)</f>
        <v>59</v>
      </c>
      <c r="DQ70" s="758">
        <f>_xll.VAData($CJ70,DQ$3,$CK70,$CL70)</f>
        <v>62.4</v>
      </c>
      <c r="DR70" s="758">
        <f>_xll.VAData($CJ70,DR$3,$CK70,$CL70)</f>
        <v>69.900000000000006</v>
      </c>
      <c r="DS70" s="758">
        <f>_xll.VAData($CJ70,DS$3,$CK70,$CL70)</f>
        <v>70.691887549797769</v>
      </c>
      <c r="DT70" s="758">
        <f>_xll.VAData($CJ70,DT$3,$CK70,$CL70)</f>
        <v>72.868839416024713</v>
      </c>
      <c r="DU70" s="758">
        <f>_xll.VAData($CJ70,DU$3,$CK70,$CL70)</f>
        <v>75.058870847604709</v>
      </c>
      <c r="DV70" s="758">
        <f>_xll.VAData($CJ70,DV$3,$CK70,$CL70)</f>
        <v>77.361237191748955</v>
      </c>
      <c r="DW70" s="758">
        <f>_xll.VAData($CJ70,DW$3,$CK70,$CL70)</f>
        <v>80.840375115038427</v>
      </c>
      <c r="DX70" s="758">
        <f>_xll.VAData($CJ70,DX$3,$CK70,$CL70)</f>
        <v>83.524822575939481</v>
      </c>
      <c r="DY70" s="758">
        <f>_xll.VAData($CJ70,DY$3,$CK70,$CL70)</f>
        <v>86.201371286115901</v>
      </c>
      <c r="DZ70" s="758">
        <f>_xll.VAData($CJ70,DZ$3,$CK70,$CL70)</f>
        <v>89.003096593837697</v>
      </c>
    </row>
    <row r="71" spans="2:130">
      <c r="B71" s="138" t="str">
        <f t="shared" si="69"/>
        <v>D&amp;A</v>
      </c>
      <c r="C71" s="82" t="s">
        <v>900</v>
      </c>
      <c r="E71" s="7"/>
      <c r="F71" s="132">
        <f t="shared" si="30"/>
        <v>-37.5</v>
      </c>
      <c r="G71" s="132">
        <f t="shared" si="31"/>
        <v>-33.9</v>
      </c>
      <c r="H71" s="132">
        <f t="shared" si="32"/>
        <v>-26.9</v>
      </c>
      <c r="I71" s="132">
        <f t="shared" si="33"/>
        <v>-21.8</v>
      </c>
      <c r="J71" s="132">
        <f t="shared" si="34"/>
        <v>-19.100000000000001</v>
      </c>
      <c r="K71" s="132">
        <f t="shared" si="35"/>
        <v>-20.3</v>
      </c>
      <c r="L71" s="132">
        <f t="shared" si="36"/>
        <v>-20.2</v>
      </c>
      <c r="M71" s="132">
        <f t="shared" si="37"/>
        <v>-20.526193607050711</v>
      </c>
      <c r="N71" s="132">
        <f t="shared" si="38"/>
        <v>-20.131482538085475</v>
      </c>
      <c r="O71" s="132">
        <f t="shared" si="39"/>
        <v>-20.234981381314849</v>
      </c>
      <c r="P71" s="132">
        <f t="shared" si="40"/>
        <v>-20.438924553427373</v>
      </c>
      <c r="Q71" s="132">
        <f t="shared" si="41"/>
        <v>-20.543016770902963</v>
      </c>
      <c r="R71" s="132">
        <f t="shared" si="42"/>
        <v>-20.631885456242543</v>
      </c>
      <c r="S71" s="132">
        <f t="shared" si="43"/>
        <v>-20.512948187908556</v>
      </c>
      <c r="T71" s="132">
        <f t="shared" si="44"/>
        <v>-20.954171670239027</v>
      </c>
      <c r="U71" s="132">
        <f t="shared" si="45"/>
        <v>-20.817449060748228</v>
      </c>
      <c r="V71" s="132">
        <f t="shared" si="46"/>
        <v>-21.467180129273768</v>
      </c>
      <c r="W71" s="132">
        <f t="shared" si="47"/>
        <v>-21.308583033961682</v>
      </c>
      <c r="X71" s="132">
        <f t="shared" si="48"/>
        <v>-21.441929528158099</v>
      </c>
      <c r="Y71" s="132">
        <f t="shared" si="49"/>
        <v>-21.370162679342066</v>
      </c>
      <c r="Z71" s="132">
        <f t="shared" si="50"/>
        <v>-21.725162629098065</v>
      </c>
      <c r="AA71" s="132">
        <f t="shared" si="51"/>
        <v>-21.665690862249267</v>
      </c>
      <c r="AB71" s="132">
        <f t="shared" si="52"/>
        <v>-20.2</v>
      </c>
      <c r="AC71" s="132">
        <f t="shared" si="53"/>
        <v>-21.48079910244045</v>
      </c>
      <c r="AD71" s="132">
        <f t="shared" si="54"/>
        <v>-21.533121506812051</v>
      </c>
      <c r="AE71" s="132">
        <f t="shared" si="55"/>
        <v>-21.48079910244045</v>
      </c>
      <c r="AF71" s="132"/>
      <c r="AG71" s="132">
        <f t="shared" si="56"/>
        <v>-71.400000000000006</v>
      </c>
      <c r="AH71" s="132">
        <f t="shared" si="57"/>
        <v>-48.7</v>
      </c>
      <c r="AI71" s="132">
        <f t="shared" si="58"/>
        <v>-39.4</v>
      </c>
      <c r="AJ71" s="132">
        <f t="shared" si="59"/>
        <v>-40.215052766871814</v>
      </c>
      <c r="AK71" s="132">
        <f t="shared" si="60"/>
        <v>-39.659593174283202</v>
      </c>
      <c r="AL71" s="132">
        <f t="shared" si="61"/>
        <v>-40.551744689374054</v>
      </c>
      <c r="AM71" s="132">
        <f t="shared" si="62"/>
        <v>-40.347929233389841</v>
      </c>
      <c r="AN71" s="132">
        <f t="shared" si="63"/>
        <v>-40.329819946217192</v>
      </c>
      <c r="AO71" s="132">
        <f t="shared" si="64"/>
        <v>-40.698610732466349</v>
      </c>
      <c r="AP71" s="132">
        <f t="shared" si="65"/>
        <v>-39.360626292253059</v>
      </c>
      <c r="AQ71" s="132">
        <f t="shared" si="66"/>
        <v>-39.388949358559522</v>
      </c>
      <c r="AR71" s="132">
        <f t="shared" si="67"/>
        <v>-37.135922877222903</v>
      </c>
      <c r="AS71" s="132">
        <f t="shared" si="68"/>
        <v>-37.751745082657699</v>
      </c>
      <c r="AU71" s="256">
        <v>-37.5</v>
      </c>
      <c r="AV71" s="256">
        <v>-33.9</v>
      </c>
      <c r="AW71" s="256">
        <v>-26.9</v>
      </c>
      <c r="AX71" s="256">
        <v>-21.8</v>
      </c>
      <c r="AY71" s="256">
        <v>-19.100000000000001</v>
      </c>
      <c r="AZ71" s="256">
        <v>-20.3</v>
      </c>
      <c r="BA71" s="256">
        <v>-20.2</v>
      </c>
      <c r="BB71" s="256">
        <v>-20.526193607050711</v>
      </c>
      <c r="BC71" s="256">
        <v>-20.131482538085475</v>
      </c>
      <c r="BD71" s="256">
        <v>-20.234981381314849</v>
      </c>
      <c r="BE71" s="256">
        <v>-20.438924553427373</v>
      </c>
      <c r="BF71" s="256">
        <v>-20.543016770902963</v>
      </c>
      <c r="BG71" s="256">
        <v>-20.631885456242543</v>
      </c>
      <c r="BH71" s="256">
        <v>-20.512948187908556</v>
      </c>
      <c r="BI71" s="256">
        <v>-20.954171670239027</v>
      </c>
      <c r="BJ71" s="256">
        <v>-20.817449060748228</v>
      </c>
      <c r="BK71" s="256">
        <v>-21.467180129273768</v>
      </c>
      <c r="BL71" s="256">
        <v>-21.308583033961682</v>
      </c>
      <c r="BM71" s="256">
        <v>-21.441929528158099</v>
      </c>
      <c r="BN71" s="256">
        <v>-21.370162679342066</v>
      </c>
      <c r="BO71" s="256">
        <v>-21.725162629098065</v>
      </c>
      <c r="BP71" s="256">
        <v>-21.665690862249267</v>
      </c>
      <c r="BQ71" s="256">
        <v>-20.2</v>
      </c>
      <c r="BR71" s="256">
        <v>-21.48079910244045</v>
      </c>
      <c r="BS71" s="256">
        <v>-21.533121506812051</v>
      </c>
      <c r="BT71" s="256">
        <v>-21.48079910244045</v>
      </c>
      <c r="BV71" s="256">
        <v>-71.400000000000006</v>
      </c>
      <c r="BW71" s="256">
        <v>-48.7</v>
      </c>
      <c r="BX71" s="256">
        <v>-39.4</v>
      </c>
      <c r="BY71" s="256">
        <v>-40.215052766871814</v>
      </c>
      <c r="BZ71" s="256">
        <v>-39.659593174283202</v>
      </c>
      <c r="CA71" s="256">
        <v>-40.551744689374054</v>
      </c>
      <c r="CB71" s="256">
        <v>-40.347929233389841</v>
      </c>
      <c r="CC71" s="256">
        <v>-40.329819946217192</v>
      </c>
      <c r="CD71" s="256">
        <v>-40.698610732466349</v>
      </c>
      <c r="CE71" s="256">
        <v>-39.360626292253059</v>
      </c>
      <c r="CF71" s="256">
        <v>-39.388949358559522</v>
      </c>
      <c r="CG71" s="256">
        <v>-37.135922877222903</v>
      </c>
      <c r="CH71" s="256">
        <v>-37.751745082657699</v>
      </c>
      <c r="CJ71" s="751" t="s">
        <v>1352</v>
      </c>
      <c r="CK71" s="751" t="s">
        <v>1365</v>
      </c>
      <c r="CL71" s="752" t="s">
        <v>961</v>
      </c>
      <c r="CM71" s="753">
        <f>IFERROR(-_xll.VAData($CJ71,CM$3,$CK71,$CL71),"-")</f>
        <v>-37.5</v>
      </c>
      <c r="CN71" s="753">
        <f>IFERROR(-_xll.VAData($CJ71,CN$3,$CK71,$CL71),"-")</f>
        <v>-33.9</v>
      </c>
      <c r="CO71" s="753">
        <f>IFERROR(-_xll.VAData($CJ71,CO$3,$CK71,$CL71),"-")</f>
        <v>-26.9</v>
      </c>
      <c r="CP71" s="753">
        <f>IFERROR(-_xll.VAData($CJ71,CP$3,$CK71,$CL71),"-")</f>
        <v>-21.8</v>
      </c>
      <c r="CQ71" s="753">
        <f>IFERROR(-_xll.VAData($CJ71,CQ$3,$CK71,$CL71),"-")</f>
        <v>-18.7</v>
      </c>
      <c r="CR71" s="753">
        <f>IFERROR(-_xll.VAData($CJ71,CR$3,$CK71,$CL71),"-")</f>
        <v>-20.3</v>
      </c>
      <c r="CS71" s="753">
        <f>IFERROR(-_xll.VAData($CJ71,CS$3,$CK71,$CL71),"-")</f>
        <v>-20.2</v>
      </c>
      <c r="CT71" s="753">
        <f>IFERROR(-_xll.VAData($CJ71,CT$3,$CK71,$CL71),"-")</f>
        <v>-21.7</v>
      </c>
      <c r="CU71" s="753">
        <f>IFERROR(-_xll.VAData($CJ71,CU$3,$CK71,$CL71),"-")</f>
        <v>-21.1</v>
      </c>
      <c r="CV71" s="753">
        <f>IFERROR(-_xll.VAData($CJ71,CV$3,$CK71,$CL71),"-")</f>
        <v>-21.3</v>
      </c>
      <c r="CW71" s="753">
        <f>IFERROR(-_xll.VAData($CJ71,CW$3,$CK71,$CL71),"-")</f>
        <v>-21.483615303552401</v>
      </c>
      <c r="CX71" s="753">
        <f>IFERROR(-_xll.VAData($CJ71,CX$3,$CK71,$CL71),"-")</f>
        <v>-21.025933983886375</v>
      </c>
      <c r="CY71" s="753">
        <f>IFERROR(-_xll.VAData($CJ71,CY$3,$CK71,$CL71),"-")</f>
        <v>-21.263882831206271</v>
      </c>
      <c r="CZ71" s="753">
        <f>IFERROR(-_xll.VAData($CJ71,CZ$3,$CK71,$CL71),"-")</f>
        <v>-21.341692105543256</v>
      </c>
      <c r="DA71" s="753">
        <f>IFERROR(-_xll.VAData($CJ71,DA$3,$CK71,$CL71),"-")</f>
        <v>-21.541395035029758</v>
      </c>
      <c r="DB71" s="753">
        <f>IFERROR(-_xll.VAData($CJ71,DB$3,$CK71,$CL71),"-")</f>
        <v>-21.5918506273951</v>
      </c>
      <c r="DC71" s="753">
        <f>IFERROR(-_xll.VAData($CJ71,DC$3,$CK71,$CL71),"-")</f>
        <v>-21.824736199684743</v>
      </c>
      <c r="DD71" s="753">
        <f>IFERROR(-_xll.VAData($CJ71,DD$3,$CK71,$CL71),"-")</f>
        <v>-21.877989618936471</v>
      </c>
      <c r="DE71" s="753">
        <f>IFERROR(-_xll.VAData($CJ71,DE$3,$CK71,$CL71),"-")</f>
        <v>-22.184580907284268</v>
      </c>
      <c r="DF71" s="753">
        <f>IFERROR(-_xll.VAData($CJ71,DF$3,$CK71,$CL71),"-")</f>
        <v>-22.196657888468767</v>
      </c>
      <c r="DG71" s="753">
        <f>IFERROR(-_xll.VAData($CJ71,DG$3,$CK71,$CL71),"-")</f>
        <v>-22.382428126042967</v>
      </c>
      <c r="DH71" s="753">
        <f>IFERROR(-_xll.VAData($CJ71,DH$3,$CK71,$CL71),"-")</f>
        <v>-22.434245056860433</v>
      </c>
      <c r="DI71" s="753">
        <f>IFERROR(-_xll.VAData($CJ71,DI$3,$CK71,$CL71),"-")</f>
        <v>-22.581232188792868</v>
      </c>
      <c r="DJ71" s="753">
        <f>IFERROR(-_xll.VAData($CJ71,DJ$3,$CK71,$CL71),"-")</f>
        <v>-20.330361824123834</v>
      </c>
      <c r="DK71" s="753">
        <f>IFERROR(-_xll.VAData($CJ71,DK$3,$CK71,$CL71),"-")</f>
        <v>-20.482907789021866</v>
      </c>
      <c r="DL71" s="753">
        <f>IFERROR(-_xll.VAData($CJ71,DL$3,$CK71,$CL71),"-")</f>
        <v>-20.528815015114098</v>
      </c>
      <c r="DN71" s="753">
        <f>IFERROR(-_xll.VAData($CJ71,DN$3,$CK71,$CL71),"-")</f>
        <v>-71.400000000000006</v>
      </c>
      <c r="DO71" s="753">
        <f>IFERROR(-_xll.VAData($CJ71,DO$3,$CK71,$CL71),"-")</f>
        <v>-48.7</v>
      </c>
      <c r="DP71" s="753">
        <f>IFERROR(-_xll.VAData($CJ71,DP$3,$CK71,$CL71),"-")</f>
        <v>-39</v>
      </c>
      <c r="DQ71" s="753">
        <f>IFERROR(-_xll.VAData($CJ71,DQ$3,$CK71,$CL71),"-")</f>
        <v>-41.9</v>
      </c>
      <c r="DR71" s="753">
        <f>IFERROR(-_xll.VAData($CJ71,DR$3,$CK71,$CL71),"-")</f>
        <v>-42.4</v>
      </c>
      <c r="DS71" s="753">
        <f>IFERROR(-_xll.VAData($CJ71,DS$3,$CK71,$CL71),"-")</f>
        <v>-42.509549287438773</v>
      </c>
      <c r="DT71" s="753">
        <f>IFERROR(-_xll.VAData($CJ71,DT$3,$CK71,$CL71),"-")</f>
        <v>-42.814856443948351</v>
      </c>
      <c r="DU71" s="753">
        <f>IFERROR(-_xll.VAData($CJ71,DU$3,$CK71,$CL71),"-")</f>
        <v>-43.323011586625086</v>
      </c>
      <c r="DV71" s="753">
        <f>IFERROR(-_xll.VAData($CJ71,DV$3,$CK71,$CL71),"-")</f>
        <v>-44.046064188303525</v>
      </c>
      <c r="DW71" s="753">
        <f>IFERROR(-_xll.VAData($CJ71,DW$3,$CK71,$CL71),"-")</f>
        <v>-45.002136991144127</v>
      </c>
      <c r="DX71" s="753">
        <f>IFERROR(-_xll.VAData($CJ71,DX$3,$CK71,$CL71),"-")</f>
        <v>-45.196158085461498</v>
      </c>
      <c r="DY71" s="753">
        <f>IFERROR(-_xll.VAData($CJ71,DY$3,$CK71,$CL71),"-")</f>
        <v>-43.459408321248851</v>
      </c>
      <c r="DZ71" s="753">
        <f>IFERROR(-_xll.VAData($CJ71,DZ$3,$CK71,$CL71),"-")</f>
        <v>-42.178554409357403</v>
      </c>
    </row>
    <row r="72" spans="2:130">
      <c r="B72" s="138" t="str">
        <f t="shared" si="69"/>
        <v>EBIT</v>
      </c>
      <c r="C72" s="82" t="s">
        <v>900</v>
      </c>
      <c r="E72" s="7"/>
      <c r="F72" s="132">
        <f t="shared" si="30"/>
        <v>-17.899999999999999</v>
      </c>
      <c r="G72" s="132">
        <f t="shared" si="31"/>
        <v>19.7</v>
      </c>
      <c r="H72" s="132">
        <f t="shared" si="32"/>
        <v>16</v>
      </c>
      <c r="I72" s="132">
        <f t="shared" si="33"/>
        <v>18.399999999999999</v>
      </c>
      <c r="J72" s="132">
        <f t="shared" si="34"/>
        <v>16.7</v>
      </c>
      <c r="K72" s="132">
        <f t="shared" si="35"/>
        <v>10.4</v>
      </c>
      <c r="L72" s="132">
        <f t="shared" si="36"/>
        <v>13.3</v>
      </c>
      <c r="M72" s="132">
        <f t="shared" si="37"/>
        <v>9.807553122280698</v>
      </c>
      <c r="N72" s="132">
        <f t="shared" si="38"/>
        <v>13.489655360530438</v>
      </c>
      <c r="O72" s="132">
        <f t="shared" si="39"/>
        <v>11.598134613934549</v>
      </c>
      <c r="P72" s="132">
        <f t="shared" si="40"/>
        <v>14.210813110057538</v>
      </c>
      <c r="Q72" s="132">
        <f t="shared" si="41"/>
        <v>12.417836184701697</v>
      </c>
      <c r="R72" s="132">
        <f t="shared" si="42"/>
        <v>14.919314475582542</v>
      </c>
      <c r="S72" s="132">
        <f t="shared" si="43"/>
        <v>12.601485959042215</v>
      </c>
      <c r="T72" s="132">
        <f t="shared" si="44"/>
        <v>15.581983345397486</v>
      </c>
      <c r="U72" s="132">
        <f t="shared" si="45"/>
        <v>13.202334152394601</v>
      </c>
      <c r="V72" s="132">
        <f t="shared" si="46"/>
        <v>16.504404237649499</v>
      </c>
      <c r="W72" s="132">
        <f t="shared" si="47"/>
        <v>14.302306046552884</v>
      </c>
      <c r="X72" s="132">
        <f t="shared" si="48"/>
        <v>18.079615047790767</v>
      </c>
      <c r="Y72" s="132">
        <f t="shared" si="49"/>
        <v>16.1085013132843</v>
      </c>
      <c r="Z72" s="132">
        <f t="shared" si="50"/>
        <v>19.083730322758701</v>
      </c>
      <c r="AA72" s="132">
        <f t="shared" si="51"/>
        <v>17.107524547573433</v>
      </c>
      <c r="AB72" s="132">
        <f t="shared" si="52"/>
        <v>21.657501262681901</v>
      </c>
      <c r="AC72" s="132">
        <f t="shared" si="53"/>
        <v>18.386033557966648</v>
      </c>
      <c r="AD72" s="132">
        <f t="shared" si="54"/>
        <v>21.481747273502801</v>
      </c>
      <c r="AE72" s="132">
        <f t="shared" si="55"/>
        <v>19.479221364563749</v>
      </c>
      <c r="AF72" s="132"/>
      <c r="AG72" s="132">
        <f t="shared" si="56"/>
        <v>1.80000000000001</v>
      </c>
      <c r="AH72" s="132">
        <f t="shared" si="57"/>
        <v>34.4</v>
      </c>
      <c r="AI72" s="132">
        <f t="shared" si="58"/>
        <v>27.1</v>
      </c>
      <c r="AJ72" s="132">
        <f t="shared" si="59"/>
        <v>23.548030676372601</v>
      </c>
      <c r="AK72" s="132">
        <f t="shared" si="60"/>
        <v>25.975708069913555</v>
      </c>
      <c r="AL72" s="132">
        <f t="shared" si="61"/>
        <v>27.306840329210488</v>
      </c>
      <c r="AM72" s="132">
        <f t="shared" si="62"/>
        <v>29.4377062420327</v>
      </c>
      <c r="AN72" s="132">
        <f t="shared" si="63"/>
        <v>31.366157137261499</v>
      </c>
      <c r="AO72" s="132">
        <f t="shared" si="64"/>
        <v>33.917383659864974</v>
      </c>
      <c r="AP72" s="132">
        <f t="shared" si="65"/>
        <v>38.7588595559615</v>
      </c>
      <c r="AQ72" s="132">
        <f t="shared" si="66"/>
        <v>41.133563398960717</v>
      </c>
      <c r="AR72" s="132">
        <f t="shared" si="67"/>
        <v>45.787357938233328</v>
      </c>
      <c r="AS72" s="132">
        <f t="shared" si="68"/>
        <v>47.419345068446226</v>
      </c>
      <c r="AU72" s="256">
        <v>-17.899999999999999</v>
      </c>
      <c r="AV72" s="256">
        <v>19.7</v>
      </c>
      <c r="AW72" s="256">
        <v>16</v>
      </c>
      <c r="AX72" s="256">
        <v>18.399999999999999</v>
      </c>
      <c r="AY72" s="256">
        <v>16.7</v>
      </c>
      <c r="AZ72" s="256">
        <v>10.4</v>
      </c>
      <c r="BA72" s="256">
        <v>13.3</v>
      </c>
      <c r="BB72" s="256">
        <v>9.807553122280698</v>
      </c>
      <c r="BC72" s="256">
        <v>13.489655360530438</v>
      </c>
      <c r="BD72" s="256">
        <v>11.598134613934549</v>
      </c>
      <c r="BE72" s="256">
        <v>14.210813110057538</v>
      </c>
      <c r="BF72" s="256">
        <v>12.417836184701697</v>
      </c>
      <c r="BG72" s="256">
        <v>14.919314475582542</v>
      </c>
      <c r="BH72" s="256">
        <v>12.601485959042215</v>
      </c>
      <c r="BI72" s="256">
        <v>15.581983345397486</v>
      </c>
      <c r="BJ72" s="256">
        <v>13.202334152394601</v>
      </c>
      <c r="BK72" s="256">
        <v>16.504404237649499</v>
      </c>
      <c r="BL72" s="256">
        <v>14.302306046552884</v>
      </c>
      <c r="BM72" s="256">
        <v>18.079615047790767</v>
      </c>
      <c r="BN72" s="256">
        <v>16.1085013132843</v>
      </c>
      <c r="BO72" s="256">
        <v>19.083730322758701</v>
      </c>
      <c r="BP72" s="256">
        <v>17.107524547573433</v>
      </c>
      <c r="BQ72" s="256">
        <v>21.657501262681901</v>
      </c>
      <c r="BR72" s="256">
        <v>18.386033557966648</v>
      </c>
      <c r="BS72" s="256">
        <v>21.481747273502801</v>
      </c>
      <c r="BT72" s="256">
        <v>19.479221364563749</v>
      </c>
      <c r="BV72" s="256">
        <v>1.80000000000001</v>
      </c>
      <c r="BW72" s="256">
        <v>34.4</v>
      </c>
      <c r="BX72" s="256">
        <v>27.1</v>
      </c>
      <c r="BY72" s="256">
        <v>23.548030676372601</v>
      </c>
      <c r="BZ72" s="256">
        <v>25.975708069913555</v>
      </c>
      <c r="CA72" s="256">
        <v>27.306840329210488</v>
      </c>
      <c r="CB72" s="256">
        <v>29.4377062420327</v>
      </c>
      <c r="CC72" s="256">
        <v>31.366157137261499</v>
      </c>
      <c r="CD72" s="256">
        <v>33.917383659864974</v>
      </c>
      <c r="CE72" s="256">
        <v>38.7588595559615</v>
      </c>
      <c r="CF72" s="256">
        <v>41.133563398960717</v>
      </c>
      <c r="CG72" s="256">
        <v>45.787357938233328</v>
      </c>
      <c r="CH72" s="256">
        <v>47.419345068446226</v>
      </c>
      <c r="CJ72" s="751" t="s">
        <v>1352</v>
      </c>
      <c r="CK72" s="751" t="s">
        <v>1366</v>
      </c>
      <c r="CL72" s="752" t="s">
        <v>961</v>
      </c>
      <c r="CM72" s="758">
        <f>_xll.VAData($CJ72,CM$3,$CK72,$CL72)</f>
        <v>-17.899999999999999</v>
      </c>
      <c r="CN72" s="758">
        <f>_xll.VAData($CJ72,CN$3,$CK72,$CL72)</f>
        <v>19.7</v>
      </c>
      <c r="CO72" s="758">
        <f>_xll.VAData($CJ72,CO$3,$CK72,$CL72)</f>
        <v>16</v>
      </c>
      <c r="CP72" s="758">
        <f>_xll.VAData($CJ72,CP$3,$CK72,$CL72)</f>
        <v>18.399999999999999</v>
      </c>
      <c r="CQ72" s="758">
        <f>_xll.VAData($CJ72,CQ$3,$CK72,$CL72)</f>
        <v>9.6</v>
      </c>
      <c r="CR72" s="758">
        <f>_xll.VAData($CJ72,CR$3,$CK72,$CL72)</f>
        <v>10.4</v>
      </c>
      <c r="CS72" s="758">
        <f>_xll.VAData($CJ72,CS$3,$CK72,$CL72)</f>
        <v>13.3</v>
      </c>
      <c r="CT72" s="758">
        <f>_xll.VAData($CJ72,CT$3,$CK72,$CL72)</f>
        <v>7.2</v>
      </c>
      <c r="CU72" s="758">
        <f>_xll.VAData($CJ72,CU$3,$CK72,$CL72)</f>
        <v>14.9</v>
      </c>
      <c r="CV72" s="758">
        <f>_xll.VAData($CJ72,CV$3,$CK72,$CL72)</f>
        <v>12.6</v>
      </c>
      <c r="CW72" s="758">
        <f>_xll.VAData($CJ72,CW$3,$CK72,$CL72)</f>
        <v>14.748569954264413</v>
      </c>
      <c r="CX72" s="758">
        <f>_xll.VAData($CJ72,CX$3,$CK72,$CL72)</f>
        <v>13.428863067169676</v>
      </c>
      <c r="CY72" s="758">
        <f>_xll.VAData($CJ72,CY$3,$CK72,$CL72)</f>
        <v>15.799266716686128</v>
      </c>
      <c r="CZ72" s="758">
        <f>_xll.VAData($CJ72,CZ$3,$CK72,$CL72)</f>
        <v>13.952041108311301</v>
      </c>
      <c r="DA72" s="758">
        <f>_xll.VAData($CJ72,DA$3,$CK72,$CL72)</f>
        <v>16.5420255833662</v>
      </c>
      <c r="DB72" s="758">
        <f>_xll.VAData($CJ72,DB$3,$CK72,$CL72)</f>
        <v>14.681096419734528</v>
      </c>
      <c r="DC72" s="758">
        <f>_xll.VAData($CJ72,DC$3,$CK72,$CL72)</f>
        <v>17.343711042686444</v>
      </c>
      <c r="DD72" s="758">
        <f>_xll.VAData($CJ72,DD$3,$CK72,$CL72)</f>
        <v>15.429364762720228</v>
      </c>
      <c r="DE72" s="758">
        <f>_xll.VAData($CJ72,DE$3,$CK72,$CL72)</f>
        <v>18.436988220303466</v>
      </c>
      <c r="DF72" s="758">
        <f>_xll.VAData($CJ72,DF$3,$CK72,$CL72)</f>
        <v>16.2550773210349</v>
      </c>
      <c r="DG72" s="758">
        <f>_xll.VAData($CJ72,DG$3,$CK72,$CL72)</f>
        <v>19.428533445035399</v>
      </c>
      <c r="DH72" s="758">
        <f>_xll.VAData($CJ72,DH$3,$CK72,$CL72)</f>
        <v>17.221323351809666</v>
      </c>
      <c r="DI72" s="758">
        <f>_xll.VAData($CJ72,DI$3,$CK72,$CL72)</f>
        <v>20.444041698295432</v>
      </c>
      <c r="DJ72" s="758">
        <f>_xll.VAData($CJ72,DJ$3,$CK72,$CL72)</f>
        <v>20.428889154055668</v>
      </c>
      <c r="DK72" s="758">
        <f>_xll.VAData($CJ72,DK$3,$CK72,$CL72)</f>
        <v>23.800602288807735</v>
      </c>
      <c r="DL72" s="758">
        <f>_xll.VAData($CJ72,DL$3,$CK72,$CL72)</f>
        <v>21.435017122210468</v>
      </c>
      <c r="DN72" s="758">
        <f>_xll.VAData($CJ72,DN$3,$CK72,$CL72)</f>
        <v>1.8</v>
      </c>
      <c r="DO72" s="758">
        <f>_xll.VAData($CJ72,DO$3,$CK72,$CL72)</f>
        <v>34.4</v>
      </c>
      <c r="DP72" s="758">
        <f>_xll.VAData($CJ72,DP$3,$CK72,$CL72)</f>
        <v>20</v>
      </c>
      <c r="DQ72" s="758">
        <f>_xll.VAData($CJ72,DQ$3,$CK72,$CL72)</f>
        <v>20.5</v>
      </c>
      <c r="DR72" s="758">
        <f>_xll.VAData($CJ72,DR$3,$CK72,$CL72)</f>
        <v>27.5</v>
      </c>
      <c r="DS72" s="758">
        <f>_xll.VAData($CJ72,DS$3,$CK72,$CL72)</f>
        <v>28.177433021434087</v>
      </c>
      <c r="DT72" s="758">
        <f>_xll.VAData($CJ72,DT$3,$CK72,$CL72)</f>
        <v>30.100161934813599</v>
      </c>
      <c r="DU72" s="758">
        <f>_xll.VAData($CJ72,DU$3,$CK72,$CL72)</f>
        <v>31.783919373736399</v>
      </c>
      <c r="DV72" s="758">
        <f>_xll.VAData($CJ72,DV$3,$CK72,$CL72)</f>
        <v>33.370999946924449</v>
      </c>
      <c r="DW72" s="758">
        <f>_xll.VAData($CJ72,DW$3,$CK72,$CL72)</f>
        <v>36.242816829345252</v>
      </c>
      <c r="DX72" s="758">
        <f>_xll.VAData($CJ72,DX$3,$CK72,$CL72)</f>
        <v>38.81018960895495</v>
      </c>
      <c r="DY72" s="758">
        <f>_xll.VAData($CJ72,DY$3,$CK72,$CL72)</f>
        <v>43.280634845122876</v>
      </c>
      <c r="DZ72" s="758">
        <f>_xll.VAData($CJ72,DZ$3,$CK72,$CL72)</f>
        <v>47.433295263428427</v>
      </c>
    </row>
    <row r="73" spans="2:130">
      <c r="B73" s="138"/>
      <c r="C73" s="82"/>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G73" s="7"/>
      <c r="AH73" s="7"/>
      <c r="AI73" s="7"/>
      <c r="AJ73" s="7"/>
      <c r="AK73" s="7"/>
      <c r="AL73" s="7"/>
      <c r="AM73" s="7"/>
      <c r="AN73" s="7"/>
      <c r="AO73" s="7"/>
      <c r="AP73" s="7"/>
      <c r="AQ73" s="7"/>
      <c r="AR73" s="7"/>
      <c r="AS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V73" s="7"/>
      <c r="BW73" s="7"/>
      <c r="BX73" s="7"/>
      <c r="BY73" s="7"/>
      <c r="BZ73" s="7"/>
      <c r="CA73" s="7"/>
      <c r="CB73" s="7"/>
      <c r="CC73" s="7"/>
      <c r="CD73" s="7"/>
      <c r="CE73" s="7"/>
      <c r="CF73" s="7"/>
      <c r="CG73" s="7"/>
      <c r="CH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N73" s="7"/>
      <c r="DO73" s="7"/>
      <c r="DP73" s="7"/>
      <c r="DQ73" s="7"/>
      <c r="DR73" s="7"/>
      <c r="DS73" s="7"/>
      <c r="DT73" s="7"/>
      <c r="DU73" s="7"/>
      <c r="DV73" s="7"/>
      <c r="DW73" s="7"/>
      <c r="DX73" s="7"/>
      <c r="DY73" s="7"/>
      <c r="DZ73" s="7"/>
    </row>
    <row r="74" spans="2:130">
      <c r="B74" s="130" t="s">
        <v>1494</v>
      </c>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row>
    <row r="75" spans="2:130">
      <c r="B75" s="138" t="str">
        <f t="shared" ref="B75:B81" si="70">B57</f>
        <v>Revenue</v>
      </c>
      <c r="C75" s="82" t="s">
        <v>842</v>
      </c>
      <c r="E75" s="7"/>
      <c r="F75" s="314">
        <f xml:space="preserve"> IFERROR(ROUND( F57/ F66,3) - 1, 0)</f>
        <v>0</v>
      </c>
      <c r="G75" s="314">
        <f t="shared" ref="G75:AE75" si="71" xml:space="preserve"> IFERROR(ROUND( G57/ G66,3) - 1, 0)</f>
        <v>0</v>
      </c>
      <c r="H75" s="314">
        <f t="shared" si="71"/>
        <v>0</v>
      </c>
      <c r="I75" s="314">
        <f t="shared" si="71"/>
        <v>0</v>
      </c>
      <c r="J75" s="314">
        <f t="shared" si="71"/>
        <v>-0.13700000000000001</v>
      </c>
      <c r="K75" s="314">
        <f t="shared" si="71"/>
        <v>0</v>
      </c>
      <c r="L75" s="314">
        <f t="shared" si="71"/>
        <v>0</v>
      </c>
      <c r="M75" s="314">
        <f t="shared" si="71"/>
        <v>3.2999999999999918E-2</v>
      </c>
      <c r="N75" s="314">
        <f t="shared" si="71"/>
        <v>2.4000000000000021E-2</v>
      </c>
      <c r="O75" s="314">
        <f t="shared" si="71"/>
        <v>2.6999999999999913E-2</v>
      </c>
      <c r="P75" s="314">
        <f t="shared" si="71"/>
        <v>2.200000000000002E-2</v>
      </c>
      <c r="Q75" s="314">
        <f t="shared" si="71"/>
        <v>2.4000000000000021E-2</v>
      </c>
      <c r="R75" s="314">
        <f t="shared" si="71"/>
        <v>2.0000000000000018E-2</v>
      </c>
      <c r="S75" s="314">
        <f t="shared" si="71"/>
        <v>2.8000000000000025E-2</v>
      </c>
      <c r="T75" s="314">
        <f t="shared" si="71"/>
        <v>2.4000000000000021E-2</v>
      </c>
      <c r="U75" s="314">
        <f t="shared" si="71"/>
        <v>3.2000000000000028E-2</v>
      </c>
      <c r="V75" s="314">
        <f t="shared" si="71"/>
        <v>2.4999999999999911E-2</v>
      </c>
      <c r="W75" s="314">
        <f t="shared" si="71"/>
        <v>2.0999999999999908E-2</v>
      </c>
      <c r="X75" s="314">
        <f t="shared" si="71"/>
        <v>8.999999999999897E-3</v>
      </c>
      <c r="Y75" s="314">
        <f t="shared" si="71"/>
        <v>-7.0000000000000062E-3</v>
      </c>
      <c r="Z75" s="314">
        <f t="shared" si="71"/>
        <v>8.999999999999897E-3</v>
      </c>
      <c r="AA75" s="314">
        <f t="shared" si="71"/>
        <v>-8.0000000000000071E-3</v>
      </c>
      <c r="AB75" s="314">
        <f t="shared" si="71"/>
        <v>1.2000000000000011E-2</v>
      </c>
      <c r="AC75" s="314">
        <f t="shared" si="71"/>
        <v>-3.0000000000000027E-3</v>
      </c>
      <c r="AD75" s="314">
        <f t="shared" si="71"/>
        <v>1.2999999999999901E-2</v>
      </c>
      <c r="AE75" s="314">
        <f t="shared" si="71"/>
        <v>-1.0000000000000009E-3</v>
      </c>
      <c r="AG75" s="314">
        <f t="shared" ref="AG75:AS75" si="72" xml:space="preserve"> IFERROR(ROUND( AG57/ AG66,3) - 1, 0)</f>
        <v>0</v>
      </c>
      <c r="AH75" s="314">
        <f t="shared" si="72"/>
        <v>0</v>
      </c>
      <c r="AI75" s="314">
        <f t="shared" si="72"/>
        <v>-7.1999999999999953E-2</v>
      </c>
      <c r="AJ75" s="314">
        <f t="shared" si="72"/>
        <v>1.8999999999999906E-2</v>
      </c>
      <c r="AK75" s="314">
        <f t="shared" si="72"/>
        <v>2.6000000000000023E-2</v>
      </c>
      <c r="AL75" s="314">
        <f t="shared" si="72"/>
        <v>2.2999999999999909E-2</v>
      </c>
      <c r="AM75" s="314">
        <f t="shared" si="72"/>
        <v>2.2999999999999909E-2</v>
      </c>
      <c r="AN75" s="314">
        <f t="shared" si="72"/>
        <v>2.8000000000000025E-2</v>
      </c>
      <c r="AO75" s="314">
        <f t="shared" si="72"/>
        <v>2.6000000000000023E-2</v>
      </c>
      <c r="AP75" s="314">
        <f t="shared" si="72"/>
        <v>1.4999999999999902E-2</v>
      </c>
      <c r="AQ75" s="314">
        <f t="shared" si="72"/>
        <v>1.8000000000000016E-2</v>
      </c>
      <c r="AR75" s="314">
        <f t="shared" si="72"/>
        <v>2.8000000000000025E-2</v>
      </c>
      <c r="AS75" s="314">
        <f t="shared" si="72"/>
        <v>3.2000000000000028E-2</v>
      </c>
      <c r="AU75" s="314"/>
      <c r="AV75" s="314"/>
      <c r="AW75" s="314"/>
      <c r="AX75" s="314"/>
      <c r="AY75" s="314"/>
      <c r="AZ75" s="314"/>
      <c r="BA75" s="314"/>
      <c r="BB75" s="314"/>
      <c r="BC75" s="314"/>
      <c r="BD75" s="314"/>
      <c r="BE75" s="314"/>
      <c r="BF75" s="314"/>
      <c r="BG75" s="314"/>
      <c r="BH75" s="314"/>
      <c r="BI75" s="314"/>
      <c r="BJ75" s="314"/>
      <c r="BK75" s="314"/>
      <c r="BL75" s="314"/>
      <c r="BM75" s="314"/>
      <c r="BN75" s="314"/>
      <c r="BO75" s="314"/>
      <c r="BP75" s="314"/>
      <c r="BQ75" s="314"/>
      <c r="BR75" s="314"/>
      <c r="BS75" s="314"/>
      <c r="BT75" s="314"/>
      <c r="BV75" s="314"/>
      <c r="BW75" s="314"/>
      <c r="BX75" s="314"/>
      <c r="BY75" s="314"/>
      <c r="BZ75" s="314"/>
      <c r="CA75" s="314"/>
      <c r="CB75" s="314"/>
      <c r="CC75" s="314"/>
      <c r="CD75" s="314"/>
      <c r="CE75" s="314"/>
      <c r="CF75" s="314"/>
      <c r="CG75" s="314"/>
      <c r="CH75" s="314"/>
      <c r="CM75" s="314"/>
      <c r="CN75" s="314"/>
      <c r="CO75" s="314"/>
      <c r="CP75" s="314"/>
      <c r="CQ75" s="314"/>
      <c r="CR75" s="314"/>
      <c r="CS75" s="314"/>
      <c r="CT75" s="314"/>
      <c r="CU75" s="314"/>
      <c r="CV75" s="314"/>
      <c r="CW75" s="314"/>
      <c r="CX75" s="314"/>
      <c r="CY75" s="314"/>
      <c r="CZ75" s="314"/>
      <c r="DA75" s="314"/>
      <c r="DB75" s="314"/>
      <c r="DC75" s="314"/>
      <c r="DD75" s="314"/>
      <c r="DE75" s="314"/>
      <c r="DF75" s="314"/>
      <c r="DG75" s="314"/>
      <c r="DH75" s="314"/>
      <c r="DI75" s="314"/>
      <c r="DJ75" s="314"/>
      <c r="DK75" s="314"/>
      <c r="DL75" s="314"/>
      <c r="DN75" s="314"/>
      <c r="DO75" s="314"/>
      <c r="DP75" s="314"/>
      <c r="DQ75" s="314"/>
      <c r="DR75" s="314"/>
      <c r="DS75" s="314"/>
      <c r="DT75" s="314"/>
      <c r="DU75" s="314"/>
      <c r="DV75" s="314"/>
      <c r="DW75" s="314"/>
      <c r="DX75" s="314"/>
      <c r="DY75" s="314"/>
      <c r="DZ75" s="314"/>
    </row>
    <row r="76" spans="2:130">
      <c r="B76" s="138" t="str">
        <f t="shared" si="70"/>
        <v>Taxes &amp; Commissions</v>
      </c>
      <c r="C76" s="82" t="s">
        <v>842</v>
      </c>
      <c r="E76" s="24"/>
      <c r="F76" s="314">
        <f t="shared" ref="F76:AE76" si="73" xml:space="preserve"> IFERROR(ROUND( F58/ F67,3) - 1, 0)</f>
        <v>0</v>
      </c>
      <c r="G76" s="314">
        <f t="shared" si="73"/>
        <v>0</v>
      </c>
      <c r="H76" s="314">
        <f t="shared" si="73"/>
        <v>0</v>
      </c>
      <c r="I76" s="314">
        <f t="shared" si="73"/>
        <v>0</v>
      </c>
      <c r="J76" s="314">
        <f t="shared" si="73"/>
        <v>-0.69199999999999995</v>
      </c>
      <c r="K76" s="314">
        <f t="shared" si="73"/>
        <v>0</v>
      </c>
      <c r="L76" s="314">
        <f t="shared" si="73"/>
        <v>0</v>
      </c>
      <c r="M76" s="314">
        <f t="shared" si="73"/>
        <v>-0.19699999999999995</v>
      </c>
      <c r="N76" s="314">
        <f t="shared" si="73"/>
        <v>-7.0999999999999952E-2</v>
      </c>
      <c r="O76" s="314">
        <f t="shared" si="73"/>
        <v>-0.43000000000000005</v>
      </c>
      <c r="P76" s="314">
        <f t="shared" si="73"/>
        <v>-0.43400000000000005</v>
      </c>
      <c r="Q76" s="314">
        <f t="shared" si="73"/>
        <v>-0.43200000000000005</v>
      </c>
      <c r="R76" s="314">
        <f t="shared" si="73"/>
        <v>-0.45199999999999996</v>
      </c>
      <c r="S76" s="314">
        <f t="shared" si="73"/>
        <v>-0.44799999999999995</v>
      </c>
      <c r="T76" s="314">
        <f t="shared" si="73"/>
        <v>-0.45099999999999996</v>
      </c>
      <c r="U76" s="314">
        <f t="shared" si="73"/>
        <v>-0.44599999999999995</v>
      </c>
      <c r="V76" s="314">
        <f t="shared" si="73"/>
        <v>-0.498</v>
      </c>
      <c r="W76" s="314">
        <f t="shared" si="73"/>
        <v>-0.497</v>
      </c>
      <c r="X76" s="314">
        <f t="shared" si="73"/>
        <v>-0.504</v>
      </c>
      <c r="Y76" s="314">
        <f t="shared" si="73"/>
        <v>-0.50800000000000001</v>
      </c>
      <c r="Z76" s="314">
        <f t="shared" si="73"/>
        <v>-0.505</v>
      </c>
      <c r="AA76" s="314">
        <f t="shared" si="73"/>
        <v>-0.50900000000000001</v>
      </c>
      <c r="AB76" s="314">
        <f t="shared" si="73"/>
        <v>-0.501</v>
      </c>
      <c r="AC76" s="314">
        <f t="shared" si="73"/>
        <v>-0.502</v>
      </c>
      <c r="AD76" s="314">
        <f t="shared" si="73"/>
        <v>-0.5</v>
      </c>
      <c r="AE76" s="314">
        <f t="shared" si="73"/>
        <v>-0.501</v>
      </c>
      <c r="AG76" s="314">
        <f t="shared" ref="AG76:AS76" si="74" xml:space="preserve"> IFERROR(ROUND( AG58/ AG67,3) - 1, 0)</f>
        <v>0</v>
      </c>
      <c r="AH76" s="314">
        <f t="shared" si="74"/>
        <v>0</v>
      </c>
      <c r="AI76" s="314">
        <f t="shared" si="74"/>
        <v>-0.34599999999999997</v>
      </c>
      <c r="AJ76" s="314">
        <f t="shared" si="74"/>
        <v>-6.4999999999999947E-2</v>
      </c>
      <c r="AK76" s="314">
        <f t="shared" si="74"/>
        <v>-0.23099999999999998</v>
      </c>
      <c r="AL76" s="314">
        <f t="shared" si="74"/>
        <v>-0.41900000000000004</v>
      </c>
      <c r="AM76" s="314">
        <f t="shared" si="74"/>
        <v>-0.42100000000000004</v>
      </c>
      <c r="AN76" s="314">
        <f t="shared" si="74"/>
        <v>-0.41800000000000004</v>
      </c>
      <c r="AO76" s="314">
        <f t="shared" si="74"/>
        <v>-0.45299999999999996</v>
      </c>
      <c r="AP76" s="314">
        <f t="shared" si="74"/>
        <v>-0.43799999999999994</v>
      </c>
      <c r="AQ76" s="314">
        <f t="shared" si="74"/>
        <v>-0.43700000000000006</v>
      </c>
      <c r="AR76" s="314">
        <f t="shared" si="74"/>
        <v>-0.41000000000000003</v>
      </c>
      <c r="AS76" s="314">
        <f t="shared" si="74"/>
        <v>-0.40700000000000003</v>
      </c>
      <c r="AU76" s="314"/>
      <c r="AV76" s="314"/>
      <c r="AW76" s="314"/>
      <c r="AX76" s="314"/>
      <c r="AY76" s="314"/>
      <c r="AZ76" s="314"/>
      <c r="BA76" s="314"/>
      <c r="BB76" s="314"/>
      <c r="BC76" s="314"/>
      <c r="BD76" s="314"/>
      <c r="BE76" s="314"/>
      <c r="BF76" s="314"/>
      <c r="BG76" s="314"/>
      <c r="BH76" s="314"/>
      <c r="BI76" s="314"/>
      <c r="BJ76" s="314"/>
      <c r="BK76" s="314"/>
      <c r="BL76" s="314"/>
      <c r="BM76" s="314"/>
      <c r="BN76" s="314"/>
      <c r="BO76" s="314"/>
      <c r="BP76" s="314"/>
      <c r="BQ76" s="314"/>
      <c r="BR76" s="314"/>
      <c r="BS76" s="314"/>
      <c r="BT76" s="314"/>
      <c r="BV76" s="314"/>
      <c r="BW76" s="314"/>
      <c r="BX76" s="314"/>
      <c r="BY76" s="314"/>
      <c r="BZ76" s="314"/>
      <c r="CA76" s="314"/>
      <c r="CB76" s="314"/>
      <c r="CC76" s="314"/>
      <c r="CD76" s="314"/>
      <c r="CE76" s="314"/>
      <c r="CF76" s="314"/>
      <c r="CG76" s="314"/>
      <c r="CH76" s="314"/>
      <c r="CM76" s="314"/>
      <c r="CN76" s="314"/>
      <c r="CO76" s="314"/>
      <c r="CP76" s="314"/>
      <c r="CQ76" s="314"/>
      <c r="CR76" s="314"/>
      <c r="CS76" s="314"/>
      <c r="CT76" s="314"/>
      <c r="CU76" s="314"/>
      <c r="CV76" s="314"/>
      <c r="CW76" s="314"/>
      <c r="CX76" s="314"/>
      <c r="CY76" s="314"/>
      <c r="CZ76" s="314"/>
      <c r="DA76" s="314"/>
      <c r="DB76" s="314"/>
      <c r="DC76" s="314"/>
      <c r="DD76" s="314"/>
      <c r="DE76" s="314"/>
      <c r="DF76" s="314"/>
      <c r="DG76" s="314"/>
      <c r="DH76" s="314"/>
      <c r="DI76" s="314"/>
      <c r="DJ76" s="314"/>
      <c r="DK76" s="314"/>
      <c r="DL76" s="314"/>
      <c r="DN76" s="314"/>
      <c r="DO76" s="314"/>
      <c r="DP76" s="314"/>
      <c r="DQ76" s="314"/>
      <c r="DR76" s="314"/>
      <c r="DS76" s="314"/>
      <c r="DT76" s="314"/>
      <c r="DU76" s="314"/>
      <c r="DV76" s="314"/>
      <c r="DW76" s="314"/>
      <c r="DX76" s="314"/>
      <c r="DY76" s="314"/>
      <c r="DZ76" s="314"/>
    </row>
    <row r="77" spans="2:130">
      <c r="B77" s="138" t="str">
        <f t="shared" si="70"/>
        <v>Variable Contribution</v>
      </c>
      <c r="C77" s="82" t="s">
        <v>842</v>
      </c>
      <c r="E77" s="7"/>
      <c r="F77" s="314">
        <f t="shared" ref="F77:AE77" si="75" xml:space="preserve"> IFERROR(ROUND( F59/ F68,3) - 1, 0)</f>
        <v>0</v>
      </c>
      <c r="G77" s="314">
        <f t="shared" si="75"/>
        <v>0</v>
      </c>
      <c r="H77" s="314">
        <f t="shared" si="75"/>
        <v>0</v>
      </c>
      <c r="I77" s="314">
        <f t="shared" si="75"/>
        <v>0</v>
      </c>
      <c r="J77" s="314">
        <f t="shared" si="75"/>
        <v>-0.129</v>
      </c>
      <c r="K77" s="314">
        <f t="shared" si="75"/>
        <v>0</v>
      </c>
      <c r="L77" s="314">
        <f t="shared" si="75"/>
        <v>0</v>
      </c>
      <c r="M77" s="314">
        <f t="shared" si="75"/>
        <v>4.2000000000000037E-2</v>
      </c>
      <c r="N77" s="314">
        <f t="shared" si="75"/>
        <v>2.8000000000000025E-2</v>
      </c>
      <c r="O77" s="314">
        <f t="shared" si="75"/>
        <v>4.2999999999999927E-2</v>
      </c>
      <c r="P77" s="314">
        <f t="shared" si="75"/>
        <v>3.0999999999999917E-2</v>
      </c>
      <c r="Q77" s="314">
        <f t="shared" si="75"/>
        <v>3.8000000000000034E-2</v>
      </c>
      <c r="R77" s="314">
        <f t="shared" si="75"/>
        <v>2.8999999999999915E-2</v>
      </c>
      <c r="S77" s="314">
        <f t="shared" si="75"/>
        <v>4.4999999999999929E-2</v>
      </c>
      <c r="T77" s="314">
        <f t="shared" si="75"/>
        <v>3.2000000000000028E-2</v>
      </c>
      <c r="U77" s="314">
        <f t="shared" si="75"/>
        <v>4.8999999999999932E-2</v>
      </c>
      <c r="V77" s="314">
        <f t="shared" si="75"/>
        <v>3.2000000000000028E-2</v>
      </c>
      <c r="W77" s="314">
        <f t="shared" si="75"/>
        <v>3.2999999999999918E-2</v>
      </c>
      <c r="X77" s="314">
        <f t="shared" si="75"/>
        <v>2.200000000000002E-2</v>
      </c>
      <c r="Y77" s="314">
        <f t="shared" si="75"/>
        <v>1.4999999999999902E-2</v>
      </c>
      <c r="Z77" s="314">
        <f t="shared" si="75"/>
        <v>2.200000000000002E-2</v>
      </c>
      <c r="AA77" s="314">
        <f t="shared" si="75"/>
        <v>1.4000000000000012E-2</v>
      </c>
      <c r="AB77" s="314">
        <f t="shared" si="75"/>
        <v>2.8000000000000025E-2</v>
      </c>
      <c r="AC77" s="314">
        <f t="shared" si="75"/>
        <v>2.6999999999999913E-2</v>
      </c>
      <c r="AD77" s="314">
        <f t="shared" si="75"/>
        <v>3.0999999999999917E-2</v>
      </c>
      <c r="AE77" s="314">
        <f t="shared" si="75"/>
        <v>3.0000000000000027E-2</v>
      </c>
      <c r="AG77" s="314">
        <f t="shared" ref="AG77:AS77" si="76" xml:space="preserve"> IFERROR(ROUND( AG59/ AG68,3) - 1, 0)</f>
        <v>0</v>
      </c>
      <c r="AH77" s="314">
        <f t="shared" si="76"/>
        <v>0</v>
      </c>
      <c r="AI77" s="314">
        <f t="shared" si="76"/>
        <v>-6.7999999999999949E-2</v>
      </c>
      <c r="AJ77" s="314">
        <f t="shared" si="76"/>
        <v>2.0999999999999908E-2</v>
      </c>
      <c r="AK77" s="314">
        <f t="shared" si="76"/>
        <v>3.499999999999992E-2</v>
      </c>
      <c r="AL77" s="314">
        <f t="shared" si="76"/>
        <v>3.400000000000003E-2</v>
      </c>
      <c r="AM77" s="314">
        <f t="shared" si="76"/>
        <v>3.2999999999999918E-2</v>
      </c>
      <c r="AN77" s="314">
        <f t="shared" si="76"/>
        <v>3.8000000000000034E-2</v>
      </c>
      <c r="AO77" s="314">
        <f t="shared" si="76"/>
        <v>3.499999999999992E-2</v>
      </c>
      <c r="AP77" s="314">
        <f t="shared" si="76"/>
        <v>3.0999999999999917E-2</v>
      </c>
      <c r="AQ77" s="314">
        <f t="shared" si="76"/>
        <v>3.400000000000003E-2</v>
      </c>
      <c r="AR77" s="314">
        <f t="shared" si="76"/>
        <v>4.8000000000000043E-2</v>
      </c>
      <c r="AS77" s="314">
        <f t="shared" si="76"/>
        <v>5.4000000000000048E-2</v>
      </c>
      <c r="AU77" s="314"/>
      <c r="AV77" s="314"/>
      <c r="AW77" s="314"/>
      <c r="AX77" s="314"/>
      <c r="AY77" s="314"/>
      <c r="AZ77" s="314"/>
      <c r="BA77" s="314"/>
      <c r="BB77" s="314"/>
      <c r="BC77" s="314"/>
      <c r="BD77" s="314"/>
      <c r="BE77" s="314"/>
      <c r="BF77" s="314"/>
      <c r="BG77" s="314"/>
      <c r="BH77" s="314"/>
      <c r="BI77" s="314"/>
      <c r="BJ77" s="314"/>
      <c r="BK77" s="314"/>
      <c r="BL77" s="314"/>
      <c r="BM77" s="314"/>
      <c r="BN77" s="314"/>
      <c r="BO77" s="314"/>
      <c r="BP77" s="314"/>
      <c r="BQ77" s="314"/>
      <c r="BR77" s="314"/>
      <c r="BS77" s="314"/>
      <c r="BT77" s="314"/>
      <c r="BV77" s="314"/>
      <c r="BW77" s="314"/>
      <c r="BX77" s="314"/>
      <c r="BY77" s="314"/>
      <c r="BZ77" s="314"/>
      <c r="CA77" s="314"/>
      <c r="CB77" s="314"/>
      <c r="CC77" s="314"/>
      <c r="CD77" s="314"/>
      <c r="CE77" s="314"/>
      <c r="CF77" s="314"/>
      <c r="CG77" s="314"/>
      <c r="CH77" s="314"/>
      <c r="CM77" s="314"/>
      <c r="CN77" s="314"/>
      <c r="CO77" s="314"/>
      <c r="CP77" s="314"/>
      <c r="CQ77" s="314"/>
      <c r="CR77" s="314"/>
      <c r="CS77" s="314"/>
      <c r="CT77" s="314"/>
      <c r="CU77" s="314"/>
      <c r="CV77" s="314"/>
      <c r="CW77" s="314"/>
      <c r="CX77" s="314"/>
      <c r="CY77" s="314"/>
      <c r="CZ77" s="314"/>
      <c r="DA77" s="314"/>
      <c r="DB77" s="314"/>
      <c r="DC77" s="314"/>
      <c r="DD77" s="314"/>
      <c r="DE77" s="314"/>
      <c r="DF77" s="314"/>
      <c r="DG77" s="314"/>
      <c r="DH77" s="314"/>
      <c r="DI77" s="314"/>
      <c r="DJ77" s="314"/>
      <c r="DK77" s="314"/>
      <c r="DL77" s="314"/>
      <c r="DN77" s="314"/>
      <c r="DO77" s="314"/>
      <c r="DP77" s="314"/>
      <c r="DQ77" s="314"/>
      <c r="DR77" s="314"/>
      <c r="DS77" s="314"/>
      <c r="DT77" s="314"/>
      <c r="DU77" s="314"/>
      <c r="DV77" s="314"/>
      <c r="DW77" s="314"/>
      <c r="DX77" s="314"/>
      <c r="DY77" s="314"/>
      <c r="DZ77" s="314"/>
    </row>
    <row r="78" spans="2:130">
      <c r="B78" s="138" t="str">
        <f t="shared" si="70"/>
        <v>Opex</v>
      </c>
      <c r="C78" s="82" t="s">
        <v>842</v>
      </c>
      <c r="E78" s="7"/>
      <c r="F78" s="314">
        <f t="shared" ref="F78:AE78" si="77" xml:space="preserve"> IFERROR(ROUND( F60/ F69,3) - 1, 0)</f>
        <v>0</v>
      </c>
      <c r="G78" s="314">
        <f t="shared" si="77"/>
        <v>0</v>
      </c>
      <c r="H78" s="314">
        <f t="shared" si="77"/>
        <v>0</v>
      </c>
      <c r="I78" s="314">
        <f t="shared" si="77"/>
        <v>0</v>
      </c>
      <c r="J78" s="314">
        <f t="shared" si="77"/>
        <v>-7.6999999999999957E-2</v>
      </c>
      <c r="K78" s="314">
        <f t="shared" si="77"/>
        <v>0</v>
      </c>
      <c r="L78" s="314">
        <f t="shared" si="77"/>
        <v>0</v>
      </c>
      <c r="M78" s="314">
        <f t="shared" si="77"/>
        <v>9.8000000000000087E-2</v>
      </c>
      <c r="N78" s="314">
        <f t="shared" si="77"/>
        <v>-1.0000000000000009E-3</v>
      </c>
      <c r="O78" s="314">
        <f t="shared" si="77"/>
        <v>2.200000000000002E-2</v>
      </c>
      <c r="P78" s="314">
        <f t="shared" si="77"/>
        <v>2.8999999999999915E-2</v>
      </c>
      <c r="Q78" s="314">
        <f t="shared" si="77"/>
        <v>1.6999999999999904E-2</v>
      </c>
      <c r="R78" s="314">
        <f t="shared" si="77"/>
        <v>2.6999999999999913E-2</v>
      </c>
      <c r="S78" s="314">
        <f t="shared" si="77"/>
        <v>1.2999999999999901E-2</v>
      </c>
      <c r="T78" s="314">
        <f t="shared" si="77"/>
        <v>3.0999999999999917E-2</v>
      </c>
      <c r="U78" s="314">
        <f t="shared" si="77"/>
        <v>1.8000000000000016E-2</v>
      </c>
      <c r="V78" s="314">
        <f t="shared" si="77"/>
        <v>3.6999999999999922E-2</v>
      </c>
      <c r="W78" s="314">
        <f t="shared" si="77"/>
        <v>6.0000000000000053E-3</v>
      </c>
      <c r="X78" s="314">
        <f t="shared" si="77"/>
        <v>2.6000000000000023E-2</v>
      </c>
      <c r="Y78" s="314">
        <f t="shared" si="77"/>
        <v>-9.000000000000008E-3</v>
      </c>
      <c r="Z78" s="314">
        <f t="shared" si="77"/>
        <v>2.6999999999999913E-2</v>
      </c>
      <c r="AA78" s="314">
        <f t="shared" si="77"/>
        <v>-8.0000000000000071E-3</v>
      </c>
      <c r="AB78" s="314">
        <f t="shared" si="77"/>
        <v>3.0999999999999917E-2</v>
      </c>
      <c r="AC78" s="314">
        <f t="shared" si="77"/>
        <v>4.0000000000000036E-3</v>
      </c>
      <c r="AD78" s="314">
        <f t="shared" si="77"/>
        <v>3.2999999999999918E-2</v>
      </c>
      <c r="AE78" s="314">
        <f t="shared" si="77"/>
        <v>4.9999999999998934E-3</v>
      </c>
      <c r="AG78" s="314">
        <f t="shared" ref="AG78:AS78" si="78" xml:space="preserve"> IFERROR(ROUND( AG60/ AG69,3) - 1, 0)</f>
        <v>0</v>
      </c>
      <c r="AH78" s="314">
        <f t="shared" si="78"/>
        <v>0</v>
      </c>
      <c r="AI78" s="314">
        <f t="shared" si="78"/>
        <v>-4.0000000000000036E-2</v>
      </c>
      <c r="AJ78" s="314">
        <f t="shared" si="78"/>
        <v>4.8999999999999932E-2</v>
      </c>
      <c r="AK78" s="314">
        <f t="shared" si="78"/>
        <v>1.2000000000000011E-2</v>
      </c>
      <c r="AL78" s="314">
        <f t="shared" si="78"/>
        <v>2.6000000000000023E-2</v>
      </c>
      <c r="AM78" s="314">
        <f t="shared" si="78"/>
        <v>2.6000000000000023E-2</v>
      </c>
      <c r="AN78" s="314">
        <f t="shared" si="78"/>
        <v>3.2999999999999918E-2</v>
      </c>
      <c r="AO78" s="314">
        <f t="shared" si="78"/>
        <v>3.499999999999992E-2</v>
      </c>
      <c r="AP78" s="314">
        <f t="shared" si="78"/>
        <v>3.499999999999992E-2</v>
      </c>
      <c r="AQ78" s="314">
        <f t="shared" si="78"/>
        <v>3.8999999999999924E-2</v>
      </c>
      <c r="AR78" s="314">
        <f t="shared" si="78"/>
        <v>5.600000000000005E-2</v>
      </c>
      <c r="AS78" s="314">
        <f t="shared" si="78"/>
        <v>6.2000000000000055E-2</v>
      </c>
      <c r="AU78" s="314"/>
      <c r="AV78" s="314"/>
      <c r="AW78" s="314"/>
      <c r="AX78" s="314"/>
      <c r="AY78" s="314"/>
      <c r="AZ78" s="314"/>
      <c r="BA78" s="314"/>
      <c r="BB78" s="314"/>
      <c r="BC78" s="314"/>
      <c r="BD78" s="314"/>
      <c r="BE78" s="314"/>
      <c r="BF78" s="314"/>
      <c r="BG78" s="314"/>
      <c r="BH78" s="314"/>
      <c r="BI78" s="314"/>
      <c r="BJ78" s="314"/>
      <c r="BK78" s="314"/>
      <c r="BL78" s="314"/>
      <c r="BM78" s="314"/>
      <c r="BN78" s="314"/>
      <c r="BO78" s="314"/>
      <c r="BP78" s="314"/>
      <c r="BQ78" s="314"/>
      <c r="BR78" s="314"/>
      <c r="BS78" s="314"/>
      <c r="BT78" s="314"/>
      <c r="BV78" s="314"/>
      <c r="BW78" s="314"/>
      <c r="BX78" s="314"/>
      <c r="BY78" s="314"/>
      <c r="BZ78" s="314"/>
      <c r="CA78" s="314"/>
      <c r="CB78" s="314"/>
      <c r="CC78" s="314"/>
      <c r="CD78" s="314"/>
      <c r="CE78" s="314"/>
      <c r="CF78" s="314"/>
      <c r="CG78" s="314"/>
      <c r="CH78" s="314"/>
      <c r="CM78" s="314"/>
      <c r="CN78" s="314"/>
      <c r="CO78" s="314"/>
      <c r="CP78" s="314"/>
      <c r="CQ78" s="314"/>
      <c r="CR78" s="314"/>
      <c r="CS78" s="314"/>
      <c r="CT78" s="314"/>
      <c r="CU78" s="314"/>
      <c r="CV78" s="314"/>
      <c r="CW78" s="314"/>
      <c r="CX78" s="314"/>
      <c r="CY78" s="314"/>
      <c r="CZ78" s="314"/>
      <c r="DA78" s="314"/>
      <c r="DB78" s="314"/>
      <c r="DC78" s="314"/>
      <c r="DD78" s="314"/>
      <c r="DE78" s="314"/>
      <c r="DF78" s="314"/>
      <c r="DG78" s="314"/>
      <c r="DH78" s="314"/>
      <c r="DI78" s="314"/>
      <c r="DJ78" s="314"/>
      <c r="DK78" s="314"/>
      <c r="DL78" s="314"/>
      <c r="DN78" s="314"/>
      <c r="DO78" s="314"/>
      <c r="DP78" s="314"/>
      <c r="DQ78" s="314"/>
      <c r="DR78" s="314"/>
      <c r="DS78" s="314"/>
      <c r="DT78" s="314"/>
      <c r="DU78" s="314"/>
      <c r="DV78" s="314"/>
      <c r="DW78" s="314"/>
      <c r="DX78" s="314"/>
      <c r="DY78" s="314"/>
      <c r="DZ78" s="314"/>
    </row>
    <row r="79" spans="2:130">
      <c r="B79" s="138" t="str">
        <f t="shared" si="70"/>
        <v>EBITDA</v>
      </c>
      <c r="C79" s="82" t="s">
        <v>842</v>
      </c>
      <c r="E79" s="7"/>
      <c r="F79" s="314">
        <f t="shared" ref="F79:AE79" si="79" xml:space="preserve"> IFERROR(ROUND( F61/ F70,3) - 1, 0)</f>
        <v>0</v>
      </c>
      <c r="G79" s="314">
        <f t="shared" si="79"/>
        <v>0</v>
      </c>
      <c r="H79" s="314">
        <f t="shared" si="79"/>
        <v>0</v>
      </c>
      <c r="I79" s="314">
        <f t="shared" si="79"/>
        <v>0</v>
      </c>
      <c r="J79" s="314">
        <f t="shared" si="79"/>
        <v>-0.20899999999999996</v>
      </c>
      <c r="K79" s="314">
        <f t="shared" si="79"/>
        <v>0</v>
      </c>
      <c r="L79" s="314">
        <f t="shared" si="79"/>
        <v>0</v>
      </c>
      <c r="M79" s="314">
        <f t="shared" si="79"/>
        <v>-6.1000000000000054E-2</v>
      </c>
      <c r="N79" s="314">
        <f t="shared" si="79"/>
        <v>7.0999999999999952E-2</v>
      </c>
      <c r="O79" s="314">
        <f t="shared" si="79"/>
        <v>6.4999999999999947E-2</v>
      </c>
      <c r="P79" s="314">
        <f t="shared" si="79"/>
        <v>3.0999999999999917E-2</v>
      </c>
      <c r="Q79" s="314">
        <f t="shared" si="79"/>
        <v>6.2000000000000055E-2</v>
      </c>
      <c r="R79" s="314">
        <f t="shared" si="79"/>
        <v>3.0000000000000027E-2</v>
      </c>
      <c r="S79" s="314">
        <f t="shared" si="79"/>
        <v>8.4000000000000075E-2</v>
      </c>
      <c r="T79" s="314">
        <f t="shared" si="79"/>
        <v>3.2000000000000028E-2</v>
      </c>
      <c r="U79" s="314">
        <f t="shared" si="79"/>
        <v>8.6999999999999966E-2</v>
      </c>
      <c r="V79" s="314">
        <f t="shared" si="79"/>
        <v>2.2999999999999909E-2</v>
      </c>
      <c r="W79" s="314">
        <f t="shared" si="79"/>
        <v>6.899999999999995E-2</v>
      </c>
      <c r="X79" s="314">
        <f t="shared" si="79"/>
        <v>1.2000000000000011E-2</v>
      </c>
      <c r="Y79" s="314">
        <f t="shared" si="79"/>
        <v>4.6000000000000041E-2</v>
      </c>
      <c r="Z79" s="314">
        <f t="shared" si="79"/>
        <v>1.0000000000000009E-2</v>
      </c>
      <c r="AA79" s="314">
        <f t="shared" si="79"/>
        <v>4.2000000000000037E-2</v>
      </c>
      <c r="AB79" s="314">
        <f t="shared" si="79"/>
        <v>1.4000000000000012E-2</v>
      </c>
      <c r="AC79" s="314">
        <f t="shared" si="79"/>
        <v>4.4000000000000039E-2</v>
      </c>
      <c r="AD79" s="314">
        <f t="shared" si="79"/>
        <v>1.6000000000000014E-2</v>
      </c>
      <c r="AE79" s="314">
        <f t="shared" si="79"/>
        <v>4.6000000000000041E-2</v>
      </c>
      <c r="AG79" s="314">
        <f t="shared" ref="AG79:AS79" si="80" xml:space="preserve"> IFERROR(ROUND( AG61/ AG70,3) - 1, 0)</f>
        <v>0</v>
      </c>
      <c r="AH79" s="314">
        <f t="shared" si="80"/>
        <v>0</v>
      </c>
      <c r="AI79" s="314">
        <f t="shared" si="80"/>
        <v>-0.11299999999999999</v>
      </c>
      <c r="AJ79" s="314">
        <f t="shared" si="80"/>
        <v>-2.7000000000000024E-2</v>
      </c>
      <c r="AK79" s="314">
        <f t="shared" si="80"/>
        <v>6.4999999999999947E-2</v>
      </c>
      <c r="AL79" s="314">
        <f t="shared" si="80"/>
        <v>4.2000000000000037E-2</v>
      </c>
      <c r="AM79" s="314">
        <f t="shared" si="80"/>
        <v>3.8999999999999924E-2</v>
      </c>
      <c r="AN79" s="314">
        <f t="shared" si="80"/>
        <v>4.2000000000000037E-2</v>
      </c>
      <c r="AO79" s="314">
        <f t="shared" si="80"/>
        <v>3.0999999999999917E-2</v>
      </c>
      <c r="AP79" s="314">
        <f t="shared" si="80"/>
        <v>1.4000000000000012E-2</v>
      </c>
      <c r="AQ79" s="314">
        <f t="shared" si="80"/>
        <v>1.2999999999999901E-2</v>
      </c>
      <c r="AR79" s="314">
        <f t="shared" si="80"/>
        <v>1.4000000000000012E-2</v>
      </c>
      <c r="AS79" s="314">
        <f t="shared" si="80"/>
        <v>1.6000000000000014E-2</v>
      </c>
      <c r="AU79" s="314"/>
      <c r="AV79" s="314"/>
      <c r="AW79" s="314"/>
      <c r="AX79" s="314"/>
      <c r="AY79" s="314"/>
      <c r="AZ79" s="314"/>
      <c r="BA79" s="314"/>
      <c r="BB79" s="314"/>
      <c r="BC79" s="314"/>
      <c r="BD79" s="314"/>
      <c r="BE79" s="314"/>
      <c r="BF79" s="314"/>
      <c r="BG79" s="314"/>
      <c r="BH79" s="314"/>
      <c r="BI79" s="314"/>
      <c r="BJ79" s="314"/>
      <c r="BK79" s="314"/>
      <c r="BL79" s="314"/>
      <c r="BM79" s="314"/>
      <c r="BN79" s="314"/>
      <c r="BO79" s="314"/>
      <c r="BP79" s="314"/>
      <c r="BQ79" s="314"/>
      <c r="BR79" s="314"/>
      <c r="BS79" s="314"/>
      <c r="BT79" s="314"/>
      <c r="BV79" s="314"/>
      <c r="BW79" s="314"/>
      <c r="BX79" s="314"/>
      <c r="BY79" s="314"/>
      <c r="BZ79" s="314"/>
      <c r="CA79" s="314"/>
      <c r="CB79" s="314"/>
      <c r="CC79" s="314"/>
      <c r="CD79" s="314"/>
      <c r="CE79" s="314"/>
      <c r="CF79" s="314"/>
      <c r="CG79" s="314"/>
      <c r="CH79" s="314"/>
      <c r="CM79" s="314"/>
      <c r="CN79" s="314"/>
      <c r="CO79" s="314"/>
      <c r="CP79" s="314"/>
      <c r="CQ79" s="314"/>
      <c r="CR79" s="314"/>
      <c r="CS79" s="314"/>
      <c r="CT79" s="314"/>
      <c r="CU79" s="314"/>
      <c r="CV79" s="314"/>
      <c r="CW79" s="314"/>
      <c r="CX79" s="314"/>
      <c r="CY79" s="314"/>
      <c r="CZ79" s="314"/>
      <c r="DA79" s="314"/>
      <c r="DB79" s="314"/>
      <c r="DC79" s="314"/>
      <c r="DD79" s="314"/>
      <c r="DE79" s="314"/>
      <c r="DF79" s="314"/>
      <c r="DG79" s="314"/>
      <c r="DH79" s="314"/>
      <c r="DI79" s="314"/>
      <c r="DJ79" s="314"/>
      <c r="DK79" s="314"/>
      <c r="DL79" s="314"/>
      <c r="DN79" s="314"/>
      <c r="DO79" s="314"/>
      <c r="DP79" s="314"/>
      <c r="DQ79" s="314"/>
      <c r="DR79" s="314"/>
      <c r="DS79" s="314"/>
      <c r="DT79" s="314"/>
      <c r="DU79" s="314"/>
      <c r="DV79" s="314"/>
      <c r="DW79" s="314"/>
      <c r="DX79" s="314"/>
      <c r="DY79" s="314"/>
      <c r="DZ79" s="314"/>
    </row>
    <row r="80" spans="2:130">
      <c r="B80" s="138" t="str">
        <f t="shared" si="70"/>
        <v>D&amp;A</v>
      </c>
      <c r="C80" s="82" t="s">
        <v>842</v>
      </c>
      <c r="E80" s="7"/>
      <c r="F80" s="314">
        <f t="shared" ref="F80:J81" si="81" xml:space="preserve"> IFERROR(ROUND( F62/ F71,3) - 1, 0)</f>
        <v>0</v>
      </c>
      <c r="G80" s="314">
        <f t="shared" si="81"/>
        <v>0</v>
      </c>
      <c r="H80" s="314">
        <f t="shared" si="81"/>
        <v>0</v>
      </c>
      <c r="I80" s="314">
        <f t="shared" si="81"/>
        <v>0</v>
      </c>
      <c r="J80" s="314">
        <f t="shared" si="81"/>
        <v>-2.1000000000000019E-2</v>
      </c>
      <c r="K80" s="314"/>
      <c r="L80" s="314"/>
      <c r="M80" s="314"/>
      <c r="N80" s="314"/>
      <c r="O80" s="314"/>
      <c r="P80" s="314"/>
      <c r="Q80" s="314"/>
      <c r="R80" s="314"/>
      <c r="S80" s="314"/>
      <c r="T80" s="314"/>
      <c r="U80" s="314"/>
      <c r="V80" s="314"/>
      <c r="W80" s="314"/>
      <c r="X80" s="314"/>
      <c r="Y80" s="314"/>
      <c r="Z80" s="314"/>
      <c r="AA80" s="314"/>
      <c r="AB80" s="314"/>
      <c r="AC80" s="314"/>
      <c r="AD80" s="314"/>
      <c r="AE80" s="314"/>
      <c r="AG80" s="314">
        <f t="shared" ref="AG80:AI81" si="82" xml:space="preserve"> IFERROR(ROUND( AG62/ AG71,3) - 1, 0)</f>
        <v>0</v>
      </c>
      <c r="AH80" s="314">
        <f t="shared" si="82"/>
        <v>0</v>
      </c>
      <c r="AI80" s="314">
        <f t="shared" si="82"/>
        <v>-1.0000000000000009E-2</v>
      </c>
      <c r="AJ80" s="314"/>
      <c r="AK80" s="314"/>
      <c r="AL80" s="314"/>
      <c r="AM80" s="314"/>
      <c r="AN80" s="314"/>
      <c r="AO80" s="314"/>
      <c r="AP80" s="314"/>
      <c r="AQ80" s="314"/>
      <c r="AR80" s="314"/>
      <c r="AS80" s="314"/>
      <c r="AU80" s="314"/>
      <c r="AV80" s="314"/>
      <c r="AW80" s="314"/>
      <c r="AX80" s="314"/>
      <c r="AY80" s="314"/>
      <c r="AZ80" s="314"/>
      <c r="BA80" s="314"/>
      <c r="BB80" s="314"/>
      <c r="BC80" s="314"/>
      <c r="BD80" s="314"/>
      <c r="BE80" s="314"/>
      <c r="BF80" s="314"/>
      <c r="BG80" s="314"/>
      <c r="BH80" s="314"/>
      <c r="BI80" s="314"/>
      <c r="BJ80" s="314"/>
      <c r="BK80" s="314"/>
      <c r="BL80" s="314"/>
      <c r="BM80" s="314"/>
      <c r="BN80" s="314"/>
      <c r="BO80" s="314"/>
      <c r="BP80" s="314"/>
      <c r="BQ80" s="314"/>
      <c r="BR80" s="314"/>
      <c r="BS80" s="314"/>
      <c r="BT80" s="314"/>
      <c r="BV80" s="314"/>
      <c r="BW80" s="314"/>
      <c r="BX80" s="314"/>
      <c r="BY80" s="314"/>
      <c r="BZ80" s="314"/>
      <c r="CA80" s="314"/>
      <c r="CB80" s="314"/>
      <c r="CC80" s="314"/>
      <c r="CD80" s="314"/>
      <c r="CE80" s="314"/>
      <c r="CF80" s="314"/>
      <c r="CG80" s="314"/>
      <c r="CH80" s="314"/>
      <c r="CM80" s="314"/>
      <c r="CN80" s="314"/>
      <c r="CO80" s="314"/>
      <c r="CP80" s="314"/>
      <c r="CQ80" s="314"/>
      <c r="CR80" s="314"/>
      <c r="CS80" s="314"/>
      <c r="CT80" s="314"/>
      <c r="CU80" s="314"/>
      <c r="CV80" s="314"/>
      <c r="CW80" s="314"/>
      <c r="CX80" s="314"/>
      <c r="CY80" s="314"/>
      <c r="CZ80" s="314"/>
      <c r="DA80" s="314"/>
      <c r="DB80" s="314"/>
      <c r="DC80" s="314"/>
      <c r="DD80" s="314"/>
      <c r="DE80" s="314"/>
      <c r="DF80" s="314"/>
      <c r="DG80" s="314"/>
      <c r="DH80" s="314"/>
      <c r="DI80" s="314"/>
      <c r="DJ80" s="314"/>
      <c r="DK80" s="314"/>
      <c r="DL80" s="314"/>
      <c r="DN80" s="314"/>
      <c r="DO80" s="314"/>
      <c r="DP80" s="314"/>
      <c r="DQ80" s="314"/>
      <c r="DR80" s="314"/>
      <c r="DS80" s="314"/>
      <c r="DT80" s="314"/>
      <c r="DU80" s="314"/>
      <c r="DV80" s="314"/>
      <c r="DW80" s="314"/>
      <c r="DX80" s="314"/>
      <c r="DY80" s="314"/>
      <c r="DZ80" s="314"/>
    </row>
    <row r="81" spans="1:130">
      <c r="B81" s="138" t="str">
        <f t="shared" si="70"/>
        <v>EBIT</v>
      </c>
      <c r="C81" s="82" t="s">
        <v>842</v>
      </c>
      <c r="E81" s="7"/>
      <c r="F81" s="314">
        <f t="shared" si="81"/>
        <v>0</v>
      </c>
      <c r="G81" s="314">
        <f t="shared" si="81"/>
        <v>0</v>
      </c>
      <c r="H81" s="314">
        <f t="shared" si="81"/>
        <v>0</v>
      </c>
      <c r="I81" s="314">
        <f t="shared" si="81"/>
        <v>0</v>
      </c>
      <c r="J81" s="314">
        <f t="shared" si="81"/>
        <v>-0.42500000000000004</v>
      </c>
      <c r="K81" s="314"/>
      <c r="L81" s="314"/>
      <c r="M81" s="314"/>
      <c r="N81" s="314"/>
      <c r="O81" s="314"/>
      <c r="P81" s="314"/>
      <c r="Q81" s="314"/>
      <c r="R81" s="314"/>
      <c r="S81" s="314"/>
      <c r="T81" s="314"/>
      <c r="U81" s="314"/>
      <c r="V81" s="314"/>
      <c r="W81" s="314"/>
      <c r="X81" s="314"/>
      <c r="Y81" s="314"/>
      <c r="Z81" s="314"/>
      <c r="AA81" s="314"/>
      <c r="AB81" s="314"/>
      <c r="AC81" s="314"/>
      <c r="AD81" s="314"/>
      <c r="AE81" s="314"/>
      <c r="AG81" s="314">
        <f t="shared" si="82"/>
        <v>0</v>
      </c>
      <c r="AH81" s="314">
        <f t="shared" si="82"/>
        <v>0</v>
      </c>
      <c r="AI81" s="314">
        <f t="shared" si="82"/>
        <v>-0.26200000000000001</v>
      </c>
      <c r="AJ81" s="314"/>
      <c r="AK81" s="314"/>
      <c r="AL81" s="314"/>
      <c r="AM81" s="314"/>
      <c r="AN81" s="314"/>
      <c r="AO81" s="314"/>
      <c r="AP81" s="314"/>
      <c r="AQ81" s="314"/>
      <c r="AR81" s="314"/>
      <c r="AS81" s="314"/>
      <c r="AU81" s="314"/>
      <c r="AV81" s="314"/>
      <c r="AW81" s="314"/>
      <c r="AX81" s="314"/>
      <c r="AY81" s="314"/>
      <c r="AZ81" s="314"/>
      <c r="BA81" s="314"/>
      <c r="BB81" s="314"/>
      <c r="BC81" s="314"/>
      <c r="BD81" s="314"/>
      <c r="BE81" s="314"/>
      <c r="BF81" s="314"/>
      <c r="BG81" s="314"/>
      <c r="BH81" s="314"/>
      <c r="BI81" s="314"/>
      <c r="BJ81" s="314"/>
      <c r="BK81" s="314"/>
      <c r="BL81" s="314"/>
      <c r="BM81" s="314"/>
      <c r="BN81" s="314"/>
      <c r="BO81" s="314"/>
      <c r="BP81" s="314"/>
      <c r="BQ81" s="314"/>
      <c r="BR81" s="314"/>
      <c r="BS81" s="314"/>
      <c r="BT81" s="314"/>
      <c r="BV81" s="314"/>
      <c r="BW81" s="314"/>
      <c r="BX81" s="314"/>
      <c r="BY81" s="314"/>
      <c r="BZ81" s="314"/>
      <c r="CA81" s="314"/>
      <c r="CB81" s="314"/>
      <c r="CC81" s="314"/>
      <c r="CD81" s="314"/>
      <c r="CE81" s="314"/>
      <c r="CF81" s="314"/>
      <c r="CG81" s="314"/>
      <c r="CH81" s="314"/>
      <c r="CM81" s="314"/>
      <c r="CN81" s="314"/>
      <c r="CO81" s="314"/>
      <c r="CP81" s="314"/>
      <c r="CQ81" s="314"/>
      <c r="CR81" s="314"/>
      <c r="CS81" s="314"/>
      <c r="CT81" s="314"/>
      <c r="CU81" s="314"/>
      <c r="CV81" s="314"/>
      <c r="CW81" s="314"/>
      <c r="CX81" s="314"/>
      <c r="CY81" s="314"/>
      <c r="CZ81" s="314"/>
      <c r="DA81" s="314"/>
      <c r="DB81" s="314"/>
      <c r="DC81" s="314"/>
      <c r="DD81" s="314"/>
      <c r="DE81" s="314"/>
      <c r="DF81" s="314"/>
      <c r="DG81" s="314"/>
      <c r="DH81" s="314"/>
      <c r="DI81" s="314"/>
      <c r="DJ81" s="314"/>
      <c r="DK81" s="314"/>
      <c r="DL81" s="314"/>
      <c r="DN81" s="314"/>
      <c r="DO81" s="314"/>
      <c r="DP81" s="314"/>
      <c r="DQ81" s="314"/>
      <c r="DR81" s="314"/>
      <c r="DS81" s="314"/>
      <c r="DT81" s="314"/>
      <c r="DU81" s="314"/>
      <c r="DV81" s="314"/>
      <c r="DW81" s="314"/>
      <c r="DX81" s="314"/>
      <c r="DY81" s="314"/>
      <c r="DZ81" s="314"/>
    </row>
    <row r="82" spans="1:130">
      <c r="B82" s="138"/>
      <c r="C82" s="82"/>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G82" s="7"/>
      <c r="AH82" s="7"/>
      <c r="AI82" s="7"/>
      <c r="AJ82" s="7"/>
      <c r="AK82" s="7"/>
      <c r="AL82" s="7"/>
      <c r="AM82" s="7"/>
      <c r="AN82" s="7"/>
      <c r="AO82" s="7"/>
      <c r="AP82" s="7"/>
      <c r="AQ82" s="7"/>
      <c r="AR82" s="7"/>
      <c r="AS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V82" s="7"/>
      <c r="BW82" s="7"/>
      <c r="BX82" s="7"/>
      <c r="BY82" s="7"/>
      <c r="BZ82" s="7"/>
      <c r="CA82" s="7"/>
      <c r="CB82" s="7"/>
      <c r="CC82" s="7"/>
      <c r="CD82" s="7"/>
      <c r="CE82" s="7"/>
      <c r="CF82" s="7"/>
      <c r="CG82" s="7"/>
      <c r="CH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N82" s="7"/>
      <c r="DO82" s="7"/>
      <c r="DP82" s="7"/>
      <c r="DQ82" s="7"/>
      <c r="DR82" s="7"/>
      <c r="DS82" s="7"/>
      <c r="DT82" s="7"/>
      <c r="DU82" s="7"/>
      <c r="DV82" s="7"/>
      <c r="DW82" s="7"/>
      <c r="DX82" s="7"/>
      <c r="DY82" s="7"/>
      <c r="DZ82" s="7"/>
    </row>
    <row r="83" spans="1:130">
      <c r="A83" s="754" t="s">
        <v>971</v>
      </c>
      <c r="B83" s="731" t="s">
        <v>1495</v>
      </c>
      <c r="C83" s="290"/>
      <c r="D83" s="290"/>
      <c r="E83" s="290"/>
      <c r="F83" s="290"/>
      <c r="G83" s="290"/>
      <c r="H83" s="290"/>
      <c r="I83" s="290"/>
      <c r="J83" s="290"/>
      <c r="K83" s="290"/>
      <c r="L83" s="290"/>
      <c r="M83" s="290"/>
      <c r="N83" s="290"/>
      <c r="O83" s="290"/>
      <c r="P83" s="290"/>
      <c r="Q83" s="290"/>
      <c r="R83" s="290"/>
      <c r="S83" s="290"/>
      <c r="T83" s="290"/>
      <c r="U83" s="290"/>
      <c r="V83" s="290"/>
      <c r="W83" s="290"/>
      <c r="X83" s="290"/>
      <c r="Y83" s="290"/>
      <c r="Z83" s="290"/>
      <c r="AA83" s="290"/>
      <c r="AB83" s="290"/>
      <c r="AC83" s="290"/>
      <c r="AD83" s="290"/>
      <c r="AE83" s="290"/>
      <c r="AF83" s="290"/>
      <c r="AG83" s="290"/>
      <c r="AH83" s="290"/>
      <c r="AI83" s="290"/>
      <c r="AJ83" s="290"/>
      <c r="AK83" s="290"/>
      <c r="AL83" s="290"/>
      <c r="AM83" s="290"/>
      <c r="AN83" s="290"/>
      <c r="AO83" s="290"/>
      <c r="AP83" s="290"/>
      <c r="AQ83" s="290"/>
      <c r="AR83" s="290"/>
      <c r="AS83" s="290"/>
    </row>
    <row r="84" spans="1:130">
      <c r="B84" s="138" t="s">
        <v>1226</v>
      </c>
      <c r="C84" s="82" t="s">
        <v>900</v>
      </c>
      <c r="E84" s="138"/>
      <c r="F84" s="132">
        <f>HY!M268</f>
        <v>1073.4000000000001</v>
      </c>
      <c r="G84" s="132">
        <f>HY!N268</f>
        <v>1108.5</v>
      </c>
      <c r="H84" s="132">
        <f>HY!O268</f>
        <v>1165.7</v>
      </c>
      <c r="I84" s="132">
        <f>HY!P268</f>
        <v>1065.1000000000001</v>
      </c>
      <c r="J84" s="132">
        <f>HY!Q268</f>
        <v>1116.5999999999999</v>
      </c>
      <c r="K84" s="132">
        <f>HY!R268</f>
        <v>1046.2000000000003</v>
      </c>
      <c r="L84" s="132">
        <f>HY!S268</f>
        <v>1243.2</v>
      </c>
      <c r="M84" s="132">
        <f>HY!T268</f>
        <v>1195.6000000000001</v>
      </c>
      <c r="N84" s="132">
        <f>HY!U268</f>
        <v>1253.2</v>
      </c>
      <c r="O84" s="132">
        <f>HY!V268</f>
        <v>1201.4999999999998</v>
      </c>
      <c r="P84" s="132">
        <f>HY!W268</f>
        <v>1306.9912626</v>
      </c>
      <c r="Q84" s="132">
        <f>HY!X268</f>
        <v>1228.5870538500001</v>
      </c>
      <c r="R84" s="132">
        <f>HY!Y268</f>
        <v>1311.5464535010001</v>
      </c>
      <c r="S84" s="132">
        <f>HY!Z268</f>
        <v>1242.032782024</v>
      </c>
      <c r="T84" s="132">
        <f>HY!AA268</f>
        <v>1323.7522634282996</v>
      </c>
      <c r="U84" s="132">
        <f>HY!AB268</f>
        <v>1252.1775538494801</v>
      </c>
      <c r="V84" s="132">
        <f>HY!AC268</f>
        <v>1352.9485652203171</v>
      </c>
      <c r="W84" s="132">
        <f>HY!AD268</f>
        <v>1280.1736667176647</v>
      </c>
      <c r="X84" s="132">
        <f>HY!AE268</f>
        <v>1372.4532846330467</v>
      </c>
      <c r="Y84" s="132">
        <f>HY!AF268</f>
        <v>1299.4081849496483</v>
      </c>
      <c r="Z84" s="132">
        <f>HY!AG268</f>
        <v>1392.752423003597</v>
      </c>
      <c r="AA84" s="132">
        <f>HY!AH268</f>
        <v>1319.4098856462872</v>
      </c>
      <c r="AB84" s="132">
        <f>HY!AI268</f>
        <v>1413.8677201269479</v>
      </c>
      <c r="AC84" s="132">
        <f>HY!AJ268</f>
        <v>1340.1998828123442</v>
      </c>
      <c r="AD84" s="132">
        <f>HY!AK268</f>
        <v>1435.8215889196676</v>
      </c>
      <c r="AE84" s="132">
        <f>HY!AL268</f>
        <v>1361.7999428874157</v>
      </c>
      <c r="AG84" s="132">
        <f t="shared" ref="AG84:AS86" si="83">SUMIFS($F84:$AE84,$F$3:$AE$3,AG$5)</f>
        <v>2181.9</v>
      </c>
      <c r="AH84" s="132">
        <f t="shared" si="83"/>
        <v>2230.8000000000002</v>
      </c>
      <c r="AI84" s="132">
        <f t="shared" si="83"/>
        <v>2162.8000000000002</v>
      </c>
      <c r="AJ84" s="132">
        <f t="shared" si="83"/>
        <v>2438.8000000000002</v>
      </c>
      <c r="AK84" s="132">
        <f t="shared" si="83"/>
        <v>2454.6999999999998</v>
      </c>
      <c r="AL84" s="132">
        <f t="shared" si="83"/>
        <v>2535.5783164499999</v>
      </c>
      <c r="AM84" s="132">
        <f t="shared" si="83"/>
        <v>2553.5792355250001</v>
      </c>
      <c r="AN84" s="132">
        <f t="shared" si="83"/>
        <v>2575.9298172777799</v>
      </c>
      <c r="AO84" s="132">
        <f t="shared" si="83"/>
        <v>2633.1222319379817</v>
      </c>
      <c r="AP84" s="132">
        <f t="shared" si="83"/>
        <v>2671.861469582695</v>
      </c>
      <c r="AQ84" s="132">
        <f t="shared" si="83"/>
        <v>2712.1623086498839</v>
      </c>
      <c r="AR84" s="132">
        <f t="shared" si="83"/>
        <v>2754.0676029392921</v>
      </c>
      <c r="AS84" s="132">
        <f t="shared" si="83"/>
        <v>2797.6215318070836</v>
      </c>
      <c r="AU84" s="132"/>
      <c r="AV84" s="132"/>
      <c r="AW84" s="132"/>
      <c r="AX84" s="132"/>
      <c r="AY84" s="132"/>
      <c r="AZ84" s="132"/>
      <c r="BA84" s="132"/>
      <c r="BB84" s="132"/>
      <c r="BC84" s="132"/>
      <c r="BD84" s="132"/>
      <c r="BE84" s="132"/>
      <c r="BF84" s="132"/>
      <c r="BG84" s="132"/>
      <c r="BH84" s="132"/>
      <c r="BI84" s="132"/>
      <c r="BJ84" s="132"/>
      <c r="BK84" s="132"/>
      <c r="BL84" s="132"/>
      <c r="BM84" s="132"/>
      <c r="BN84" s="132"/>
      <c r="BO84" s="132"/>
      <c r="BP84" s="132"/>
      <c r="BQ84" s="132"/>
      <c r="BR84" s="132"/>
      <c r="BS84" s="132"/>
      <c r="BT84" s="132"/>
      <c r="BV84" s="132"/>
      <c r="BW84" s="132"/>
      <c r="BX84" s="132"/>
      <c r="BY84" s="132"/>
      <c r="BZ84" s="132"/>
      <c r="CA84" s="132"/>
      <c r="CB84" s="132"/>
      <c r="CC84" s="132"/>
      <c r="CD84" s="132"/>
      <c r="CE84" s="132"/>
      <c r="CF84" s="132"/>
      <c r="CG84" s="132"/>
      <c r="CH84" s="132"/>
      <c r="CM84" s="132"/>
      <c r="CN84" s="132"/>
      <c r="CO84" s="132"/>
      <c r="CP84" s="132"/>
      <c r="CQ84" s="132"/>
      <c r="CR84" s="132"/>
      <c r="CS84" s="132"/>
      <c r="CT84" s="132"/>
      <c r="CU84" s="132"/>
      <c r="CV84" s="132"/>
      <c r="CW84" s="132"/>
      <c r="CX84" s="132"/>
      <c r="CY84" s="132"/>
      <c r="CZ84" s="132"/>
      <c r="DA84" s="132"/>
      <c r="DB84" s="132"/>
      <c r="DC84" s="132"/>
      <c r="DD84" s="132"/>
      <c r="DE84" s="132"/>
      <c r="DF84" s="132"/>
      <c r="DG84" s="132"/>
      <c r="DH84" s="132"/>
      <c r="DI84" s="132"/>
      <c r="DJ84" s="132"/>
      <c r="DK84" s="132"/>
      <c r="DL84" s="132"/>
      <c r="DN84" s="132"/>
      <c r="DO84" s="132"/>
      <c r="DP84" s="132"/>
      <c r="DQ84" s="132"/>
      <c r="DR84" s="132"/>
      <c r="DS84" s="132"/>
      <c r="DT84" s="132"/>
      <c r="DU84" s="132"/>
      <c r="DV84" s="132"/>
      <c r="DW84" s="132"/>
      <c r="DX84" s="132"/>
      <c r="DY84" s="132"/>
      <c r="DZ84" s="132"/>
    </row>
    <row r="85" spans="1:130">
      <c r="B85" s="138" t="s">
        <v>1227</v>
      </c>
      <c r="C85" s="82" t="s">
        <v>900</v>
      </c>
      <c r="E85" s="138"/>
      <c r="F85" s="132">
        <f>HY!M269</f>
        <v>79.599999999999994</v>
      </c>
      <c r="G85" s="132">
        <f>HY!N269</f>
        <v>117.30000000000001</v>
      </c>
      <c r="H85" s="132">
        <f>HY!O269</f>
        <v>108.8</v>
      </c>
      <c r="I85" s="132">
        <f>HY!P269</f>
        <v>94.8</v>
      </c>
      <c r="J85" s="132">
        <f>HY!Q269</f>
        <v>80.3</v>
      </c>
      <c r="K85" s="132">
        <f>HY!R269</f>
        <v>83.100000000000009</v>
      </c>
      <c r="L85" s="132">
        <f>HY!S269</f>
        <v>88.1</v>
      </c>
      <c r="M85" s="132">
        <f>HY!T269</f>
        <v>87.700000000000017</v>
      </c>
      <c r="N85" s="132">
        <f>HY!U269</f>
        <v>91.7</v>
      </c>
      <c r="O85" s="132">
        <f>HY!V269</f>
        <v>89.899999999999991</v>
      </c>
      <c r="P85" s="132">
        <f>HY!W269</f>
        <v>93.992499999999993</v>
      </c>
      <c r="Q85" s="132">
        <f>HY!X269</f>
        <v>92.14749999999998</v>
      </c>
      <c r="R85" s="132">
        <f>HY!Y269</f>
        <v>96.342312499999977</v>
      </c>
      <c r="S85" s="132">
        <f>HY!Z269</f>
        <v>94.451187499999975</v>
      </c>
      <c r="T85" s="132">
        <f>HY!AA269</f>
        <v>99.23258187499998</v>
      </c>
      <c r="U85" s="132">
        <f>HY!AB269</f>
        <v>97.284723124999971</v>
      </c>
      <c r="V85" s="132">
        <f>HY!AC269</f>
        <v>102.20955933124998</v>
      </c>
      <c r="W85" s="132">
        <f>HY!AD269</f>
        <v>100.20326481874997</v>
      </c>
      <c r="X85" s="132">
        <f>HY!AE269</f>
        <v>105.27584611118748</v>
      </c>
      <c r="Y85" s="132">
        <f>HY!AF269</f>
        <v>103.20936276331247</v>
      </c>
      <c r="Z85" s="132">
        <f>HY!AG269</f>
        <v>108.4341214945231</v>
      </c>
      <c r="AA85" s="132">
        <f>HY!AH269</f>
        <v>106.30564364621185</v>
      </c>
      <c r="AB85" s="132">
        <f>HY!AI269</f>
        <v>111.68714513935879</v>
      </c>
      <c r="AC85" s="132">
        <f>HY!AJ269</f>
        <v>109.49481295559821</v>
      </c>
      <c r="AD85" s="132">
        <f>HY!AK269</f>
        <v>115.03775949353955</v>
      </c>
      <c r="AE85" s="132">
        <f>HY!AL269</f>
        <v>112.77965734426616</v>
      </c>
      <c r="AG85" s="132">
        <f t="shared" si="83"/>
        <v>196.9</v>
      </c>
      <c r="AH85" s="132">
        <f t="shared" si="83"/>
        <v>203.6</v>
      </c>
      <c r="AI85" s="132">
        <f t="shared" si="83"/>
        <v>163.4</v>
      </c>
      <c r="AJ85" s="132">
        <f t="shared" si="83"/>
        <v>175.8</v>
      </c>
      <c r="AK85" s="132">
        <f t="shared" si="83"/>
        <v>181.6</v>
      </c>
      <c r="AL85" s="132">
        <f t="shared" si="83"/>
        <v>186.14</v>
      </c>
      <c r="AM85" s="132">
        <f t="shared" si="83"/>
        <v>190.79349999999994</v>
      </c>
      <c r="AN85" s="132">
        <f t="shared" si="83"/>
        <v>196.51730499999996</v>
      </c>
      <c r="AO85" s="132">
        <f t="shared" si="83"/>
        <v>202.41282414999995</v>
      </c>
      <c r="AP85" s="132">
        <f t="shared" si="83"/>
        <v>208.48520887449996</v>
      </c>
      <c r="AQ85" s="132">
        <f t="shared" si="83"/>
        <v>214.73976514073496</v>
      </c>
      <c r="AR85" s="132">
        <f t="shared" si="83"/>
        <v>221.181958094957</v>
      </c>
      <c r="AS85" s="132">
        <f t="shared" si="83"/>
        <v>227.81741683780569</v>
      </c>
      <c r="AU85" s="132"/>
      <c r="AV85" s="132"/>
      <c r="AW85" s="132"/>
      <c r="AX85" s="132"/>
      <c r="AY85" s="132"/>
      <c r="AZ85" s="132"/>
      <c r="BA85" s="132"/>
      <c r="BB85" s="132"/>
      <c r="BC85" s="132"/>
      <c r="BD85" s="132"/>
      <c r="BE85" s="132"/>
      <c r="BF85" s="132"/>
      <c r="BG85" s="132"/>
      <c r="BH85" s="132"/>
      <c r="BI85" s="132"/>
      <c r="BJ85" s="132"/>
      <c r="BK85" s="132"/>
      <c r="BL85" s="132"/>
      <c r="BM85" s="132"/>
      <c r="BN85" s="132"/>
      <c r="BO85" s="132"/>
      <c r="BP85" s="132"/>
      <c r="BQ85" s="132"/>
      <c r="BR85" s="132"/>
      <c r="BS85" s="132"/>
      <c r="BT85" s="132"/>
      <c r="BV85" s="132"/>
      <c r="BW85" s="132"/>
      <c r="BX85" s="132"/>
      <c r="BY85" s="132"/>
      <c r="BZ85" s="132"/>
      <c r="CA85" s="132"/>
      <c r="CB85" s="132"/>
      <c r="CC85" s="132"/>
      <c r="CD85" s="132"/>
      <c r="CE85" s="132"/>
      <c r="CF85" s="132"/>
      <c r="CG85" s="132"/>
      <c r="CH85" s="132"/>
      <c r="CM85" s="132"/>
      <c r="CN85" s="132"/>
      <c r="CO85" s="132"/>
      <c r="CP85" s="132"/>
      <c r="CQ85" s="132"/>
      <c r="CR85" s="132"/>
      <c r="CS85" s="132"/>
      <c r="CT85" s="132"/>
      <c r="CU85" s="132"/>
      <c r="CV85" s="132"/>
      <c r="CW85" s="132"/>
      <c r="CX85" s="132"/>
      <c r="CY85" s="132"/>
      <c r="CZ85" s="132"/>
      <c r="DA85" s="132"/>
      <c r="DB85" s="132"/>
      <c r="DC85" s="132"/>
      <c r="DD85" s="132"/>
      <c r="DE85" s="132"/>
      <c r="DF85" s="132"/>
      <c r="DG85" s="132"/>
      <c r="DH85" s="132"/>
      <c r="DI85" s="132"/>
      <c r="DJ85" s="132"/>
      <c r="DK85" s="132"/>
      <c r="DL85" s="132"/>
      <c r="DN85" s="132"/>
      <c r="DO85" s="132"/>
      <c r="DP85" s="132"/>
      <c r="DQ85" s="132"/>
      <c r="DR85" s="132"/>
      <c r="DS85" s="132"/>
      <c r="DT85" s="132"/>
      <c r="DU85" s="132"/>
      <c r="DV85" s="132"/>
      <c r="DW85" s="132"/>
      <c r="DX85" s="132"/>
      <c r="DY85" s="132"/>
      <c r="DZ85" s="132"/>
    </row>
    <row r="86" spans="1:130">
      <c r="B86" s="138" t="s">
        <v>979</v>
      </c>
      <c r="C86" s="82" t="s">
        <v>900</v>
      </c>
      <c r="E86" s="138"/>
      <c r="F86" s="132"/>
      <c r="G86" s="132"/>
      <c r="H86" s="132">
        <f>HY!O271</f>
        <v>1274.5</v>
      </c>
      <c r="I86" s="132">
        <f>HY!P271</f>
        <v>1159.9000000000001</v>
      </c>
      <c r="J86" s="132">
        <f>HY!Q271</f>
        <v>1209.5999999999999</v>
      </c>
      <c r="K86" s="132">
        <f>HY!R271</f>
        <v>1129.3000000000002</v>
      </c>
      <c r="L86" s="132">
        <f>HY!S271</f>
        <v>1331.3</v>
      </c>
      <c r="M86" s="132">
        <f>HY!T271</f>
        <v>1283.3</v>
      </c>
      <c r="N86" s="132">
        <f>HY!U271</f>
        <v>1344.9</v>
      </c>
      <c r="O86" s="132">
        <f>HY!V271</f>
        <v>1291.4000000000001</v>
      </c>
      <c r="P86" s="132">
        <f>HY!W271</f>
        <v>1400.9837626000001</v>
      </c>
      <c r="Q86" s="132">
        <f>HY!X271</f>
        <v>1345.9845538500001</v>
      </c>
      <c r="R86" s="132">
        <f>HY!Y271</f>
        <v>1458.358766001</v>
      </c>
      <c r="S86" s="132">
        <f>HY!Z271</f>
        <v>1388.4989695240001</v>
      </c>
      <c r="T86" s="132">
        <f>HY!AA271</f>
        <v>1474.9689453032995</v>
      </c>
      <c r="U86" s="132">
        <f>HY!AB271</f>
        <v>1403.0377269744802</v>
      </c>
      <c r="V86" s="132">
        <f>HY!AC271</f>
        <v>1508.701747551567</v>
      </c>
      <c r="W86" s="132">
        <f>HY!AD271</f>
        <v>1435.5596450364148</v>
      </c>
      <c r="X86" s="132">
        <f>HY!AE271</f>
        <v>1532.8790624342341</v>
      </c>
      <c r="Y86" s="132">
        <f>HY!AF271</f>
        <v>1459.4557426179608</v>
      </c>
      <c r="Z86" s="132">
        <f>HY!AG271</f>
        <v>1557.9909741388201</v>
      </c>
      <c r="AA86" s="132">
        <f>HY!AH271</f>
        <v>1484.258870044649</v>
      </c>
      <c r="AB86" s="132">
        <f>HY!AI271</f>
        <v>1584.0634277962276</v>
      </c>
      <c r="AC86" s="132">
        <f>HY!AJ271</f>
        <v>1509.994336742657</v>
      </c>
      <c r="AD86" s="132">
        <f>HY!AK271</f>
        <v>1611.1231678190259</v>
      </c>
      <c r="AE86" s="132">
        <f>HY!AL271</f>
        <v>1536.6882304356377</v>
      </c>
      <c r="AG86" s="132">
        <f t="shared" si="83"/>
        <v>0</v>
      </c>
      <c r="AH86" s="132">
        <f t="shared" si="83"/>
        <v>2434.4</v>
      </c>
      <c r="AI86" s="132">
        <f t="shared" si="83"/>
        <v>2338.9</v>
      </c>
      <c r="AJ86" s="132">
        <f t="shared" si="83"/>
        <v>2614.6</v>
      </c>
      <c r="AK86" s="132">
        <f t="shared" si="83"/>
        <v>2636.3</v>
      </c>
      <c r="AL86" s="132">
        <f t="shared" si="83"/>
        <v>2746.9683164500002</v>
      </c>
      <c r="AM86" s="132">
        <f t="shared" si="83"/>
        <v>2846.857735525</v>
      </c>
      <c r="AN86" s="132">
        <f t="shared" si="83"/>
        <v>2878.0066722777797</v>
      </c>
      <c r="AO86" s="132">
        <f t="shared" si="83"/>
        <v>2944.2613925879818</v>
      </c>
      <c r="AP86" s="132">
        <f t="shared" si="83"/>
        <v>2992.334805052195</v>
      </c>
      <c r="AQ86" s="132">
        <f t="shared" si="83"/>
        <v>3042.2498441834691</v>
      </c>
      <c r="AR86" s="132">
        <f t="shared" si="83"/>
        <v>3094.0577645388848</v>
      </c>
      <c r="AS86" s="132">
        <f t="shared" si="83"/>
        <v>3147.8113982546638</v>
      </c>
      <c r="AU86" s="132"/>
      <c r="AV86" s="132"/>
      <c r="AW86" s="132"/>
      <c r="AX86" s="132"/>
      <c r="AY86" s="132"/>
      <c r="AZ86" s="132"/>
      <c r="BA86" s="132"/>
      <c r="BB86" s="132"/>
      <c r="BC86" s="132"/>
      <c r="BD86" s="132"/>
      <c r="BE86" s="132"/>
      <c r="BF86" s="132"/>
      <c r="BG86" s="132"/>
      <c r="BH86" s="132"/>
      <c r="BI86" s="132"/>
      <c r="BJ86" s="132"/>
      <c r="BK86" s="132"/>
      <c r="BL86" s="132"/>
      <c r="BM86" s="132"/>
      <c r="BN86" s="132"/>
      <c r="BO86" s="132"/>
      <c r="BP86" s="132"/>
      <c r="BQ86" s="132"/>
      <c r="BR86" s="132"/>
      <c r="BS86" s="132"/>
      <c r="BT86" s="132"/>
      <c r="BV86" s="132"/>
      <c r="BW86" s="132"/>
      <c r="BX86" s="132"/>
      <c r="BY86" s="132"/>
      <c r="BZ86" s="132"/>
      <c r="CA86" s="132"/>
      <c r="CB86" s="132"/>
      <c r="CC86" s="132"/>
      <c r="CD86" s="132"/>
      <c r="CE86" s="132"/>
      <c r="CF86" s="132"/>
      <c r="CG86" s="132"/>
      <c r="CH86" s="132"/>
      <c r="CM86" s="132"/>
      <c r="CN86" s="132"/>
      <c r="CO86" s="132"/>
      <c r="CP86" s="132"/>
      <c r="CQ86" s="132"/>
      <c r="CR86" s="132"/>
      <c r="CS86" s="132"/>
      <c r="CT86" s="132"/>
      <c r="CU86" s="132"/>
      <c r="CV86" s="132"/>
      <c r="CW86" s="132"/>
      <c r="CX86" s="132"/>
      <c r="CY86" s="132"/>
      <c r="CZ86" s="132"/>
      <c r="DA86" s="132"/>
      <c r="DB86" s="132"/>
      <c r="DC86" s="132"/>
      <c r="DD86" s="132"/>
      <c r="DE86" s="132"/>
      <c r="DF86" s="132"/>
      <c r="DG86" s="132"/>
      <c r="DH86" s="132"/>
      <c r="DI86" s="132"/>
      <c r="DJ86" s="132"/>
      <c r="DK86" s="132"/>
      <c r="DL86" s="132"/>
      <c r="DN86" s="132"/>
      <c r="DO86" s="132"/>
      <c r="DP86" s="132"/>
      <c r="DQ86" s="132"/>
      <c r="DR86" s="132"/>
      <c r="DS86" s="132"/>
      <c r="DT86" s="132"/>
      <c r="DU86" s="132"/>
      <c r="DV86" s="132"/>
      <c r="DW86" s="132"/>
      <c r="DX86" s="132"/>
      <c r="DY86" s="132"/>
      <c r="DZ86" s="132"/>
    </row>
    <row r="88" spans="1:130">
      <c r="B88" s="732" t="s">
        <v>1496</v>
      </c>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row>
    <row r="89" spans="1:130">
      <c r="B89" s="138" t="str">
        <f>B84</f>
        <v>Wagering &amp; Media</v>
      </c>
      <c r="C89" s="82" t="s">
        <v>900</v>
      </c>
      <c r="E89" s="7"/>
      <c r="F89" s="132">
        <f t="shared" ref="F89:O90" si="84">AU89</f>
        <v>1073.4000000000001</v>
      </c>
      <c r="G89" s="132">
        <f t="shared" si="84"/>
        <v>1108.5</v>
      </c>
      <c r="H89" s="132">
        <f t="shared" si="84"/>
        <v>1165.7</v>
      </c>
      <c r="I89" s="132">
        <f t="shared" si="84"/>
        <v>1065.0999999999999</v>
      </c>
      <c r="J89" s="132">
        <f t="shared" si="84"/>
        <v>1116.5999999999999</v>
      </c>
      <c r="K89" s="132">
        <f t="shared" si="84"/>
        <v>1046.2</v>
      </c>
      <c r="L89" s="132">
        <f t="shared" si="84"/>
        <v>1243.2</v>
      </c>
      <c r="M89" s="132">
        <f t="shared" si="84"/>
        <v>1171.8111267553845</v>
      </c>
      <c r="N89" s="132">
        <f t="shared" si="84"/>
        <v>1287.6581305931677</v>
      </c>
      <c r="O89" s="132">
        <f t="shared" si="84"/>
        <v>1199.1751956552512</v>
      </c>
      <c r="P89" s="132">
        <f t="shared" ref="P89:Y90" si="85">BE89</f>
        <v>1314.9038654476267</v>
      </c>
      <c r="Q89" s="132">
        <f t="shared" si="85"/>
        <v>1225.6134974480478</v>
      </c>
      <c r="R89" s="132">
        <f t="shared" si="85"/>
        <v>1335.2391381602149</v>
      </c>
      <c r="S89" s="132">
        <f t="shared" si="85"/>
        <v>1252.19203140334</v>
      </c>
      <c r="T89" s="132">
        <f t="shared" si="85"/>
        <v>1358.3496161999101</v>
      </c>
      <c r="U89" s="132">
        <f t="shared" si="85"/>
        <v>1274.7125349324363</v>
      </c>
      <c r="V89" s="132">
        <f t="shared" si="85"/>
        <v>1382.0004384528524</v>
      </c>
      <c r="W89" s="132">
        <f t="shared" si="85"/>
        <v>1297.7651536425949</v>
      </c>
      <c r="X89" s="132">
        <f t="shared" si="85"/>
        <v>1407.3421515209475</v>
      </c>
      <c r="Y89" s="132">
        <f t="shared" si="85"/>
        <v>1320.3097546184249</v>
      </c>
      <c r="Z89" s="132">
        <f t="shared" ref="Z89:AE90" si="86">BO89</f>
        <v>1433.4747525007324</v>
      </c>
      <c r="AA89" s="132">
        <f t="shared" si="86"/>
        <v>1345.7128832850724</v>
      </c>
      <c r="AB89" s="132">
        <f t="shared" si="86"/>
        <v>1437.9206710040867</v>
      </c>
      <c r="AC89" s="132">
        <f t="shared" si="86"/>
        <v>1344.4398821432701</v>
      </c>
      <c r="AD89" s="132">
        <f t="shared" si="86"/>
        <v>1463.2765330816233</v>
      </c>
      <c r="AE89" s="132">
        <f t="shared" si="86"/>
        <v>1369.1490118534666</v>
      </c>
      <c r="AF89" s="132"/>
      <c r="AG89" s="132">
        <f t="shared" ref="AG89:AS91" si="87">BV89</f>
        <v>2181.9</v>
      </c>
      <c r="AH89" s="132">
        <f t="shared" si="87"/>
        <v>2230.8000000000002</v>
      </c>
      <c r="AI89" s="132">
        <f t="shared" si="87"/>
        <v>2162.8000000000002</v>
      </c>
      <c r="AJ89" s="132">
        <f t="shared" si="87"/>
        <v>2414.054134338402</v>
      </c>
      <c r="AK89" s="132">
        <f t="shared" si="87"/>
        <v>2507.0725139916708</v>
      </c>
      <c r="AL89" s="132">
        <f t="shared" si="87"/>
        <v>2563.13906420084</v>
      </c>
      <c r="AM89" s="132">
        <f t="shared" si="87"/>
        <v>2604.1840940927791</v>
      </c>
      <c r="AN89" s="132">
        <f t="shared" si="87"/>
        <v>2650.200660768081</v>
      </c>
      <c r="AO89" s="132">
        <f t="shared" si="87"/>
        <v>2697.436455685011</v>
      </c>
      <c r="AP89" s="132">
        <f t="shared" si="87"/>
        <v>2727.0181320934084</v>
      </c>
      <c r="AQ89" s="132">
        <f t="shared" si="87"/>
        <v>2779.0944099183016</v>
      </c>
      <c r="AR89" s="132">
        <f t="shared" si="87"/>
        <v>2803.0384995673762</v>
      </c>
      <c r="AS89" s="132">
        <f t="shared" si="87"/>
        <v>2855.9587581619498</v>
      </c>
      <c r="AU89" s="256">
        <v>1073.4000000000001</v>
      </c>
      <c r="AV89" s="256">
        <v>1108.5</v>
      </c>
      <c r="AW89" s="256">
        <v>1165.7</v>
      </c>
      <c r="AX89" s="256">
        <v>1065.0999999999999</v>
      </c>
      <c r="AY89" s="256">
        <v>1116.5999999999999</v>
      </c>
      <c r="AZ89" s="256">
        <v>1046.2</v>
      </c>
      <c r="BA89" s="256">
        <v>1243.2</v>
      </c>
      <c r="BB89" s="256">
        <v>1171.8111267553845</v>
      </c>
      <c r="BC89" s="256">
        <v>1287.6581305931677</v>
      </c>
      <c r="BD89" s="256">
        <v>1199.1751956552512</v>
      </c>
      <c r="BE89" s="256">
        <v>1314.9038654476267</v>
      </c>
      <c r="BF89" s="256">
        <v>1225.6134974480478</v>
      </c>
      <c r="BG89" s="256">
        <v>1335.2391381602149</v>
      </c>
      <c r="BH89" s="256">
        <v>1252.19203140334</v>
      </c>
      <c r="BI89" s="256">
        <v>1358.3496161999101</v>
      </c>
      <c r="BJ89" s="256">
        <v>1274.7125349324363</v>
      </c>
      <c r="BK89" s="256">
        <v>1382.0004384528524</v>
      </c>
      <c r="BL89" s="256">
        <v>1297.7651536425949</v>
      </c>
      <c r="BM89" s="256">
        <v>1407.3421515209475</v>
      </c>
      <c r="BN89" s="256">
        <v>1320.3097546184249</v>
      </c>
      <c r="BO89" s="256">
        <v>1433.4747525007324</v>
      </c>
      <c r="BP89" s="256">
        <v>1345.7128832850724</v>
      </c>
      <c r="BQ89" s="256">
        <v>1437.9206710040867</v>
      </c>
      <c r="BR89" s="256">
        <v>1344.4398821432701</v>
      </c>
      <c r="BS89" s="256">
        <v>1463.2765330816233</v>
      </c>
      <c r="BT89" s="256">
        <v>1369.1490118534666</v>
      </c>
      <c r="BV89" s="256">
        <v>2181.9</v>
      </c>
      <c r="BW89" s="256">
        <v>2230.8000000000002</v>
      </c>
      <c r="BX89" s="256">
        <v>2162.8000000000002</v>
      </c>
      <c r="BY89" s="256">
        <v>2414.054134338402</v>
      </c>
      <c r="BZ89" s="256">
        <v>2507.0725139916708</v>
      </c>
      <c r="CA89" s="256">
        <v>2563.13906420084</v>
      </c>
      <c r="CB89" s="256">
        <v>2604.1840940927791</v>
      </c>
      <c r="CC89" s="256">
        <v>2650.200660768081</v>
      </c>
      <c r="CD89" s="256">
        <v>2697.436455685011</v>
      </c>
      <c r="CE89" s="256">
        <v>2727.0181320934084</v>
      </c>
      <c r="CF89" s="256">
        <v>2779.0944099183016</v>
      </c>
      <c r="CG89" s="256">
        <v>2803.0384995673762</v>
      </c>
      <c r="CH89" s="256">
        <v>2855.9587581619498</v>
      </c>
      <c r="CJ89" s="751" t="s">
        <v>1352</v>
      </c>
      <c r="CK89" s="145" t="s">
        <v>1355</v>
      </c>
      <c r="CL89" s="752" t="s">
        <v>961</v>
      </c>
      <c r="CM89" s="758">
        <f>_xll.VAData($CJ89,CM$3,$CK89,$CL89)</f>
        <v>1073.4000000000001</v>
      </c>
      <c r="CN89" s="758">
        <f>_xll.VAData($CJ89,CN$3,$CK89,$CL89)</f>
        <v>1108.5</v>
      </c>
      <c r="CO89" s="758">
        <f>_xll.VAData($CJ89,CO$3,$CK89,$CL89)</f>
        <v>1165.7</v>
      </c>
      <c r="CP89" s="758">
        <f>_xll.VAData($CJ89,CP$3,$CK89,$CL89)</f>
        <v>1065.0999999999999</v>
      </c>
      <c r="CQ89" s="758">
        <f>_xll.VAData($CJ89,CQ$3,$CK89,$CL89)</f>
        <v>1116.7</v>
      </c>
      <c r="CR89" s="758">
        <f>_xll.VAData($CJ89,CR$3,$CK89,$CL89)</f>
        <v>1045.4000000000001</v>
      </c>
      <c r="CS89" s="758">
        <f>_xll.VAData($CJ89,CS$3,$CK89,$CL89)</f>
        <v>1243.2</v>
      </c>
      <c r="CT89" s="758">
        <f>_xll.VAData($CJ89,CT$3,$CK89,$CL89)</f>
        <v>1195.5999999999999</v>
      </c>
      <c r="CU89" s="758">
        <f>_xll.VAData($CJ89,CU$3,$CK89,$CL89)</f>
        <v>1253.2</v>
      </c>
      <c r="CV89" s="758">
        <f>_xll.VAData($CJ89,CV$3,$CK89,$CL89)</f>
        <v>1201.5</v>
      </c>
      <c r="CW89" s="758">
        <f>_xll.VAData($CJ89,CW$3,$CK89,$CL89)</f>
        <v>1296.8537828896433</v>
      </c>
      <c r="CX89" s="758">
        <f>_xll.VAData($CJ89,CX$3,$CK89,$CL89)</f>
        <v>1223.8214907598378</v>
      </c>
      <c r="CY89" s="758">
        <f>_xll.VAData($CJ89,CY$3,$CK89,$CL89)</f>
        <v>1331.4995932369513</v>
      </c>
      <c r="CZ89" s="758">
        <f>_xll.VAData($CJ89,CZ$3,$CK89,$CL89)</f>
        <v>1257.8046184979587</v>
      </c>
      <c r="DA89" s="758">
        <f>_xll.VAData($CJ89,DA$3,$CK89,$CL89)</f>
        <v>1355.5634690180013</v>
      </c>
      <c r="DB89" s="758">
        <f>_xll.VAData($CJ89,DB$3,$CK89,$CL89)</f>
        <v>1281.2589496963287</v>
      </c>
      <c r="DC89" s="758">
        <f>_xll.VAData($CJ89,DC$3,$CK89,$CL89)</f>
        <v>1379.6692408555875</v>
      </c>
      <c r="DD89" s="758">
        <f>_xll.VAData($CJ89,DD$3,$CK89,$CL89)</f>
        <v>1305.2727142522913</v>
      </c>
      <c r="DE89" s="758">
        <f>_xll.VAData($CJ89,DE$3,$CK89,$CL89)</f>
        <v>1416.63741782086</v>
      </c>
      <c r="DF89" s="758">
        <f>_xll.VAData($CJ89,DF$3,$CK89,$CL89)</f>
        <v>1332.475710573505</v>
      </c>
      <c r="DG89" s="758">
        <f>_xll.VAData($CJ89,DG$3,$CK89,$CL89)</f>
        <v>1441.6239132396674</v>
      </c>
      <c r="DH89" s="758">
        <f>_xll.VAData($CJ89,DH$3,$CK89,$CL89)</f>
        <v>1357.40724144307</v>
      </c>
      <c r="DI89" s="758">
        <f>_xll.VAData($CJ89,DI$3,$CK89,$CL89)</f>
        <v>1467.536593554735</v>
      </c>
      <c r="DJ89" s="758">
        <f>_xll.VAData($CJ89,DJ$3,$CK89,$CL89)</f>
        <v>1383.0594237647724</v>
      </c>
      <c r="DK89" s="758">
        <f>_xll.VAData($CJ89,DK$3,$CK89,$CL89)</f>
        <v>1494.1845773639425</v>
      </c>
      <c r="DL89" s="758">
        <f>_xll.VAData($CJ89,DL$3,$CK89,$CL89)</f>
        <v>1409.452444058435</v>
      </c>
      <c r="DN89" s="758">
        <f>_xll.VAData($CJ89,DN$3,$CK89,$CL89)</f>
        <v>2181.9</v>
      </c>
      <c r="DO89" s="758">
        <f>_xll.VAData($CJ89,DO$3,$CK89,$CL89)</f>
        <v>2230.8000000000002</v>
      </c>
      <c r="DP89" s="758">
        <f>_xll.VAData($CJ89,DP$3,$CK89,$CL89)</f>
        <v>2162.8000000000002</v>
      </c>
      <c r="DQ89" s="758">
        <f>_xll.VAData($CJ89,DQ$3,$CK89,$CL89)</f>
        <v>2438.8000000000002</v>
      </c>
      <c r="DR89" s="758">
        <f>_xll.VAData($CJ89,DR$3,$CK89,$CL89)</f>
        <v>2454.6999999999998</v>
      </c>
      <c r="DS89" s="758">
        <f>_xll.VAData($CJ89,DS$3,$CK89,$CL89)</f>
        <v>2520.67527364948</v>
      </c>
      <c r="DT89" s="758">
        <f>_xll.VAData($CJ89,DT$3,$CK89,$CL89)</f>
        <v>2584.96162311941</v>
      </c>
      <c r="DU89" s="758">
        <f>_xll.VAData($CJ89,DU$3,$CK89,$CL89)</f>
        <v>2632.6156218083042</v>
      </c>
      <c r="DV89" s="758">
        <f>_xll.VAData($CJ89,DV$3,$CK89,$CL89)</f>
        <v>2680.5292526075391</v>
      </c>
      <c r="DW89" s="758">
        <f>_xll.VAData($CJ89,DW$3,$CK89,$CL89)</f>
        <v>2737.9323303381138</v>
      </c>
      <c r="DX89" s="758">
        <f>_xll.VAData($CJ89,DX$3,$CK89,$CL89)</f>
        <v>2787.8173479517882</v>
      </c>
      <c r="DY89" s="758">
        <f>_xll.VAData($CJ89,DY$3,$CK89,$CL89)</f>
        <v>2839.3857839296738</v>
      </c>
      <c r="DZ89" s="758">
        <f>_xll.VAData($CJ89,DZ$3,$CK89,$CL89)</f>
        <v>2892.5131314255841</v>
      </c>
    </row>
    <row r="90" spans="1:130">
      <c r="B90" s="138" t="str">
        <f>B85</f>
        <v>Gaming Services</v>
      </c>
      <c r="C90" s="82" t="s">
        <v>900</v>
      </c>
      <c r="E90" s="24"/>
      <c r="F90" s="132">
        <f t="shared" si="84"/>
        <v>79.599999999999994</v>
      </c>
      <c r="G90" s="132">
        <f t="shared" si="84"/>
        <v>117.3</v>
      </c>
      <c r="H90" s="132">
        <f t="shared" si="84"/>
        <v>108.8</v>
      </c>
      <c r="I90" s="132">
        <f t="shared" si="84"/>
        <v>94.8</v>
      </c>
      <c r="J90" s="132">
        <f t="shared" si="84"/>
        <v>93</v>
      </c>
      <c r="K90" s="132">
        <f t="shared" si="84"/>
        <v>83.1</v>
      </c>
      <c r="L90" s="132">
        <f t="shared" si="84"/>
        <v>88.1</v>
      </c>
      <c r="M90" s="132">
        <f t="shared" si="84"/>
        <v>84.857865766069963</v>
      </c>
      <c r="N90" s="132">
        <f t="shared" si="84"/>
        <v>89.520075248020206</v>
      </c>
      <c r="O90" s="132">
        <f t="shared" si="84"/>
        <v>87.524862574319584</v>
      </c>
      <c r="P90" s="132">
        <f t="shared" si="85"/>
        <v>91.961460012440597</v>
      </c>
      <c r="Q90" s="132">
        <f t="shared" si="85"/>
        <v>89.984622787485549</v>
      </c>
      <c r="R90" s="132">
        <f t="shared" si="85"/>
        <v>94.417558512370107</v>
      </c>
      <c r="S90" s="132">
        <f t="shared" si="85"/>
        <v>91.893454599462657</v>
      </c>
      <c r="T90" s="132">
        <f t="shared" si="85"/>
        <v>96.878022148673566</v>
      </c>
      <c r="U90" s="132">
        <f t="shared" si="85"/>
        <v>94.241895763128213</v>
      </c>
      <c r="V90" s="132">
        <f t="shared" si="85"/>
        <v>99.72870609762316</v>
      </c>
      <c r="W90" s="132">
        <f t="shared" si="85"/>
        <v>98.184263690175456</v>
      </c>
      <c r="X90" s="132">
        <f t="shared" si="85"/>
        <v>104.364245116072</v>
      </c>
      <c r="Y90" s="132">
        <f t="shared" si="85"/>
        <v>103.9748619452505</v>
      </c>
      <c r="Z90" s="132">
        <f t="shared" si="86"/>
        <v>107.51285815938925</v>
      </c>
      <c r="AA90" s="132">
        <f t="shared" si="86"/>
        <v>107.17571853498525</v>
      </c>
      <c r="AB90" s="132">
        <f t="shared" si="86"/>
        <v>110.372814078728</v>
      </c>
      <c r="AC90" s="132">
        <f t="shared" si="86"/>
        <v>109.82665010206067</v>
      </c>
      <c r="AD90" s="132">
        <f t="shared" si="86"/>
        <v>113.50817196312266</v>
      </c>
      <c r="AE90" s="132">
        <f t="shared" si="86"/>
        <v>112.94145018572766</v>
      </c>
      <c r="AF90" s="132"/>
      <c r="AG90" s="132">
        <f t="shared" si="87"/>
        <v>196.9</v>
      </c>
      <c r="AH90" s="132">
        <f t="shared" si="87"/>
        <v>203.6</v>
      </c>
      <c r="AI90" s="132">
        <f t="shared" si="87"/>
        <v>176.1</v>
      </c>
      <c r="AJ90" s="132">
        <f t="shared" si="87"/>
        <v>172.48988541492261</v>
      </c>
      <c r="AK90" s="132">
        <f t="shared" si="87"/>
        <v>176.99841404010581</v>
      </c>
      <c r="AL90" s="132">
        <f t="shared" si="87"/>
        <v>181.87687924493349</v>
      </c>
      <c r="AM90" s="132">
        <f t="shared" si="87"/>
        <v>186.51599487711019</v>
      </c>
      <c r="AN90" s="132">
        <f t="shared" si="87"/>
        <v>191.1412890738074</v>
      </c>
      <c r="AO90" s="132">
        <f t="shared" si="87"/>
        <v>197.31211885139001</v>
      </c>
      <c r="AP90" s="132">
        <f t="shared" si="87"/>
        <v>205.32120427702182</v>
      </c>
      <c r="AQ90" s="132">
        <f t="shared" si="87"/>
        <v>210.94504786146516</v>
      </c>
      <c r="AR90" s="132">
        <f t="shared" si="87"/>
        <v>215.2114484517808</v>
      </c>
      <c r="AS90" s="132">
        <f t="shared" si="87"/>
        <v>220.7106861782548</v>
      </c>
      <c r="AU90" s="256">
        <v>79.599999999999994</v>
      </c>
      <c r="AV90" s="256">
        <v>117.3</v>
      </c>
      <c r="AW90" s="256">
        <v>108.8</v>
      </c>
      <c r="AX90" s="256">
        <v>94.8</v>
      </c>
      <c r="AY90" s="256">
        <v>93</v>
      </c>
      <c r="AZ90" s="256">
        <v>83.1</v>
      </c>
      <c r="BA90" s="256">
        <v>88.1</v>
      </c>
      <c r="BB90" s="256">
        <v>84.857865766069963</v>
      </c>
      <c r="BC90" s="256">
        <v>89.520075248020206</v>
      </c>
      <c r="BD90" s="256">
        <v>87.524862574319584</v>
      </c>
      <c r="BE90" s="256">
        <v>91.961460012440597</v>
      </c>
      <c r="BF90" s="256">
        <v>89.984622787485549</v>
      </c>
      <c r="BG90" s="256">
        <v>94.417558512370107</v>
      </c>
      <c r="BH90" s="256">
        <v>91.893454599462657</v>
      </c>
      <c r="BI90" s="256">
        <v>96.878022148673566</v>
      </c>
      <c r="BJ90" s="256">
        <v>94.241895763128213</v>
      </c>
      <c r="BK90" s="256">
        <v>99.72870609762316</v>
      </c>
      <c r="BL90" s="256">
        <v>98.184263690175456</v>
      </c>
      <c r="BM90" s="256">
        <v>104.364245116072</v>
      </c>
      <c r="BN90" s="256">
        <v>103.9748619452505</v>
      </c>
      <c r="BO90" s="256">
        <v>107.51285815938925</v>
      </c>
      <c r="BP90" s="256">
        <v>107.17571853498525</v>
      </c>
      <c r="BQ90" s="256">
        <v>110.372814078728</v>
      </c>
      <c r="BR90" s="256">
        <v>109.82665010206067</v>
      </c>
      <c r="BS90" s="256">
        <v>113.50817196312266</v>
      </c>
      <c r="BT90" s="256">
        <v>112.94145018572766</v>
      </c>
      <c r="BV90" s="256">
        <v>196.9</v>
      </c>
      <c r="BW90" s="256">
        <v>203.6</v>
      </c>
      <c r="BX90" s="256">
        <v>176.1</v>
      </c>
      <c r="BY90" s="256">
        <v>172.48988541492261</v>
      </c>
      <c r="BZ90" s="256">
        <v>176.99841404010581</v>
      </c>
      <c r="CA90" s="256">
        <v>181.87687924493349</v>
      </c>
      <c r="CB90" s="256">
        <v>186.51599487711019</v>
      </c>
      <c r="CC90" s="256">
        <v>191.1412890738074</v>
      </c>
      <c r="CD90" s="256">
        <v>197.31211885139001</v>
      </c>
      <c r="CE90" s="256">
        <v>205.32120427702182</v>
      </c>
      <c r="CF90" s="256">
        <v>210.94504786146516</v>
      </c>
      <c r="CG90" s="256">
        <v>215.2114484517808</v>
      </c>
      <c r="CH90" s="256">
        <v>220.7106861782548</v>
      </c>
      <c r="CJ90" s="751" t="s">
        <v>1352</v>
      </c>
      <c r="CK90" s="751" t="s">
        <v>1361</v>
      </c>
      <c r="CL90" s="752" t="s">
        <v>961</v>
      </c>
      <c r="CM90" s="758">
        <f>_xll.VAData($CJ90,CM$3,$CK90,$CL90)</f>
        <v>79.599999999999994</v>
      </c>
      <c r="CN90" s="758">
        <f>_xll.VAData($CJ90,CN$3,$CK90,$CL90)</f>
        <v>117.3</v>
      </c>
      <c r="CO90" s="758">
        <f>_xll.VAData($CJ90,CO$3,$CK90,$CL90)</f>
        <v>108.8</v>
      </c>
      <c r="CP90" s="758">
        <f>_xll.VAData($CJ90,CP$3,$CK90,$CL90)</f>
        <v>94.8</v>
      </c>
      <c r="CQ90" s="758">
        <f>_xll.VAData($CJ90,CQ$3,$CK90,$CL90)</f>
        <v>80.3</v>
      </c>
      <c r="CR90" s="758">
        <f>_xll.VAData($CJ90,CR$3,$CK90,$CL90)</f>
        <v>83.1</v>
      </c>
      <c r="CS90" s="758">
        <f>_xll.VAData($CJ90,CS$3,$CK90,$CL90)</f>
        <v>88.1</v>
      </c>
      <c r="CT90" s="758">
        <f>_xll.VAData($CJ90,CT$3,$CK90,$CL90)</f>
        <v>87.7</v>
      </c>
      <c r="CU90" s="758">
        <f>_xll.VAData($CJ90,CU$3,$CK90,$CL90)</f>
        <v>91.7</v>
      </c>
      <c r="CV90" s="758">
        <f>_xll.VAData($CJ90,CV$3,$CK90,$CL90)</f>
        <v>89.9</v>
      </c>
      <c r="CW90" s="758">
        <f>_xll.VAData($CJ90,CW$3,$CK90,$CL90)</f>
        <v>93.443064857848839</v>
      </c>
      <c r="CX90" s="758">
        <f>_xll.VAData($CJ90,CX$3,$CK90,$CL90)</f>
        <v>91.723116772723102</v>
      </c>
      <c r="CY90" s="758">
        <f>_xll.VAData($CJ90,CY$3,$CK90,$CL90)</f>
        <v>95.629238161132648</v>
      </c>
      <c r="CZ90" s="758">
        <f>_xll.VAData($CJ90,CZ$3,$CK90,$CL90)</f>
        <v>93.917224782753351</v>
      </c>
      <c r="DA90" s="758">
        <f>_xll.VAData($CJ90,DA$3,$CK90,$CL90)</f>
        <v>98.024724028647057</v>
      </c>
      <c r="DB90" s="758">
        <f>_xll.VAData($CJ90,DB$3,$CK90,$CL90)</f>
        <v>96.240922169845021</v>
      </c>
      <c r="DC90" s="758">
        <f>_xll.VAData($CJ90,DC$3,$CK90,$CL90)</f>
        <v>100.52379099098594</v>
      </c>
      <c r="DD90" s="758">
        <f>_xll.VAData($CJ90,DD$3,$CK90,$CL90)</f>
        <v>98.695395279044916</v>
      </c>
      <c r="DE90" s="758">
        <f>_xll.VAData($CJ90,DE$3,$CK90,$CL90)</f>
        <v>104.596878829628</v>
      </c>
      <c r="DF90" s="758">
        <f>_xll.VAData($CJ90,DF$3,$CK90,$CL90)</f>
        <v>102.83492237767375</v>
      </c>
      <c r="DG90" s="758">
        <f>_xll.VAData($CJ90,DG$3,$CK90,$CL90)</f>
        <v>107.55668756057349</v>
      </c>
      <c r="DH90" s="758">
        <f>_xll.VAData($CJ90,DH$3,$CK90,$CL90)</f>
        <v>105.81142717574726</v>
      </c>
      <c r="DI90" s="758">
        <f>_xll.VAData($CJ90,DI$3,$CK90,$CL90)</f>
        <v>110.59238401088599</v>
      </c>
      <c r="DJ90" s="758">
        <f>_xll.VAData($CJ90,DJ$3,$CK90,$CL90)</f>
        <v>108.7466353257975</v>
      </c>
      <c r="DK90" s="758">
        <f>_xll.VAData($CJ90,DK$3,$CK90,$CL90)</f>
        <v>113.72223373537226</v>
      </c>
      <c r="DL90" s="758">
        <f>_xll.VAData($CJ90,DL$3,$CK90,$CL90)</f>
        <v>111.82886884278425</v>
      </c>
      <c r="DN90" s="758">
        <f>_xll.VAData($CJ90,DN$3,$CK90,$CL90)</f>
        <v>196.9</v>
      </c>
      <c r="DO90" s="758">
        <f>_xll.VAData($CJ90,DO$3,$CK90,$CL90)</f>
        <v>203.6</v>
      </c>
      <c r="DP90" s="758">
        <f>_xll.VAData($CJ90,DP$3,$CK90,$CL90)</f>
        <v>163.4</v>
      </c>
      <c r="DQ90" s="758">
        <f>_xll.VAData($CJ90,DQ$3,$CK90,$CL90)</f>
        <v>175.8</v>
      </c>
      <c r="DR90" s="758">
        <f>_xll.VAData($CJ90,DR$3,$CK90,$CL90)</f>
        <v>181.6</v>
      </c>
      <c r="DS90" s="758">
        <f>_xll.VAData($CJ90,DS$3,$CK90,$CL90)</f>
        <v>185.16618163057188</v>
      </c>
      <c r="DT90" s="758">
        <f>_xll.VAData($CJ90,DT$3,$CK90,$CL90)</f>
        <v>189.85240003809966</v>
      </c>
      <c r="DU90" s="758">
        <f>_xll.VAData($CJ90,DU$3,$CK90,$CL90)</f>
        <v>194.58353264324666</v>
      </c>
      <c r="DV90" s="758">
        <f>_xll.VAData($CJ90,DV$3,$CK90,$CL90)</f>
        <v>199.53644362544256</v>
      </c>
      <c r="DW90" s="758">
        <f>_xll.VAData($CJ90,DW$3,$CK90,$CL90)</f>
        <v>207.37475546198181</v>
      </c>
      <c r="DX90" s="758">
        <f>_xll.VAData($CJ90,DX$3,$CK90,$CL90)</f>
        <v>213.16368207904981</v>
      </c>
      <c r="DY90" s="758">
        <f>_xll.VAData($CJ90,DY$3,$CK90,$CL90)</f>
        <v>219.006382435619</v>
      </c>
      <c r="DZ90" s="758">
        <f>_xll.VAData($CJ90,DZ$3,$CK90,$CL90)</f>
        <v>225.06878171965059</v>
      </c>
    </row>
    <row r="91" spans="1:130">
      <c r="B91" s="138" t="str">
        <f>B86</f>
        <v>Total</v>
      </c>
      <c r="C91" s="82" t="s">
        <v>900</v>
      </c>
      <c r="E91" s="7"/>
      <c r="F91" s="132"/>
      <c r="G91" s="132"/>
      <c r="H91" s="132">
        <f t="shared" ref="H91:AE91" si="88">AW91</f>
        <v>1274.5</v>
      </c>
      <c r="I91" s="132">
        <f t="shared" si="88"/>
        <v>1159.9000000000001</v>
      </c>
      <c r="J91" s="132">
        <f t="shared" si="88"/>
        <v>1209.5999999999999</v>
      </c>
      <c r="K91" s="132">
        <f t="shared" si="88"/>
        <v>1129.3</v>
      </c>
      <c r="L91" s="132">
        <f t="shared" si="88"/>
        <v>1331.3</v>
      </c>
      <c r="M91" s="132">
        <f t="shared" si="88"/>
        <v>1256.6689925214555</v>
      </c>
      <c r="N91" s="132">
        <f t="shared" si="88"/>
        <v>1377.1782058411889</v>
      </c>
      <c r="O91" s="132">
        <f t="shared" si="88"/>
        <v>1286.70005822957</v>
      </c>
      <c r="P91" s="132">
        <f t="shared" si="88"/>
        <v>1406.8653254600656</v>
      </c>
      <c r="Q91" s="132">
        <f t="shared" si="88"/>
        <v>1315.598120235531</v>
      </c>
      <c r="R91" s="132">
        <f t="shared" si="88"/>
        <v>1429.6566966725838</v>
      </c>
      <c r="S91" s="132">
        <f t="shared" si="88"/>
        <v>1344.0854860028037</v>
      </c>
      <c r="T91" s="132">
        <f t="shared" si="88"/>
        <v>1455.2276383485812</v>
      </c>
      <c r="U91" s="132">
        <f t="shared" si="88"/>
        <v>1368.954430695565</v>
      </c>
      <c r="V91" s="132">
        <f t="shared" si="88"/>
        <v>1484.0416110143958</v>
      </c>
      <c r="W91" s="132">
        <f t="shared" si="88"/>
        <v>1404.4334539162714</v>
      </c>
      <c r="X91" s="132">
        <f t="shared" si="88"/>
        <v>1511.7063966370174</v>
      </c>
      <c r="Y91" s="132">
        <f t="shared" si="88"/>
        <v>1424.2846165636749</v>
      </c>
      <c r="Z91" s="132">
        <f t="shared" si="88"/>
        <v>1540.98761066012</v>
      </c>
      <c r="AA91" s="132">
        <f t="shared" si="88"/>
        <v>1452.8886018200601</v>
      </c>
      <c r="AB91" s="132">
        <f t="shared" si="88"/>
        <v>1548.2934850828167</v>
      </c>
      <c r="AC91" s="132">
        <f t="shared" si="88"/>
        <v>1454.2665322453267</v>
      </c>
      <c r="AD91" s="132">
        <f t="shared" si="88"/>
        <v>1576.7847050447467</v>
      </c>
      <c r="AE91" s="132">
        <f t="shared" si="88"/>
        <v>1482.0904620391934</v>
      </c>
      <c r="AF91" s="132"/>
      <c r="AG91" s="132">
        <f t="shared" si="87"/>
        <v>2373.3000000000002</v>
      </c>
      <c r="AH91" s="132">
        <f t="shared" si="87"/>
        <v>2434.4</v>
      </c>
      <c r="AI91" s="132">
        <f t="shared" si="87"/>
        <v>2338.9</v>
      </c>
      <c r="AJ91" s="132">
        <f t="shared" si="87"/>
        <v>2586.5440197533262</v>
      </c>
      <c r="AK91" s="132">
        <f t="shared" si="87"/>
        <v>2665.3509280317762</v>
      </c>
      <c r="AL91" s="132">
        <f t="shared" si="87"/>
        <v>2726.2959434457739</v>
      </c>
      <c r="AM91" s="132">
        <f t="shared" si="87"/>
        <v>2771.9800889698909</v>
      </c>
      <c r="AN91" s="132">
        <f t="shared" si="87"/>
        <v>2822.62194984189</v>
      </c>
      <c r="AO91" s="132">
        <f t="shared" si="87"/>
        <v>2884.3092839721276</v>
      </c>
      <c r="AP91" s="132">
        <f t="shared" si="87"/>
        <v>2932.3393363704317</v>
      </c>
      <c r="AQ91" s="132">
        <f t="shared" si="87"/>
        <v>2990.0394577797683</v>
      </c>
      <c r="AR91" s="132">
        <f t="shared" si="87"/>
        <v>3018.2499480191559</v>
      </c>
      <c r="AS91" s="132">
        <f t="shared" si="87"/>
        <v>3076.6694443402062</v>
      </c>
      <c r="AU91" s="256">
        <v>1150.3</v>
      </c>
      <c r="AV91" s="256">
        <v>1221</v>
      </c>
      <c r="AW91" s="256">
        <v>1274.5</v>
      </c>
      <c r="AX91" s="256">
        <v>1159.9000000000001</v>
      </c>
      <c r="AY91" s="256">
        <v>1209.5999999999999</v>
      </c>
      <c r="AZ91" s="256">
        <v>1129.3</v>
      </c>
      <c r="BA91" s="256">
        <v>1331.3</v>
      </c>
      <c r="BB91" s="256">
        <v>1256.6689925214555</v>
      </c>
      <c r="BC91" s="256">
        <v>1377.1782058411889</v>
      </c>
      <c r="BD91" s="256">
        <v>1286.70005822957</v>
      </c>
      <c r="BE91" s="256">
        <v>1406.8653254600656</v>
      </c>
      <c r="BF91" s="256">
        <v>1315.598120235531</v>
      </c>
      <c r="BG91" s="256">
        <v>1429.6566966725838</v>
      </c>
      <c r="BH91" s="256">
        <v>1344.0854860028037</v>
      </c>
      <c r="BI91" s="256">
        <v>1455.2276383485812</v>
      </c>
      <c r="BJ91" s="256">
        <v>1368.954430695565</v>
      </c>
      <c r="BK91" s="256">
        <v>1484.0416110143958</v>
      </c>
      <c r="BL91" s="256">
        <v>1404.4334539162714</v>
      </c>
      <c r="BM91" s="256">
        <v>1511.7063966370174</v>
      </c>
      <c r="BN91" s="256">
        <v>1424.2846165636749</v>
      </c>
      <c r="BO91" s="256">
        <v>1540.98761066012</v>
      </c>
      <c r="BP91" s="256">
        <v>1452.8886018200601</v>
      </c>
      <c r="BQ91" s="256">
        <v>1548.2934850828167</v>
      </c>
      <c r="BR91" s="256">
        <v>1454.2665322453267</v>
      </c>
      <c r="BS91" s="256">
        <v>1576.7847050447467</v>
      </c>
      <c r="BT91" s="256">
        <v>1482.0904620391934</v>
      </c>
      <c r="BV91" s="256">
        <v>2373.3000000000002</v>
      </c>
      <c r="BW91" s="256">
        <v>2434.4</v>
      </c>
      <c r="BX91" s="256">
        <v>2338.9</v>
      </c>
      <c r="BY91" s="256">
        <v>2586.5440197533262</v>
      </c>
      <c r="BZ91" s="256">
        <v>2665.3509280317762</v>
      </c>
      <c r="CA91" s="256">
        <v>2726.2959434457739</v>
      </c>
      <c r="CB91" s="256">
        <v>2771.9800889698909</v>
      </c>
      <c r="CC91" s="256">
        <v>2822.62194984189</v>
      </c>
      <c r="CD91" s="256">
        <v>2884.3092839721276</v>
      </c>
      <c r="CE91" s="256">
        <v>2932.3393363704317</v>
      </c>
      <c r="CF91" s="256">
        <v>2990.0394577797683</v>
      </c>
      <c r="CG91" s="256">
        <v>3018.2499480191559</v>
      </c>
      <c r="CH91" s="256">
        <v>3076.6694443402062</v>
      </c>
      <c r="CJ91" s="751" t="s">
        <v>1352</v>
      </c>
      <c r="CK91" s="751" t="s">
        <v>70</v>
      </c>
      <c r="CL91" s="752" t="s">
        <v>961</v>
      </c>
      <c r="CM91" s="758">
        <f>_xll.VAData($CJ91,CM$3,$CK91,$CL91)</f>
        <v>1152.3</v>
      </c>
      <c r="CN91" s="758">
        <f>_xll.VAData($CJ91,CN$3,$CK91,$CL91)</f>
        <v>1225</v>
      </c>
      <c r="CO91" s="758">
        <f>_xll.VAData($CJ91,CO$3,$CK91,$CL91)</f>
        <v>1274.5</v>
      </c>
      <c r="CP91" s="758">
        <f>_xll.VAData($CJ91,CP$3,$CK91,$CL91)</f>
        <v>1159.9000000000001</v>
      </c>
      <c r="CQ91" s="758">
        <f>_xll.VAData($CJ91,CQ$3,$CK91,$CL91)</f>
        <v>1209.5999999999999</v>
      </c>
      <c r="CR91" s="758">
        <f>_xll.VAData($CJ91,CR$3,$CK91,$CL91)</f>
        <v>1129.3</v>
      </c>
      <c r="CS91" s="758">
        <f>_xll.VAData($CJ91,CS$3,$CK91,$CL91)</f>
        <v>1331.3</v>
      </c>
      <c r="CT91" s="758">
        <f>_xll.VAData($CJ91,CT$3,$CK91,$CL91)</f>
        <v>1283.3</v>
      </c>
      <c r="CU91" s="758">
        <f>_xll.VAData($CJ91,CU$3,$CK91,$CL91)</f>
        <v>1344.9</v>
      </c>
      <c r="CV91" s="758">
        <f>_xll.VAData($CJ91,CV$3,$CK91,$CL91)</f>
        <v>1291.4000000000001</v>
      </c>
      <c r="CW91" s="758">
        <f>_xll.VAData($CJ91,CW$3,$CK91,$CL91)</f>
        <v>1391.2068816766312</v>
      </c>
      <c r="CX91" s="758">
        <f>_xll.VAData($CJ91,CX$3,$CK91,$CL91)</f>
        <v>1320.0772356754023</v>
      </c>
      <c r="CY91" s="758">
        <f>_xll.VAData($CJ91,CY$3,$CK91,$CL91)</f>
        <v>1445.5413520933312</v>
      </c>
      <c r="CZ91" s="758">
        <f>_xll.VAData($CJ91,CZ$3,$CK91,$CL91)</f>
        <v>1365.5899409331926</v>
      </c>
      <c r="DA91" s="758">
        <f>_xll.VAData($CJ91,DA$3,$CK91,$CL91)</f>
        <v>1472.8657671577412</v>
      </c>
      <c r="DB91" s="758">
        <f>_xll.VAData($CJ91,DB$3,$CK91,$CL91)</f>
        <v>1391.3261047958924</v>
      </c>
      <c r="DC91" s="758">
        <f>_xll.VAData($CJ91,DC$3,$CK91,$CL91)</f>
        <v>1500.1036092278475</v>
      </c>
      <c r="DD91" s="758">
        <f>_xll.VAData($CJ91,DD$3,$CK91,$CL91)</f>
        <v>1417.88405909735</v>
      </c>
      <c r="DE91" s="758">
        <f>_xll.VAData($CJ91,DE$3,$CK91,$CL91)</f>
        <v>1547.9947999568226</v>
      </c>
      <c r="DF91" s="758">
        <f>_xll.VAData($CJ91,DF$3,$CK91,$CL91)</f>
        <v>1463.2128897083376</v>
      </c>
      <c r="DG91" s="758">
        <f>_xll.VAData($CJ91,DG$3,$CK91,$CL91)</f>
        <v>1576.5594189549074</v>
      </c>
      <c r="DH91" s="758">
        <f>_xll.VAData($CJ91,DH$3,$CK91,$CL91)</f>
        <v>1491.9677565379225</v>
      </c>
      <c r="DI91" s="758">
        <f>_xll.VAData($CJ91,DI$3,$CK91,$CL91)</f>
        <v>1606.9252944800351</v>
      </c>
      <c r="DJ91" s="758">
        <f>_xll.VAData($CJ91,DJ$3,$CK91,$CL91)</f>
        <v>1522.4828499642174</v>
      </c>
      <c r="DK91" s="758">
        <f>_xll.VAData($CJ91,DK$3,$CK91,$CL91)</f>
        <v>1638.036437089105</v>
      </c>
      <c r="DL91" s="758">
        <f>_xll.VAData($CJ91,DL$3,$CK91,$CL91)</f>
        <v>1553.2107707406651</v>
      </c>
      <c r="DN91" s="758">
        <f>_xll.VAData($CJ91,DN$3,$CK91,$CL91)</f>
        <v>2377.3000000000002</v>
      </c>
      <c r="DO91" s="758">
        <f>_xll.VAData($CJ91,DO$3,$CK91,$CL91)</f>
        <v>2434.4</v>
      </c>
      <c r="DP91" s="758">
        <f>_xll.VAData($CJ91,DP$3,$CK91,$CL91)</f>
        <v>2338.9</v>
      </c>
      <c r="DQ91" s="758">
        <f>_xll.VAData($CJ91,DQ$3,$CK91,$CL91)</f>
        <v>2614.6</v>
      </c>
      <c r="DR91" s="758">
        <f>_xll.VAData($CJ91,DR$3,$CK91,$CL91)</f>
        <v>2636.3</v>
      </c>
      <c r="DS91" s="758">
        <f>_xll.VAData($CJ91,DS$3,$CK91,$CL91)</f>
        <v>2711.2841173520346</v>
      </c>
      <c r="DT91" s="758">
        <f>_xll.VAData($CJ91,DT$3,$CK91,$CL91)</f>
        <v>2814.8079061332687</v>
      </c>
      <c r="DU91" s="758">
        <f>_xll.VAData($CJ91,DU$3,$CK91,$CL91)</f>
        <v>2868.9247607100488</v>
      </c>
      <c r="DV91" s="758">
        <f>_xll.VAData($CJ91,DV$3,$CK91,$CL91)</f>
        <v>2923.4937201861258</v>
      </c>
      <c r="DW91" s="758">
        <f>_xll.VAData($CJ91,DW$3,$CK91,$CL91)</f>
        <v>3015.1552938508862</v>
      </c>
      <c r="DX91" s="758">
        <f>_xll.VAData($CJ91,DX$3,$CK91,$CL91)</f>
        <v>3071.98335488986</v>
      </c>
      <c r="DY91" s="758">
        <f>_xll.VAData($CJ91,DY$3,$CK91,$CL91)</f>
        <v>3129.2086525957361</v>
      </c>
      <c r="DZ91" s="758">
        <f>_xll.VAData($CJ91,DZ$3,$CK91,$CL91)</f>
        <v>3191.2771802086199</v>
      </c>
    </row>
    <row r="93" spans="1:130">
      <c r="B93" s="130" t="s">
        <v>1497</v>
      </c>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row>
    <row r="94" spans="1:130">
      <c r="B94" s="138" t="str">
        <f>B84</f>
        <v>Wagering &amp; Media</v>
      </c>
      <c r="C94" s="82" t="s">
        <v>842</v>
      </c>
      <c r="E94" s="7"/>
      <c r="F94" s="314">
        <f xml:space="preserve"> IFERROR(ROUND( F84/ F89,3) - 1, 0)</f>
        <v>0</v>
      </c>
      <c r="G94" s="314">
        <f t="shared" ref="G94:AE94" si="89" xml:space="preserve"> IFERROR(ROUND( G84/ G89,3) - 1, 0)</f>
        <v>0</v>
      </c>
      <c r="H94" s="314">
        <f t="shared" si="89"/>
        <v>0</v>
      </c>
      <c r="I94" s="314">
        <f t="shared" si="89"/>
        <v>0</v>
      </c>
      <c r="J94" s="314">
        <f t="shared" si="89"/>
        <v>0</v>
      </c>
      <c r="K94" s="314">
        <f t="shared" si="89"/>
        <v>0</v>
      </c>
      <c r="L94" s="314">
        <f t="shared" si="89"/>
        <v>0</v>
      </c>
      <c r="M94" s="314">
        <f t="shared" si="89"/>
        <v>2.0000000000000018E-2</v>
      </c>
      <c r="N94" s="314">
        <f t="shared" si="89"/>
        <v>-2.7000000000000024E-2</v>
      </c>
      <c r="O94" s="314">
        <f t="shared" si="89"/>
        <v>2.0000000000000018E-3</v>
      </c>
      <c r="P94" s="314">
        <f t="shared" si="89"/>
        <v>-6.0000000000000053E-3</v>
      </c>
      <c r="Q94" s="314">
        <f t="shared" si="89"/>
        <v>2.0000000000000018E-3</v>
      </c>
      <c r="R94" s="314">
        <f t="shared" si="89"/>
        <v>-1.8000000000000016E-2</v>
      </c>
      <c r="S94" s="314">
        <f t="shared" si="89"/>
        <v>-8.0000000000000071E-3</v>
      </c>
      <c r="T94" s="314">
        <f t="shared" si="89"/>
        <v>-2.5000000000000022E-2</v>
      </c>
      <c r="U94" s="314">
        <f t="shared" si="89"/>
        <v>-1.8000000000000016E-2</v>
      </c>
      <c r="V94" s="314">
        <f t="shared" si="89"/>
        <v>-2.1000000000000019E-2</v>
      </c>
      <c r="W94" s="314">
        <f t="shared" si="89"/>
        <v>-1.4000000000000012E-2</v>
      </c>
      <c r="X94" s="314">
        <f t="shared" si="89"/>
        <v>-2.5000000000000022E-2</v>
      </c>
      <c r="Y94" s="314">
        <f t="shared" si="89"/>
        <v>-1.6000000000000014E-2</v>
      </c>
      <c r="Z94" s="314">
        <f t="shared" si="89"/>
        <v>-2.8000000000000025E-2</v>
      </c>
      <c r="AA94" s="314">
        <f t="shared" si="89"/>
        <v>-2.0000000000000018E-2</v>
      </c>
      <c r="AB94" s="314">
        <f t="shared" si="89"/>
        <v>-1.7000000000000015E-2</v>
      </c>
      <c r="AC94" s="314">
        <f t="shared" si="89"/>
        <v>-3.0000000000000027E-3</v>
      </c>
      <c r="AD94" s="314">
        <f t="shared" si="89"/>
        <v>-1.9000000000000017E-2</v>
      </c>
      <c r="AE94" s="314">
        <f t="shared" si="89"/>
        <v>-5.0000000000000044E-3</v>
      </c>
      <c r="AG94" s="314">
        <f t="shared" ref="AG94:AS94" si="90" xml:space="preserve"> IFERROR(ROUND( AG84/ AG89,3) - 1, 0)</f>
        <v>0</v>
      </c>
      <c r="AH94" s="314">
        <f t="shared" si="90"/>
        <v>0</v>
      </c>
      <c r="AI94" s="314">
        <f t="shared" si="90"/>
        <v>0</v>
      </c>
      <c r="AJ94" s="314">
        <f t="shared" si="90"/>
        <v>1.0000000000000009E-2</v>
      </c>
      <c r="AK94" s="314">
        <f t="shared" si="90"/>
        <v>-2.1000000000000019E-2</v>
      </c>
      <c r="AL94" s="314">
        <f t="shared" si="90"/>
        <v>-1.100000000000001E-2</v>
      </c>
      <c r="AM94" s="314">
        <f t="shared" si="90"/>
        <v>-1.9000000000000017E-2</v>
      </c>
      <c r="AN94" s="314">
        <f t="shared" si="90"/>
        <v>-2.8000000000000025E-2</v>
      </c>
      <c r="AO94" s="314">
        <f t="shared" si="90"/>
        <v>-2.4000000000000021E-2</v>
      </c>
      <c r="AP94" s="314">
        <f t="shared" si="90"/>
        <v>-2.0000000000000018E-2</v>
      </c>
      <c r="AQ94" s="314">
        <f t="shared" si="90"/>
        <v>-2.4000000000000021E-2</v>
      </c>
      <c r="AR94" s="314">
        <f t="shared" si="90"/>
        <v>-1.7000000000000015E-2</v>
      </c>
      <c r="AS94" s="314">
        <f t="shared" si="90"/>
        <v>-2.0000000000000018E-2</v>
      </c>
      <c r="AU94" s="314"/>
      <c r="AV94" s="314"/>
      <c r="AW94" s="314"/>
      <c r="AX94" s="314"/>
      <c r="AY94" s="314"/>
      <c r="AZ94" s="314"/>
      <c r="BA94" s="314"/>
      <c r="BB94" s="314"/>
      <c r="BC94" s="314"/>
      <c r="BD94" s="314"/>
      <c r="BE94" s="314"/>
      <c r="BF94" s="314"/>
      <c r="BG94" s="314"/>
      <c r="BH94" s="314"/>
      <c r="BI94" s="314"/>
      <c r="BJ94" s="314"/>
      <c r="BK94" s="314"/>
      <c r="BL94" s="314"/>
      <c r="BM94" s="314"/>
      <c r="BN94" s="314"/>
      <c r="BO94" s="314"/>
      <c r="BP94" s="314"/>
      <c r="BQ94" s="314"/>
      <c r="BR94" s="314"/>
      <c r="BS94" s="314"/>
      <c r="BT94" s="314"/>
      <c r="BV94" s="314"/>
      <c r="BW94" s="314"/>
      <c r="BX94" s="314"/>
      <c r="BY94" s="314"/>
      <c r="BZ94" s="314"/>
      <c r="CA94" s="314"/>
      <c r="CB94" s="314"/>
      <c r="CC94" s="314"/>
      <c r="CD94" s="314"/>
      <c r="CE94" s="314"/>
      <c r="CF94" s="314"/>
      <c r="CG94" s="314"/>
      <c r="CH94" s="314"/>
      <c r="CM94" s="314"/>
      <c r="CN94" s="314"/>
      <c r="CO94" s="314"/>
      <c r="CP94" s="314"/>
      <c r="CQ94" s="314"/>
      <c r="CR94" s="314"/>
      <c r="CS94" s="314"/>
      <c r="CT94" s="314"/>
      <c r="CU94" s="314"/>
      <c r="CV94" s="314"/>
      <c r="CW94" s="314"/>
      <c r="CX94" s="314"/>
      <c r="CY94" s="314"/>
      <c r="CZ94" s="314"/>
      <c r="DA94" s="314"/>
      <c r="DB94" s="314"/>
      <c r="DC94" s="314"/>
      <c r="DD94" s="314"/>
      <c r="DE94" s="314"/>
      <c r="DF94" s="314"/>
      <c r="DG94" s="314"/>
      <c r="DH94" s="314"/>
      <c r="DI94" s="314"/>
      <c r="DJ94" s="314"/>
      <c r="DK94" s="314"/>
      <c r="DL94" s="314"/>
      <c r="DN94" s="314"/>
      <c r="DO94" s="314"/>
      <c r="DP94" s="314"/>
      <c r="DQ94" s="314"/>
      <c r="DR94" s="314"/>
      <c r="DS94" s="314"/>
      <c r="DT94" s="314"/>
      <c r="DU94" s="314"/>
      <c r="DV94" s="314"/>
      <c r="DW94" s="314"/>
      <c r="DX94" s="314"/>
      <c r="DY94" s="314"/>
      <c r="DZ94" s="314"/>
    </row>
    <row r="95" spans="1:130">
      <c r="B95" s="138" t="str">
        <f>B85</f>
        <v>Gaming Services</v>
      </c>
      <c r="C95" s="82" t="s">
        <v>842</v>
      </c>
      <c r="E95" s="24"/>
      <c r="F95" s="314">
        <f t="shared" ref="F95:AE95" si="91" xml:space="preserve"> IFERROR(ROUND( F85/ F90,3) - 1, 0)</f>
        <v>0</v>
      </c>
      <c r="G95" s="314">
        <f t="shared" si="91"/>
        <v>0</v>
      </c>
      <c r="H95" s="314">
        <f t="shared" si="91"/>
        <v>0</v>
      </c>
      <c r="I95" s="314">
        <f t="shared" si="91"/>
        <v>0</v>
      </c>
      <c r="J95" s="314">
        <f t="shared" si="91"/>
        <v>-0.13700000000000001</v>
      </c>
      <c r="K95" s="314">
        <f t="shared" si="91"/>
        <v>0</v>
      </c>
      <c r="L95" s="314">
        <f t="shared" si="91"/>
        <v>0</v>
      </c>
      <c r="M95" s="314">
        <f t="shared" si="91"/>
        <v>3.2999999999999918E-2</v>
      </c>
      <c r="N95" s="314">
        <f t="shared" si="91"/>
        <v>2.4000000000000021E-2</v>
      </c>
      <c r="O95" s="314">
        <f t="shared" si="91"/>
        <v>2.6999999999999913E-2</v>
      </c>
      <c r="P95" s="314">
        <f t="shared" si="91"/>
        <v>2.200000000000002E-2</v>
      </c>
      <c r="Q95" s="314">
        <f t="shared" si="91"/>
        <v>2.4000000000000021E-2</v>
      </c>
      <c r="R95" s="314">
        <f t="shared" si="91"/>
        <v>2.0000000000000018E-2</v>
      </c>
      <c r="S95" s="314">
        <f t="shared" si="91"/>
        <v>2.8000000000000025E-2</v>
      </c>
      <c r="T95" s="314">
        <f t="shared" si="91"/>
        <v>2.4000000000000021E-2</v>
      </c>
      <c r="U95" s="314">
        <f t="shared" si="91"/>
        <v>3.2000000000000028E-2</v>
      </c>
      <c r="V95" s="314">
        <f t="shared" si="91"/>
        <v>2.4999999999999911E-2</v>
      </c>
      <c r="W95" s="314">
        <f t="shared" si="91"/>
        <v>2.0999999999999908E-2</v>
      </c>
      <c r="X95" s="314">
        <f t="shared" si="91"/>
        <v>8.999999999999897E-3</v>
      </c>
      <c r="Y95" s="314">
        <f t="shared" si="91"/>
        <v>-7.0000000000000062E-3</v>
      </c>
      <c r="Z95" s="314">
        <f t="shared" si="91"/>
        <v>8.999999999999897E-3</v>
      </c>
      <c r="AA95" s="314">
        <f t="shared" si="91"/>
        <v>-8.0000000000000071E-3</v>
      </c>
      <c r="AB95" s="314">
        <f t="shared" si="91"/>
        <v>1.2000000000000011E-2</v>
      </c>
      <c r="AC95" s="314">
        <f t="shared" si="91"/>
        <v>-3.0000000000000027E-3</v>
      </c>
      <c r="AD95" s="314">
        <f t="shared" si="91"/>
        <v>1.2999999999999901E-2</v>
      </c>
      <c r="AE95" s="314">
        <f t="shared" si="91"/>
        <v>-1.0000000000000009E-3</v>
      </c>
      <c r="AG95" s="314">
        <f t="shared" ref="AG95:AS95" si="92" xml:space="preserve"> IFERROR(ROUND( AG85/ AG90,3) - 1, 0)</f>
        <v>0</v>
      </c>
      <c r="AH95" s="314">
        <f t="shared" si="92"/>
        <v>0</v>
      </c>
      <c r="AI95" s="314">
        <f t="shared" si="92"/>
        <v>-7.1999999999999953E-2</v>
      </c>
      <c r="AJ95" s="314">
        <f t="shared" si="92"/>
        <v>1.8999999999999906E-2</v>
      </c>
      <c r="AK95" s="314">
        <f t="shared" si="92"/>
        <v>2.6000000000000023E-2</v>
      </c>
      <c r="AL95" s="314">
        <f t="shared" si="92"/>
        <v>2.2999999999999909E-2</v>
      </c>
      <c r="AM95" s="314">
        <f t="shared" si="92"/>
        <v>2.2999999999999909E-2</v>
      </c>
      <c r="AN95" s="314">
        <f t="shared" si="92"/>
        <v>2.8000000000000025E-2</v>
      </c>
      <c r="AO95" s="314">
        <f t="shared" si="92"/>
        <v>2.6000000000000023E-2</v>
      </c>
      <c r="AP95" s="314">
        <f t="shared" si="92"/>
        <v>1.4999999999999902E-2</v>
      </c>
      <c r="AQ95" s="314">
        <f t="shared" si="92"/>
        <v>1.8000000000000016E-2</v>
      </c>
      <c r="AR95" s="314">
        <f t="shared" si="92"/>
        <v>2.8000000000000025E-2</v>
      </c>
      <c r="AS95" s="314">
        <f t="shared" si="92"/>
        <v>3.2000000000000028E-2</v>
      </c>
      <c r="AU95" s="314"/>
      <c r="AV95" s="314"/>
      <c r="AW95" s="314"/>
      <c r="AX95" s="314"/>
      <c r="AY95" s="314"/>
      <c r="AZ95" s="314"/>
      <c r="BA95" s="314"/>
      <c r="BB95" s="314"/>
      <c r="BC95" s="314"/>
      <c r="BD95" s="314"/>
      <c r="BE95" s="314"/>
      <c r="BF95" s="314"/>
      <c r="BG95" s="314"/>
      <c r="BH95" s="314"/>
      <c r="BI95" s="314"/>
      <c r="BJ95" s="314"/>
      <c r="BK95" s="314"/>
      <c r="BL95" s="314"/>
      <c r="BM95" s="314"/>
      <c r="BN95" s="314"/>
      <c r="BO95" s="314"/>
      <c r="BP95" s="314"/>
      <c r="BQ95" s="314"/>
      <c r="BR95" s="314"/>
      <c r="BS95" s="314"/>
      <c r="BT95" s="314"/>
      <c r="BV95" s="314"/>
      <c r="BW95" s="314"/>
      <c r="BX95" s="314"/>
      <c r="BY95" s="314"/>
      <c r="BZ95" s="314"/>
      <c r="CA95" s="314"/>
      <c r="CB95" s="314"/>
      <c r="CC95" s="314"/>
      <c r="CD95" s="314"/>
      <c r="CE95" s="314"/>
      <c r="CF95" s="314"/>
      <c r="CG95" s="314"/>
      <c r="CH95" s="314"/>
      <c r="CM95" s="314"/>
      <c r="CN95" s="314"/>
      <c r="CO95" s="314"/>
      <c r="CP95" s="314"/>
      <c r="CQ95" s="314"/>
      <c r="CR95" s="314"/>
      <c r="CS95" s="314"/>
      <c r="CT95" s="314"/>
      <c r="CU95" s="314"/>
      <c r="CV95" s="314"/>
      <c r="CW95" s="314"/>
      <c r="CX95" s="314"/>
      <c r="CY95" s="314"/>
      <c r="CZ95" s="314"/>
      <c r="DA95" s="314"/>
      <c r="DB95" s="314"/>
      <c r="DC95" s="314"/>
      <c r="DD95" s="314"/>
      <c r="DE95" s="314"/>
      <c r="DF95" s="314"/>
      <c r="DG95" s="314"/>
      <c r="DH95" s="314"/>
      <c r="DI95" s="314"/>
      <c r="DJ95" s="314"/>
      <c r="DK95" s="314"/>
      <c r="DL95" s="314"/>
      <c r="DN95" s="314"/>
      <c r="DO95" s="314"/>
      <c r="DP95" s="314"/>
      <c r="DQ95" s="314"/>
      <c r="DR95" s="314"/>
      <c r="DS95" s="314"/>
      <c r="DT95" s="314"/>
      <c r="DU95" s="314"/>
      <c r="DV95" s="314"/>
      <c r="DW95" s="314"/>
      <c r="DX95" s="314"/>
      <c r="DY95" s="314"/>
      <c r="DZ95" s="314"/>
    </row>
    <row r="96" spans="1:130">
      <c r="B96" s="138" t="str">
        <f>B86</f>
        <v>Total</v>
      </c>
      <c r="C96" s="82" t="s">
        <v>842</v>
      </c>
      <c r="E96" s="7"/>
      <c r="F96" s="314"/>
      <c r="G96" s="314"/>
      <c r="H96" s="314">
        <f t="shared" ref="H96:AE96" si="93" xml:space="preserve"> IFERROR(ROUND( H86/ H91,3) - 1, 0)</f>
        <v>0</v>
      </c>
      <c r="I96" s="314">
        <f t="shared" si="93"/>
        <v>0</v>
      </c>
      <c r="J96" s="314">
        <f t="shared" si="93"/>
        <v>0</v>
      </c>
      <c r="K96" s="314">
        <f t="shared" si="93"/>
        <v>0</v>
      </c>
      <c r="L96" s="314">
        <f t="shared" si="93"/>
        <v>0</v>
      </c>
      <c r="M96" s="314">
        <f t="shared" si="93"/>
        <v>2.0999999999999908E-2</v>
      </c>
      <c r="N96" s="314">
        <f t="shared" si="93"/>
        <v>-2.300000000000002E-2</v>
      </c>
      <c r="O96" s="314">
        <f t="shared" si="93"/>
        <v>4.0000000000000036E-3</v>
      </c>
      <c r="P96" s="314">
        <f t="shared" si="93"/>
        <v>-4.0000000000000036E-3</v>
      </c>
      <c r="Q96" s="314">
        <f t="shared" si="93"/>
        <v>2.2999999999999909E-2</v>
      </c>
      <c r="R96" s="314">
        <f t="shared" si="93"/>
        <v>2.0000000000000018E-2</v>
      </c>
      <c r="S96" s="314">
        <f t="shared" si="93"/>
        <v>3.2999999999999918E-2</v>
      </c>
      <c r="T96" s="314">
        <f t="shared" si="93"/>
        <v>1.4000000000000012E-2</v>
      </c>
      <c r="U96" s="314">
        <f t="shared" si="93"/>
        <v>2.4999999999999911E-2</v>
      </c>
      <c r="V96" s="314">
        <f t="shared" si="93"/>
        <v>1.6999999999999904E-2</v>
      </c>
      <c r="W96" s="314">
        <f t="shared" si="93"/>
        <v>2.200000000000002E-2</v>
      </c>
      <c r="X96" s="314">
        <f t="shared" si="93"/>
        <v>1.4000000000000012E-2</v>
      </c>
      <c r="Y96" s="314">
        <f t="shared" si="93"/>
        <v>2.4999999999999911E-2</v>
      </c>
      <c r="Z96" s="314">
        <f t="shared" si="93"/>
        <v>1.0999999999999899E-2</v>
      </c>
      <c r="AA96" s="314">
        <f t="shared" si="93"/>
        <v>2.200000000000002E-2</v>
      </c>
      <c r="AB96" s="314">
        <f t="shared" si="93"/>
        <v>2.2999999999999909E-2</v>
      </c>
      <c r="AC96" s="314">
        <f t="shared" si="93"/>
        <v>3.8000000000000034E-2</v>
      </c>
      <c r="AD96" s="314">
        <f t="shared" si="93"/>
        <v>2.200000000000002E-2</v>
      </c>
      <c r="AE96" s="314">
        <f t="shared" si="93"/>
        <v>3.6999999999999922E-2</v>
      </c>
      <c r="AG96" s="314">
        <f t="shared" ref="AG96:AS96" si="94" xml:space="preserve"> IFERROR(ROUND( AG86/ AG91,3) - 1, 0)</f>
        <v>-1</v>
      </c>
      <c r="AH96" s="314">
        <f t="shared" si="94"/>
        <v>0</v>
      </c>
      <c r="AI96" s="314">
        <f t="shared" si="94"/>
        <v>0</v>
      </c>
      <c r="AJ96" s="314">
        <f t="shared" si="94"/>
        <v>1.0999999999999899E-2</v>
      </c>
      <c r="AK96" s="314">
        <f t="shared" si="94"/>
        <v>-1.100000000000001E-2</v>
      </c>
      <c r="AL96" s="314">
        <f t="shared" si="94"/>
        <v>8.0000000000000071E-3</v>
      </c>
      <c r="AM96" s="314">
        <f t="shared" si="94"/>
        <v>2.6999999999999913E-2</v>
      </c>
      <c r="AN96" s="314">
        <f t="shared" si="94"/>
        <v>2.0000000000000018E-2</v>
      </c>
      <c r="AO96" s="314">
        <f t="shared" si="94"/>
        <v>2.0999999999999908E-2</v>
      </c>
      <c r="AP96" s="314">
        <f t="shared" si="94"/>
        <v>2.0000000000000018E-2</v>
      </c>
      <c r="AQ96" s="314">
        <f t="shared" si="94"/>
        <v>1.6999999999999904E-2</v>
      </c>
      <c r="AR96" s="314">
        <f t="shared" si="94"/>
        <v>2.4999999999999911E-2</v>
      </c>
      <c r="AS96" s="314">
        <f t="shared" si="94"/>
        <v>2.2999999999999909E-2</v>
      </c>
      <c r="AU96" s="314"/>
      <c r="AV96" s="314"/>
      <c r="AW96" s="314"/>
      <c r="AX96" s="314"/>
      <c r="AY96" s="314"/>
      <c r="AZ96" s="314"/>
      <c r="BA96" s="314"/>
      <c r="BB96" s="314"/>
      <c r="BC96" s="314"/>
      <c r="BD96" s="314"/>
      <c r="BE96" s="314"/>
      <c r="BF96" s="314"/>
      <c r="BG96" s="314"/>
      <c r="BH96" s="314"/>
      <c r="BI96" s="314"/>
      <c r="BJ96" s="314"/>
      <c r="BK96" s="314"/>
      <c r="BL96" s="314"/>
      <c r="BM96" s="314"/>
      <c r="BN96" s="314"/>
      <c r="BO96" s="314"/>
      <c r="BP96" s="314"/>
      <c r="BQ96" s="314"/>
      <c r="BR96" s="314"/>
      <c r="BS96" s="314"/>
      <c r="BT96" s="314"/>
      <c r="BV96" s="314"/>
      <c r="BW96" s="314"/>
      <c r="BX96" s="314"/>
      <c r="BY96" s="314"/>
      <c r="BZ96" s="314"/>
      <c r="CA96" s="314"/>
      <c r="CB96" s="314"/>
      <c r="CC96" s="314"/>
      <c r="CD96" s="314"/>
      <c r="CE96" s="314"/>
      <c r="CF96" s="314"/>
      <c r="CG96" s="314"/>
      <c r="CH96" s="314"/>
      <c r="CM96" s="314"/>
      <c r="CN96" s="314"/>
      <c r="CO96" s="314"/>
      <c r="CP96" s="314"/>
      <c r="CQ96" s="314"/>
      <c r="CR96" s="314"/>
      <c r="CS96" s="314"/>
      <c r="CT96" s="314"/>
      <c r="CU96" s="314"/>
      <c r="CV96" s="314"/>
      <c r="CW96" s="314"/>
      <c r="CX96" s="314"/>
      <c r="CY96" s="314"/>
      <c r="CZ96" s="314"/>
      <c r="DA96" s="314"/>
      <c r="DB96" s="314"/>
      <c r="DC96" s="314"/>
      <c r="DD96" s="314"/>
      <c r="DE96" s="314"/>
      <c r="DF96" s="314"/>
      <c r="DG96" s="314"/>
      <c r="DH96" s="314"/>
      <c r="DI96" s="314"/>
      <c r="DJ96" s="314"/>
      <c r="DK96" s="314"/>
      <c r="DL96" s="314"/>
      <c r="DN96" s="314"/>
      <c r="DO96" s="314"/>
      <c r="DP96" s="314"/>
      <c r="DQ96" s="314"/>
      <c r="DR96" s="314"/>
      <c r="DS96" s="314"/>
      <c r="DT96" s="314"/>
      <c r="DU96" s="314"/>
      <c r="DV96" s="314"/>
      <c r="DW96" s="314"/>
      <c r="DX96" s="314"/>
      <c r="DY96" s="314"/>
      <c r="DZ96" s="314"/>
    </row>
    <row r="99" spans="1:130">
      <c r="A99" s="754" t="s">
        <v>971</v>
      </c>
      <c r="B99" s="731" t="s">
        <v>1498</v>
      </c>
      <c r="C99" s="290"/>
      <c r="D99" s="290"/>
      <c r="E99" s="290"/>
      <c r="F99" s="290"/>
      <c r="G99" s="290"/>
      <c r="H99" s="290"/>
      <c r="I99" s="290"/>
      <c r="J99" s="290"/>
      <c r="K99" s="290"/>
      <c r="L99" s="290"/>
      <c r="M99" s="290"/>
      <c r="N99" s="290"/>
      <c r="O99" s="290"/>
      <c r="P99" s="290"/>
      <c r="Q99" s="290"/>
      <c r="R99" s="290"/>
      <c r="S99" s="290"/>
      <c r="T99" s="290"/>
      <c r="U99" s="290"/>
      <c r="V99" s="290"/>
      <c r="W99" s="290"/>
      <c r="X99" s="290"/>
      <c r="Y99" s="290"/>
      <c r="Z99" s="290"/>
      <c r="AA99" s="290"/>
      <c r="AB99" s="290"/>
      <c r="AC99" s="290"/>
      <c r="AD99" s="290"/>
      <c r="AE99" s="290"/>
      <c r="AF99" s="290"/>
      <c r="AG99" s="290"/>
      <c r="AH99" s="290"/>
      <c r="AI99" s="290"/>
      <c r="AJ99" s="290"/>
      <c r="AK99" s="290"/>
      <c r="AL99" s="290"/>
      <c r="AM99" s="290"/>
      <c r="AN99" s="290"/>
      <c r="AO99" s="290"/>
      <c r="AP99" s="290"/>
      <c r="AQ99" s="290"/>
      <c r="AR99" s="290"/>
      <c r="AS99" s="290"/>
    </row>
    <row r="100" spans="1:130">
      <c r="B100" s="138" t="s">
        <v>1226</v>
      </c>
      <c r="C100" s="82" t="s">
        <v>900</v>
      </c>
      <c r="E100" s="138"/>
      <c r="F100" s="132">
        <f>HY!M292</f>
        <v>137.9</v>
      </c>
      <c r="G100" s="132">
        <f>HY!N292</f>
        <v>149.1</v>
      </c>
      <c r="H100" s="132">
        <f>HY!O292</f>
        <v>154.4</v>
      </c>
      <c r="I100" s="132">
        <f>HY!P292</f>
        <v>153.6</v>
      </c>
      <c r="J100" s="132">
        <f>HY!Q292</f>
        <v>134</v>
      </c>
      <c r="K100" s="132">
        <f>HY!R292</f>
        <v>117.19999999999999</v>
      </c>
      <c r="L100" s="132">
        <f>HY!S292</f>
        <v>156.69999999999999</v>
      </c>
      <c r="M100" s="132">
        <f>HY!T292</f>
        <v>172.40000000000003</v>
      </c>
      <c r="N100" s="132">
        <f>HY!U292</f>
        <v>181.4</v>
      </c>
      <c r="O100" s="132">
        <f>HY!V292</f>
        <v>180.4</v>
      </c>
      <c r="P100" s="132">
        <f>HY!W292</f>
        <v>210.19754872699997</v>
      </c>
      <c r="Q100" s="132">
        <f>HY!X292</f>
        <v>180.29138627075008</v>
      </c>
      <c r="R100" s="132">
        <f>HY!Y292</f>
        <v>202.81492913289509</v>
      </c>
      <c r="S100" s="132">
        <f>HY!Z292</f>
        <v>176.45243389948001</v>
      </c>
      <c r="T100" s="132">
        <f>HY!AA292</f>
        <v>198.17884645417826</v>
      </c>
      <c r="U100" s="132">
        <f>HY!AB292</f>
        <v>171.03510332054469</v>
      </c>
      <c r="V100" s="132">
        <f>HY!AC292</f>
        <v>199.97028673402525</v>
      </c>
      <c r="W100" s="132">
        <f>HY!AD292</f>
        <v>172.38631698997762</v>
      </c>
      <c r="X100" s="132">
        <f>HY!AE292</f>
        <v>200.98576297149344</v>
      </c>
      <c r="Y100" s="132">
        <f>HY!AF292</f>
        <v>173.31830606434113</v>
      </c>
      <c r="Z100" s="132">
        <f>HY!AG292</f>
        <v>202.18125693868961</v>
      </c>
      <c r="AA100" s="132">
        <f>HY!AH292</f>
        <v>174.42001929969803</v>
      </c>
      <c r="AB100" s="132">
        <f>HY!AI292</f>
        <v>203.56268029945852</v>
      </c>
      <c r="AC100" s="132">
        <f>HY!AJ292</f>
        <v>175.69713046967883</v>
      </c>
      <c r="AD100" s="132">
        <f>HY!AK292</f>
        <v>205.13615708956917</v>
      </c>
      <c r="AE100" s="132">
        <f>HY!AL292</f>
        <v>177.15551773450812</v>
      </c>
      <c r="AG100" s="132">
        <f t="shared" ref="AG100:AS102" si="95">SUMIFS($F100:$AE100,$F$3:$AE$3,AG$5)</f>
        <v>287</v>
      </c>
      <c r="AH100" s="132">
        <f t="shared" si="95"/>
        <v>308</v>
      </c>
      <c r="AI100" s="132">
        <f t="shared" si="95"/>
        <v>251.2</v>
      </c>
      <c r="AJ100" s="132">
        <f t="shared" si="95"/>
        <v>329.1</v>
      </c>
      <c r="AK100" s="132">
        <f t="shared" si="95"/>
        <v>361.8</v>
      </c>
      <c r="AL100" s="132">
        <f t="shared" si="95"/>
        <v>390.48893499775005</v>
      </c>
      <c r="AM100" s="132">
        <f t="shared" si="95"/>
        <v>379.2673630323751</v>
      </c>
      <c r="AN100" s="132">
        <f t="shared" si="95"/>
        <v>369.21394977472295</v>
      </c>
      <c r="AO100" s="132">
        <f t="shared" si="95"/>
        <v>372.35660372400287</v>
      </c>
      <c r="AP100" s="132">
        <f t="shared" si="95"/>
        <v>374.30406903583457</v>
      </c>
      <c r="AQ100" s="132">
        <f t="shared" si="95"/>
        <v>376.60127623838764</v>
      </c>
      <c r="AR100" s="132">
        <f t="shared" si="95"/>
        <v>379.25981076913735</v>
      </c>
      <c r="AS100" s="132">
        <f t="shared" si="95"/>
        <v>382.29167482407729</v>
      </c>
      <c r="AU100" s="132"/>
      <c r="AV100" s="132"/>
      <c r="AW100" s="132"/>
      <c r="AX100" s="132"/>
      <c r="AY100" s="132"/>
      <c r="AZ100" s="132"/>
      <c r="BA100" s="132"/>
      <c r="BB100" s="132"/>
      <c r="BC100" s="132"/>
      <c r="BD100" s="132"/>
      <c r="BE100" s="132"/>
      <c r="BF100" s="132"/>
      <c r="BG100" s="132"/>
      <c r="BH100" s="132"/>
      <c r="BI100" s="132"/>
      <c r="BJ100" s="132"/>
      <c r="BK100" s="132"/>
      <c r="BL100" s="132"/>
      <c r="BM100" s="132"/>
      <c r="BN100" s="132"/>
      <c r="BO100" s="132"/>
      <c r="BP100" s="132"/>
      <c r="BQ100" s="132"/>
      <c r="BR100" s="132"/>
      <c r="BS100" s="132"/>
      <c r="BT100" s="132"/>
      <c r="BV100" s="132"/>
      <c r="BW100" s="132"/>
      <c r="BX100" s="132"/>
      <c r="BY100" s="132"/>
      <c r="BZ100" s="132"/>
      <c r="CA100" s="132"/>
      <c r="CB100" s="132"/>
      <c r="CC100" s="132"/>
      <c r="CD100" s="132"/>
      <c r="CE100" s="132"/>
      <c r="CF100" s="132"/>
      <c r="CG100" s="132"/>
      <c r="CH100" s="132"/>
      <c r="CM100" s="132"/>
      <c r="CN100" s="132"/>
      <c r="CO100" s="132"/>
      <c r="CP100" s="132"/>
      <c r="CQ100" s="132"/>
      <c r="CR100" s="132"/>
      <c r="CS100" s="132"/>
      <c r="CT100" s="132"/>
      <c r="CU100" s="132"/>
      <c r="CV100" s="132"/>
      <c r="CW100" s="132"/>
      <c r="CX100" s="132"/>
      <c r="CY100" s="132"/>
      <c r="CZ100" s="132"/>
      <c r="DA100" s="132"/>
      <c r="DB100" s="132"/>
      <c r="DC100" s="132"/>
      <c r="DD100" s="132"/>
      <c r="DE100" s="132"/>
      <c r="DF100" s="132"/>
      <c r="DG100" s="132"/>
      <c r="DH100" s="132"/>
      <c r="DI100" s="132"/>
      <c r="DJ100" s="132"/>
      <c r="DK100" s="132"/>
      <c r="DL100" s="132"/>
      <c r="DN100" s="132"/>
      <c r="DO100" s="132"/>
      <c r="DP100" s="132"/>
      <c r="DQ100" s="132"/>
      <c r="DR100" s="132"/>
      <c r="DS100" s="132"/>
      <c r="DT100" s="132"/>
      <c r="DU100" s="132"/>
      <c r="DV100" s="132"/>
      <c r="DW100" s="132"/>
      <c r="DX100" s="132"/>
      <c r="DY100" s="132"/>
      <c r="DZ100" s="132"/>
    </row>
    <row r="101" spans="1:130">
      <c r="B101" s="138" t="s">
        <v>1227</v>
      </c>
      <c r="C101" s="82" t="s">
        <v>900</v>
      </c>
      <c r="E101" s="138"/>
      <c r="F101" s="132">
        <f>HY!M293</f>
        <v>19.600000000000001</v>
      </c>
      <c r="G101" s="132">
        <f>HY!N293</f>
        <v>53.6</v>
      </c>
      <c r="H101" s="132">
        <f>HY!O293</f>
        <v>42.9</v>
      </c>
      <c r="I101" s="132">
        <f>HY!P293</f>
        <v>40.199999999999996</v>
      </c>
      <c r="J101" s="132">
        <f>HY!Q293</f>
        <v>28.3</v>
      </c>
      <c r="K101" s="132">
        <f>HY!R293</f>
        <v>30.7</v>
      </c>
      <c r="L101" s="132">
        <f>HY!S293</f>
        <v>33.5</v>
      </c>
      <c r="M101" s="132">
        <f>HY!T293</f>
        <v>28.9</v>
      </c>
      <c r="N101" s="132">
        <f>HY!U293</f>
        <v>36</v>
      </c>
      <c r="O101" s="132">
        <f>HY!V293</f>
        <v>33.900000000000006</v>
      </c>
      <c r="P101" s="132">
        <f>HY!W293</f>
        <v>35.716104477196872</v>
      </c>
      <c r="Q101" s="132">
        <f>HY!X293</f>
        <v>35.015024999999994</v>
      </c>
      <c r="R101" s="132">
        <f>HY!Y293</f>
        <v>36.609007089126791</v>
      </c>
      <c r="S101" s="132">
        <f>HY!Z293</f>
        <v>35.890400624999984</v>
      </c>
      <c r="T101" s="132">
        <f>HY!AA293</f>
        <v>37.707277301800602</v>
      </c>
      <c r="U101" s="132">
        <f>HY!AB293</f>
        <v>36.967112643749978</v>
      </c>
      <c r="V101" s="132">
        <f>HY!AC293</f>
        <v>38.838495620854616</v>
      </c>
      <c r="W101" s="132">
        <f>HY!AD293</f>
        <v>38.076126023062486</v>
      </c>
      <c r="X101" s="132">
        <f>HY!AE293</f>
        <v>40.00365048948025</v>
      </c>
      <c r="Y101" s="132">
        <f>HY!AF293</f>
        <v>39.218409803754355</v>
      </c>
      <c r="Z101" s="132">
        <f>HY!AG293</f>
        <v>41.203760004164664</v>
      </c>
      <c r="AA101" s="132">
        <f>HY!AH293</f>
        <v>40.394962097866994</v>
      </c>
      <c r="AB101" s="132">
        <f>HY!AI293</f>
        <v>42.439872804289607</v>
      </c>
      <c r="AC101" s="132">
        <f>HY!AJ293</f>
        <v>41.606810960803003</v>
      </c>
      <c r="AD101" s="132">
        <f>HY!AK293</f>
        <v>43.713068988418286</v>
      </c>
      <c r="AE101" s="132">
        <f>HY!AL293</f>
        <v>42.85501528962709</v>
      </c>
      <c r="AG101" s="132">
        <f t="shared" si="95"/>
        <v>73.2</v>
      </c>
      <c r="AH101" s="132">
        <f t="shared" si="95"/>
        <v>83.1</v>
      </c>
      <c r="AI101" s="132">
        <f t="shared" si="95"/>
        <v>59</v>
      </c>
      <c r="AJ101" s="132">
        <f t="shared" si="95"/>
        <v>62.4</v>
      </c>
      <c r="AK101" s="132">
        <f t="shared" si="95"/>
        <v>69.900000000000006</v>
      </c>
      <c r="AL101" s="132">
        <f t="shared" si="95"/>
        <v>70.731129477196873</v>
      </c>
      <c r="AM101" s="132">
        <f t="shared" si="95"/>
        <v>72.499407714126775</v>
      </c>
      <c r="AN101" s="132">
        <f t="shared" si="95"/>
        <v>74.674389945550587</v>
      </c>
      <c r="AO101" s="132">
        <f t="shared" si="95"/>
        <v>76.914621643917101</v>
      </c>
      <c r="AP101" s="132">
        <f t="shared" si="95"/>
        <v>79.222060293234605</v>
      </c>
      <c r="AQ101" s="132">
        <f t="shared" si="95"/>
        <v>81.598722102031658</v>
      </c>
      <c r="AR101" s="132">
        <f t="shared" si="95"/>
        <v>84.04668376509261</v>
      </c>
      <c r="AS101" s="132">
        <f t="shared" si="95"/>
        <v>86.568084278045376</v>
      </c>
      <c r="AU101" s="132"/>
      <c r="AV101" s="132"/>
      <c r="AW101" s="132"/>
      <c r="AX101" s="132"/>
      <c r="AY101" s="132"/>
      <c r="AZ101" s="132"/>
      <c r="BA101" s="132"/>
      <c r="BB101" s="132"/>
      <c r="BC101" s="132"/>
      <c r="BD101" s="132"/>
      <c r="BE101" s="132"/>
      <c r="BF101" s="132"/>
      <c r="BG101" s="132"/>
      <c r="BH101" s="132"/>
      <c r="BI101" s="132"/>
      <c r="BJ101" s="132"/>
      <c r="BK101" s="132"/>
      <c r="BL101" s="132"/>
      <c r="BM101" s="132"/>
      <c r="BN101" s="132"/>
      <c r="BO101" s="132"/>
      <c r="BP101" s="132"/>
      <c r="BQ101" s="132"/>
      <c r="BR101" s="132"/>
      <c r="BS101" s="132"/>
      <c r="BT101" s="132"/>
      <c r="BV101" s="132"/>
      <c r="BW101" s="132"/>
      <c r="BX101" s="132"/>
      <c r="BY101" s="132"/>
      <c r="BZ101" s="132"/>
      <c r="CA101" s="132"/>
      <c r="CB101" s="132"/>
      <c r="CC101" s="132"/>
      <c r="CD101" s="132"/>
      <c r="CE101" s="132"/>
      <c r="CF101" s="132"/>
      <c r="CG101" s="132"/>
      <c r="CH101" s="132"/>
      <c r="CM101" s="132"/>
      <c r="CN101" s="132"/>
      <c r="CO101" s="132"/>
      <c r="CP101" s="132"/>
      <c r="CQ101" s="132"/>
      <c r="CR101" s="132"/>
      <c r="CS101" s="132"/>
      <c r="CT101" s="132"/>
      <c r="CU101" s="132"/>
      <c r="CV101" s="132"/>
      <c r="CW101" s="132"/>
      <c r="CX101" s="132"/>
      <c r="CY101" s="132"/>
      <c r="CZ101" s="132"/>
      <c r="DA101" s="132"/>
      <c r="DB101" s="132"/>
      <c r="DC101" s="132"/>
      <c r="DD101" s="132"/>
      <c r="DE101" s="132"/>
      <c r="DF101" s="132"/>
      <c r="DG101" s="132"/>
      <c r="DH101" s="132"/>
      <c r="DI101" s="132"/>
      <c r="DJ101" s="132"/>
      <c r="DK101" s="132"/>
      <c r="DL101" s="132"/>
      <c r="DN101" s="132"/>
      <c r="DO101" s="132"/>
      <c r="DP101" s="132"/>
      <c r="DQ101" s="132"/>
      <c r="DR101" s="132"/>
      <c r="DS101" s="132"/>
      <c r="DT101" s="132"/>
      <c r="DU101" s="132"/>
      <c r="DV101" s="132"/>
      <c r="DW101" s="132"/>
      <c r="DX101" s="132"/>
      <c r="DY101" s="132"/>
      <c r="DZ101" s="132"/>
    </row>
    <row r="102" spans="1:130">
      <c r="B102" s="138" t="s">
        <v>979</v>
      </c>
      <c r="C102" s="82" t="s">
        <v>900</v>
      </c>
      <c r="E102" s="138"/>
      <c r="F102" s="132"/>
      <c r="G102" s="132"/>
      <c r="H102" s="132">
        <f>HY!O295</f>
        <v>196.6</v>
      </c>
      <c r="I102" s="132">
        <f>HY!P295</f>
        <v>194.4</v>
      </c>
      <c r="J102" s="132">
        <f>HY!Q295</f>
        <v>169.8</v>
      </c>
      <c r="K102" s="132">
        <f>HY!R295</f>
        <v>147.89999999999998</v>
      </c>
      <c r="L102" s="132">
        <f>HY!S295</f>
        <v>190.2</v>
      </c>
      <c r="M102" s="132">
        <f>HY!T295</f>
        <v>201.3</v>
      </c>
      <c r="N102" s="132">
        <f>HY!U295</f>
        <v>217.4</v>
      </c>
      <c r="O102" s="132">
        <f>HY!V295</f>
        <v>214.29999999999998</v>
      </c>
      <c r="P102" s="132">
        <f>HY!W295</f>
        <v>245.91365320419683</v>
      </c>
      <c r="Q102" s="132">
        <f>HY!X295</f>
        <v>220.50641127075005</v>
      </c>
      <c r="R102" s="132">
        <f>HY!Y295</f>
        <v>252.5909362220219</v>
      </c>
      <c r="S102" s="132">
        <f>HY!Z295</f>
        <v>233.05483452447999</v>
      </c>
      <c r="T102" s="132">
        <f>HY!AA295</f>
        <v>260.32813375597885</v>
      </c>
      <c r="U102" s="132">
        <f>HY!AB295</f>
        <v>234.03557596429465</v>
      </c>
      <c r="V102" s="132">
        <f>HY!AC295</f>
        <v>263.98405265487986</v>
      </c>
      <c r="W102" s="132">
        <f>HY!AD295</f>
        <v>237.27680381304012</v>
      </c>
      <c r="X102" s="132">
        <f>HY!AE295</f>
        <v>266.91994186997368</v>
      </c>
      <c r="Y102" s="132">
        <f>HY!AF295</f>
        <v>240.1555074920955</v>
      </c>
      <c r="Z102" s="132">
        <f>HY!AG295</f>
        <v>270.09346120412431</v>
      </c>
      <c r="AA102" s="132">
        <f>HY!AH295</f>
        <v>243.26233677028503</v>
      </c>
      <c r="AB102" s="132">
        <f>HY!AI295</f>
        <v>273.51225069285624</v>
      </c>
      <c r="AC102" s="132">
        <f>HY!AJ295</f>
        <v>246.60471746438341</v>
      </c>
      <c r="AD102" s="132">
        <f>HY!AK295</f>
        <v>277.18421459476878</v>
      </c>
      <c r="AE102" s="132">
        <f>HY!AL295</f>
        <v>250.19033233905387</v>
      </c>
      <c r="AG102" s="132">
        <f t="shared" si="95"/>
        <v>0</v>
      </c>
      <c r="AH102" s="132">
        <f t="shared" si="95"/>
        <v>391</v>
      </c>
      <c r="AI102" s="132">
        <f t="shared" si="95"/>
        <v>317.7</v>
      </c>
      <c r="AJ102" s="132">
        <f t="shared" si="95"/>
        <v>391.5</v>
      </c>
      <c r="AK102" s="132">
        <f t="shared" si="95"/>
        <v>431.7</v>
      </c>
      <c r="AL102" s="132">
        <f t="shared" si="95"/>
        <v>466.42006447494691</v>
      </c>
      <c r="AM102" s="132">
        <f t="shared" si="95"/>
        <v>485.64577074650185</v>
      </c>
      <c r="AN102" s="132">
        <f t="shared" si="95"/>
        <v>494.3637097202735</v>
      </c>
      <c r="AO102" s="132">
        <f t="shared" si="95"/>
        <v>501.26085646792001</v>
      </c>
      <c r="AP102" s="132">
        <f t="shared" si="95"/>
        <v>507.07544936206921</v>
      </c>
      <c r="AQ102" s="132">
        <f t="shared" si="95"/>
        <v>513.35579797440937</v>
      </c>
      <c r="AR102" s="132">
        <f t="shared" si="95"/>
        <v>520.11696815723963</v>
      </c>
      <c r="AS102" s="132">
        <f t="shared" si="95"/>
        <v>527.37454693382267</v>
      </c>
      <c r="AU102" s="132"/>
      <c r="AV102" s="132"/>
      <c r="AW102" s="132"/>
      <c r="AX102" s="132"/>
      <c r="AY102" s="132"/>
      <c r="AZ102" s="132"/>
      <c r="BA102" s="132"/>
      <c r="BB102" s="132"/>
      <c r="BC102" s="132"/>
      <c r="BD102" s="132"/>
      <c r="BE102" s="132"/>
      <c r="BF102" s="132"/>
      <c r="BG102" s="132"/>
      <c r="BH102" s="132"/>
      <c r="BI102" s="132"/>
      <c r="BJ102" s="132"/>
      <c r="BK102" s="132"/>
      <c r="BL102" s="132"/>
      <c r="BM102" s="132"/>
      <c r="BN102" s="132"/>
      <c r="BO102" s="132"/>
      <c r="BP102" s="132"/>
      <c r="BQ102" s="132"/>
      <c r="BR102" s="132"/>
      <c r="BS102" s="132"/>
      <c r="BT102" s="132"/>
      <c r="BV102" s="132"/>
      <c r="BW102" s="132"/>
      <c r="BX102" s="132"/>
      <c r="BY102" s="132"/>
      <c r="BZ102" s="132"/>
      <c r="CA102" s="132"/>
      <c r="CB102" s="132"/>
      <c r="CC102" s="132"/>
      <c r="CD102" s="132"/>
      <c r="CE102" s="132"/>
      <c r="CF102" s="132"/>
      <c r="CG102" s="132"/>
      <c r="CH102" s="132"/>
      <c r="CM102" s="132"/>
      <c r="CN102" s="132"/>
      <c r="CO102" s="132"/>
      <c r="CP102" s="132"/>
      <c r="CQ102" s="132"/>
      <c r="CR102" s="132"/>
      <c r="CS102" s="132"/>
      <c r="CT102" s="132"/>
      <c r="CU102" s="132"/>
      <c r="CV102" s="132"/>
      <c r="CW102" s="132"/>
      <c r="CX102" s="132"/>
      <c r="CY102" s="132"/>
      <c r="CZ102" s="132"/>
      <c r="DA102" s="132"/>
      <c r="DB102" s="132"/>
      <c r="DC102" s="132"/>
      <c r="DD102" s="132"/>
      <c r="DE102" s="132"/>
      <c r="DF102" s="132"/>
      <c r="DG102" s="132"/>
      <c r="DH102" s="132"/>
      <c r="DI102" s="132"/>
      <c r="DJ102" s="132"/>
      <c r="DK102" s="132"/>
      <c r="DL102" s="132"/>
      <c r="DN102" s="132"/>
      <c r="DO102" s="132"/>
      <c r="DP102" s="132"/>
      <c r="DQ102" s="132"/>
      <c r="DR102" s="132"/>
      <c r="DS102" s="132"/>
      <c r="DT102" s="132"/>
      <c r="DU102" s="132"/>
      <c r="DV102" s="132"/>
      <c r="DW102" s="132"/>
      <c r="DX102" s="132"/>
      <c r="DY102" s="132"/>
      <c r="DZ102" s="132"/>
    </row>
    <row r="104" spans="1:130">
      <c r="B104" s="732" t="s">
        <v>1499</v>
      </c>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row>
    <row r="105" spans="1:130">
      <c r="B105" s="138" t="str">
        <f>B100</f>
        <v>Wagering &amp; Media</v>
      </c>
      <c r="C105" s="82" t="s">
        <v>900</v>
      </c>
      <c r="E105" s="7"/>
      <c r="F105" s="132">
        <f t="shared" ref="F105:O106" si="96">AU105</f>
        <v>137.9</v>
      </c>
      <c r="G105" s="132">
        <f t="shared" si="96"/>
        <v>149.1</v>
      </c>
      <c r="H105" s="132">
        <f t="shared" si="96"/>
        <v>154.4</v>
      </c>
      <c r="I105" s="132">
        <f t="shared" si="96"/>
        <v>153.6</v>
      </c>
      <c r="J105" s="132">
        <f t="shared" si="96"/>
        <v>134</v>
      </c>
      <c r="K105" s="132">
        <f t="shared" si="96"/>
        <v>117.2</v>
      </c>
      <c r="L105" s="132">
        <f t="shared" si="96"/>
        <v>156.69999999999999</v>
      </c>
      <c r="M105" s="132">
        <f t="shared" si="96"/>
        <v>147.92571360529712</v>
      </c>
      <c r="N105" s="132">
        <f t="shared" si="96"/>
        <v>172.91751978009501</v>
      </c>
      <c r="O105" s="132">
        <f t="shared" si="96"/>
        <v>152.68443184793534</v>
      </c>
      <c r="P105" s="132">
        <f t="shared" ref="P105:Y106" si="97">BE105</f>
        <v>176.65494526106977</v>
      </c>
      <c r="Q105" s="132">
        <f t="shared" si="97"/>
        <v>155.48809112530478</v>
      </c>
      <c r="R105" s="132">
        <f t="shared" si="97"/>
        <v>176.83599998579288</v>
      </c>
      <c r="S105" s="132">
        <f t="shared" si="97"/>
        <v>158.55176823327739</v>
      </c>
      <c r="T105" s="132">
        <f t="shared" si="97"/>
        <v>177.49947391101949</v>
      </c>
      <c r="U105" s="132">
        <f t="shared" si="97"/>
        <v>159.40213605898037</v>
      </c>
      <c r="V105" s="132">
        <f t="shared" si="97"/>
        <v>178.80156163000058</v>
      </c>
      <c r="W105" s="132">
        <f t="shared" si="97"/>
        <v>159.92693568912557</v>
      </c>
      <c r="X105" s="132">
        <f t="shared" si="97"/>
        <v>177.25348174280674</v>
      </c>
      <c r="Y105" s="132">
        <f t="shared" si="97"/>
        <v>161.23119727371625</v>
      </c>
      <c r="Z105" s="132">
        <f t="shared" ref="Z105:AE106" si="98">BO105</f>
        <v>178.55216332111851</v>
      </c>
      <c r="AA105" s="132">
        <f t="shared" si="98"/>
        <v>162.5729492292115</v>
      </c>
      <c r="AB105" s="132">
        <f t="shared" si="98"/>
        <v>174.19274718521433</v>
      </c>
      <c r="AC105" s="132">
        <f t="shared" si="98"/>
        <v>150.67872967748465</v>
      </c>
      <c r="AD105" s="132">
        <f t="shared" si="98"/>
        <v>175.08230994226133</v>
      </c>
      <c r="AE105" s="132">
        <f t="shared" si="98"/>
        <v>151.47275988820601</v>
      </c>
      <c r="AF105" s="132"/>
      <c r="AG105" s="132">
        <f t="shared" ref="AG105:AS107" si="99">BV105</f>
        <v>287</v>
      </c>
      <c r="AH105" s="132">
        <f t="shared" si="99"/>
        <v>308</v>
      </c>
      <c r="AI105" s="132">
        <f t="shared" si="99"/>
        <v>251.2</v>
      </c>
      <c r="AJ105" s="132">
        <f t="shared" si="99"/>
        <v>305.34034888307667</v>
      </c>
      <c r="AK105" s="132">
        <f t="shared" si="99"/>
        <v>325.95091274243549</v>
      </c>
      <c r="AL105" s="132">
        <f t="shared" si="99"/>
        <v>332.91726569463452</v>
      </c>
      <c r="AM105" s="132">
        <f t="shared" si="99"/>
        <v>334.88375322152052</v>
      </c>
      <c r="AN105" s="132">
        <f t="shared" si="99"/>
        <v>337.15648898897223</v>
      </c>
      <c r="AO105" s="132">
        <f t="shared" si="99"/>
        <v>340.56820423626777</v>
      </c>
      <c r="AP105" s="132">
        <f t="shared" si="99"/>
        <v>344.38461677103618</v>
      </c>
      <c r="AQ105" s="132">
        <f t="shared" si="99"/>
        <v>349.323109439831</v>
      </c>
      <c r="AR105" s="132">
        <f t="shared" si="99"/>
        <v>345.17190960922801</v>
      </c>
      <c r="AS105" s="132">
        <f t="shared" si="99"/>
        <v>350.29576614367642</v>
      </c>
      <c r="AU105" s="256">
        <v>137.9</v>
      </c>
      <c r="AV105" s="256">
        <v>149.1</v>
      </c>
      <c r="AW105" s="256">
        <v>154.4</v>
      </c>
      <c r="AX105" s="256">
        <v>153.6</v>
      </c>
      <c r="AY105" s="256">
        <v>134</v>
      </c>
      <c r="AZ105" s="256">
        <v>117.2</v>
      </c>
      <c r="BA105" s="256">
        <v>156.69999999999999</v>
      </c>
      <c r="BB105" s="256">
        <v>147.92571360529712</v>
      </c>
      <c r="BC105" s="256">
        <v>172.91751978009501</v>
      </c>
      <c r="BD105" s="256">
        <v>152.68443184793534</v>
      </c>
      <c r="BE105" s="256">
        <v>176.65494526106977</v>
      </c>
      <c r="BF105" s="256">
        <v>155.48809112530478</v>
      </c>
      <c r="BG105" s="256">
        <v>176.83599998579288</v>
      </c>
      <c r="BH105" s="256">
        <v>158.55176823327739</v>
      </c>
      <c r="BI105" s="256">
        <v>177.49947391101949</v>
      </c>
      <c r="BJ105" s="256">
        <v>159.40213605898037</v>
      </c>
      <c r="BK105" s="256">
        <v>178.80156163000058</v>
      </c>
      <c r="BL105" s="256">
        <v>159.92693568912557</v>
      </c>
      <c r="BM105" s="256">
        <v>177.25348174280674</v>
      </c>
      <c r="BN105" s="256">
        <v>161.23119727371625</v>
      </c>
      <c r="BO105" s="256">
        <v>178.55216332111851</v>
      </c>
      <c r="BP105" s="256">
        <v>162.5729492292115</v>
      </c>
      <c r="BQ105" s="256">
        <v>174.19274718521433</v>
      </c>
      <c r="BR105" s="256">
        <v>150.67872967748465</v>
      </c>
      <c r="BS105" s="256">
        <v>175.08230994226133</v>
      </c>
      <c r="BT105" s="256">
        <v>151.47275988820601</v>
      </c>
      <c r="BV105" s="256">
        <v>287</v>
      </c>
      <c r="BW105" s="256">
        <v>308</v>
      </c>
      <c r="BX105" s="256">
        <v>251.2</v>
      </c>
      <c r="BY105" s="256">
        <v>305.34034888307667</v>
      </c>
      <c r="BZ105" s="256">
        <v>325.95091274243549</v>
      </c>
      <c r="CA105" s="256">
        <v>332.91726569463452</v>
      </c>
      <c r="CB105" s="256">
        <v>334.88375322152052</v>
      </c>
      <c r="CC105" s="256">
        <v>337.15648898897223</v>
      </c>
      <c r="CD105" s="256">
        <v>340.56820423626777</v>
      </c>
      <c r="CE105" s="256">
        <v>344.38461677103618</v>
      </c>
      <c r="CF105" s="256">
        <v>349.323109439831</v>
      </c>
      <c r="CG105" s="256">
        <v>345.17190960922801</v>
      </c>
      <c r="CH105" s="256">
        <v>350.29576614367642</v>
      </c>
      <c r="CJ105" s="751" t="s">
        <v>1352</v>
      </c>
      <c r="CK105" s="145" t="s">
        <v>1357</v>
      </c>
      <c r="CL105" s="752" t="s">
        <v>961</v>
      </c>
      <c r="CM105" s="758">
        <f>_xll.VAData($CJ105,CM$3,$CK105,$CL105)</f>
        <v>137.9</v>
      </c>
      <c r="CN105" s="758">
        <f>_xll.VAData($CJ105,CN$3,$CK105,$CL105)</f>
        <v>149.1</v>
      </c>
      <c r="CO105" s="758">
        <f>_xll.VAData($CJ105,CO$3,$CK105,$CL105)</f>
        <v>154.4</v>
      </c>
      <c r="CP105" s="758">
        <f>_xll.VAData($CJ105,CP$3,$CK105,$CL105)</f>
        <v>153.6</v>
      </c>
      <c r="CQ105" s="758">
        <f>_xll.VAData($CJ105,CQ$3,$CK105,$CL105)</f>
        <v>134</v>
      </c>
      <c r="CR105" s="758">
        <f>_xll.VAData($CJ105,CR$3,$CK105,$CL105)</f>
        <v>117.2</v>
      </c>
      <c r="CS105" s="758">
        <f>_xll.VAData($CJ105,CS$3,$CK105,$CL105)</f>
        <v>156.69999999999999</v>
      </c>
      <c r="CT105" s="758">
        <f>_xll.VAData($CJ105,CT$3,$CK105,$CL105)</f>
        <v>172.4</v>
      </c>
      <c r="CU105" s="758">
        <f>_xll.VAData($CJ105,CU$3,$CK105,$CL105)</f>
        <v>181.4</v>
      </c>
      <c r="CV105" s="758">
        <f>_xll.VAData($CJ105,CV$3,$CK105,$CL105)</f>
        <v>180.4</v>
      </c>
      <c r="CW105" s="758">
        <f>_xll.VAData($CJ105,CW$3,$CK105,$CL105)</f>
        <v>204.2861177648021</v>
      </c>
      <c r="CX105" s="758">
        <f>_xll.VAData($CJ105,CX$3,$CK105,$CL105)</f>
        <v>183.23248180002599</v>
      </c>
      <c r="CY105" s="758">
        <f>_xll.VAData($CJ105,CY$3,$CK105,$CL105)</f>
        <v>209.37701115753961</v>
      </c>
      <c r="CZ105" s="758">
        <f>_xll.VAData($CJ105,CZ$3,$CK105,$CL105)</f>
        <v>188.26036135920424</v>
      </c>
      <c r="DA105" s="758">
        <f>_xll.VAData($CJ105,DA$3,$CK105,$CL105)</f>
        <v>213.72834313245775</v>
      </c>
      <c r="DB105" s="758">
        <f>_xll.VAData($CJ105,DB$3,$CK105,$CL105)</f>
        <v>192.04256270836939</v>
      </c>
      <c r="DC105" s="758">
        <f>_xll.VAData($CJ105,DC$3,$CK105,$CL105)</f>
        <v>218.47185589181336</v>
      </c>
      <c r="DD105" s="758">
        <f>_xll.VAData($CJ105,DD$3,$CK105,$CL105)</f>
        <v>196.77560981259325</v>
      </c>
      <c r="DE105" s="758">
        <f>_xll.VAData($CJ105,DE$3,$CK105,$CL105)</f>
        <v>227.82756224624976</v>
      </c>
      <c r="DF105" s="758">
        <f>_xll.VAData($CJ105,DF$3,$CK105,$CL105)</f>
        <v>198.515768552232</v>
      </c>
      <c r="DG105" s="758">
        <f>_xll.VAData($CJ105,DG$3,$CK105,$CL105)</f>
        <v>231.17745405334975</v>
      </c>
      <c r="DH105" s="758">
        <f>_xll.VAData($CJ105,DH$3,$CK105,$CL105)</f>
        <v>201.85974951803226</v>
      </c>
      <c r="DI105" s="758">
        <f>_xll.VAData($CJ105,DI$3,$CK105,$CL105)</f>
        <v>234.72552623467001</v>
      </c>
      <c r="DJ105" s="758">
        <f>_xll.VAData($CJ105,DJ$3,$CK105,$CL105)</f>
        <v>205.34163733379549</v>
      </c>
      <c r="DK105" s="758">
        <f>_xll.VAData($CJ105,DK$3,$CK105,$CL105)</f>
        <v>238.41342664619674</v>
      </c>
      <c r="DL105" s="758">
        <f>_xll.VAData($CJ105,DL$3,$CK105,$CL105)</f>
        <v>208.96605443732724</v>
      </c>
      <c r="DN105" s="758">
        <f>_xll.VAData($CJ105,DN$3,$CK105,$CL105)</f>
        <v>287</v>
      </c>
      <c r="DO105" s="758">
        <f>_xll.VAData($CJ105,DO$3,$CK105,$CL105)</f>
        <v>308</v>
      </c>
      <c r="DP105" s="758">
        <f>_xll.VAData($CJ105,DP$3,$CK105,$CL105)</f>
        <v>251.2</v>
      </c>
      <c r="DQ105" s="758">
        <f>_xll.VAData($CJ105,DQ$3,$CK105,$CL105)</f>
        <v>329.1</v>
      </c>
      <c r="DR105" s="758">
        <f>_xll.VAData($CJ105,DR$3,$CK105,$CL105)</f>
        <v>361.8</v>
      </c>
      <c r="DS105" s="758">
        <f>_xll.VAData($CJ105,DS$3,$CK105,$CL105)</f>
        <v>387.51859956482798</v>
      </c>
      <c r="DT105" s="758">
        <f>_xll.VAData($CJ105,DT$3,$CK105,$CL105)</f>
        <v>398.00594951247621</v>
      </c>
      <c r="DU105" s="758">
        <f>_xll.VAData($CJ105,DU$3,$CK105,$CL105)</f>
        <v>407.15707416205169</v>
      </c>
      <c r="DV105" s="758">
        <f>_xll.VAData($CJ105,DV$3,$CK105,$CL105)</f>
        <v>417.41204509008344</v>
      </c>
      <c r="DW105" s="758">
        <f>_xll.VAData($CJ105,DW$3,$CK105,$CL105)</f>
        <v>429.38654194124621</v>
      </c>
      <c r="DX105" s="758">
        <f>_xll.VAData($CJ105,DX$3,$CK105,$CL105)</f>
        <v>436.28008663496718</v>
      </c>
      <c r="DY105" s="758">
        <f>_xll.VAData($CJ105,DY$3,$CK105,$CL105)</f>
        <v>443.51951789701297</v>
      </c>
      <c r="DZ105" s="758">
        <f>_xll.VAData($CJ105,DZ$3,$CK105,$CL105)</f>
        <v>451.06470270471101</v>
      </c>
    </row>
    <row r="106" spans="1:130">
      <c r="B106" s="138" t="str">
        <f>B101</f>
        <v>Gaming Services</v>
      </c>
      <c r="C106" s="82" t="s">
        <v>900</v>
      </c>
      <c r="E106" s="24"/>
      <c r="F106" s="132">
        <f t="shared" si="96"/>
        <v>19.600000000000001</v>
      </c>
      <c r="G106" s="132">
        <f t="shared" si="96"/>
        <v>53.6</v>
      </c>
      <c r="H106" s="132">
        <f t="shared" si="96"/>
        <v>42.9</v>
      </c>
      <c r="I106" s="132">
        <f t="shared" si="96"/>
        <v>40.200000000000003</v>
      </c>
      <c r="J106" s="132">
        <f t="shared" si="96"/>
        <v>35.799999999999997</v>
      </c>
      <c r="K106" s="132">
        <f t="shared" si="96"/>
        <v>30.7</v>
      </c>
      <c r="L106" s="132">
        <f t="shared" si="96"/>
        <v>33.5</v>
      </c>
      <c r="M106" s="132">
        <f t="shared" si="96"/>
        <v>30.765827588387921</v>
      </c>
      <c r="N106" s="132">
        <f t="shared" si="96"/>
        <v>33.621137898615913</v>
      </c>
      <c r="O106" s="132">
        <f t="shared" si="96"/>
        <v>31.8331159952494</v>
      </c>
      <c r="P106" s="132">
        <f t="shared" si="97"/>
        <v>34.649737663484899</v>
      </c>
      <c r="Q106" s="132">
        <f t="shared" si="97"/>
        <v>32.960852955604651</v>
      </c>
      <c r="R106" s="132">
        <f t="shared" si="97"/>
        <v>35.551199931825089</v>
      </c>
      <c r="S106" s="132">
        <f t="shared" si="97"/>
        <v>33.114434146950785</v>
      </c>
      <c r="T106" s="132">
        <f t="shared" si="97"/>
        <v>36.536155015636517</v>
      </c>
      <c r="U106" s="132">
        <f t="shared" si="97"/>
        <v>34.019783213142802</v>
      </c>
      <c r="V106" s="132">
        <f t="shared" si="97"/>
        <v>37.971584366923267</v>
      </c>
      <c r="W106" s="132">
        <f t="shared" si="97"/>
        <v>35.610889080514603</v>
      </c>
      <c r="X106" s="132">
        <f t="shared" si="97"/>
        <v>39.52154457594883</v>
      </c>
      <c r="Y106" s="132">
        <f t="shared" si="97"/>
        <v>37.478663992626366</v>
      </c>
      <c r="Z106" s="132">
        <f t="shared" si="98"/>
        <v>40.80889295185677</v>
      </c>
      <c r="AA106" s="132">
        <f t="shared" si="98"/>
        <v>38.773215409822697</v>
      </c>
      <c r="AB106" s="132">
        <f t="shared" si="98"/>
        <v>41.8575012626819</v>
      </c>
      <c r="AC106" s="132">
        <f t="shared" si="98"/>
        <v>39.866832660407098</v>
      </c>
      <c r="AD106" s="132">
        <f t="shared" si="98"/>
        <v>43.014868780314849</v>
      </c>
      <c r="AE106" s="132">
        <f t="shared" si="98"/>
        <v>40.960020467004249</v>
      </c>
      <c r="AF106" s="132"/>
      <c r="AG106" s="132">
        <f t="shared" si="99"/>
        <v>73.2</v>
      </c>
      <c r="AH106" s="132">
        <f t="shared" si="99"/>
        <v>83.1</v>
      </c>
      <c r="AI106" s="132">
        <f t="shared" si="99"/>
        <v>66.5</v>
      </c>
      <c r="AJ106" s="132">
        <f t="shared" si="99"/>
        <v>64.159022545003964</v>
      </c>
      <c r="AK106" s="132">
        <f t="shared" si="99"/>
        <v>65.635301244196754</v>
      </c>
      <c r="AL106" s="132">
        <f t="shared" si="99"/>
        <v>67.858585018584549</v>
      </c>
      <c r="AM106" s="132">
        <f t="shared" si="99"/>
        <v>69.785635475422524</v>
      </c>
      <c r="AN106" s="132">
        <f t="shared" si="99"/>
        <v>71.695977083478695</v>
      </c>
      <c r="AO106" s="132">
        <f t="shared" si="99"/>
        <v>74.615994392331316</v>
      </c>
      <c r="AP106" s="132">
        <f t="shared" si="99"/>
        <v>78.11948584821458</v>
      </c>
      <c r="AQ106" s="132">
        <f t="shared" si="99"/>
        <v>80.522512757520246</v>
      </c>
      <c r="AR106" s="132">
        <f t="shared" si="99"/>
        <v>82.92328081545628</v>
      </c>
      <c r="AS106" s="132">
        <f t="shared" si="99"/>
        <v>85.171090151103897</v>
      </c>
      <c r="AU106" s="256">
        <v>19.600000000000001</v>
      </c>
      <c r="AV106" s="256">
        <v>53.6</v>
      </c>
      <c r="AW106" s="256">
        <v>42.9</v>
      </c>
      <c r="AX106" s="256">
        <v>40.200000000000003</v>
      </c>
      <c r="AY106" s="256">
        <v>35.799999999999997</v>
      </c>
      <c r="AZ106" s="256">
        <v>30.7</v>
      </c>
      <c r="BA106" s="256">
        <v>33.5</v>
      </c>
      <c r="BB106" s="256">
        <v>30.765827588387921</v>
      </c>
      <c r="BC106" s="256">
        <v>33.621137898615913</v>
      </c>
      <c r="BD106" s="256">
        <v>31.8331159952494</v>
      </c>
      <c r="BE106" s="256">
        <v>34.649737663484899</v>
      </c>
      <c r="BF106" s="256">
        <v>32.960852955604651</v>
      </c>
      <c r="BG106" s="256">
        <v>35.551199931825089</v>
      </c>
      <c r="BH106" s="256">
        <v>33.114434146950785</v>
      </c>
      <c r="BI106" s="256">
        <v>36.536155015636517</v>
      </c>
      <c r="BJ106" s="256">
        <v>34.019783213142802</v>
      </c>
      <c r="BK106" s="256">
        <v>37.971584366923267</v>
      </c>
      <c r="BL106" s="256">
        <v>35.610889080514603</v>
      </c>
      <c r="BM106" s="256">
        <v>39.52154457594883</v>
      </c>
      <c r="BN106" s="256">
        <v>37.478663992626366</v>
      </c>
      <c r="BO106" s="256">
        <v>40.80889295185677</v>
      </c>
      <c r="BP106" s="256">
        <v>38.773215409822697</v>
      </c>
      <c r="BQ106" s="256">
        <v>41.8575012626819</v>
      </c>
      <c r="BR106" s="256">
        <v>39.866832660407098</v>
      </c>
      <c r="BS106" s="256">
        <v>43.014868780314849</v>
      </c>
      <c r="BT106" s="256">
        <v>40.960020467004249</v>
      </c>
      <c r="BV106" s="256">
        <v>73.2</v>
      </c>
      <c r="BW106" s="256">
        <v>83.1</v>
      </c>
      <c r="BX106" s="256">
        <v>66.5</v>
      </c>
      <c r="BY106" s="256">
        <v>64.159022545003964</v>
      </c>
      <c r="BZ106" s="256">
        <v>65.635301244196754</v>
      </c>
      <c r="CA106" s="256">
        <v>67.858585018584549</v>
      </c>
      <c r="CB106" s="256">
        <v>69.785635475422524</v>
      </c>
      <c r="CC106" s="256">
        <v>71.695977083478695</v>
      </c>
      <c r="CD106" s="256">
        <v>74.615994392331316</v>
      </c>
      <c r="CE106" s="256">
        <v>78.11948584821458</v>
      </c>
      <c r="CF106" s="256">
        <v>80.522512757520246</v>
      </c>
      <c r="CG106" s="256">
        <v>82.92328081545628</v>
      </c>
      <c r="CH106" s="256">
        <v>85.171090151103897</v>
      </c>
      <c r="CJ106" s="751" t="s">
        <v>1352</v>
      </c>
      <c r="CK106" s="751" t="s">
        <v>1364</v>
      </c>
      <c r="CL106" s="752" t="s">
        <v>961</v>
      </c>
      <c r="CM106" s="758">
        <f>_xll.VAData($CJ106,CM$3,$CK106,$CL106)</f>
        <v>19.600000000000001</v>
      </c>
      <c r="CN106" s="758">
        <f>_xll.VAData($CJ106,CN$3,$CK106,$CL106)</f>
        <v>53.6</v>
      </c>
      <c r="CO106" s="758">
        <f>_xll.VAData($CJ106,CO$3,$CK106,$CL106)</f>
        <v>42.9</v>
      </c>
      <c r="CP106" s="758">
        <f>_xll.VAData($CJ106,CP$3,$CK106,$CL106)</f>
        <v>40.200000000000003</v>
      </c>
      <c r="CQ106" s="758">
        <f>_xll.VAData($CJ106,CQ$3,$CK106,$CL106)</f>
        <v>28.3</v>
      </c>
      <c r="CR106" s="758">
        <f>_xll.VAData($CJ106,CR$3,$CK106,$CL106)</f>
        <v>30.7</v>
      </c>
      <c r="CS106" s="758">
        <f>_xll.VAData($CJ106,CS$3,$CK106,$CL106)</f>
        <v>33.5</v>
      </c>
      <c r="CT106" s="758">
        <f>_xll.VAData($CJ106,CT$3,$CK106,$CL106)</f>
        <v>28.9</v>
      </c>
      <c r="CU106" s="758">
        <f>_xll.VAData($CJ106,CU$3,$CK106,$CL106)</f>
        <v>36</v>
      </c>
      <c r="CV106" s="758">
        <f>_xll.VAData($CJ106,CV$3,$CK106,$CL106)</f>
        <v>33.9</v>
      </c>
      <c r="CW106" s="758">
        <f>_xll.VAData($CJ106,CW$3,$CK106,$CL106)</f>
        <v>36.17484294885903</v>
      </c>
      <c r="CX106" s="758">
        <f>_xll.VAData($CJ106,CX$3,$CK106,$CL106)</f>
        <v>34.517044600938725</v>
      </c>
      <c r="CY106" s="758">
        <f>_xll.VAData($CJ106,CY$3,$CK106,$CL106)</f>
        <v>37.006381740546701</v>
      </c>
      <c r="CZ106" s="758">
        <f>_xll.VAData($CJ106,CZ$3,$CK106,$CL106)</f>
        <v>35.368316640247734</v>
      </c>
      <c r="DA106" s="758">
        <f>_xll.VAData($CJ106,DA$3,$CK106,$CL106)</f>
        <v>38.036402703821537</v>
      </c>
      <c r="DB106" s="758">
        <f>_xll.VAData($CJ106,DB$3,$CK106,$CL106)</f>
        <v>36.359717746707162</v>
      </c>
      <c r="DC106" s="758">
        <f>_xll.VAData($CJ106,DC$3,$CK106,$CL106)</f>
        <v>39.127203289681638</v>
      </c>
      <c r="DD106" s="758">
        <f>_xll.VAData($CJ106,DD$3,$CK106,$CL106)</f>
        <v>37.403450836832441</v>
      </c>
      <c r="DE106" s="758">
        <f>_xll.VAData($CJ106,DE$3,$CK106,$CL106)</f>
        <v>40.467089468060848</v>
      </c>
      <c r="DF106" s="758">
        <f>_xll.VAData($CJ106,DF$3,$CK106,$CL106)</f>
        <v>38.643403858066378</v>
      </c>
      <c r="DG106" s="758">
        <f>_xll.VAData($CJ106,DG$3,$CK106,$CL106)</f>
        <v>41.659161179349923</v>
      </c>
      <c r="DH106" s="758">
        <f>_xll.VAData($CJ106,DH$3,$CK106,$CL106)</f>
        <v>39.840416830969325</v>
      </c>
      <c r="DI106" s="758">
        <f>_xll.VAData($CJ106,DI$3,$CK106,$CL106)</f>
        <v>42.878923616388626</v>
      </c>
      <c r="DJ106" s="758">
        <f>_xll.VAData($CJ106,DJ$3,$CK106,$CL106)</f>
        <v>40.971140973835375</v>
      </c>
      <c r="DK106" s="758">
        <f>_xll.VAData($CJ106,DK$3,$CK106,$CL106)</f>
        <v>44.140899805476799</v>
      </c>
      <c r="DL106" s="758">
        <f>_xll.VAData($CJ106,DL$3,$CK106,$CL106)</f>
        <v>42.186627925400202</v>
      </c>
      <c r="DN106" s="758">
        <f>_xll.VAData($CJ106,DN$3,$CK106,$CL106)</f>
        <v>73.2</v>
      </c>
      <c r="DO106" s="758">
        <f>_xll.VAData($CJ106,DO$3,$CK106,$CL106)</f>
        <v>83.1</v>
      </c>
      <c r="DP106" s="758">
        <f>_xll.VAData($CJ106,DP$3,$CK106,$CL106)</f>
        <v>59</v>
      </c>
      <c r="DQ106" s="758">
        <f>_xll.VAData($CJ106,DQ$3,$CK106,$CL106)</f>
        <v>62.4</v>
      </c>
      <c r="DR106" s="758">
        <f>_xll.VAData($CJ106,DR$3,$CK106,$CL106)</f>
        <v>69.900000000000006</v>
      </c>
      <c r="DS106" s="758">
        <f>_xll.VAData($CJ106,DS$3,$CK106,$CL106)</f>
        <v>70.691887549797769</v>
      </c>
      <c r="DT106" s="758">
        <f>_xll.VAData($CJ106,DT$3,$CK106,$CL106)</f>
        <v>72.868839416024713</v>
      </c>
      <c r="DU106" s="758">
        <f>_xll.VAData($CJ106,DU$3,$CK106,$CL106)</f>
        <v>75.058870847604709</v>
      </c>
      <c r="DV106" s="758">
        <f>_xll.VAData($CJ106,DV$3,$CK106,$CL106)</f>
        <v>77.361237191748955</v>
      </c>
      <c r="DW106" s="758">
        <f>_xll.VAData($CJ106,DW$3,$CK106,$CL106)</f>
        <v>80.840375115038427</v>
      </c>
      <c r="DX106" s="758">
        <f>_xll.VAData($CJ106,DX$3,$CK106,$CL106)</f>
        <v>83.524822575939481</v>
      </c>
      <c r="DY106" s="758">
        <f>_xll.VAData($CJ106,DY$3,$CK106,$CL106)</f>
        <v>86.201371286115901</v>
      </c>
      <c r="DZ106" s="758">
        <f>_xll.VAData($CJ106,DZ$3,$CK106,$CL106)</f>
        <v>89.003096593837697</v>
      </c>
    </row>
    <row r="107" spans="1:130">
      <c r="B107" s="138" t="str">
        <f>B102</f>
        <v>Total</v>
      </c>
      <c r="C107" s="82" t="s">
        <v>900</v>
      </c>
      <c r="E107" s="7"/>
      <c r="F107" s="132"/>
      <c r="G107" s="132"/>
      <c r="H107" s="132">
        <f t="shared" ref="H107:AE107" si="100">AW107</f>
        <v>196.6</v>
      </c>
      <c r="I107" s="132">
        <f t="shared" si="100"/>
        <v>194.4</v>
      </c>
      <c r="J107" s="132">
        <f t="shared" si="100"/>
        <v>169.8</v>
      </c>
      <c r="K107" s="132">
        <f t="shared" si="100"/>
        <v>147.9</v>
      </c>
      <c r="L107" s="132">
        <f t="shared" si="100"/>
        <v>190.2</v>
      </c>
      <c r="M107" s="132">
        <f t="shared" si="100"/>
        <v>178.691541193685</v>
      </c>
      <c r="N107" s="132">
        <f t="shared" si="100"/>
        <v>206.84286457886478</v>
      </c>
      <c r="O107" s="132">
        <f t="shared" si="100"/>
        <v>185.10754971078279</v>
      </c>
      <c r="P107" s="132">
        <f t="shared" si="100"/>
        <v>211.61579762861166</v>
      </c>
      <c r="Q107" s="132">
        <f t="shared" si="100"/>
        <v>189.03745228448011</v>
      </c>
      <c r="R107" s="132">
        <f t="shared" si="100"/>
        <v>212.76495781363988</v>
      </c>
      <c r="S107" s="132">
        <f t="shared" si="100"/>
        <v>192.45254181078087</v>
      </c>
      <c r="T107" s="132">
        <f t="shared" si="100"/>
        <v>214.43491717382651</v>
      </c>
      <c r="U107" s="132">
        <f t="shared" si="100"/>
        <v>194.24285938036951</v>
      </c>
      <c r="V107" s="132">
        <f t="shared" si="100"/>
        <v>217.194687490619</v>
      </c>
      <c r="W107" s="132">
        <f t="shared" si="100"/>
        <v>196.42268678692199</v>
      </c>
      <c r="X107" s="132">
        <f t="shared" si="100"/>
        <v>217.43215169163651</v>
      </c>
      <c r="Y107" s="132">
        <f t="shared" si="100"/>
        <v>200.10496299256926</v>
      </c>
      <c r="Z107" s="132">
        <f t="shared" si="100"/>
        <v>220.01246989738576</v>
      </c>
      <c r="AA107" s="132">
        <f t="shared" si="100"/>
        <v>202.740571542693</v>
      </c>
      <c r="AB107" s="132">
        <f t="shared" si="100"/>
        <v>217.00340931799633</v>
      </c>
      <c r="AC107" s="132">
        <f t="shared" si="100"/>
        <v>192.483740889487</v>
      </c>
      <c r="AD107" s="132">
        <f t="shared" si="100"/>
        <v>219.11172025886199</v>
      </c>
      <c r="AE107" s="132">
        <f t="shared" si="100"/>
        <v>194.46337665442468</v>
      </c>
      <c r="AF107" s="132"/>
      <c r="AG107" s="132">
        <f t="shared" si="99"/>
        <v>381.6</v>
      </c>
      <c r="AH107" s="132">
        <f t="shared" si="99"/>
        <v>391</v>
      </c>
      <c r="AI107" s="132">
        <f t="shared" si="99"/>
        <v>317.7</v>
      </c>
      <c r="AJ107" s="132">
        <f t="shared" si="99"/>
        <v>369.49937142808068</v>
      </c>
      <c r="AK107" s="132">
        <f t="shared" si="99"/>
        <v>392.3728971425756</v>
      </c>
      <c r="AL107" s="132">
        <f t="shared" si="99"/>
        <v>401.56071189013471</v>
      </c>
      <c r="AM107" s="132">
        <f t="shared" si="99"/>
        <v>405.48866641853812</v>
      </c>
      <c r="AN107" s="132">
        <f t="shared" si="99"/>
        <v>409.71464487131442</v>
      </c>
      <c r="AO107" s="132">
        <f t="shared" si="99"/>
        <v>416.08545458770431</v>
      </c>
      <c r="AP107" s="132">
        <f t="shared" si="99"/>
        <v>423.68570780538266</v>
      </c>
      <c r="AQ107" s="132">
        <f t="shared" si="99"/>
        <v>431.05276848342402</v>
      </c>
      <c r="AR107" s="132">
        <f t="shared" si="99"/>
        <v>429.59020469922842</v>
      </c>
      <c r="AS107" s="132">
        <f t="shared" si="99"/>
        <v>437.05469881532377</v>
      </c>
      <c r="AU107" s="256">
        <v>170.5</v>
      </c>
      <c r="AV107" s="256">
        <v>211.1</v>
      </c>
      <c r="AW107" s="256">
        <v>196.6</v>
      </c>
      <c r="AX107" s="256">
        <v>194.4</v>
      </c>
      <c r="AY107" s="256">
        <v>169.8</v>
      </c>
      <c r="AZ107" s="256">
        <v>147.9</v>
      </c>
      <c r="BA107" s="256">
        <v>190.2</v>
      </c>
      <c r="BB107" s="256">
        <v>178.691541193685</v>
      </c>
      <c r="BC107" s="256">
        <v>206.84286457886478</v>
      </c>
      <c r="BD107" s="256">
        <v>185.10754971078279</v>
      </c>
      <c r="BE107" s="256">
        <v>211.61579762861166</v>
      </c>
      <c r="BF107" s="256">
        <v>189.03745228448011</v>
      </c>
      <c r="BG107" s="256">
        <v>212.76495781363988</v>
      </c>
      <c r="BH107" s="256">
        <v>192.45254181078087</v>
      </c>
      <c r="BI107" s="256">
        <v>214.43491717382651</v>
      </c>
      <c r="BJ107" s="256">
        <v>194.24285938036951</v>
      </c>
      <c r="BK107" s="256">
        <v>217.194687490619</v>
      </c>
      <c r="BL107" s="256">
        <v>196.42268678692199</v>
      </c>
      <c r="BM107" s="256">
        <v>217.43215169163651</v>
      </c>
      <c r="BN107" s="256">
        <v>200.10496299256926</v>
      </c>
      <c r="BO107" s="256">
        <v>220.01246989738576</v>
      </c>
      <c r="BP107" s="256">
        <v>202.740571542693</v>
      </c>
      <c r="BQ107" s="256">
        <v>217.00340931799633</v>
      </c>
      <c r="BR107" s="256">
        <v>192.483740889487</v>
      </c>
      <c r="BS107" s="256">
        <v>219.11172025886199</v>
      </c>
      <c r="BT107" s="256">
        <v>194.46337665442468</v>
      </c>
      <c r="BV107" s="256">
        <v>381.6</v>
      </c>
      <c r="BW107" s="256">
        <v>391</v>
      </c>
      <c r="BX107" s="256">
        <v>317.7</v>
      </c>
      <c r="BY107" s="256">
        <v>369.49937142808068</v>
      </c>
      <c r="BZ107" s="256">
        <v>392.3728971425756</v>
      </c>
      <c r="CA107" s="256">
        <v>401.56071189013471</v>
      </c>
      <c r="CB107" s="256">
        <v>405.48866641853812</v>
      </c>
      <c r="CC107" s="256">
        <v>409.71464487131442</v>
      </c>
      <c r="CD107" s="256">
        <v>416.08545458770431</v>
      </c>
      <c r="CE107" s="256">
        <v>423.68570780538266</v>
      </c>
      <c r="CF107" s="256">
        <v>431.05276848342402</v>
      </c>
      <c r="CG107" s="256">
        <v>429.59020469922842</v>
      </c>
      <c r="CH107" s="256">
        <v>437.05469881532377</v>
      </c>
      <c r="CJ107" s="751" t="s">
        <v>1352</v>
      </c>
      <c r="CK107" s="751" t="s">
        <v>1083</v>
      </c>
      <c r="CL107" s="752" t="s">
        <v>961</v>
      </c>
      <c r="CM107" s="758">
        <f>_xll.VAData($CJ107,CM$3,$CK107,$CL107)</f>
        <v>159</v>
      </c>
      <c r="CN107" s="758">
        <f>_xll.VAData($CJ107,CN$3,$CK107,$CL107)</f>
        <v>201.6</v>
      </c>
      <c r="CO107" s="758">
        <f>_xll.VAData($CJ107,CO$3,$CK107,$CL107)</f>
        <v>196.6</v>
      </c>
      <c r="CP107" s="758">
        <f>_xll.VAData($CJ107,CP$3,$CK107,$CL107)</f>
        <v>194.4</v>
      </c>
      <c r="CQ107" s="758">
        <f>_xll.VAData($CJ107,CQ$3,$CK107,$CL107)</f>
        <v>169.8</v>
      </c>
      <c r="CR107" s="758">
        <f>_xll.VAData($CJ107,CR$3,$CK107,$CL107)</f>
        <v>147.9</v>
      </c>
      <c r="CS107" s="758">
        <f>_xll.VAData($CJ107,CS$3,$CK107,$CL107)</f>
        <v>190.2</v>
      </c>
      <c r="CT107" s="758">
        <f>_xll.VAData($CJ107,CT$3,$CK107,$CL107)</f>
        <v>201.3</v>
      </c>
      <c r="CU107" s="758">
        <f>_xll.VAData($CJ107,CU$3,$CK107,$CL107)</f>
        <v>217.4</v>
      </c>
      <c r="CV107" s="758">
        <f>_xll.VAData($CJ107,CV$3,$CK107,$CL107)</f>
        <v>214.3</v>
      </c>
      <c r="CW107" s="758">
        <f>_xll.VAData($CJ107,CW$3,$CK107,$CL107)</f>
        <v>244.83987963567512</v>
      </c>
      <c r="CX107" s="758">
        <f>_xll.VAData($CJ107,CX$3,$CK107,$CL107)</f>
        <v>221.70115691508445</v>
      </c>
      <c r="CY107" s="758">
        <f>_xll.VAData($CJ107,CY$3,$CK107,$CL107)</f>
        <v>256.37725152812988</v>
      </c>
      <c r="CZ107" s="758">
        <f>_xll.VAData($CJ107,CZ$3,$CK107,$CL107)</f>
        <v>232.33109124508263</v>
      </c>
      <c r="DA107" s="758">
        <f>_xll.VAData($CJ107,DA$3,$CK107,$CL107)</f>
        <v>264.68072166924213</v>
      </c>
      <c r="DB107" s="758">
        <f>_xll.VAData($CJ107,DB$3,$CK107,$CL107)</f>
        <v>238.48715558739286</v>
      </c>
      <c r="DC107" s="758">
        <f>_xll.VAData($CJ107,DC$3,$CK107,$CL107)</f>
        <v>270.71284703125252</v>
      </c>
      <c r="DD107" s="758">
        <f>_xll.VAData($CJ107,DD$3,$CK107,$CL107)</f>
        <v>244.32241396796186</v>
      </c>
      <c r="DE107" s="758">
        <f>_xll.VAData($CJ107,DE$3,$CK107,$CL107)</f>
        <v>280.37968372173651</v>
      </c>
      <c r="DF107" s="758">
        <f>_xll.VAData($CJ107,DF$3,$CK107,$CL107)</f>
        <v>249.47445987544825</v>
      </c>
      <c r="DG107" s="758">
        <f>_xll.VAData($CJ107,DG$3,$CK107,$CL107)</f>
        <v>285.21226573120498</v>
      </c>
      <c r="DH107" s="758">
        <f>_xll.VAData($CJ107,DH$3,$CK107,$CL107)</f>
        <v>254.41252995152075</v>
      </c>
      <c r="DI107" s="758">
        <f>_xll.VAData($CJ107,DI$3,$CK107,$CL107)</f>
        <v>290.64628342570973</v>
      </c>
      <c r="DJ107" s="758">
        <f>_xll.VAData($CJ107,DJ$3,$CK107,$CL107)</f>
        <v>259.90380647366322</v>
      </c>
      <c r="DK107" s="758">
        <f>_xll.VAData($CJ107,DK$3,$CK107,$CL107)</f>
        <v>296.22474377294202</v>
      </c>
      <c r="DL107" s="758">
        <f>_xll.VAData($CJ107,DL$3,$CK107,$CL107)</f>
        <v>265.32998936279574</v>
      </c>
      <c r="DN107" s="758">
        <f>_xll.VAData($CJ107,DN$3,$CK107,$CL107)</f>
        <v>381.6</v>
      </c>
      <c r="DO107" s="758">
        <f>_xll.VAData($CJ107,DO$3,$CK107,$CL107)</f>
        <v>391</v>
      </c>
      <c r="DP107" s="758">
        <f>_xll.VAData($CJ107,DP$3,$CK107,$CL107)</f>
        <v>317.7</v>
      </c>
      <c r="DQ107" s="758">
        <f>_xll.VAData($CJ107,DQ$3,$CK107,$CL107)</f>
        <v>391.5</v>
      </c>
      <c r="DR107" s="758">
        <f>_xll.VAData($CJ107,DR$3,$CK107,$CL107)</f>
        <v>431.7</v>
      </c>
      <c r="DS107" s="758">
        <f>_xll.VAData($CJ107,DS$3,$CK107,$CL107)</f>
        <v>466.54103655075943</v>
      </c>
      <c r="DT107" s="758">
        <f>_xll.VAData($CJ107,DT$3,$CK107,$CL107)</f>
        <v>489.57369726243365</v>
      </c>
      <c r="DU107" s="758">
        <f>_xll.VAData($CJ107,DU$3,$CK107,$CL107)</f>
        <v>505.18114586768235</v>
      </c>
      <c r="DV107" s="758">
        <f>_xll.VAData($CJ107,DV$3,$CK107,$CL107)</f>
        <v>518.40629665364895</v>
      </c>
      <c r="DW107" s="758">
        <f>_xll.VAData($CJ107,DW$3,$CK107,$CL107)</f>
        <v>535.79517263434479</v>
      </c>
      <c r="DX107" s="758">
        <f>_xll.VAData($CJ107,DX$3,$CK107,$CL107)</f>
        <v>546.82332049172601</v>
      </c>
      <c r="DY107" s="758">
        <f>_xll.VAData($CJ107,DY$3,$CK107,$CL107)</f>
        <v>556.33717857567638</v>
      </c>
      <c r="DZ107" s="758">
        <f>_xll.VAData($CJ107,DZ$3,$CK107,$CL107)</f>
        <v>567.97997875561805</v>
      </c>
    </row>
    <row r="109" spans="1:130">
      <c r="B109" s="130" t="s">
        <v>1500</v>
      </c>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row>
    <row r="110" spans="1:130">
      <c r="B110" s="138" t="str">
        <f>B100</f>
        <v>Wagering &amp; Media</v>
      </c>
      <c r="C110" s="82" t="s">
        <v>842</v>
      </c>
      <c r="E110" s="7"/>
      <c r="F110" s="314">
        <f xml:space="preserve"> IFERROR(ROUND( F100/ F105,3) - 1, 0)</f>
        <v>0</v>
      </c>
      <c r="G110" s="314">
        <f t="shared" ref="G110:AE110" si="101" xml:space="preserve"> IFERROR(ROUND( G100/ G105,3) - 1, 0)</f>
        <v>0</v>
      </c>
      <c r="H110" s="314">
        <f t="shared" si="101"/>
        <v>0</v>
      </c>
      <c r="I110" s="314">
        <f t="shared" si="101"/>
        <v>0</v>
      </c>
      <c r="J110" s="314">
        <f t="shared" si="101"/>
        <v>0</v>
      </c>
      <c r="K110" s="314">
        <f t="shared" si="101"/>
        <v>0</v>
      </c>
      <c r="L110" s="314">
        <f t="shared" si="101"/>
        <v>0</v>
      </c>
      <c r="M110" s="314">
        <f t="shared" si="101"/>
        <v>0.16500000000000004</v>
      </c>
      <c r="N110" s="314">
        <f t="shared" si="101"/>
        <v>4.8999999999999932E-2</v>
      </c>
      <c r="O110" s="314">
        <f t="shared" si="101"/>
        <v>0.18199999999999994</v>
      </c>
      <c r="P110" s="314">
        <f t="shared" si="101"/>
        <v>0.18999999999999995</v>
      </c>
      <c r="Q110" s="314">
        <f t="shared" si="101"/>
        <v>0.15999999999999992</v>
      </c>
      <c r="R110" s="314">
        <f t="shared" si="101"/>
        <v>0.14700000000000002</v>
      </c>
      <c r="S110" s="314">
        <f t="shared" si="101"/>
        <v>0.11299999999999999</v>
      </c>
      <c r="T110" s="314">
        <f t="shared" si="101"/>
        <v>0.11699999999999999</v>
      </c>
      <c r="U110" s="314">
        <f t="shared" si="101"/>
        <v>7.2999999999999954E-2</v>
      </c>
      <c r="V110" s="314">
        <f t="shared" si="101"/>
        <v>0.1180000000000001</v>
      </c>
      <c r="W110" s="314">
        <f t="shared" si="101"/>
        <v>7.8000000000000069E-2</v>
      </c>
      <c r="X110" s="314">
        <f t="shared" si="101"/>
        <v>0.1339999999999999</v>
      </c>
      <c r="Y110" s="314">
        <f t="shared" si="101"/>
        <v>7.4999999999999956E-2</v>
      </c>
      <c r="Z110" s="314">
        <f t="shared" si="101"/>
        <v>0.1319999999999999</v>
      </c>
      <c r="AA110" s="314">
        <f t="shared" si="101"/>
        <v>7.2999999999999954E-2</v>
      </c>
      <c r="AB110" s="314">
        <f t="shared" si="101"/>
        <v>0.16900000000000004</v>
      </c>
      <c r="AC110" s="314">
        <f t="shared" si="101"/>
        <v>0.16599999999999993</v>
      </c>
      <c r="AD110" s="314">
        <f t="shared" si="101"/>
        <v>0.17199999999999993</v>
      </c>
      <c r="AE110" s="314">
        <f t="shared" si="101"/>
        <v>0.16999999999999993</v>
      </c>
      <c r="AG110" s="314">
        <f t="shared" ref="AG110:AS110" si="102" xml:space="preserve"> IFERROR(ROUND( AG100/ AG105,3) - 1, 0)</f>
        <v>0</v>
      </c>
      <c r="AH110" s="314">
        <f t="shared" si="102"/>
        <v>0</v>
      </c>
      <c r="AI110" s="314">
        <f t="shared" si="102"/>
        <v>0</v>
      </c>
      <c r="AJ110" s="314">
        <f t="shared" si="102"/>
        <v>7.8000000000000069E-2</v>
      </c>
      <c r="AK110" s="314">
        <f t="shared" si="102"/>
        <v>0.1100000000000001</v>
      </c>
      <c r="AL110" s="314">
        <f t="shared" si="102"/>
        <v>0.17300000000000004</v>
      </c>
      <c r="AM110" s="314">
        <f t="shared" si="102"/>
        <v>0.13300000000000001</v>
      </c>
      <c r="AN110" s="314">
        <f t="shared" si="102"/>
        <v>9.4999999999999973E-2</v>
      </c>
      <c r="AO110" s="314">
        <f t="shared" si="102"/>
        <v>9.2999999999999972E-2</v>
      </c>
      <c r="AP110" s="314">
        <f t="shared" si="102"/>
        <v>8.6999999999999966E-2</v>
      </c>
      <c r="AQ110" s="314">
        <f t="shared" si="102"/>
        <v>7.8000000000000069E-2</v>
      </c>
      <c r="AR110" s="314">
        <f t="shared" si="102"/>
        <v>9.8999999999999977E-2</v>
      </c>
      <c r="AS110" s="314">
        <f t="shared" si="102"/>
        <v>9.099999999999997E-2</v>
      </c>
      <c r="AU110" s="314"/>
      <c r="AV110" s="314"/>
      <c r="AW110" s="314"/>
      <c r="AX110" s="314"/>
      <c r="AY110" s="314"/>
      <c r="AZ110" s="314"/>
      <c r="BA110" s="314"/>
      <c r="BB110" s="314"/>
      <c r="BC110" s="314"/>
      <c r="BD110" s="314"/>
      <c r="BE110" s="314"/>
      <c r="BF110" s="314"/>
      <c r="BG110" s="314"/>
      <c r="BH110" s="314"/>
      <c r="BI110" s="314"/>
      <c r="BJ110" s="314"/>
      <c r="BK110" s="314"/>
      <c r="BL110" s="314"/>
      <c r="BM110" s="314"/>
      <c r="BN110" s="314"/>
      <c r="BO110" s="314"/>
      <c r="BP110" s="314"/>
      <c r="BQ110" s="314"/>
      <c r="BR110" s="314"/>
      <c r="BS110" s="314"/>
      <c r="BT110" s="314"/>
      <c r="BV110" s="314"/>
      <c r="BW110" s="314"/>
      <c r="BX110" s="314"/>
      <c r="BY110" s="314"/>
      <c r="BZ110" s="314"/>
      <c r="CA110" s="314"/>
      <c r="CB110" s="314"/>
      <c r="CC110" s="314"/>
      <c r="CD110" s="314"/>
      <c r="CE110" s="314"/>
      <c r="CF110" s="314"/>
      <c r="CG110" s="314"/>
      <c r="CH110" s="314"/>
      <c r="CM110" s="314"/>
      <c r="CN110" s="314"/>
      <c r="CO110" s="314"/>
      <c r="CP110" s="314"/>
      <c r="CQ110" s="314"/>
      <c r="CR110" s="314"/>
      <c r="CS110" s="314"/>
      <c r="CT110" s="314"/>
      <c r="CU110" s="314"/>
      <c r="CV110" s="314"/>
      <c r="CW110" s="314"/>
      <c r="CX110" s="314"/>
      <c r="CY110" s="314"/>
      <c r="CZ110" s="314"/>
      <c r="DA110" s="314"/>
      <c r="DB110" s="314"/>
      <c r="DC110" s="314"/>
      <c r="DD110" s="314"/>
      <c r="DE110" s="314"/>
      <c r="DF110" s="314"/>
      <c r="DG110" s="314"/>
      <c r="DH110" s="314"/>
      <c r="DI110" s="314"/>
      <c r="DJ110" s="314"/>
      <c r="DK110" s="314"/>
      <c r="DL110" s="314"/>
      <c r="DN110" s="314"/>
      <c r="DO110" s="314"/>
      <c r="DP110" s="314"/>
      <c r="DQ110" s="314"/>
      <c r="DR110" s="314"/>
      <c r="DS110" s="314"/>
      <c r="DT110" s="314"/>
      <c r="DU110" s="314"/>
      <c r="DV110" s="314"/>
      <c r="DW110" s="314"/>
      <c r="DX110" s="314"/>
      <c r="DY110" s="314"/>
      <c r="DZ110" s="314"/>
    </row>
    <row r="111" spans="1:130">
      <c r="B111" s="138" t="str">
        <f>B101</f>
        <v>Gaming Services</v>
      </c>
      <c r="C111" s="82" t="s">
        <v>842</v>
      </c>
      <c r="E111" s="24"/>
      <c r="F111" s="314">
        <f t="shared" ref="F111:AE111" si="103" xml:space="preserve"> IFERROR(ROUND( F101/ F106,3) - 1, 0)</f>
        <v>0</v>
      </c>
      <c r="G111" s="314">
        <f t="shared" si="103"/>
        <v>0</v>
      </c>
      <c r="H111" s="314">
        <f t="shared" si="103"/>
        <v>0</v>
      </c>
      <c r="I111" s="314">
        <f t="shared" si="103"/>
        <v>0</v>
      </c>
      <c r="J111" s="314">
        <f t="shared" si="103"/>
        <v>-0.20899999999999996</v>
      </c>
      <c r="K111" s="314">
        <f t="shared" si="103"/>
        <v>0</v>
      </c>
      <c r="L111" s="314">
        <f t="shared" si="103"/>
        <v>0</v>
      </c>
      <c r="M111" s="314">
        <f t="shared" si="103"/>
        <v>-6.1000000000000054E-2</v>
      </c>
      <c r="N111" s="314">
        <f t="shared" si="103"/>
        <v>7.0999999999999952E-2</v>
      </c>
      <c r="O111" s="314">
        <f t="shared" si="103"/>
        <v>6.4999999999999947E-2</v>
      </c>
      <c r="P111" s="314">
        <f t="shared" si="103"/>
        <v>3.0999999999999917E-2</v>
      </c>
      <c r="Q111" s="314">
        <f t="shared" si="103"/>
        <v>6.2000000000000055E-2</v>
      </c>
      <c r="R111" s="314">
        <f t="shared" si="103"/>
        <v>3.0000000000000027E-2</v>
      </c>
      <c r="S111" s="314">
        <f t="shared" si="103"/>
        <v>8.4000000000000075E-2</v>
      </c>
      <c r="T111" s="314">
        <f t="shared" si="103"/>
        <v>3.2000000000000028E-2</v>
      </c>
      <c r="U111" s="314">
        <f t="shared" si="103"/>
        <v>8.6999999999999966E-2</v>
      </c>
      <c r="V111" s="314">
        <f t="shared" si="103"/>
        <v>2.2999999999999909E-2</v>
      </c>
      <c r="W111" s="314">
        <f t="shared" si="103"/>
        <v>6.899999999999995E-2</v>
      </c>
      <c r="X111" s="314">
        <f t="shared" si="103"/>
        <v>1.2000000000000011E-2</v>
      </c>
      <c r="Y111" s="314">
        <f t="shared" si="103"/>
        <v>4.6000000000000041E-2</v>
      </c>
      <c r="Z111" s="314">
        <f t="shared" si="103"/>
        <v>1.0000000000000009E-2</v>
      </c>
      <c r="AA111" s="314">
        <f t="shared" si="103"/>
        <v>4.2000000000000037E-2</v>
      </c>
      <c r="AB111" s="314">
        <f t="shared" si="103"/>
        <v>1.4000000000000012E-2</v>
      </c>
      <c r="AC111" s="314">
        <f t="shared" si="103"/>
        <v>4.4000000000000039E-2</v>
      </c>
      <c r="AD111" s="314">
        <f t="shared" si="103"/>
        <v>1.6000000000000014E-2</v>
      </c>
      <c r="AE111" s="314">
        <f t="shared" si="103"/>
        <v>4.6000000000000041E-2</v>
      </c>
      <c r="AG111" s="314">
        <f t="shared" ref="AG111:AS111" si="104" xml:space="preserve"> IFERROR(ROUND( AG101/ AG106,3) - 1, 0)</f>
        <v>0</v>
      </c>
      <c r="AH111" s="314">
        <f t="shared" si="104"/>
        <v>0</v>
      </c>
      <c r="AI111" s="314">
        <f t="shared" si="104"/>
        <v>-0.11299999999999999</v>
      </c>
      <c r="AJ111" s="314">
        <f t="shared" si="104"/>
        <v>-2.7000000000000024E-2</v>
      </c>
      <c r="AK111" s="314">
        <f t="shared" si="104"/>
        <v>6.4999999999999947E-2</v>
      </c>
      <c r="AL111" s="314">
        <f t="shared" si="104"/>
        <v>4.2000000000000037E-2</v>
      </c>
      <c r="AM111" s="314">
        <f t="shared" si="104"/>
        <v>3.8999999999999924E-2</v>
      </c>
      <c r="AN111" s="314">
        <f t="shared" si="104"/>
        <v>4.2000000000000037E-2</v>
      </c>
      <c r="AO111" s="314">
        <f t="shared" si="104"/>
        <v>3.0999999999999917E-2</v>
      </c>
      <c r="AP111" s="314">
        <f t="shared" si="104"/>
        <v>1.4000000000000012E-2</v>
      </c>
      <c r="AQ111" s="314">
        <f t="shared" si="104"/>
        <v>1.2999999999999901E-2</v>
      </c>
      <c r="AR111" s="314">
        <f t="shared" si="104"/>
        <v>1.4000000000000012E-2</v>
      </c>
      <c r="AS111" s="314">
        <f t="shared" si="104"/>
        <v>1.6000000000000014E-2</v>
      </c>
      <c r="AU111" s="314"/>
      <c r="AV111" s="314"/>
      <c r="AW111" s="314"/>
      <c r="AX111" s="314"/>
      <c r="AY111" s="314"/>
      <c r="AZ111" s="314"/>
      <c r="BA111" s="314"/>
      <c r="BB111" s="314"/>
      <c r="BC111" s="314"/>
      <c r="BD111" s="314"/>
      <c r="BE111" s="314"/>
      <c r="BF111" s="314"/>
      <c r="BG111" s="314"/>
      <c r="BH111" s="314"/>
      <c r="BI111" s="314"/>
      <c r="BJ111" s="314"/>
      <c r="BK111" s="314"/>
      <c r="BL111" s="314"/>
      <c r="BM111" s="314"/>
      <c r="BN111" s="314"/>
      <c r="BO111" s="314"/>
      <c r="BP111" s="314"/>
      <c r="BQ111" s="314"/>
      <c r="BR111" s="314"/>
      <c r="BS111" s="314"/>
      <c r="BT111" s="314"/>
      <c r="BV111" s="314"/>
      <c r="BW111" s="314"/>
      <c r="BX111" s="314"/>
      <c r="BY111" s="314"/>
      <c r="BZ111" s="314"/>
      <c r="CA111" s="314"/>
      <c r="CB111" s="314"/>
      <c r="CC111" s="314"/>
      <c r="CD111" s="314"/>
      <c r="CE111" s="314"/>
      <c r="CF111" s="314"/>
      <c r="CG111" s="314"/>
      <c r="CH111" s="314"/>
      <c r="CM111" s="314"/>
      <c r="CN111" s="314"/>
      <c r="CO111" s="314"/>
      <c r="CP111" s="314"/>
      <c r="CQ111" s="314"/>
      <c r="CR111" s="314"/>
      <c r="CS111" s="314"/>
      <c r="CT111" s="314"/>
      <c r="CU111" s="314"/>
      <c r="CV111" s="314"/>
      <c r="CW111" s="314"/>
      <c r="CX111" s="314"/>
      <c r="CY111" s="314"/>
      <c r="CZ111" s="314"/>
      <c r="DA111" s="314"/>
      <c r="DB111" s="314"/>
      <c r="DC111" s="314"/>
      <c r="DD111" s="314"/>
      <c r="DE111" s="314"/>
      <c r="DF111" s="314"/>
      <c r="DG111" s="314"/>
      <c r="DH111" s="314"/>
      <c r="DI111" s="314"/>
      <c r="DJ111" s="314"/>
      <c r="DK111" s="314"/>
      <c r="DL111" s="314"/>
      <c r="DN111" s="314"/>
      <c r="DO111" s="314"/>
      <c r="DP111" s="314"/>
      <c r="DQ111" s="314"/>
      <c r="DR111" s="314"/>
      <c r="DS111" s="314"/>
      <c r="DT111" s="314"/>
      <c r="DU111" s="314"/>
      <c r="DV111" s="314"/>
      <c r="DW111" s="314"/>
      <c r="DX111" s="314"/>
      <c r="DY111" s="314"/>
      <c r="DZ111" s="314"/>
    </row>
    <row r="112" spans="1:130">
      <c r="B112" s="138" t="str">
        <f>B102</f>
        <v>Total</v>
      </c>
      <c r="C112" s="82" t="s">
        <v>842</v>
      </c>
      <c r="E112" s="7"/>
      <c r="F112" s="314"/>
      <c r="G112" s="314"/>
      <c r="H112" s="314">
        <f t="shared" ref="H112:AE112" si="105" xml:space="preserve"> IFERROR(ROUND( H102/ H107,3) - 1, 0)</f>
        <v>0</v>
      </c>
      <c r="I112" s="314">
        <f t="shared" si="105"/>
        <v>0</v>
      </c>
      <c r="J112" s="314">
        <f t="shared" si="105"/>
        <v>0</v>
      </c>
      <c r="K112" s="314">
        <f t="shared" si="105"/>
        <v>0</v>
      </c>
      <c r="L112" s="314">
        <f t="shared" si="105"/>
        <v>0</v>
      </c>
      <c r="M112" s="314">
        <f t="shared" si="105"/>
        <v>0.127</v>
      </c>
      <c r="N112" s="314">
        <f t="shared" si="105"/>
        <v>5.0999999999999934E-2</v>
      </c>
      <c r="O112" s="314">
        <f t="shared" si="105"/>
        <v>0.15799999999999992</v>
      </c>
      <c r="P112" s="314">
        <f t="shared" si="105"/>
        <v>0.16199999999999992</v>
      </c>
      <c r="Q112" s="314">
        <f t="shared" si="105"/>
        <v>0.16599999999999993</v>
      </c>
      <c r="R112" s="314">
        <f t="shared" si="105"/>
        <v>0.18700000000000006</v>
      </c>
      <c r="S112" s="314">
        <f t="shared" si="105"/>
        <v>0.21100000000000008</v>
      </c>
      <c r="T112" s="314">
        <f t="shared" si="105"/>
        <v>0.21399999999999997</v>
      </c>
      <c r="U112" s="314">
        <f t="shared" si="105"/>
        <v>0.20500000000000007</v>
      </c>
      <c r="V112" s="314">
        <f t="shared" si="105"/>
        <v>0.21500000000000008</v>
      </c>
      <c r="W112" s="314">
        <f t="shared" si="105"/>
        <v>0.20799999999999996</v>
      </c>
      <c r="X112" s="314">
        <f t="shared" si="105"/>
        <v>0.22799999999999998</v>
      </c>
      <c r="Y112" s="314">
        <f t="shared" si="105"/>
        <v>0.19999999999999996</v>
      </c>
      <c r="Z112" s="314">
        <f t="shared" si="105"/>
        <v>0.22799999999999998</v>
      </c>
      <c r="AA112" s="314">
        <f t="shared" si="105"/>
        <v>0.19999999999999996</v>
      </c>
      <c r="AB112" s="314">
        <f t="shared" si="105"/>
        <v>0.26</v>
      </c>
      <c r="AC112" s="314">
        <f t="shared" si="105"/>
        <v>0.28099999999999992</v>
      </c>
      <c r="AD112" s="314">
        <f t="shared" si="105"/>
        <v>0.2649999999999999</v>
      </c>
      <c r="AE112" s="314">
        <f t="shared" si="105"/>
        <v>0.28699999999999992</v>
      </c>
      <c r="AG112" s="314">
        <f t="shared" ref="AG112:AS112" si="106" xml:space="preserve"> IFERROR(ROUND( AG102/ AG107,3) - 1, 0)</f>
        <v>-1</v>
      </c>
      <c r="AH112" s="314">
        <f t="shared" si="106"/>
        <v>0</v>
      </c>
      <c r="AI112" s="314">
        <f t="shared" si="106"/>
        <v>0</v>
      </c>
      <c r="AJ112" s="314">
        <f t="shared" si="106"/>
        <v>6.0000000000000053E-2</v>
      </c>
      <c r="AK112" s="314">
        <f t="shared" si="106"/>
        <v>0.10000000000000009</v>
      </c>
      <c r="AL112" s="314">
        <f t="shared" si="106"/>
        <v>0.16199999999999992</v>
      </c>
      <c r="AM112" s="314">
        <f t="shared" si="106"/>
        <v>0.19799999999999995</v>
      </c>
      <c r="AN112" s="314">
        <f t="shared" si="106"/>
        <v>0.20700000000000007</v>
      </c>
      <c r="AO112" s="314">
        <f t="shared" si="106"/>
        <v>0.20500000000000007</v>
      </c>
      <c r="AP112" s="314">
        <f t="shared" si="106"/>
        <v>0.19700000000000006</v>
      </c>
      <c r="AQ112" s="314">
        <f t="shared" si="106"/>
        <v>0.19100000000000006</v>
      </c>
      <c r="AR112" s="314">
        <f t="shared" si="106"/>
        <v>0.21100000000000008</v>
      </c>
      <c r="AS112" s="314">
        <f t="shared" si="106"/>
        <v>0.20700000000000007</v>
      </c>
      <c r="AU112" s="314"/>
      <c r="AV112" s="314"/>
      <c r="AW112" s="314"/>
      <c r="AX112" s="314"/>
      <c r="AY112" s="314"/>
      <c r="AZ112" s="314"/>
      <c r="BA112" s="314"/>
      <c r="BB112" s="314"/>
      <c r="BC112" s="314"/>
      <c r="BD112" s="314"/>
      <c r="BE112" s="314"/>
      <c r="BF112" s="314"/>
      <c r="BG112" s="314"/>
      <c r="BH112" s="314"/>
      <c r="BI112" s="314"/>
      <c r="BJ112" s="314"/>
      <c r="BK112" s="314"/>
      <c r="BL112" s="314"/>
      <c r="BM112" s="314"/>
      <c r="BN112" s="314"/>
      <c r="BO112" s="314"/>
      <c r="BP112" s="314"/>
      <c r="BQ112" s="314"/>
      <c r="BR112" s="314"/>
      <c r="BS112" s="314"/>
      <c r="BT112" s="314"/>
      <c r="BV112" s="314"/>
      <c r="BW112" s="314"/>
      <c r="BX112" s="314"/>
      <c r="BY112" s="314"/>
      <c r="BZ112" s="314"/>
      <c r="CA112" s="314"/>
      <c r="CB112" s="314"/>
      <c r="CC112" s="314"/>
      <c r="CD112" s="314"/>
      <c r="CE112" s="314"/>
      <c r="CF112" s="314"/>
      <c r="CG112" s="314"/>
      <c r="CH112" s="314"/>
      <c r="CM112" s="314"/>
      <c r="CN112" s="314"/>
      <c r="CO112" s="314"/>
      <c r="CP112" s="314"/>
      <c r="CQ112" s="314"/>
      <c r="CR112" s="314"/>
      <c r="CS112" s="314"/>
      <c r="CT112" s="314"/>
      <c r="CU112" s="314"/>
      <c r="CV112" s="314"/>
      <c r="CW112" s="314"/>
      <c r="CX112" s="314"/>
      <c r="CY112" s="314"/>
      <c r="CZ112" s="314"/>
      <c r="DA112" s="314"/>
      <c r="DB112" s="314"/>
      <c r="DC112" s="314"/>
      <c r="DD112" s="314"/>
      <c r="DE112" s="314"/>
      <c r="DF112" s="314"/>
      <c r="DG112" s="314"/>
      <c r="DH112" s="314"/>
      <c r="DI112" s="314"/>
      <c r="DJ112" s="314"/>
      <c r="DK112" s="314"/>
      <c r="DL112" s="314"/>
      <c r="DN112" s="314"/>
      <c r="DO112" s="314"/>
      <c r="DP112" s="314"/>
      <c r="DQ112" s="314"/>
      <c r="DR112" s="314"/>
      <c r="DS112" s="314"/>
      <c r="DT112" s="314"/>
      <c r="DU112" s="314"/>
      <c r="DV112" s="314"/>
      <c r="DW112" s="314"/>
      <c r="DX112" s="314"/>
      <c r="DY112" s="314"/>
      <c r="DZ112" s="314"/>
    </row>
    <row r="114" spans="1:130">
      <c r="A114" s="754" t="s">
        <v>971</v>
      </c>
      <c r="B114" s="731" t="s">
        <v>1501</v>
      </c>
      <c r="C114" s="290"/>
      <c r="D114" s="290"/>
      <c r="E114" s="290"/>
      <c r="F114" s="290"/>
      <c r="G114" s="290"/>
      <c r="H114" s="290"/>
      <c r="I114" s="290"/>
      <c r="J114" s="290"/>
      <c r="K114" s="290"/>
      <c r="L114" s="290"/>
      <c r="M114" s="290"/>
      <c r="N114" s="290"/>
      <c r="O114" s="290"/>
      <c r="P114" s="290"/>
      <c r="Q114" s="290"/>
      <c r="R114" s="290"/>
      <c r="S114" s="290"/>
      <c r="T114" s="290"/>
      <c r="U114" s="290"/>
      <c r="V114" s="290"/>
      <c r="W114" s="290"/>
      <c r="X114" s="290"/>
      <c r="Y114" s="290"/>
      <c r="Z114" s="290"/>
      <c r="AA114" s="290"/>
      <c r="AB114" s="290"/>
      <c r="AC114" s="290"/>
      <c r="AD114" s="290"/>
      <c r="AE114" s="290"/>
      <c r="AF114" s="290"/>
      <c r="AG114" s="290"/>
      <c r="AH114" s="290"/>
      <c r="AI114" s="290"/>
      <c r="AJ114" s="290"/>
      <c r="AK114" s="290"/>
      <c r="AL114" s="290"/>
      <c r="AM114" s="290"/>
      <c r="AN114" s="290"/>
      <c r="AO114" s="290"/>
      <c r="AP114" s="290"/>
      <c r="AQ114" s="290"/>
      <c r="AR114" s="290"/>
      <c r="AS114" s="290"/>
    </row>
    <row r="115" spans="1:130">
      <c r="B115" s="138" t="s">
        <v>1</v>
      </c>
      <c r="C115" s="82" t="s">
        <v>900</v>
      </c>
      <c r="E115" s="138"/>
      <c r="F115" s="132"/>
      <c r="G115" s="132"/>
      <c r="H115" s="132">
        <f>HY!O585</f>
        <v>1274.5</v>
      </c>
      <c r="I115" s="132">
        <f>HY!P585</f>
        <v>1159.9000000000001</v>
      </c>
      <c r="J115" s="132">
        <f>HY!Q585</f>
        <v>1209.5999999999999</v>
      </c>
      <c r="K115" s="132">
        <f>HY!R585</f>
        <v>1129.3000000000002</v>
      </c>
      <c r="L115" s="132">
        <f>HY!S585</f>
        <v>1331.3</v>
      </c>
      <c r="M115" s="132">
        <f>HY!T585</f>
        <v>1283.3</v>
      </c>
      <c r="N115" s="132">
        <f>HY!U585</f>
        <v>1344.9</v>
      </c>
      <c r="O115" s="132">
        <f>HY!V585</f>
        <v>1291.4000000000001</v>
      </c>
      <c r="P115" s="132">
        <f>HY!W585</f>
        <v>1400.9837626000001</v>
      </c>
      <c r="Q115" s="132">
        <f>HY!X585</f>
        <v>1345.9845538500001</v>
      </c>
      <c r="R115" s="132">
        <f>HY!Y585</f>
        <v>1458.358766001</v>
      </c>
      <c r="S115" s="132">
        <f>HY!Z585</f>
        <v>1388.4989695240001</v>
      </c>
      <c r="T115" s="132">
        <f>HY!AA585</f>
        <v>1474.9689453032995</v>
      </c>
      <c r="U115" s="132">
        <f>HY!AB585</f>
        <v>1403.0377269744802</v>
      </c>
      <c r="V115" s="132">
        <f>HY!AC585</f>
        <v>1508.701747551567</v>
      </c>
      <c r="W115" s="132">
        <f>HY!AD585</f>
        <v>1435.5596450364148</v>
      </c>
      <c r="X115" s="132">
        <f>HY!AE585</f>
        <v>1532.8790624342341</v>
      </c>
      <c r="Y115" s="132">
        <f>HY!AF585</f>
        <v>1459.4557426179608</v>
      </c>
      <c r="Z115" s="132">
        <f>HY!AG585</f>
        <v>1557.9909741388201</v>
      </c>
      <c r="AA115" s="132">
        <f>HY!AH585</f>
        <v>1484.258870044649</v>
      </c>
      <c r="AB115" s="132">
        <f>HY!AI585</f>
        <v>1584.0634277962276</v>
      </c>
      <c r="AC115" s="132">
        <f>HY!AJ585</f>
        <v>1509.994336742657</v>
      </c>
      <c r="AD115" s="132">
        <f>HY!AK585</f>
        <v>1611.1231678190259</v>
      </c>
      <c r="AE115" s="132">
        <f>HY!AL585</f>
        <v>1536.6882304356377</v>
      </c>
      <c r="AG115" s="132"/>
      <c r="AH115" s="132">
        <f t="shared" ref="AH115:AS127" si="107">SUMIFS($F115:$AE115,$F$3:$AE$3,AH$5)</f>
        <v>2434.4</v>
      </c>
      <c r="AI115" s="132">
        <f t="shared" si="107"/>
        <v>2338.9</v>
      </c>
      <c r="AJ115" s="132">
        <f t="shared" si="107"/>
        <v>2614.6</v>
      </c>
      <c r="AK115" s="132">
        <f t="shared" si="107"/>
        <v>2636.3</v>
      </c>
      <c r="AL115" s="132">
        <f t="shared" si="107"/>
        <v>2746.9683164500002</v>
      </c>
      <c r="AM115" s="132">
        <f t="shared" si="107"/>
        <v>2846.857735525</v>
      </c>
      <c r="AN115" s="132">
        <f t="shared" si="107"/>
        <v>2878.0066722777797</v>
      </c>
      <c r="AO115" s="132">
        <f t="shared" si="107"/>
        <v>2944.2613925879818</v>
      </c>
      <c r="AP115" s="132">
        <f t="shared" si="107"/>
        <v>2992.334805052195</v>
      </c>
      <c r="AQ115" s="132">
        <f t="shared" si="107"/>
        <v>3042.2498441834691</v>
      </c>
      <c r="AR115" s="132">
        <f t="shared" si="107"/>
        <v>3094.0577645388848</v>
      </c>
      <c r="AS115" s="132">
        <f t="shared" si="107"/>
        <v>3147.8113982546638</v>
      </c>
      <c r="AU115" s="132"/>
      <c r="AV115" s="132"/>
      <c r="AW115" s="132"/>
      <c r="AX115" s="132"/>
      <c r="AY115" s="132"/>
      <c r="AZ115" s="132"/>
      <c r="BA115" s="132"/>
      <c r="BB115" s="132"/>
      <c r="BC115" s="132"/>
      <c r="BD115" s="132"/>
      <c r="BE115" s="132"/>
      <c r="BF115" s="132"/>
      <c r="BG115" s="132"/>
      <c r="BH115" s="132"/>
      <c r="BI115" s="132"/>
      <c r="BJ115" s="132"/>
      <c r="BK115" s="132"/>
      <c r="BL115" s="132"/>
      <c r="BM115" s="132"/>
      <c r="BN115" s="132"/>
      <c r="BO115" s="132"/>
      <c r="BP115" s="132"/>
      <c r="BQ115" s="132"/>
      <c r="BR115" s="132"/>
      <c r="BS115" s="132"/>
      <c r="BT115" s="132"/>
      <c r="BV115" s="132"/>
      <c r="BW115" s="132"/>
      <c r="BX115" s="132"/>
      <c r="BY115" s="132"/>
      <c r="BZ115" s="132"/>
      <c r="CA115" s="132"/>
      <c r="CB115" s="132"/>
      <c r="CC115" s="132"/>
      <c r="CD115" s="132"/>
      <c r="CE115" s="132"/>
      <c r="CF115" s="132"/>
      <c r="CG115" s="132"/>
      <c r="CH115" s="132"/>
      <c r="CM115" s="132"/>
      <c r="CN115" s="132"/>
      <c r="CO115" s="132"/>
      <c r="CP115" s="132"/>
      <c r="CQ115" s="132"/>
      <c r="CR115" s="132"/>
      <c r="CS115" s="132"/>
      <c r="CT115" s="132"/>
      <c r="CU115" s="132"/>
      <c r="CV115" s="132"/>
      <c r="CW115" s="132"/>
      <c r="CX115" s="132"/>
      <c r="CY115" s="132"/>
      <c r="CZ115" s="132"/>
      <c r="DA115" s="132"/>
      <c r="DB115" s="132"/>
      <c r="DC115" s="132"/>
      <c r="DD115" s="132"/>
      <c r="DE115" s="132"/>
      <c r="DF115" s="132"/>
      <c r="DG115" s="132"/>
      <c r="DH115" s="132"/>
      <c r="DI115" s="132"/>
      <c r="DJ115" s="132"/>
      <c r="DK115" s="132"/>
      <c r="DL115" s="132"/>
      <c r="DN115" s="132"/>
      <c r="DO115" s="132"/>
      <c r="DP115" s="132"/>
      <c r="DQ115" s="132"/>
      <c r="DR115" s="132"/>
      <c r="DS115" s="132"/>
      <c r="DT115" s="132"/>
      <c r="DU115" s="132"/>
      <c r="DV115" s="132"/>
      <c r="DW115" s="132"/>
      <c r="DX115" s="132"/>
      <c r="DY115" s="132"/>
      <c r="DZ115" s="132"/>
    </row>
    <row r="116" spans="1:130">
      <c r="B116" s="138" t="s">
        <v>2</v>
      </c>
      <c r="C116" s="82" t="s">
        <v>900</v>
      </c>
      <c r="E116" s="138"/>
      <c r="F116" s="132"/>
      <c r="G116" s="132"/>
      <c r="H116" s="132">
        <f>HY!O592</f>
        <v>196.6</v>
      </c>
      <c r="I116" s="132">
        <f>HY!P592</f>
        <v>194.4</v>
      </c>
      <c r="J116" s="132">
        <f>HY!Q592</f>
        <v>169.8</v>
      </c>
      <c r="K116" s="132">
        <f>HY!R592</f>
        <v>147.89999999999998</v>
      </c>
      <c r="L116" s="132">
        <f>HY!S592</f>
        <v>190.2</v>
      </c>
      <c r="M116" s="132">
        <f>HY!T592</f>
        <v>201.3</v>
      </c>
      <c r="N116" s="132">
        <f>HY!U592</f>
        <v>217.4</v>
      </c>
      <c r="O116" s="132">
        <f>HY!V592</f>
        <v>214.29999999999998</v>
      </c>
      <c r="P116" s="132">
        <f>HY!W592</f>
        <v>245.91365320419683</v>
      </c>
      <c r="Q116" s="132">
        <f>HY!X592</f>
        <v>220.50641127075005</v>
      </c>
      <c r="R116" s="132">
        <f>HY!Y592</f>
        <v>252.5909362220219</v>
      </c>
      <c r="S116" s="132">
        <f>HY!Z592</f>
        <v>233.05483452447999</v>
      </c>
      <c r="T116" s="132">
        <f>HY!AA592</f>
        <v>260.32813375597885</v>
      </c>
      <c r="U116" s="132">
        <f>HY!AB592</f>
        <v>234.03557596429465</v>
      </c>
      <c r="V116" s="132">
        <f>HY!AC592</f>
        <v>263.98405265487986</v>
      </c>
      <c r="W116" s="132">
        <f>HY!AD592</f>
        <v>237.27680381304012</v>
      </c>
      <c r="X116" s="132">
        <f>HY!AE592</f>
        <v>266.91994186997368</v>
      </c>
      <c r="Y116" s="132">
        <f>HY!AF592</f>
        <v>240.1555074920955</v>
      </c>
      <c r="Z116" s="132">
        <f>HY!AG592</f>
        <v>270.09346120412431</v>
      </c>
      <c r="AA116" s="132">
        <f>HY!AH592</f>
        <v>243.26233677028503</v>
      </c>
      <c r="AB116" s="132">
        <f>HY!AI592</f>
        <v>273.51225069285624</v>
      </c>
      <c r="AC116" s="132">
        <f>HY!AJ592</f>
        <v>246.60471746438341</v>
      </c>
      <c r="AD116" s="132">
        <f>HY!AK592</f>
        <v>277.18421459476878</v>
      </c>
      <c r="AE116" s="132">
        <f>HY!AL592</f>
        <v>250.19033233905387</v>
      </c>
      <c r="AG116" s="132"/>
      <c r="AH116" s="132">
        <f t="shared" si="107"/>
        <v>391</v>
      </c>
      <c r="AI116" s="132">
        <f t="shared" si="107"/>
        <v>317.7</v>
      </c>
      <c r="AJ116" s="132">
        <f t="shared" si="107"/>
        <v>391.5</v>
      </c>
      <c r="AK116" s="132">
        <f t="shared" si="107"/>
        <v>431.7</v>
      </c>
      <c r="AL116" s="132">
        <f t="shared" si="107"/>
        <v>466.42006447494691</v>
      </c>
      <c r="AM116" s="132">
        <f t="shared" si="107"/>
        <v>485.64577074650185</v>
      </c>
      <c r="AN116" s="132">
        <f t="shared" si="107"/>
        <v>494.3637097202735</v>
      </c>
      <c r="AO116" s="132">
        <f t="shared" si="107"/>
        <v>501.26085646792001</v>
      </c>
      <c r="AP116" s="132">
        <f t="shared" si="107"/>
        <v>507.07544936206921</v>
      </c>
      <c r="AQ116" s="132">
        <f t="shared" si="107"/>
        <v>513.35579797440937</v>
      </c>
      <c r="AR116" s="132">
        <f t="shared" si="107"/>
        <v>520.11696815723963</v>
      </c>
      <c r="AS116" s="132">
        <f t="shared" si="107"/>
        <v>527.37454693382267</v>
      </c>
      <c r="AU116" s="132"/>
      <c r="AV116" s="132"/>
      <c r="AW116" s="132"/>
      <c r="AX116" s="132"/>
      <c r="AY116" s="132"/>
      <c r="AZ116" s="132"/>
      <c r="BA116" s="132"/>
      <c r="BB116" s="132"/>
      <c r="BC116" s="132"/>
      <c r="BD116" s="132"/>
      <c r="BE116" s="132"/>
      <c r="BF116" s="132"/>
      <c r="BG116" s="132"/>
      <c r="BH116" s="132"/>
      <c r="BI116" s="132"/>
      <c r="BJ116" s="132"/>
      <c r="BK116" s="132"/>
      <c r="BL116" s="132"/>
      <c r="BM116" s="132"/>
      <c r="BN116" s="132"/>
      <c r="BO116" s="132"/>
      <c r="BP116" s="132"/>
      <c r="BQ116" s="132"/>
      <c r="BR116" s="132"/>
      <c r="BS116" s="132"/>
      <c r="BT116" s="132"/>
      <c r="BV116" s="132"/>
      <c r="BW116" s="132"/>
      <c r="BX116" s="132"/>
      <c r="BY116" s="132"/>
      <c r="BZ116" s="132"/>
      <c r="CA116" s="132"/>
      <c r="CB116" s="132"/>
      <c r="CC116" s="132"/>
      <c r="CD116" s="132"/>
      <c r="CE116" s="132"/>
      <c r="CF116" s="132"/>
      <c r="CG116" s="132"/>
      <c r="CH116" s="132"/>
      <c r="CM116" s="132"/>
      <c r="CN116" s="132"/>
      <c r="CO116" s="132"/>
      <c r="CP116" s="132"/>
      <c r="CQ116" s="132"/>
      <c r="CR116" s="132"/>
      <c r="CS116" s="132"/>
      <c r="CT116" s="132"/>
      <c r="CU116" s="132"/>
      <c r="CV116" s="132"/>
      <c r="CW116" s="132"/>
      <c r="CX116" s="132"/>
      <c r="CY116" s="132"/>
      <c r="CZ116" s="132"/>
      <c r="DA116" s="132"/>
      <c r="DB116" s="132"/>
      <c r="DC116" s="132"/>
      <c r="DD116" s="132"/>
      <c r="DE116" s="132"/>
      <c r="DF116" s="132"/>
      <c r="DG116" s="132"/>
      <c r="DH116" s="132"/>
      <c r="DI116" s="132"/>
      <c r="DJ116" s="132"/>
      <c r="DK116" s="132"/>
      <c r="DL116" s="132"/>
      <c r="DN116" s="132"/>
      <c r="DO116" s="132"/>
      <c r="DP116" s="132"/>
      <c r="DQ116" s="132"/>
      <c r="DR116" s="132"/>
      <c r="DS116" s="132"/>
      <c r="DT116" s="132"/>
      <c r="DU116" s="132"/>
      <c r="DV116" s="132"/>
      <c r="DW116" s="132"/>
      <c r="DX116" s="132"/>
      <c r="DY116" s="132"/>
      <c r="DZ116" s="132"/>
    </row>
    <row r="117" spans="1:130">
      <c r="B117" s="138" t="s">
        <v>48</v>
      </c>
      <c r="C117" s="82" t="s">
        <v>900</v>
      </c>
      <c r="E117" s="138"/>
      <c r="F117" s="132"/>
      <c r="G117" s="132"/>
      <c r="H117" s="132">
        <f>HY!O593+HY!O594</f>
        <v>-123.39999999999998</v>
      </c>
      <c r="I117" s="132">
        <f>HY!P593+HY!P594</f>
        <v>-117.10000000000002</v>
      </c>
      <c r="J117" s="132">
        <f>HY!Q593+HY!Q594</f>
        <v>-119.80000000000001</v>
      </c>
      <c r="K117" s="132">
        <f>HY!R593+HY!R594</f>
        <v>-100.49999999999997</v>
      </c>
      <c r="L117" s="132">
        <f>HY!S593+HY!S594</f>
        <v>-97.499999999999986</v>
      </c>
      <c r="M117" s="132">
        <f>HY!T593+HY!T594</f>
        <v>-105.30000000000001</v>
      </c>
      <c r="N117" s="132">
        <f>HY!U593+HY!U594</f>
        <v>-107.20000000000002</v>
      </c>
      <c r="O117" s="132">
        <f>HY!V593+HY!V594</f>
        <v>-105.8</v>
      </c>
      <c r="P117" s="132">
        <f>HY!W593+HY!W594</f>
        <v>-114.19999999999982</v>
      </c>
      <c r="Q117" s="132">
        <f>HY!X593+HY!X594</f>
        <v>-114.19999999999982</v>
      </c>
      <c r="R117" s="132">
        <f>HY!Y593+HY!Y594</f>
        <v>-111.69999999999982</v>
      </c>
      <c r="S117" s="132">
        <f>HY!Z593+HY!Z594</f>
        <v>-111.69999999999982</v>
      </c>
      <c r="T117" s="132">
        <f>HY!AA593+HY!AA594</f>
        <v>-113.90588235294098</v>
      </c>
      <c r="U117" s="132">
        <f>HY!AB593+HY!AB594</f>
        <v>-111.29009146232301</v>
      </c>
      <c r="V117" s="132">
        <f>HY!AC593+HY!AC594</f>
        <v>-108.60105180170741</v>
      </c>
      <c r="W117" s="132">
        <f>HY!AD593+HY!AD594</f>
        <v>-106.75365838874035</v>
      </c>
      <c r="X117" s="132">
        <f>HY!AE593+HY!AE594</f>
        <v>-104.72483114264912</v>
      </c>
      <c r="Y117" s="132">
        <f>HY!AF593+HY!AF594</f>
        <v>-103.59657080560132</v>
      </c>
      <c r="Z117" s="132">
        <f>HY!AG593+HY!AG594</f>
        <v>-102.18035902242494</v>
      </c>
      <c r="AA117" s="132">
        <f>HY!AH593+HY!AH594</f>
        <v>-101.58301116178995</v>
      </c>
      <c r="AB117" s="132">
        <f>HY!AI593+HY!AI594</f>
        <v>-100.61849147723447</v>
      </c>
      <c r="AC117" s="132">
        <f>HY!AJ593+HY!AJ594</f>
        <v>-100.41494619985079</v>
      </c>
      <c r="AD117" s="132">
        <f>HY!AK593+HY!AK594</f>
        <v>-99.784839528394642</v>
      </c>
      <c r="AE117" s="132">
        <f>HY!AL593+HY!AL594</f>
        <v>-99.875268424311159</v>
      </c>
      <c r="AG117" s="132"/>
      <c r="AH117" s="132">
        <f t="shared" si="107"/>
        <v>-240.5</v>
      </c>
      <c r="AI117" s="132">
        <f t="shared" si="107"/>
        <v>-220.29999999999998</v>
      </c>
      <c r="AJ117" s="132">
        <f t="shared" si="107"/>
        <v>-202.8</v>
      </c>
      <c r="AK117" s="132">
        <f t="shared" si="107"/>
        <v>-213</v>
      </c>
      <c r="AL117" s="132">
        <f t="shared" si="107"/>
        <v>-228.39999999999964</v>
      </c>
      <c r="AM117" s="132">
        <f t="shared" si="107"/>
        <v>-223.39999999999964</v>
      </c>
      <c r="AN117" s="132">
        <f t="shared" si="107"/>
        <v>-225.19597381526398</v>
      </c>
      <c r="AO117" s="132">
        <f t="shared" si="107"/>
        <v>-215.35471019044775</v>
      </c>
      <c r="AP117" s="132">
        <f t="shared" si="107"/>
        <v>-208.32140194825044</v>
      </c>
      <c r="AQ117" s="132">
        <f t="shared" si="107"/>
        <v>-203.76337018421489</v>
      </c>
      <c r="AR117" s="132">
        <f t="shared" si="107"/>
        <v>-201.03343767708526</v>
      </c>
      <c r="AS117" s="132">
        <f t="shared" si="107"/>
        <v>-199.6601079527058</v>
      </c>
      <c r="AU117" s="132"/>
      <c r="AV117" s="132"/>
      <c r="AW117" s="132"/>
      <c r="AX117" s="132"/>
      <c r="AY117" s="132"/>
      <c r="AZ117" s="132"/>
      <c r="BA117" s="132"/>
      <c r="BB117" s="132"/>
      <c r="BC117" s="132"/>
      <c r="BD117" s="132"/>
      <c r="BE117" s="132"/>
      <c r="BF117" s="132"/>
      <c r="BG117" s="132"/>
      <c r="BH117" s="132"/>
      <c r="BI117" s="132"/>
      <c r="BJ117" s="132"/>
      <c r="BK117" s="132"/>
      <c r="BL117" s="132"/>
      <c r="BM117" s="132"/>
      <c r="BN117" s="132"/>
      <c r="BO117" s="132"/>
      <c r="BP117" s="132"/>
      <c r="BQ117" s="132"/>
      <c r="BR117" s="132"/>
      <c r="BS117" s="132"/>
      <c r="BT117" s="132"/>
      <c r="BV117" s="132"/>
      <c r="BW117" s="132"/>
      <c r="BX117" s="132"/>
      <c r="BY117" s="132"/>
      <c r="BZ117" s="132"/>
      <c r="CA117" s="132"/>
      <c r="CB117" s="132"/>
      <c r="CC117" s="132"/>
      <c r="CD117" s="132"/>
      <c r="CE117" s="132"/>
      <c r="CF117" s="132"/>
      <c r="CG117" s="132"/>
      <c r="CH117" s="132"/>
      <c r="CM117" s="132"/>
      <c r="CN117" s="132"/>
      <c r="CO117" s="132"/>
      <c r="CP117" s="132"/>
      <c r="CQ117" s="132"/>
      <c r="CR117" s="132"/>
      <c r="CS117" s="132"/>
      <c r="CT117" s="132"/>
      <c r="CU117" s="132"/>
      <c r="CV117" s="132"/>
      <c r="CW117" s="132"/>
      <c r="CX117" s="132"/>
      <c r="CY117" s="132"/>
      <c r="CZ117" s="132"/>
      <c r="DA117" s="132"/>
      <c r="DB117" s="132"/>
      <c r="DC117" s="132"/>
      <c r="DD117" s="132"/>
      <c r="DE117" s="132"/>
      <c r="DF117" s="132"/>
      <c r="DG117" s="132"/>
      <c r="DH117" s="132"/>
      <c r="DI117" s="132"/>
      <c r="DJ117" s="132"/>
      <c r="DK117" s="132"/>
      <c r="DL117" s="132"/>
      <c r="DN117" s="132"/>
      <c r="DO117" s="132"/>
      <c r="DP117" s="132"/>
      <c r="DQ117" s="132"/>
      <c r="DR117" s="132"/>
      <c r="DS117" s="132"/>
      <c r="DT117" s="132"/>
      <c r="DU117" s="132"/>
      <c r="DV117" s="132"/>
      <c r="DW117" s="132"/>
      <c r="DX117" s="132"/>
      <c r="DY117" s="132"/>
      <c r="DZ117" s="132"/>
    </row>
    <row r="118" spans="1:130">
      <c r="B118" s="138" t="s">
        <v>10</v>
      </c>
      <c r="C118" s="82" t="s">
        <v>900</v>
      </c>
      <c r="E118" s="138"/>
      <c r="F118" s="132"/>
      <c r="G118" s="132"/>
      <c r="H118" s="132">
        <f>HY!O596</f>
        <v>73.2</v>
      </c>
      <c r="I118" s="132">
        <f>HY!P596</f>
        <v>77.3</v>
      </c>
      <c r="J118" s="132">
        <f>HY!Q596</f>
        <v>50</v>
      </c>
      <c r="K118" s="132">
        <f>HY!R596</f>
        <v>47.400000000000006</v>
      </c>
      <c r="L118" s="132">
        <f>HY!S596</f>
        <v>92.7</v>
      </c>
      <c r="M118" s="132">
        <f>HY!T596</f>
        <v>95.999999999999986</v>
      </c>
      <c r="N118" s="132">
        <f>HY!U596</f>
        <v>110.2</v>
      </c>
      <c r="O118" s="132">
        <f>HY!V596</f>
        <v>108.49999999999999</v>
      </c>
      <c r="P118" s="132">
        <f>HY!W596</f>
        <v>131.71365320419702</v>
      </c>
      <c r="Q118" s="132">
        <f>HY!X596</f>
        <v>106.30641127075023</v>
      </c>
      <c r="R118" s="132">
        <f>HY!Y596</f>
        <v>140.89093622202208</v>
      </c>
      <c r="S118" s="132">
        <f>HY!Z596</f>
        <v>121.35483452448017</v>
      </c>
      <c r="T118" s="132">
        <f>HY!AA596</f>
        <v>146.42225140303788</v>
      </c>
      <c r="U118" s="132">
        <f>HY!AB596</f>
        <v>122.74548450197165</v>
      </c>
      <c r="V118" s="132">
        <f>HY!AC596</f>
        <v>155.38300085317246</v>
      </c>
      <c r="W118" s="132">
        <f>HY!AD596</f>
        <v>130.52314542429977</v>
      </c>
      <c r="X118" s="132">
        <f>HY!AE596</f>
        <v>162.19511072732456</v>
      </c>
      <c r="Y118" s="132">
        <f>HY!AF596</f>
        <v>136.55893668649418</v>
      </c>
      <c r="Z118" s="132">
        <f>HY!AG596</f>
        <v>167.91310218169937</v>
      </c>
      <c r="AA118" s="132">
        <f>HY!AH596</f>
        <v>141.67932560849508</v>
      </c>
      <c r="AB118" s="132">
        <f>HY!AI596</f>
        <v>172.89375921562177</v>
      </c>
      <c r="AC118" s="132">
        <f>HY!AJ596</f>
        <v>146.18977126453262</v>
      </c>
      <c r="AD118" s="132">
        <f>HY!AK596</f>
        <v>177.39937506637415</v>
      </c>
      <c r="AE118" s="132">
        <f>HY!AL596</f>
        <v>150.31506391474272</v>
      </c>
      <c r="AG118" s="132"/>
      <c r="AH118" s="132">
        <f t="shared" si="107"/>
        <v>150.5</v>
      </c>
      <c r="AI118" s="132">
        <f t="shared" si="107"/>
        <v>97.4</v>
      </c>
      <c r="AJ118" s="132">
        <f t="shared" si="107"/>
        <v>188.7</v>
      </c>
      <c r="AK118" s="132">
        <f t="shared" si="107"/>
        <v>218.7</v>
      </c>
      <c r="AL118" s="132">
        <f t="shared" si="107"/>
        <v>238.02006447494725</v>
      </c>
      <c r="AM118" s="132">
        <f t="shared" si="107"/>
        <v>262.24577074650222</v>
      </c>
      <c r="AN118" s="132">
        <f t="shared" si="107"/>
        <v>269.16773590500952</v>
      </c>
      <c r="AO118" s="132">
        <f t="shared" si="107"/>
        <v>285.9061462774722</v>
      </c>
      <c r="AP118" s="132">
        <f t="shared" si="107"/>
        <v>298.75404741381874</v>
      </c>
      <c r="AQ118" s="132">
        <f t="shared" si="107"/>
        <v>309.59242779019445</v>
      </c>
      <c r="AR118" s="132">
        <f t="shared" si="107"/>
        <v>319.08353048015442</v>
      </c>
      <c r="AS118" s="132">
        <f t="shared" si="107"/>
        <v>327.71443898111687</v>
      </c>
      <c r="AU118" s="132"/>
      <c r="AV118" s="132"/>
      <c r="AW118" s="132"/>
      <c r="AX118" s="132"/>
      <c r="AY118" s="132"/>
      <c r="AZ118" s="132"/>
      <c r="BA118" s="132"/>
      <c r="BB118" s="132"/>
      <c r="BC118" s="132"/>
      <c r="BD118" s="132"/>
      <c r="BE118" s="132"/>
      <c r="BF118" s="132"/>
      <c r="BG118" s="132"/>
      <c r="BH118" s="132"/>
      <c r="BI118" s="132"/>
      <c r="BJ118" s="132"/>
      <c r="BK118" s="132"/>
      <c r="BL118" s="132"/>
      <c r="BM118" s="132"/>
      <c r="BN118" s="132"/>
      <c r="BO118" s="132"/>
      <c r="BP118" s="132"/>
      <c r="BQ118" s="132"/>
      <c r="BR118" s="132"/>
      <c r="BS118" s="132"/>
      <c r="BT118" s="132"/>
      <c r="BV118" s="132"/>
      <c r="BW118" s="132"/>
      <c r="BX118" s="132"/>
      <c r="BY118" s="132"/>
      <c r="BZ118" s="132"/>
      <c r="CA118" s="132"/>
      <c r="CB118" s="132"/>
      <c r="CC118" s="132"/>
      <c r="CD118" s="132"/>
      <c r="CE118" s="132"/>
      <c r="CF118" s="132"/>
      <c r="CG118" s="132"/>
      <c r="CH118" s="132"/>
      <c r="CM118" s="132"/>
      <c r="CN118" s="132"/>
      <c r="CO118" s="132"/>
      <c r="CP118" s="132"/>
      <c r="CQ118" s="132"/>
      <c r="CR118" s="132"/>
      <c r="CS118" s="132"/>
      <c r="CT118" s="132"/>
      <c r="CU118" s="132"/>
      <c r="CV118" s="132"/>
      <c r="CW118" s="132"/>
      <c r="CX118" s="132"/>
      <c r="CY118" s="132"/>
      <c r="CZ118" s="132"/>
      <c r="DA118" s="132"/>
      <c r="DB118" s="132"/>
      <c r="DC118" s="132"/>
      <c r="DD118" s="132"/>
      <c r="DE118" s="132"/>
      <c r="DF118" s="132"/>
      <c r="DG118" s="132"/>
      <c r="DH118" s="132"/>
      <c r="DI118" s="132"/>
      <c r="DJ118" s="132"/>
      <c r="DK118" s="132"/>
      <c r="DL118" s="132"/>
      <c r="DN118" s="132"/>
      <c r="DO118" s="132"/>
      <c r="DP118" s="132"/>
      <c r="DQ118" s="132"/>
      <c r="DR118" s="132"/>
      <c r="DS118" s="132"/>
      <c r="DT118" s="132"/>
      <c r="DU118" s="132"/>
      <c r="DV118" s="132"/>
      <c r="DW118" s="132"/>
      <c r="DX118" s="132"/>
      <c r="DY118" s="132"/>
      <c r="DZ118" s="132"/>
    </row>
    <row r="119" spans="1:130">
      <c r="B119" s="138" t="s">
        <v>1234</v>
      </c>
      <c r="C119" s="82" t="s">
        <v>900</v>
      </c>
      <c r="E119" s="138"/>
      <c r="F119" s="132"/>
      <c r="G119" s="132"/>
      <c r="H119" s="132">
        <f>HY!O600</f>
        <v>-1.2</v>
      </c>
      <c r="I119" s="132">
        <f>HY!P600</f>
        <v>-1.5000000000000002</v>
      </c>
      <c r="J119" s="132">
        <f>HY!Q600</f>
        <v>-2.8</v>
      </c>
      <c r="K119" s="132">
        <f>HY!R600</f>
        <v>-0.40000000000000036</v>
      </c>
      <c r="L119" s="132">
        <f>HY!S600</f>
        <v>-0.5</v>
      </c>
      <c r="M119" s="132">
        <f>HY!T600</f>
        <v>4.3</v>
      </c>
      <c r="N119" s="132">
        <f>HY!U600</f>
        <v>-4.5999999999999996</v>
      </c>
      <c r="O119" s="132">
        <f>HY!V600</f>
        <v>1.5999999999999996</v>
      </c>
      <c r="P119" s="132">
        <f>HY!W600</f>
        <v>0</v>
      </c>
      <c r="Q119" s="132">
        <f>HY!X600</f>
        <v>1</v>
      </c>
      <c r="R119" s="132">
        <f>HY!Y600</f>
        <v>4</v>
      </c>
      <c r="S119" s="132">
        <f>HY!Z600</f>
        <v>8</v>
      </c>
      <c r="T119" s="132">
        <f>HY!AA600</f>
        <v>10</v>
      </c>
      <c r="U119" s="132">
        <f>HY!AB600</f>
        <v>12</v>
      </c>
      <c r="V119" s="132">
        <f>HY!AC600</f>
        <v>14</v>
      </c>
      <c r="W119" s="132">
        <f>HY!AD600</f>
        <v>16</v>
      </c>
      <c r="X119" s="132">
        <f>HY!AE600</f>
        <v>14.42</v>
      </c>
      <c r="Y119" s="132">
        <f>HY!AF600</f>
        <v>16.48</v>
      </c>
      <c r="Z119" s="132">
        <f>HY!AG600</f>
        <v>14.852600000000001</v>
      </c>
      <c r="AA119" s="132">
        <f>HY!AH600</f>
        <v>16.974399999999999</v>
      </c>
      <c r="AB119" s="132">
        <f>HY!AI600</f>
        <v>15.298178000000002</v>
      </c>
      <c r="AC119" s="132">
        <f>HY!AJ600</f>
        <v>17.483632</v>
      </c>
      <c r="AD119" s="132">
        <f>HY!AK600</f>
        <v>15.757123340000001</v>
      </c>
      <c r="AE119" s="132">
        <f>HY!AL600</f>
        <v>18.008140960000002</v>
      </c>
      <c r="AG119" s="132"/>
      <c r="AH119" s="132">
        <f t="shared" si="107"/>
        <v>-2.7</v>
      </c>
      <c r="AI119" s="132">
        <f t="shared" si="107"/>
        <v>-3.2</v>
      </c>
      <c r="AJ119" s="132">
        <f t="shared" si="107"/>
        <v>3.8</v>
      </c>
      <c r="AK119" s="132">
        <f t="shared" si="107"/>
        <v>-3</v>
      </c>
      <c r="AL119" s="132">
        <f t="shared" si="107"/>
        <v>1</v>
      </c>
      <c r="AM119" s="132">
        <f t="shared" si="107"/>
        <v>12</v>
      </c>
      <c r="AN119" s="132">
        <f t="shared" si="107"/>
        <v>22</v>
      </c>
      <c r="AO119" s="132">
        <f t="shared" si="107"/>
        <v>30</v>
      </c>
      <c r="AP119" s="132">
        <f t="shared" si="107"/>
        <v>30.9</v>
      </c>
      <c r="AQ119" s="132">
        <f t="shared" si="107"/>
        <v>31.826999999999998</v>
      </c>
      <c r="AR119" s="132">
        <f t="shared" si="107"/>
        <v>32.78181</v>
      </c>
      <c r="AS119" s="132">
        <f t="shared" si="107"/>
        <v>33.765264300000005</v>
      </c>
      <c r="AU119" s="132"/>
      <c r="AV119" s="132"/>
      <c r="AW119" s="132"/>
      <c r="AX119" s="132"/>
      <c r="AY119" s="132"/>
      <c r="AZ119" s="132"/>
      <c r="BA119" s="132"/>
      <c r="BB119" s="132"/>
      <c r="BC119" s="132"/>
      <c r="BD119" s="132"/>
      <c r="BE119" s="132"/>
      <c r="BF119" s="132"/>
      <c r="BG119" s="132"/>
      <c r="BH119" s="132"/>
      <c r="BI119" s="132"/>
      <c r="BJ119" s="132"/>
      <c r="BK119" s="132"/>
      <c r="BL119" s="132"/>
      <c r="BM119" s="132"/>
      <c r="BN119" s="132"/>
      <c r="BO119" s="132"/>
      <c r="BP119" s="132"/>
      <c r="BQ119" s="132"/>
      <c r="BR119" s="132"/>
      <c r="BS119" s="132"/>
      <c r="BT119" s="132"/>
      <c r="BV119" s="132"/>
      <c r="BW119" s="132"/>
      <c r="BX119" s="132"/>
      <c r="BY119" s="132"/>
      <c r="BZ119" s="132"/>
      <c r="CA119" s="132"/>
      <c r="CB119" s="132"/>
      <c r="CC119" s="132"/>
      <c r="CD119" s="132"/>
      <c r="CE119" s="132"/>
      <c r="CF119" s="132"/>
      <c r="CG119" s="132"/>
      <c r="CH119" s="132"/>
      <c r="CM119" s="132"/>
      <c r="CN119" s="132"/>
      <c r="CO119" s="132"/>
      <c r="CP119" s="132"/>
      <c r="CQ119" s="132"/>
      <c r="CR119" s="132"/>
      <c r="CS119" s="132"/>
      <c r="CT119" s="132"/>
      <c r="CU119" s="132"/>
      <c r="CV119" s="132"/>
      <c r="CW119" s="132"/>
      <c r="CX119" s="132"/>
      <c r="CY119" s="132"/>
      <c r="CZ119" s="132"/>
      <c r="DA119" s="132"/>
      <c r="DB119" s="132"/>
      <c r="DC119" s="132"/>
      <c r="DD119" s="132"/>
      <c r="DE119" s="132"/>
      <c r="DF119" s="132"/>
      <c r="DG119" s="132"/>
      <c r="DH119" s="132"/>
      <c r="DI119" s="132"/>
      <c r="DJ119" s="132"/>
      <c r="DK119" s="132"/>
      <c r="DL119" s="132"/>
      <c r="DN119" s="132"/>
      <c r="DO119" s="132"/>
      <c r="DP119" s="132"/>
      <c r="DQ119" s="132"/>
      <c r="DR119" s="132"/>
      <c r="DS119" s="132"/>
      <c r="DT119" s="132"/>
      <c r="DU119" s="132"/>
      <c r="DV119" s="132"/>
      <c r="DW119" s="132"/>
      <c r="DX119" s="132"/>
      <c r="DY119" s="132"/>
      <c r="DZ119" s="132"/>
    </row>
    <row r="120" spans="1:130">
      <c r="B120" s="138" t="s">
        <v>1080</v>
      </c>
      <c r="C120" s="82" t="s">
        <v>900</v>
      </c>
      <c r="E120" s="138"/>
      <c r="F120" s="132"/>
      <c r="G120" s="132"/>
      <c r="H120" s="132">
        <f>HY!O597+HY!O598+HY!O599</f>
        <v>-12.9</v>
      </c>
      <c r="I120" s="132">
        <f>HY!P597+HY!P598+HY!P599</f>
        <v>-19.600000000000001</v>
      </c>
      <c r="J120" s="132">
        <f>HY!Q597+HY!Q598+HY!Q599</f>
        <v>-20.9</v>
      </c>
      <c r="K120" s="132">
        <f>HY!R597+HY!R598+HY!R599</f>
        <v>-21.3</v>
      </c>
      <c r="L120" s="132">
        <f>HY!S597+HY!S598+HY!S599</f>
        <v>-46</v>
      </c>
      <c r="M120" s="132">
        <f>HY!T597+HY!T598+HY!T599</f>
        <v>-45.5</v>
      </c>
      <c r="N120" s="132">
        <f>HY!U597+HY!U598+HY!U599</f>
        <v>-42.9</v>
      </c>
      <c r="O120" s="132">
        <f>HY!V597+HY!V598+HY!V599</f>
        <v>-43.3</v>
      </c>
      <c r="P120" s="132">
        <f>HY!W597+HY!W598+HY!W599</f>
        <v>-42.035949589041095</v>
      </c>
      <c r="Q120" s="132">
        <f>HY!X597+HY!X598+HY!X599</f>
        <v>-45.403580489122902</v>
      </c>
      <c r="R120" s="132">
        <f>HY!Y597+HY!Y598+HY!Y599</f>
        <v>-47.635152328990827</v>
      </c>
      <c r="S120" s="132">
        <f>HY!Z597+HY!Z598+HY!Z599</f>
        <v>-46.373088322748643</v>
      </c>
      <c r="T120" s="132">
        <f>HY!AA597+HY!AA598+HY!AA599</f>
        <v>-47.581763472657222</v>
      </c>
      <c r="U120" s="132">
        <f>HY!AB597+HY!AB598+HY!AB599</f>
        <v>-46.117940707929563</v>
      </c>
      <c r="V120" s="132">
        <f>HY!AC597+HY!AC598+HY!AC599</f>
        <v>-46.247779255708188</v>
      </c>
      <c r="W120" s="132">
        <f>HY!AD597+HY!AD598+HY!AD599</f>
        <v>-44.610779580256107</v>
      </c>
      <c r="X120" s="132">
        <f>HY!AE597+HY!AE598+HY!AE599</f>
        <v>-43.606706674127352</v>
      </c>
      <c r="Y120" s="132">
        <f>HY!AF597+HY!AF598+HY!AF599</f>
        <v>-42.078159976940597</v>
      </c>
      <c r="Z120" s="132">
        <f>HY!AG597+HY!AG598+HY!AG599</f>
        <v>-42.062960218254595</v>
      </c>
      <c r="AA120" s="132">
        <f>HY!AH597+HY!AH598+HY!AH599</f>
        <v>-40.111435504336377</v>
      </c>
      <c r="AB120" s="132">
        <f>HY!AI597+HY!AI598+HY!AI599</f>
        <v>-39.499633696122693</v>
      </c>
      <c r="AC120" s="132">
        <f>HY!AJ597+HY!AJ598+HY!AJ599</f>
        <v>-37.394700801260448</v>
      </c>
      <c r="AD120" s="132">
        <f>HY!AK597+HY!AK598+HY!AK599</f>
        <v>-36.800254885782067</v>
      </c>
      <c r="AE120" s="132">
        <f>HY!AL597+HY!AL598+HY!AL599</f>
        <v>-34.58289936818624</v>
      </c>
      <c r="AG120" s="132"/>
      <c r="AH120" s="132">
        <f t="shared" si="107"/>
        <v>-32.5</v>
      </c>
      <c r="AI120" s="132">
        <f t="shared" si="107"/>
        <v>-42.2</v>
      </c>
      <c r="AJ120" s="132">
        <f t="shared" si="107"/>
        <v>-91.5</v>
      </c>
      <c r="AK120" s="132">
        <f t="shared" si="107"/>
        <v>-86.199999999999989</v>
      </c>
      <c r="AL120" s="132">
        <f t="shared" si="107"/>
        <v>-87.439530078163997</v>
      </c>
      <c r="AM120" s="132">
        <f t="shared" si="107"/>
        <v>-94.00824065173947</v>
      </c>
      <c r="AN120" s="132">
        <f t="shared" si="107"/>
        <v>-93.699704180586792</v>
      </c>
      <c r="AO120" s="132">
        <f t="shared" si="107"/>
        <v>-90.858558835964288</v>
      </c>
      <c r="AP120" s="132">
        <f t="shared" si="107"/>
        <v>-85.684866651067949</v>
      </c>
      <c r="AQ120" s="132">
        <f t="shared" si="107"/>
        <v>-82.174395722590972</v>
      </c>
      <c r="AR120" s="132">
        <f t="shared" si="107"/>
        <v>-76.894334497383142</v>
      </c>
      <c r="AS120" s="132">
        <f t="shared" si="107"/>
        <v>-71.383154253968314</v>
      </c>
      <c r="AU120" s="132"/>
      <c r="AV120" s="132"/>
      <c r="AW120" s="132"/>
      <c r="AX120" s="132"/>
      <c r="AY120" s="132"/>
      <c r="AZ120" s="132"/>
      <c r="BA120" s="132"/>
      <c r="BB120" s="132"/>
      <c r="BC120" s="132"/>
      <c r="BD120" s="132"/>
      <c r="BE120" s="132"/>
      <c r="BF120" s="132"/>
      <c r="BG120" s="132"/>
      <c r="BH120" s="132"/>
      <c r="BI120" s="132"/>
      <c r="BJ120" s="132"/>
      <c r="BK120" s="132"/>
      <c r="BL120" s="132"/>
      <c r="BM120" s="132"/>
      <c r="BN120" s="132"/>
      <c r="BO120" s="132"/>
      <c r="BP120" s="132"/>
      <c r="BQ120" s="132"/>
      <c r="BR120" s="132"/>
      <c r="BS120" s="132"/>
      <c r="BT120" s="132"/>
      <c r="BV120" s="132"/>
      <c r="BW120" s="132"/>
      <c r="BX120" s="132"/>
      <c r="BY120" s="132"/>
      <c r="BZ120" s="132"/>
      <c r="CA120" s="132"/>
      <c r="CB120" s="132"/>
      <c r="CC120" s="132"/>
      <c r="CD120" s="132"/>
      <c r="CE120" s="132"/>
      <c r="CF120" s="132"/>
      <c r="CG120" s="132"/>
      <c r="CH120" s="132"/>
      <c r="CM120" s="132"/>
      <c r="CN120" s="132"/>
      <c r="CO120" s="132"/>
      <c r="CP120" s="132"/>
      <c r="CQ120" s="132"/>
      <c r="CR120" s="132"/>
      <c r="CS120" s="132"/>
      <c r="CT120" s="132"/>
      <c r="CU120" s="132"/>
      <c r="CV120" s="132"/>
      <c r="CW120" s="132"/>
      <c r="CX120" s="132"/>
      <c r="CY120" s="132"/>
      <c r="CZ120" s="132"/>
      <c r="DA120" s="132"/>
      <c r="DB120" s="132"/>
      <c r="DC120" s="132"/>
      <c r="DD120" s="132"/>
      <c r="DE120" s="132"/>
      <c r="DF120" s="132"/>
      <c r="DG120" s="132"/>
      <c r="DH120" s="132"/>
      <c r="DI120" s="132"/>
      <c r="DJ120" s="132"/>
      <c r="DK120" s="132"/>
      <c r="DL120" s="132"/>
      <c r="DN120" s="132"/>
      <c r="DO120" s="132"/>
      <c r="DP120" s="132"/>
      <c r="DQ120" s="132"/>
      <c r="DR120" s="132"/>
      <c r="DS120" s="132"/>
      <c r="DT120" s="132"/>
      <c r="DU120" s="132"/>
      <c r="DV120" s="132"/>
      <c r="DW120" s="132"/>
      <c r="DX120" s="132"/>
      <c r="DY120" s="132"/>
      <c r="DZ120" s="132"/>
    </row>
    <row r="121" spans="1:130">
      <c r="B121" s="138" t="s">
        <v>13</v>
      </c>
      <c r="C121" s="82" t="s">
        <v>900</v>
      </c>
      <c r="F121" s="132"/>
      <c r="G121" s="132"/>
      <c r="H121" s="132">
        <f>HY!O602</f>
        <v>59.1</v>
      </c>
      <c r="I121" s="132">
        <f>HY!P602</f>
        <v>56.199999999999996</v>
      </c>
      <c r="J121" s="132">
        <f>HY!Q602</f>
        <v>26.300000000000004</v>
      </c>
      <c r="K121" s="132">
        <f>HY!R602</f>
        <v>25.700000000000003</v>
      </c>
      <c r="L121" s="132">
        <f>HY!S602</f>
        <v>46.2</v>
      </c>
      <c r="M121" s="132">
        <f>HY!T602</f>
        <v>54.799999999999983</v>
      </c>
      <c r="N121" s="132">
        <f>HY!U602</f>
        <v>62.70000000000001</v>
      </c>
      <c r="O121" s="132">
        <f>HY!V602</f>
        <v>66.799999999999983</v>
      </c>
      <c r="P121" s="132">
        <f>HY!W602</f>
        <v>89.67770361515592</v>
      </c>
      <c r="Q121" s="132">
        <f>HY!X602</f>
        <v>61.90283078162733</v>
      </c>
      <c r="R121" s="132">
        <f>HY!Y602</f>
        <v>97.25578389303125</v>
      </c>
      <c r="S121" s="132">
        <f>HY!Z602</f>
        <v>82.981746201731525</v>
      </c>
      <c r="T121" s="132">
        <f>HY!AA602</f>
        <v>108.84048793038065</v>
      </c>
      <c r="U121" s="132">
        <f>HY!AB602</f>
        <v>88.627543794042083</v>
      </c>
      <c r="V121" s="132">
        <f>HY!AC602</f>
        <v>123.13522159746427</v>
      </c>
      <c r="W121" s="132">
        <f>HY!AD602</f>
        <v>101.91236584404366</v>
      </c>
      <c r="X121" s="132">
        <f>HY!AE602</f>
        <v>133.00840405319718</v>
      </c>
      <c r="Y121" s="132">
        <f>HY!AF602</f>
        <v>110.96077670955357</v>
      </c>
      <c r="Z121" s="132">
        <f>HY!AG602</f>
        <v>140.70274196344477</v>
      </c>
      <c r="AA121" s="132">
        <f>HY!AH602</f>
        <v>118.5422901041587</v>
      </c>
      <c r="AB121" s="132">
        <f>HY!AI602</f>
        <v>148.69230351949909</v>
      </c>
      <c r="AC121" s="132">
        <f>HY!AJ602</f>
        <v>126.27870246327217</v>
      </c>
      <c r="AD121" s="132">
        <f>HY!AK602</f>
        <v>156.35624352059207</v>
      </c>
      <c r="AE121" s="132">
        <f>HY!AL602</f>
        <v>133.74030550655647</v>
      </c>
      <c r="AG121" s="132"/>
      <c r="AH121" s="132">
        <f t="shared" si="107"/>
        <v>115.3</v>
      </c>
      <c r="AI121" s="132">
        <f t="shared" si="107"/>
        <v>52.000000000000007</v>
      </c>
      <c r="AJ121" s="132">
        <f t="shared" si="107"/>
        <v>100.99999999999999</v>
      </c>
      <c r="AK121" s="132">
        <f t="shared" si="107"/>
        <v>129.5</v>
      </c>
      <c r="AL121" s="132">
        <f t="shared" si="107"/>
        <v>151.58053439678326</v>
      </c>
      <c r="AM121" s="132">
        <f t="shared" si="107"/>
        <v>180.23753009476277</v>
      </c>
      <c r="AN121" s="132">
        <f t="shared" si="107"/>
        <v>197.46803172442273</v>
      </c>
      <c r="AO121" s="132">
        <f t="shared" si="107"/>
        <v>225.04758744150791</v>
      </c>
      <c r="AP121" s="132">
        <f t="shared" si="107"/>
        <v>243.96918076275074</v>
      </c>
      <c r="AQ121" s="132">
        <f t="shared" si="107"/>
        <v>259.24503206760346</v>
      </c>
      <c r="AR121" s="132">
        <f t="shared" si="107"/>
        <v>274.97100598277126</v>
      </c>
      <c r="AS121" s="132">
        <f t="shared" si="107"/>
        <v>290.09654902714851</v>
      </c>
      <c r="AU121" s="132"/>
      <c r="AV121" s="132"/>
      <c r="AW121" s="132"/>
      <c r="AX121" s="132"/>
      <c r="AY121" s="132"/>
      <c r="AZ121" s="132"/>
      <c r="BA121" s="132"/>
      <c r="BB121" s="132"/>
      <c r="BC121" s="132"/>
      <c r="BD121" s="132"/>
      <c r="BE121" s="132"/>
      <c r="BF121" s="132"/>
      <c r="BG121" s="132"/>
      <c r="BH121" s="132"/>
      <c r="BI121" s="132"/>
      <c r="BJ121" s="132"/>
      <c r="BK121" s="132"/>
      <c r="BL121" s="132"/>
      <c r="BM121" s="132"/>
      <c r="BN121" s="132"/>
      <c r="BO121" s="132"/>
      <c r="BP121" s="132"/>
      <c r="BQ121" s="132"/>
      <c r="BR121" s="132"/>
      <c r="BS121" s="132"/>
      <c r="BT121" s="132"/>
      <c r="BV121" s="132"/>
      <c r="BW121" s="132"/>
      <c r="BX121" s="132"/>
      <c r="BY121" s="132"/>
      <c r="BZ121" s="132"/>
      <c r="CA121" s="132"/>
      <c r="CB121" s="132"/>
      <c r="CC121" s="132"/>
      <c r="CD121" s="132"/>
      <c r="CE121" s="132"/>
      <c r="CF121" s="132"/>
      <c r="CG121" s="132"/>
      <c r="CH121" s="132"/>
      <c r="CM121" s="132"/>
      <c r="CN121" s="132"/>
      <c r="CO121" s="132"/>
      <c r="CP121" s="132"/>
      <c r="CQ121" s="132"/>
      <c r="CR121" s="132"/>
      <c r="CS121" s="132"/>
      <c r="CT121" s="132"/>
      <c r="CU121" s="132"/>
      <c r="CV121" s="132"/>
      <c r="CW121" s="132"/>
      <c r="CX121" s="132"/>
      <c r="CY121" s="132"/>
      <c r="CZ121" s="132"/>
      <c r="DA121" s="132"/>
      <c r="DB121" s="132"/>
      <c r="DC121" s="132"/>
      <c r="DD121" s="132"/>
      <c r="DE121" s="132"/>
      <c r="DF121" s="132"/>
      <c r="DG121" s="132"/>
      <c r="DH121" s="132"/>
      <c r="DI121" s="132"/>
      <c r="DJ121" s="132"/>
      <c r="DK121" s="132"/>
      <c r="DL121" s="132"/>
      <c r="DN121" s="132"/>
      <c r="DO121" s="132"/>
      <c r="DP121" s="132"/>
      <c r="DQ121" s="132"/>
      <c r="DR121" s="132"/>
      <c r="DS121" s="132"/>
      <c r="DT121" s="132"/>
      <c r="DU121" s="132"/>
      <c r="DV121" s="132"/>
      <c r="DW121" s="132"/>
      <c r="DX121" s="132"/>
      <c r="DY121" s="132"/>
      <c r="DZ121" s="132"/>
    </row>
    <row r="122" spans="1:130">
      <c r="B122" s="138" t="s">
        <v>14</v>
      </c>
      <c r="C122" s="82" t="s">
        <v>900</v>
      </c>
      <c r="F122" s="132"/>
      <c r="G122" s="132"/>
      <c r="H122" s="132">
        <f>HY!O603</f>
        <v>-11.8</v>
      </c>
      <c r="I122" s="132">
        <f>HY!P603</f>
        <v>-19.2</v>
      </c>
      <c r="J122" s="132">
        <f>HY!Q603</f>
        <v>-8.6999999999999993</v>
      </c>
      <c r="K122" s="132">
        <f>HY!R603</f>
        <v>-15.3</v>
      </c>
      <c r="L122" s="132">
        <f>HY!S603</f>
        <v>-24.1</v>
      </c>
      <c r="M122" s="132">
        <f>HY!T603</f>
        <v>-27.4</v>
      </c>
      <c r="N122" s="132">
        <f>HY!U603</f>
        <v>-27</v>
      </c>
      <c r="O122" s="132">
        <f>HY!V603</f>
        <v>-31.4</v>
      </c>
      <c r="P122" s="132">
        <f>HY!W603</f>
        <v>-35.871081446062369</v>
      </c>
      <c r="Q122" s="132">
        <f>HY!X603</f>
        <v>-25.999188928283477</v>
      </c>
      <c r="R122" s="132">
        <f>HY!Y603</f>
        <v>-36.957197879351874</v>
      </c>
      <c r="S122" s="132">
        <f>HY!Z603</f>
        <v>-33.192698480692613</v>
      </c>
      <c r="T122" s="132">
        <f>HY!AA603</f>
        <v>-41.359385413544643</v>
      </c>
      <c r="U122" s="132">
        <f>HY!AB603</f>
        <v>-35.451017517616833</v>
      </c>
      <c r="V122" s="132">
        <f>HY!AC603</f>
        <v>-46.791384207036423</v>
      </c>
      <c r="W122" s="132">
        <f>HY!AD603</f>
        <v>-40.764946337617467</v>
      </c>
      <c r="X122" s="132">
        <f>HY!AE603</f>
        <v>-50.543193540214929</v>
      </c>
      <c r="Y122" s="132">
        <f>HY!AF603</f>
        <v>-44.384310683821433</v>
      </c>
      <c r="Z122" s="132">
        <f>HY!AG603</f>
        <v>-53.467041946109013</v>
      </c>
      <c r="AA122" s="132">
        <f>HY!AH603</f>
        <v>-47.416916041663484</v>
      </c>
      <c r="AB122" s="132">
        <f>HY!AI603</f>
        <v>-56.503075337409655</v>
      </c>
      <c r="AC122" s="132">
        <f>HY!AJ603</f>
        <v>-50.511480985308872</v>
      </c>
      <c r="AD122" s="132">
        <f>HY!AK603</f>
        <v>-46.906873056177623</v>
      </c>
      <c r="AE122" s="132">
        <f>HY!AL603</f>
        <v>-40.12209165196694</v>
      </c>
      <c r="AG122" s="132"/>
      <c r="AH122" s="132">
        <f t="shared" si="107"/>
        <v>-31</v>
      </c>
      <c r="AI122" s="132">
        <f t="shared" si="107"/>
        <v>-24</v>
      </c>
      <c r="AJ122" s="132">
        <f t="shared" si="107"/>
        <v>-51.5</v>
      </c>
      <c r="AK122" s="132">
        <f t="shared" si="107"/>
        <v>-58.4</v>
      </c>
      <c r="AL122" s="132">
        <f t="shared" si="107"/>
        <v>-61.87027037434585</v>
      </c>
      <c r="AM122" s="132">
        <f t="shared" si="107"/>
        <v>-70.149896360044494</v>
      </c>
      <c r="AN122" s="132">
        <f t="shared" si="107"/>
        <v>-76.810402931161477</v>
      </c>
      <c r="AO122" s="132">
        <f t="shared" si="107"/>
        <v>-87.556330544653889</v>
      </c>
      <c r="AP122" s="132">
        <f t="shared" si="107"/>
        <v>-94.927504224036369</v>
      </c>
      <c r="AQ122" s="132">
        <f t="shared" si="107"/>
        <v>-100.8839579877725</v>
      </c>
      <c r="AR122" s="132">
        <f t="shared" si="107"/>
        <v>-107.01455632271853</v>
      </c>
      <c r="AS122" s="132">
        <f t="shared" si="107"/>
        <v>-87.028964708144571</v>
      </c>
      <c r="AU122" s="132"/>
      <c r="AV122" s="132"/>
      <c r="AW122" s="132"/>
      <c r="AX122" s="132"/>
      <c r="AY122" s="132"/>
      <c r="AZ122" s="132"/>
      <c r="BA122" s="132"/>
      <c r="BB122" s="132"/>
      <c r="BC122" s="132"/>
      <c r="BD122" s="132"/>
      <c r="BE122" s="132"/>
      <c r="BF122" s="132"/>
      <c r="BG122" s="132"/>
      <c r="BH122" s="132"/>
      <c r="BI122" s="132"/>
      <c r="BJ122" s="132"/>
      <c r="BK122" s="132"/>
      <c r="BL122" s="132"/>
      <c r="BM122" s="132"/>
      <c r="BN122" s="132"/>
      <c r="BO122" s="132"/>
      <c r="BP122" s="132"/>
      <c r="BQ122" s="132"/>
      <c r="BR122" s="132"/>
      <c r="BS122" s="132"/>
      <c r="BT122" s="132"/>
      <c r="BV122" s="132"/>
      <c r="BW122" s="132"/>
      <c r="BX122" s="132"/>
      <c r="BY122" s="132"/>
      <c r="BZ122" s="132"/>
      <c r="CA122" s="132"/>
      <c r="CB122" s="132"/>
      <c r="CC122" s="132"/>
      <c r="CD122" s="132"/>
      <c r="CE122" s="132"/>
      <c r="CF122" s="132"/>
      <c r="CG122" s="132"/>
      <c r="CH122" s="132"/>
      <c r="CM122" s="132"/>
      <c r="CN122" s="132"/>
      <c r="CO122" s="132"/>
      <c r="CP122" s="132"/>
      <c r="CQ122" s="132"/>
      <c r="CR122" s="132"/>
      <c r="CS122" s="132"/>
      <c r="CT122" s="132"/>
      <c r="CU122" s="132"/>
      <c r="CV122" s="132"/>
      <c r="CW122" s="132"/>
      <c r="CX122" s="132"/>
      <c r="CY122" s="132"/>
      <c r="CZ122" s="132"/>
      <c r="DA122" s="132"/>
      <c r="DB122" s="132"/>
      <c r="DC122" s="132"/>
      <c r="DD122" s="132"/>
      <c r="DE122" s="132"/>
      <c r="DF122" s="132"/>
      <c r="DG122" s="132"/>
      <c r="DH122" s="132"/>
      <c r="DI122" s="132"/>
      <c r="DJ122" s="132"/>
      <c r="DK122" s="132"/>
      <c r="DL122" s="132"/>
      <c r="DN122" s="132"/>
      <c r="DO122" s="132"/>
      <c r="DP122" s="132"/>
      <c r="DQ122" s="132"/>
      <c r="DR122" s="132"/>
      <c r="DS122" s="132"/>
      <c r="DT122" s="132"/>
      <c r="DU122" s="132"/>
      <c r="DV122" s="132"/>
      <c r="DW122" s="132"/>
      <c r="DX122" s="132"/>
      <c r="DY122" s="132"/>
      <c r="DZ122" s="132"/>
    </row>
    <row r="123" spans="1:130">
      <c r="B123" s="138" t="s">
        <v>1228</v>
      </c>
      <c r="C123" s="82" t="s">
        <v>900</v>
      </c>
      <c r="F123" s="132"/>
      <c r="G123" s="132"/>
      <c r="H123" s="132">
        <f>HY!O605</f>
        <v>47.3</v>
      </c>
      <c r="I123" s="132">
        <f>HY!P605</f>
        <v>37</v>
      </c>
      <c r="J123" s="132">
        <f>HY!Q605</f>
        <v>17.600000000000001</v>
      </c>
      <c r="K123" s="132">
        <f>HY!R605</f>
        <v>10.399999999999999</v>
      </c>
      <c r="L123" s="132">
        <f>HY!S605</f>
        <v>22.1</v>
      </c>
      <c r="M123" s="132">
        <f>HY!T605</f>
        <v>27.4</v>
      </c>
      <c r="N123" s="132">
        <f>HY!U605</f>
        <v>35.700000000000003</v>
      </c>
      <c r="O123" s="132">
        <f>HY!V605</f>
        <v>35.399999999999991</v>
      </c>
      <c r="P123" s="132">
        <f>HY!W605</f>
        <v>53.806622169093551</v>
      </c>
      <c r="Q123" s="132">
        <f>HY!X605</f>
        <v>35.903641853343856</v>
      </c>
      <c r="R123" s="132">
        <f>HY!Y605</f>
        <v>60.298586013679376</v>
      </c>
      <c r="S123" s="132">
        <f>HY!Z605</f>
        <v>49.789047721038912</v>
      </c>
      <c r="T123" s="132">
        <f>HY!AA605</f>
        <v>67.481102516836003</v>
      </c>
      <c r="U123" s="132">
        <f>HY!AB605</f>
        <v>53.17652627642525</v>
      </c>
      <c r="V123" s="132">
        <f>HY!AC605</f>
        <v>76.343837390427836</v>
      </c>
      <c r="W123" s="132">
        <f>HY!AD605</f>
        <v>61.147419506426196</v>
      </c>
      <c r="X123" s="132">
        <f>HY!AE605</f>
        <v>82.465210512982253</v>
      </c>
      <c r="Y123" s="132">
        <f>HY!AF605</f>
        <v>66.576466025732145</v>
      </c>
      <c r="Z123" s="132">
        <f>HY!AG605</f>
        <v>87.235700017335745</v>
      </c>
      <c r="AA123" s="132">
        <f>HY!AH605</f>
        <v>71.125374062495212</v>
      </c>
      <c r="AB123" s="132">
        <f>HY!AI605</f>
        <v>92.189228182089437</v>
      </c>
      <c r="AC123" s="132">
        <f>HY!AJ605</f>
        <v>75.76722147796329</v>
      </c>
      <c r="AD123" s="132">
        <f>HY!AK605</f>
        <v>109.44937046441444</v>
      </c>
      <c r="AE123" s="132">
        <f>HY!AL605</f>
        <v>93.618213854589527</v>
      </c>
      <c r="AG123" s="132"/>
      <c r="AH123" s="132">
        <f t="shared" si="107"/>
        <v>84.3</v>
      </c>
      <c r="AI123" s="132">
        <f t="shared" si="107"/>
        <v>28</v>
      </c>
      <c r="AJ123" s="132">
        <f t="shared" si="107"/>
        <v>49.5</v>
      </c>
      <c r="AK123" s="132">
        <f t="shared" si="107"/>
        <v>71.099999999999994</v>
      </c>
      <c r="AL123" s="132">
        <f t="shared" si="107"/>
        <v>89.7102640224374</v>
      </c>
      <c r="AM123" s="132">
        <f t="shared" si="107"/>
        <v>110.08763373471828</v>
      </c>
      <c r="AN123" s="132">
        <f t="shared" si="107"/>
        <v>120.65762879326125</v>
      </c>
      <c r="AO123" s="132">
        <f t="shared" si="107"/>
        <v>137.49125689685403</v>
      </c>
      <c r="AP123" s="132">
        <f t="shared" si="107"/>
        <v>149.0416765387144</v>
      </c>
      <c r="AQ123" s="132">
        <f t="shared" si="107"/>
        <v>158.36107407983096</v>
      </c>
      <c r="AR123" s="132">
        <f t="shared" si="107"/>
        <v>167.95644966005273</v>
      </c>
      <c r="AS123" s="132">
        <f t="shared" si="107"/>
        <v>203.06758431900397</v>
      </c>
      <c r="AU123" s="132"/>
      <c r="AV123" s="132"/>
      <c r="AW123" s="132"/>
      <c r="AX123" s="132"/>
      <c r="AY123" s="132"/>
      <c r="AZ123" s="132"/>
      <c r="BA123" s="132"/>
      <c r="BB123" s="132"/>
      <c r="BC123" s="132"/>
      <c r="BD123" s="132"/>
      <c r="BE123" s="132"/>
      <c r="BF123" s="132"/>
      <c r="BG123" s="132"/>
      <c r="BH123" s="132"/>
      <c r="BI123" s="132"/>
      <c r="BJ123" s="132"/>
      <c r="BK123" s="132"/>
      <c r="BL123" s="132"/>
      <c r="BM123" s="132"/>
      <c r="BN123" s="132"/>
      <c r="BO123" s="132"/>
      <c r="BP123" s="132"/>
      <c r="BQ123" s="132"/>
      <c r="BR123" s="132"/>
      <c r="BS123" s="132"/>
      <c r="BT123" s="132"/>
      <c r="BV123" s="132"/>
      <c r="BW123" s="132"/>
      <c r="BX123" s="132"/>
      <c r="BY123" s="132"/>
      <c r="BZ123" s="132"/>
      <c r="CA123" s="132"/>
      <c r="CB123" s="132"/>
      <c r="CC123" s="132"/>
      <c r="CD123" s="132"/>
      <c r="CE123" s="132"/>
      <c r="CF123" s="132"/>
      <c r="CG123" s="132"/>
      <c r="CH123" s="132"/>
      <c r="CM123" s="132"/>
      <c r="CN123" s="132"/>
      <c r="CO123" s="132"/>
      <c r="CP123" s="132"/>
      <c r="CQ123" s="132"/>
      <c r="CR123" s="132"/>
      <c r="CS123" s="132"/>
      <c r="CT123" s="132"/>
      <c r="CU123" s="132"/>
      <c r="CV123" s="132"/>
      <c r="CW123" s="132"/>
      <c r="CX123" s="132"/>
      <c r="CY123" s="132"/>
      <c r="CZ123" s="132"/>
      <c r="DA123" s="132"/>
      <c r="DB123" s="132"/>
      <c r="DC123" s="132"/>
      <c r="DD123" s="132"/>
      <c r="DE123" s="132"/>
      <c r="DF123" s="132"/>
      <c r="DG123" s="132"/>
      <c r="DH123" s="132"/>
      <c r="DI123" s="132"/>
      <c r="DJ123" s="132"/>
      <c r="DK123" s="132"/>
      <c r="DL123" s="132"/>
      <c r="DN123" s="132"/>
      <c r="DO123" s="132"/>
      <c r="DP123" s="132"/>
      <c r="DQ123" s="132"/>
      <c r="DR123" s="132"/>
      <c r="DS123" s="132"/>
      <c r="DT123" s="132"/>
      <c r="DU123" s="132"/>
      <c r="DV123" s="132"/>
      <c r="DW123" s="132"/>
      <c r="DX123" s="132"/>
      <c r="DY123" s="132"/>
      <c r="DZ123" s="132"/>
    </row>
    <row r="124" spans="1:130">
      <c r="B124" s="138" t="s">
        <v>1231</v>
      </c>
      <c r="C124" s="82" t="s">
        <v>900</v>
      </c>
      <c r="F124" s="132"/>
      <c r="G124" s="132"/>
      <c r="H124" s="132">
        <f>HY!O611</f>
        <v>51.7</v>
      </c>
      <c r="I124" s="132">
        <f>HY!P611</f>
        <v>14.799999999999997</v>
      </c>
      <c r="J124" s="132">
        <f>HY!Q611</f>
        <v>-636.79999999999995</v>
      </c>
      <c r="K124" s="132">
        <f>HY!R611</f>
        <v>-722.90000000000009</v>
      </c>
      <c r="L124" s="132">
        <f>HY!S611</f>
        <v>25.3</v>
      </c>
      <c r="M124" s="132">
        <f>HY!T611</f>
        <v>11.3</v>
      </c>
      <c r="N124" s="132">
        <f>HY!U611</f>
        <v>21.7</v>
      </c>
      <c r="O124" s="132">
        <f>HY!V611</f>
        <v>24.599999999999998</v>
      </c>
      <c r="P124" s="132">
        <f>HY!W611</f>
        <v>39.806622169093551</v>
      </c>
      <c r="Q124" s="132">
        <f>HY!X611</f>
        <v>12.903641853343856</v>
      </c>
      <c r="R124" s="132">
        <f>HY!Y611</f>
        <v>55.298586013679376</v>
      </c>
      <c r="S124" s="132">
        <f>HY!Z611</f>
        <v>49.789047721038912</v>
      </c>
      <c r="T124" s="132">
        <f>HY!AA611</f>
        <v>67.481102516836003</v>
      </c>
      <c r="U124" s="132">
        <f>HY!AB611</f>
        <v>53.17652627642525</v>
      </c>
      <c r="V124" s="132">
        <f>HY!AC611</f>
        <v>76.343837390427836</v>
      </c>
      <c r="W124" s="132">
        <f>HY!AD611</f>
        <v>61.147419506426196</v>
      </c>
      <c r="X124" s="132">
        <f>HY!AE611</f>
        <v>82.465210512982253</v>
      </c>
      <c r="Y124" s="132">
        <f>HY!AF611</f>
        <v>66.576466025732145</v>
      </c>
      <c r="Z124" s="132">
        <f>HY!AG611</f>
        <v>87.235700017335745</v>
      </c>
      <c r="AA124" s="132">
        <f>HY!AH611</f>
        <v>71.125374062495212</v>
      </c>
      <c r="AB124" s="132">
        <f>HY!AI611</f>
        <v>92.189228182089437</v>
      </c>
      <c r="AC124" s="132">
        <f>HY!AJ611</f>
        <v>75.76722147796329</v>
      </c>
      <c r="AD124" s="132">
        <f>HY!AK611</f>
        <v>109.44937046441444</v>
      </c>
      <c r="AE124" s="132">
        <f>HY!AL611</f>
        <v>93.618213854589527</v>
      </c>
      <c r="AG124" s="132"/>
      <c r="AH124" s="132">
        <f t="shared" si="107"/>
        <v>66.5</v>
      </c>
      <c r="AI124" s="132">
        <f t="shared" si="107"/>
        <v>-1359.7</v>
      </c>
      <c r="AJ124" s="132">
        <f t="shared" si="107"/>
        <v>36.6</v>
      </c>
      <c r="AK124" s="132">
        <f t="shared" si="107"/>
        <v>46.3</v>
      </c>
      <c r="AL124" s="132">
        <f t="shared" si="107"/>
        <v>52.710264022437407</v>
      </c>
      <c r="AM124" s="132">
        <f t="shared" si="107"/>
        <v>105.08763373471828</v>
      </c>
      <c r="AN124" s="132">
        <f t="shared" si="107"/>
        <v>120.65762879326125</v>
      </c>
      <c r="AO124" s="132">
        <f t="shared" si="107"/>
        <v>137.49125689685403</v>
      </c>
      <c r="AP124" s="132">
        <f t="shared" si="107"/>
        <v>149.0416765387144</v>
      </c>
      <c r="AQ124" s="132">
        <f t="shared" si="107"/>
        <v>158.36107407983096</v>
      </c>
      <c r="AR124" s="132">
        <f t="shared" si="107"/>
        <v>167.95644966005273</v>
      </c>
      <c r="AS124" s="132">
        <f t="shared" si="107"/>
        <v>203.06758431900397</v>
      </c>
      <c r="AU124" s="132"/>
      <c r="AV124" s="132"/>
      <c r="AW124" s="132"/>
      <c r="AX124" s="132"/>
      <c r="AY124" s="132"/>
      <c r="AZ124" s="132"/>
      <c r="BA124" s="132"/>
      <c r="BB124" s="132"/>
      <c r="BC124" s="132"/>
      <c r="BD124" s="132"/>
      <c r="BE124" s="132"/>
      <c r="BF124" s="132"/>
      <c r="BG124" s="132"/>
      <c r="BH124" s="132"/>
      <c r="BI124" s="132"/>
      <c r="BJ124" s="132"/>
      <c r="BK124" s="132"/>
      <c r="BL124" s="132"/>
      <c r="BM124" s="132"/>
      <c r="BN124" s="132"/>
      <c r="BO124" s="132"/>
      <c r="BP124" s="132"/>
      <c r="BQ124" s="132"/>
      <c r="BR124" s="132"/>
      <c r="BS124" s="132"/>
      <c r="BT124" s="132"/>
      <c r="BV124" s="132"/>
      <c r="BW124" s="132"/>
      <c r="BX124" s="132"/>
      <c r="BY124" s="132"/>
      <c r="BZ124" s="132"/>
      <c r="CA124" s="132"/>
      <c r="CB124" s="132"/>
      <c r="CC124" s="132"/>
      <c r="CD124" s="132"/>
      <c r="CE124" s="132"/>
      <c r="CF124" s="132"/>
      <c r="CG124" s="132"/>
      <c r="CH124" s="132"/>
      <c r="CM124" s="132"/>
      <c r="CN124" s="132"/>
      <c r="CO124" s="132"/>
      <c r="CP124" s="132"/>
      <c r="CQ124" s="132"/>
      <c r="CR124" s="132"/>
      <c r="CS124" s="132"/>
      <c r="CT124" s="132"/>
      <c r="CU124" s="132"/>
      <c r="CV124" s="132"/>
      <c r="CW124" s="132"/>
      <c r="CX124" s="132"/>
      <c r="CY124" s="132"/>
      <c r="CZ124" s="132"/>
      <c r="DA124" s="132"/>
      <c r="DB124" s="132"/>
      <c r="DC124" s="132"/>
      <c r="DD124" s="132"/>
      <c r="DE124" s="132"/>
      <c r="DF124" s="132"/>
      <c r="DG124" s="132"/>
      <c r="DH124" s="132"/>
      <c r="DI124" s="132"/>
      <c r="DJ124" s="132"/>
      <c r="DK124" s="132"/>
      <c r="DL124" s="132"/>
      <c r="DN124" s="132"/>
      <c r="DO124" s="132"/>
      <c r="DP124" s="132"/>
      <c r="DQ124" s="132"/>
      <c r="DR124" s="132"/>
      <c r="DS124" s="132"/>
      <c r="DT124" s="132"/>
      <c r="DU124" s="132"/>
      <c r="DV124" s="132"/>
      <c r="DW124" s="132"/>
      <c r="DX124" s="132"/>
      <c r="DY124" s="132"/>
      <c r="DZ124" s="132"/>
    </row>
    <row r="125" spans="1:130">
      <c r="B125" s="138" t="s">
        <v>1232</v>
      </c>
      <c r="C125" s="82" t="s">
        <v>1029</v>
      </c>
      <c r="F125" s="132"/>
      <c r="G125" s="132"/>
      <c r="H125" s="132">
        <f>HY!O618</f>
        <v>2.2999999999999998</v>
      </c>
      <c r="I125" s="132">
        <f>HY!P618</f>
        <v>0.60000000000000009</v>
      </c>
      <c r="J125" s="132">
        <f>HY!Q618</f>
        <v>-28.2</v>
      </c>
      <c r="K125" s="132">
        <f>HY!R618</f>
        <v>-31.400000000000002</v>
      </c>
      <c r="L125" s="132">
        <f>HY!S618</f>
        <v>1.1000000000000001</v>
      </c>
      <c r="M125" s="132">
        <f>HY!T618</f>
        <v>0.5</v>
      </c>
      <c r="N125" s="132">
        <f>HY!U618</f>
        <v>0.9</v>
      </c>
      <c r="O125" s="132">
        <f>HY!V618</f>
        <v>1.1000000000000001</v>
      </c>
      <c r="P125" s="132">
        <f>HY!W618</f>
        <v>1.7363090887679296</v>
      </c>
      <c r="Q125" s="132">
        <f>HY!X618</f>
        <v>0.56283877926126924</v>
      </c>
      <c r="R125" s="132">
        <f>HY!Y618</f>
        <v>2.4120468469719696</v>
      </c>
      <c r="S125" s="132">
        <f>HY!Z618</f>
        <v>2.1717285056721152</v>
      </c>
      <c r="T125" s="132">
        <f>HY!AA618</f>
        <v>2.943431148775888</v>
      </c>
      <c r="U125" s="132">
        <f>HY!AB618</f>
        <v>2.319485574301023</v>
      </c>
      <c r="V125" s="132">
        <f>HY!AC618</f>
        <v>3.3300112270098507</v>
      </c>
      <c r="W125" s="132">
        <f>HY!AD618</f>
        <v>2.667164769537913</v>
      </c>
      <c r="X125" s="132">
        <f>HY!AE618</f>
        <v>3.5970169463919675</v>
      </c>
      <c r="Y125" s="132">
        <f>HY!AF618</f>
        <v>2.9039721724562573</v>
      </c>
      <c r="Z125" s="132">
        <f>HY!AG618</f>
        <v>3.8050990149758239</v>
      </c>
      <c r="AA125" s="132">
        <f>HY!AH618</f>
        <v>3.1023891678659692</v>
      </c>
      <c r="AB125" s="132">
        <f>HY!AI618</f>
        <v>4.0211649734837929</v>
      </c>
      <c r="AC125" s="132">
        <f>HY!AJ618</f>
        <v>3.3048600487639925</v>
      </c>
      <c r="AD125" s="132">
        <f>HY!AK618</f>
        <v>4.7740281978720427</v>
      </c>
      <c r="AE125" s="132">
        <f>HY!AL618</f>
        <v>4.0834953264673093</v>
      </c>
      <c r="AG125" s="132"/>
      <c r="AH125" s="132">
        <f t="shared" si="107"/>
        <v>2.9</v>
      </c>
      <c r="AI125" s="132">
        <f t="shared" si="107"/>
        <v>-59.6</v>
      </c>
      <c r="AJ125" s="132">
        <f t="shared" si="107"/>
        <v>1.6</v>
      </c>
      <c r="AK125" s="132">
        <f t="shared" si="107"/>
        <v>2</v>
      </c>
      <c r="AL125" s="132">
        <f t="shared" si="107"/>
        <v>2.2991478680291988</v>
      </c>
      <c r="AM125" s="132">
        <f t="shared" si="107"/>
        <v>4.5837753526440848</v>
      </c>
      <c r="AN125" s="132">
        <f t="shared" si="107"/>
        <v>5.2629167230769109</v>
      </c>
      <c r="AO125" s="132">
        <f t="shared" si="107"/>
        <v>5.9971759965477638</v>
      </c>
      <c r="AP125" s="132">
        <f t="shared" si="107"/>
        <v>6.5009891188482243</v>
      </c>
      <c r="AQ125" s="132">
        <f t="shared" si="107"/>
        <v>6.9074881828417931</v>
      </c>
      <c r="AR125" s="132">
        <f t="shared" si="107"/>
        <v>7.3260250222477854</v>
      </c>
      <c r="AS125" s="132">
        <f t="shared" si="107"/>
        <v>8.8575235243393529</v>
      </c>
      <c r="AU125" s="132"/>
      <c r="AV125" s="132"/>
      <c r="AW125" s="132"/>
      <c r="AX125" s="132"/>
      <c r="AY125" s="132"/>
      <c r="AZ125" s="132"/>
      <c r="BA125" s="132"/>
      <c r="BB125" s="132"/>
      <c r="BC125" s="132"/>
      <c r="BD125" s="132"/>
      <c r="BE125" s="132"/>
      <c r="BF125" s="132"/>
      <c r="BG125" s="132"/>
      <c r="BH125" s="132"/>
      <c r="BI125" s="132"/>
      <c r="BJ125" s="132"/>
      <c r="BK125" s="132"/>
      <c r="BL125" s="132"/>
      <c r="BM125" s="132"/>
      <c r="BN125" s="132"/>
      <c r="BO125" s="132"/>
      <c r="BP125" s="132"/>
      <c r="BQ125" s="132"/>
      <c r="BR125" s="132"/>
      <c r="BS125" s="132"/>
      <c r="BT125" s="132"/>
      <c r="BV125" s="132"/>
      <c r="BW125" s="132"/>
      <c r="BX125" s="132"/>
      <c r="BY125" s="132"/>
      <c r="BZ125" s="132"/>
      <c r="CA125" s="132"/>
      <c r="CB125" s="132"/>
      <c r="CC125" s="132"/>
      <c r="CD125" s="132"/>
      <c r="CE125" s="132"/>
      <c r="CF125" s="132"/>
      <c r="CG125" s="132"/>
      <c r="CH125" s="132"/>
      <c r="CM125" s="132"/>
      <c r="CN125" s="132"/>
      <c r="CO125" s="132"/>
      <c r="CP125" s="132"/>
      <c r="CQ125" s="132"/>
      <c r="CR125" s="132"/>
      <c r="CS125" s="132"/>
      <c r="CT125" s="132"/>
      <c r="CU125" s="132"/>
      <c r="CV125" s="132"/>
      <c r="CW125" s="132"/>
      <c r="CX125" s="132"/>
      <c r="CY125" s="132"/>
      <c r="CZ125" s="132"/>
      <c r="DA125" s="132"/>
      <c r="DB125" s="132"/>
      <c r="DC125" s="132"/>
      <c r="DD125" s="132"/>
      <c r="DE125" s="132"/>
      <c r="DF125" s="132"/>
      <c r="DG125" s="132"/>
      <c r="DH125" s="132"/>
      <c r="DI125" s="132"/>
      <c r="DJ125" s="132"/>
      <c r="DK125" s="132"/>
      <c r="DL125" s="132"/>
      <c r="DN125" s="132"/>
      <c r="DO125" s="132"/>
      <c r="DP125" s="132"/>
      <c r="DQ125" s="132"/>
      <c r="DR125" s="132"/>
      <c r="DS125" s="132"/>
      <c r="DT125" s="132"/>
      <c r="DU125" s="132"/>
      <c r="DV125" s="132"/>
      <c r="DW125" s="132"/>
      <c r="DX125" s="132"/>
      <c r="DY125" s="132"/>
      <c r="DZ125" s="132"/>
    </row>
    <row r="126" spans="1:130">
      <c r="B126" s="138" t="s">
        <v>1233</v>
      </c>
      <c r="C126" s="82" t="s">
        <v>1029</v>
      </c>
      <c r="F126" s="132"/>
      <c r="G126" s="132"/>
      <c r="H126" s="132">
        <f>HY!O621</f>
        <v>2.2000000000000002</v>
      </c>
      <c r="I126" s="132">
        <f>HY!P621</f>
        <v>1.5999999999999996</v>
      </c>
      <c r="J126" s="132">
        <f>HY!Q621</f>
        <v>0.9</v>
      </c>
      <c r="K126" s="132">
        <f>HY!R621</f>
        <v>0.49999999999999989</v>
      </c>
      <c r="L126" s="132">
        <f>HY!S621</f>
        <v>1.9</v>
      </c>
      <c r="M126" s="132">
        <f>HY!T621</f>
        <v>2</v>
      </c>
      <c r="N126" s="132">
        <f>HY!U621</f>
        <v>2.7</v>
      </c>
      <c r="O126" s="132">
        <f>HY!V621</f>
        <v>2.5</v>
      </c>
      <c r="P126" s="132">
        <f>HY!W621</f>
        <v>3.3022167918125076</v>
      </c>
      <c r="Q126" s="132">
        <f>HY!X621</f>
        <v>2.4776952740706562</v>
      </c>
      <c r="R126" s="132">
        <f>HY!Y621</f>
        <v>3.4109127633987337</v>
      </c>
      <c r="S126" s="132">
        <f>HY!Z621</f>
        <v>2.7780270313634703</v>
      </c>
      <c r="T126" s="132">
        <f>HY!AA621</f>
        <v>3.4624924765260405</v>
      </c>
      <c r="U126" s="132">
        <f>HY!AB621</f>
        <v>2.7513097041099734</v>
      </c>
      <c r="V126" s="132">
        <f>HY!AC621</f>
        <v>3.6745981588775996</v>
      </c>
      <c r="W126" s="132">
        <f>HY!AD621</f>
        <v>2.9245145034644593</v>
      </c>
      <c r="X126" s="132">
        <f>HY!AE621</f>
        <v>3.9232840666920636</v>
      </c>
      <c r="Y126" s="132">
        <f>HY!AF621</f>
        <v>3.1403849788769147</v>
      </c>
      <c r="Z126" s="132">
        <f>HY!AG621</f>
        <v>4.1124967293612391</v>
      </c>
      <c r="AA126" s="132">
        <f>HY!AH621</f>
        <v>3.3172369389555625</v>
      </c>
      <c r="AB126" s="132">
        <f>HY!AI621</f>
        <v>4.3091271997770848</v>
      </c>
      <c r="AC126" s="132">
        <f>HY!AJ621</f>
        <v>3.4974958334625885</v>
      </c>
      <c r="AD126" s="132">
        <f>HY!AK621</f>
        <v>5.0419718714304471</v>
      </c>
      <c r="AE126" s="132">
        <f>HY!AL621</f>
        <v>4.2532527651831771</v>
      </c>
      <c r="AG126" s="132"/>
      <c r="AH126" s="132">
        <f t="shared" si="107"/>
        <v>3.8</v>
      </c>
      <c r="AI126" s="132">
        <f t="shared" si="107"/>
        <v>1.4</v>
      </c>
      <c r="AJ126" s="132">
        <f t="shared" si="107"/>
        <v>3.9</v>
      </c>
      <c r="AK126" s="132">
        <f t="shared" si="107"/>
        <v>5.2</v>
      </c>
      <c r="AL126" s="132">
        <f t="shared" si="107"/>
        <v>5.7799120658831633</v>
      </c>
      <c r="AM126" s="132">
        <f t="shared" si="107"/>
        <v>6.188939794762204</v>
      </c>
      <c r="AN126" s="132">
        <f t="shared" si="107"/>
        <v>6.213802180636014</v>
      </c>
      <c r="AO126" s="132">
        <f t="shared" si="107"/>
        <v>6.5991126623420584</v>
      </c>
      <c r="AP126" s="132">
        <f t="shared" si="107"/>
        <v>7.0636690455689788</v>
      </c>
      <c r="AQ126" s="132">
        <f t="shared" si="107"/>
        <v>7.4297336683168016</v>
      </c>
      <c r="AR126" s="132">
        <f t="shared" si="107"/>
        <v>7.8066230332396733</v>
      </c>
      <c r="AS126" s="132">
        <f t="shared" si="107"/>
        <v>9.2952246366136251</v>
      </c>
      <c r="AU126" s="132"/>
      <c r="AV126" s="132"/>
      <c r="AW126" s="132"/>
      <c r="AX126" s="132"/>
      <c r="AY126" s="132"/>
      <c r="AZ126" s="132"/>
      <c r="BA126" s="132"/>
      <c r="BB126" s="132"/>
      <c r="BC126" s="132"/>
      <c r="BD126" s="132"/>
      <c r="BE126" s="132"/>
      <c r="BF126" s="132"/>
      <c r="BG126" s="132"/>
      <c r="BH126" s="132"/>
      <c r="BI126" s="132"/>
      <c r="BJ126" s="132"/>
      <c r="BK126" s="132"/>
      <c r="BL126" s="132"/>
      <c r="BM126" s="132"/>
      <c r="BN126" s="132"/>
      <c r="BO126" s="132"/>
      <c r="BP126" s="132"/>
      <c r="BQ126" s="132"/>
      <c r="BR126" s="132"/>
      <c r="BS126" s="132"/>
      <c r="BT126" s="132"/>
      <c r="BV126" s="132"/>
      <c r="BW126" s="132"/>
      <c r="BX126" s="132"/>
      <c r="BY126" s="132"/>
      <c r="BZ126" s="132"/>
      <c r="CA126" s="132"/>
      <c r="CB126" s="132"/>
      <c r="CC126" s="132"/>
      <c r="CD126" s="132"/>
      <c r="CE126" s="132"/>
      <c r="CF126" s="132"/>
      <c r="CG126" s="132"/>
      <c r="CH126" s="132"/>
      <c r="CM126" s="132"/>
      <c r="CN126" s="132"/>
      <c r="CO126" s="132"/>
      <c r="CP126" s="132"/>
      <c r="CQ126" s="132"/>
      <c r="CR126" s="132"/>
      <c r="CS126" s="132"/>
      <c r="CT126" s="132"/>
      <c r="CU126" s="132"/>
      <c r="CV126" s="132"/>
      <c r="CW126" s="132"/>
      <c r="CX126" s="132"/>
      <c r="CY126" s="132"/>
      <c r="CZ126" s="132"/>
      <c r="DA126" s="132"/>
      <c r="DB126" s="132"/>
      <c r="DC126" s="132"/>
      <c r="DD126" s="132"/>
      <c r="DE126" s="132"/>
      <c r="DF126" s="132"/>
      <c r="DG126" s="132"/>
      <c r="DH126" s="132"/>
      <c r="DI126" s="132"/>
      <c r="DJ126" s="132"/>
      <c r="DK126" s="132"/>
      <c r="DL126" s="132"/>
      <c r="DN126" s="132"/>
      <c r="DO126" s="132"/>
      <c r="DP126" s="132"/>
      <c r="DQ126" s="132"/>
      <c r="DR126" s="132"/>
      <c r="DS126" s="132"/>
      <c r="DT126" s="132"/>
      <c r="DU126" s="132"/>
      <c r="DV126" s="132"/>
      <c r="DW126" s="132"/>
      <c r="DX126" s="132"/>
      <c r="DY126" s="132"/>
      <c r="DZ126" s="132"/>
    </row>
    <row r="127" spans="1:130">
      <c r="B127" s="138" t="s">
        <v>291</v>
      </c>
      <c r="C127" s="82" t="s">
        <v>1029</v>
      </c>
      <c r="F127" s="132"/>
      <c r="G127" s="132"/>
      <c r="H127" s="132">
        <f>HY!O527</f>
        <v>1.3</v>
      </c>
      <c r="I127" s="132">
        <f>HY!P527</f>
        <v>0.99999999999999978</v>
      </c>
      <c r="J127" s="132">
        <f>HY!Q527</f>
        <v>1</v>
      </c>
      <c r="K127" s="132">
        <f>HY!R527</f>
        <v>0.30000000000000004</v>
      </c>
      <c r="L127" s="132">
        <f>HY!S527</f>
        <v>1</v>
      </c>
      <c r="M127" s="132">
        <f>HY!T527</f>
        <v>1</v>
      </c>
      <c r="N127" s="132">
        <f>HY!U527</f>
        <v>1.5</v>
      </c>
      <c r="O127" s="132">
        <f>HY!V527</f>
        <v>1.5</v>
      </c>
      <c r="P127" s="132">
        <f>HY!W527</f>
        <v>1.6</v>
      </c>
      <c r="Q127" s="132">
        <f>HY!X527</f>
        <v>1.6</v>
      </c>
      <c r="R127" s="132">
        <f>HY!Y527</f>
        <v>1.6</v>
      </c>
      <c r="S127" s="132">
        <f>HY!Z527</f>
        <v>1.6</v>
      </c>
      <c r="T127" s="132">
        <f>HY!AA527</f>
        <v>2.0774954859156241</v>
      </c>
      <c r="U127" s="132">
        <f>HY!AB527</f>
        <v>1.6507858224659839</v>
      </c>
      <c r="V127" s="132">
        <f>HY!AC527</f>
        <v>1.8372990794387998</v>
      </c>
      <c r="W127" s="132">
        <f>HY!AD527</f>
        <v>1.4622572517322296</v>
      </c>
      <c r="X127" s="132">
        <f>HY!AE527</f>
        <v>1.9616420333460318</v>
      </c>
      <c r="Y127" s="132">
        <f>HY!AF527</f>
        <v>1.5701924894384574</v>
      </c>
      <c r="Z127" s="132">
        <f>HY!AG527</f>
        <v>0</v>
      </c>
      <c r="AA127" s="132">
        <f>HY!AH527</f>
        <v>0</v>
      </c>
      <c r="AB127" s="132">
        <f>HY!AI527</f>
        <v>0</v>
      </c>
      <c r="AC127" s="132">
        <f>HY!AJ527</f>
        <v>0</v>
      </c>
      <c r="AD127" s="132">
        <f>HY!AK527</f>
        <v>0</v>
      </c>
      <c r="AE127" s="132">
        <f>HY!AL527</f>
        <v>0</v>
      </c>
      <c r="AG127" s="132"/>
      <c r="AH127" s="132">
        <f t="shared" si="107"/>
        <v>2.2999999999999998</v>
      </c>
      <c r="AI127" s="132">
        <f t="shared" si="107"/>
        <v>1.3</v>
      </c>
      <c r="AJ127" s="132">
        <f t="shared" si="107"/>
        <v>2</v>
      </c>
      <c r="AK127" s="132">
        <f t="shared" si="107"/>
        <v>3</v>
      </c>
      <c r="AL127" s="132">
        <f t="shared" si="107"/>
        <v>3.2</v>
      </c>
      <c r="AM127" s="132">
        <f t="shared" si="107"/>
        <v>3.2</v>
      </c>
      <c r="AN127" s="132">
        <f t="shared" si="107"/>
        <v>3.7282813083816082</v>
      </c>
      <c r="AO127" s="132">
        <f t="shared" si="107"/>
        <v>3.2995563311710292</v>
      </c>
      <c r="AP127" s="132">
        <f t="shared" si="107"/>
        <v>3.5318345227844894</v>
      </c>
      <c r="AQ127" s="132">
        <f t="shared" si="107"/>
        <v>0</v>
      </c>
      <c r="AR127" s="132">
        <f t="shared" si="107"/>
        <v>0</v>
      </c>
      <c r="AS127" s="132">
        <f t="shared" si="107"/>
        <v>0</v>
      </c>
      <c r="AU127" s="132"/>
      <c r="AV127" s="132"/>
      <c r="AW127" s="132"/>
      <c r="AX127" s="132"/>
      <c r="AY127" s="132"/>
      <c r="AZ127" s="132"/>
      <c r="BA127" s="132"/>
      <c r="BB127" s="132"/>
      <c r="BC127" s="132"/>
      <c r="BD127" s="132"/>
      <c r="BE127" s="132"/>
      <c r="BF127" s="132"/>
      <c r="BG127" s="132"/>
      <c r="BH127" s="132"/>
      <c r="BI127" s="132"/>
      <c r="BJ127" s="132"/>
      <c r="BK127" s="132"/>
      <c r="BL127" s="132"/>
      <c r="BM127" s="132"/>
      <c r="BN127" s="132"/>
      <c r="BO127" s="132"/>
      <c r="BP127" s="132"/>
      <c r="BQ127" s="132"/>
      <c r="BR127" s="132"/>
      <c r="BS127" s="132"/>
      <c r="BT127" s="132"/>
      <c r="BV127" s="132"/>
      <c r="BW127" s="132"/>
      <c r="BX127" s="132"/>
      <c r="BY127" s="132"/>
      <c r="BZ127" s="132"/>
      <c r="CA127" s="132"/>
      <c r="CB127" s="132"/>
      <c r="CC127" s="132"/>
      <c r="CD127" s="132"/>
      <c r="CE127" s="132"/>
      <c r="CF127" s="132"/>
      <c r="CG127" s="132"/>
      <c r="CH127" s="132"/>
      <c r="CM127" s="132"/>
      <c r="CN127" s="132"/>
      <c r="CO127" s="132"/>
      <c r="CP127" s="132"/>
      <c r="CQ127" s="132"/>
      <c r="CR127" s="132"/>
      <c r="CS127" s="132"/>
      <c r="CT127" s="132"/>
      <c r="CU127" s="132"/>
      <c r="CV127" s="132"/>
      <c r="CW127" s="132"/>
      <c r="CX127" s="132"/>
      <c r="CY127" s="132"/>
      <c r="CZ127" s="132"/>
      <c r="DA127" s="132"/>
      <c r="DB127" s="132"/>
      <c r="DC127" s="132"/>
      <c r="DD127" s="132"/>
      <c r="DE127" s="132"/>
      <c r="DF127" s="132"/>
      <c r="DG127" s="132"/>
      <c r="DH127" s="132"/>
      <c r="DI127" s="132"/>
      <c r="DJ127" s="132"/>
      <c r="DK127" s="132"/>
      <c r="DL127" s="132"/>
      <c r="DN127" s="132"/>
      <c r="DO127" s="132"/>
      <c r="DP127" s="132"/>
      <c r="DQ127" s="132"/>
      <c r="DR127" s="132"/>
      <c r="DS127" s="132"/>
      <c r="DT127" s="132"/>
      <c r="DU127" s="132"/>
      <c r="DV127" s="132"/>
      <c r="DW127" s="132"/>
      <c r="DX127" s="132"/>
      <c r="DY127" s="132"/>
      <c r="DZ127" s="132"/>
    </row>
    <row r="128" spans="1:130">
      <c r="B128" s="138"/>
      <c r="C128" s="82"/>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G128" s="7"/>
      <c r="AH128" s="7"/>
      <c r="AI128" s="7"/>
      <c r="AJ128" s="7"/>
      <c r="AK128" s="7"/>
      <c r="AL128" s="7"/>
      <c r="AM128" s="7"/>
      <c r="AN128" s="7"/>
      <c r="AO128" s="7"/>
      <c r="AP128" s="7"/>
      <c r="AQ128" s="7"/>
      <c r="AR128" s="7"/>
      <c r="AS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V128" s="7"/>
      <c r="BW128" s="7"/>
      <c r="BX128" s="7"/>
      <c r="BY128" s="7"/>
      <c r="BZ128" s="7"/>
      <c r="CA128" s="7"/>
      <c r="CB128" s="7"/>
      <c r="CC128" s="7"/>
      <c r="CD128" s="7"/>
      <c r="CE128" s="7"/>
      <c r="CF128" s="7"/>
      <c r="CG128" s="7"/>
      <c r="CH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N128" s="7"/>
      <c r="DO128" s="7"/>
      <c r="DP128" s="7"/>
      <c r="DQ128" s="7"/>
      <c r="DR128" s="7"/>
      <c r="DS128" s="7"/>
      <c r="DT128" s="7"/>
      <c r="DU128" s="7"/>
      <c r="DV128" s="7"/>
      <c r="DW128" s="7"/>
      <c r="DX128" s="7"/>
      <c r="DY128" s="7"/>
      <c r="DZ128" s="7"/>
    </row>
    <row r="129" spans="2:130">
      <c r="B129" s="732" t="s">
        <v>1499</v>
      </c>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row>
    <row r="130" spans="2:130">
      <c r="B130" s="138" t="str">
        <f>B115</f>
        <v>Revenue</v>
      </c>
      <c r="C130" s="82" t="s">
        <v>900</v>
      </c>
      <c r="E130" s="7"/>
      <c r="F130" s="132">
        <f t="shared" ref="F130:AE130" si="108">AU130</f>
        <v>1150.3</v>
      </c>
      <c r="G130" s="132">
        <f t="shared" si="108"/>
        <v>1221</v>
      </c>
      <c r="H130" s="132">
        <f t="shared" si="108"/>
        <v>1274.5</v>
      </c>
      <c r="I130" s="132">
        <f t="shared" si="108"/>
        <v>1159.9000000000001</v>
      </c>
      <c r="J130" s="132">
        <f t="shared" si="108"/>
        <v>1209.5999999999999</v>
      </c>
      <c r="K130" s="132">
        <f t="shared" si="108"/>
        <v>1129.3</v>
      </c>
      <c r="L130" s="132">
        <f t="shared" si="108"/>
        <v>1331.3</v>
      </c>
      <c r="M130" s="132">
        <f t="shared" si="108"/>
        <v>1256.6689925214555</v>
      </c>
      <c r="N130" s="132">
        <f t="shared" si="108"/>
        <v>1377.1782058411889</v>
      </c>
      <c r="O130" s="132">
        <f t="shared" si="108"/>
        <v>1286.70005822957</v>
      </c>
      <c r="P130" s="132">
        <f t="shared" si="108"/>
        <v>1406.8653254600656</v>
      </c>
      <c r="Q130" s="132">
        <f t="shared" si="108"/>
        <v>1315.598120235531</v>
      </c>
      <c r="R130" s="132">
        <f t="shared" si="108"/>
        <v>1429.6566966725838</v>
      </c>
      <c r="S130" s="132">
        <f t="shared" si="108"/>
        <v>1344.0854860028037</v>
      </c>
      <c r="T130" s="132">
        <f t="shared" si="108"/>
        <v>1455.2276383485812</v>
      </c>
      <c r="U130" s="132">
        <f t="shared" si="108"/>
        <v>1368.954430695565</v>
      </c>
      <c r="V130" s="132">
        <f t="shared" si="108"/>
        <v>1484.0416110143958</v>
      </c>
      <c r="W130" s="132">
        <f t="shared" si="108"/>
        <v>1404.4334539162714</v>
      </c>
      <c r="X130" s="132">
        <f t="shared" si="108"/>
        <v>1511.7063966370174</v>
      </c>
      <c r="Y130" s="132">
        <f t="shared" si="108"/>
        <v>1424.2846165636749</v>
      </c>
      <c r="Z130" s="132">
        <f t="shared" si="108"/>
        <v>1540.98761066012</v>
      </c>
      <c r="AA130" s="132">
        <f t="shared" si="108"/>
        <v>1452.8886018200601</v>
      </c>
      <c r="AB130" s="132">
        <f t="shared" si="108"/>
        <v>1548.2934850828167</v>
      </c>
      <c r="AC130" s="132">
        <f t="shared" si="108"/>
        <v>1454.2665322453267</v>
      </c>
      <c r="AD130" s="132">
        <f t="shared" si="108"/>
        <v>1576.7847050447467</v>
      </c>
      <c r="AE130" s="132">
        <f t="shared" si="108"/>
        <v>1482.0904620391934</v>
      </c>
      <c r="AF130" s="132"/>
      <c r="AG130" s="132">
        <f t="shared" ref="AG130:AS130" si="109">BV130</f>
        <v>2373.3000000000002</v>
      </c>
      <c r="AH130" s="132">
        <f t="shared" si="109"/>
        <v>2434.4</v>
      </c>
      <c r="AI130" s="132">
        <f t="shared" si="109"/>
        <v>2338.9</v>
      </c>
      <c r="AJ130" s="132">
        <f t="shared" si="109"/>
        <v>2586.5440197533262</v>
      </c>
      <c r="AK130" s="132">
        <f t="shared" si="109"/>
        <v>2665.3509280317762</v>
      </c>
      <c r="AL130" s="132">
        <f t="shared" si="109"/>
        <v>2726.2959434457739</v>
      </c>
      <c r="AM130" s="132">
        <f t="shared" si="109"/>
        <v>2771.9800889698909</v>
      </c>
      <c r="AN130" s="132">
        <f t="shared" si="109"/>
        <v>2822.62194984189</v>
      </c>
      <c r="AO130" s="132">
        <f t="shared" si="109"/>
        <v>2884.3092839721276</v>
      </c>
      <c r="AP130" s="132">
        <f t="shared" si="109"/>
        <v>2932.3393363704317</v>
      </c>
      <c r="AQ130" s="132">
        <f t="shared" si="109"/>
        <v>2990.0394577797683</v>
      </c>
      <c r="AR130" s="132">
        <f t="shared" si="109"/>
        <v>3018.2499480191559</v>
      </c>
      <c r="AS130" s="132">
        <f t="shared" si="109"/>
        <v>3076.6694443402062</v>
      </c>
      <c r="AU130" s="256">
        <v>1150.3</v>
      </c>
      <c r="AV130" s="256">
        <v>1221</v>
      </c>
      <c r="AW130" s="256">
        <v>1274.5</v>
      </c>
      <c r="AX130" s="256">
        <v>1159.9000000000001</v>
      </c>
      <c r="AY130" s="256">
        <v>1209.5999999999999</v>
      </c>
      <c r="AZ130" s="256">
        <v>1129.3</v>
      </c>
      <c r="BA130" s="256">
        <v>1331.3</v>
      </c>
      <c r="BB130" s="256">
        <v>1256.6689925214555</v>
      </c>
      <c r="BC130" s="256">
        <v>1377.1782058411889</v>
      </c>
      <c r="BD130" s="256">
        <v>1286.70005822957</v>
      </c>
      <c r="BE130" s="256">
        <v>1406.8653254600656</v>
      </c>
      <c r="BF130" s="256">
        <v>1315.598120235531</v>
      </c>
      <c r="BG130" s="256">
        <v>1429.6566966725838</v>
      </c>
      <c r="BH130" s="256">
        <v>1344.0854860028037</v>
      </c>
      <c r="BI130" s="256">
        <v>1455.2276383485812</v>
      </c>
      <c r="BJ130" s="256">
        <v>1368.954430695565</v>
      </c>
      <c r="BK130" s="256">
        <v>1484.0416110143958</v>
      </c>
      <c r="BL130" s="256">
        <v>1404.4334539162714</v>
      </c>
      <c r="BM130" s="256">
        <v>1511.7063966370174</v>
      </c>
      <c r="BN130" s="256">
        <v>1424.2846165636749</v>
      </c>
      <c r="BO130" s="256">
        <v>1540.98761066012</v>
      </c>
      <c r="BP130" s="256">
        <v>1452.8886018200601</v>
      </c>
      <c r="BQ130" s="256">
        <v>1548.2934850828167</v>
      </c>
      <c r="BR130" s="256">
        <v>1454.2665322453267</v>
      </c>
      <c r="BS130" s="256">
        <v>1576.7847050447467</v>
      </c>
      <c r="BT130" s="256">
        <v>1482.0904620391934</v>
      </c>
      <c r="BV130" s="256">
        <v>2373.3000000000002</v>
      </c>
      <c r="BW130" s="256">
        <v>2434.4</v>
      </c>
      <c r="BX130" s="256">
        <v>2338.9</v>
      </c>
      <c r="BY130" s="256">
        <v>2586.5440197533262</v>
      </c>
      <c r="BZ130" s="256">
        <v>2665.3509280317762</v>
      </c>
      <c r="CA130" s="256">
        <v>2726.2959434457739</v>
      </c>
      <c r="CB130" s="256">
        <v>2771.9800889698909</v>
      </c>
      <c r="CC130" s="256">
        <v>2822.62194984189</v>
      </c>
      <c r="CD130" s="256">
        <v>2884.3092839721276</v>
      </c>
      <c r="CE130" s="256">
        <v>2932.3393363704317</v>
      </c>
      <c r="CF130" s="256">
        <v>2990.0394577797683</v>
      </c>
      <c r="CG130" s="256">
        <v>3018.2499480191559</v>
      </c>
      <c r="CH130" s="256">
        <v>3076.6694443402062</v>
      </c>
      <c r="CJ130" s="751" t="s">
        <v>1352</v>
      </c>
      <c r="CK130" s="145" t="s">
        <v>70</v>
      </c>
      <c r="CL130" s="752" t="s">
        <v>961</v>
      </c>
      <c r="CM130" s="758">
        <f>_xll.VAData($CJ130,CM$3,$CK130,$CL130)</f>
        <v>1152.3</v>
      </c>
      <c r="CN130" s="758">
        <f>_xll.VAData($CJ130,CN$3,$CK130,$CL130)</f>
        <v>1225</v>
      </c>
      <c r="CO130" s="758">
        <f>_xll.VAData($CJ130,CO$3,$CK130,$CL130)</f>
        <v>1274.5</v>
      </c>
      <c r="CP130" s="758">
        <f>_xll.VAData($CJ130,CP$3,$CK130,$CL130)</f>
        <v>1159.9000000000001</v>
      </c>
      <c r="CQ130" s="758">
        <f>_xll.VAData($CJ130,CQ$3,$CK130,$CL130)</f>
        <v>1209.5999999999999</v>
      </c>
      <c r="CR130" s="758">
        <f>_xll.VAData($CJ130,CR$3,$CK130,$CL130)</f>
        <v>1129.3</v>
      </c>
      <c r="CS130" s="758">
        <f>_xll.VAData($CJ130,CS$3,$CK130,$CL130)</f>
        <v>1331.3</v>
      </c>
      <c r="CT130" s="758">
        <f>_xll.VAData($CJ130,CT$3,$CK130,$CL130)</f>
        <v>1283.3</v>
      </c>
      <c r="CU130" s="758">
        <f>_xll.VAData($CJ130,CU$3,$CK130,$CL130)</f>
        <v>1344.9</v>
      </c>
      <c r="CV130" s="758">
        <f>_xll.VAData($CJ130,CV$3,$CK130,$CL130)</f>
        <v>1291.4000000000001</v>
      </c>
      <c r="CW130" s="758">
        <f>_xll.VAData($CJ130,CW$3,$CK130,$CL130)</f>
        <v>1391.2068816766312</v>
      </c>
      <c r="CX130" s="758">
        <f>_xll.VAData($CJ130,CX$3,$CK130,$CL130)</f>
        <v>1320.0772356754023</v>
      </c>
      <c r="CY130" s="758">
        <f>_xll.VAData($CJ130,CY$3,$CK130,$CL130)</f>
        <v>1445.5413520933312</v>
      </c>
      <c r="CZ130" s="758">
        <f>_xll.VAData($CJ130,CZ$3,$CK130,$CL130)</f>
        <v>1365.5899409331926</v>
      </c>
      <c r="DA130" s="758">
        <f>_xll.VAData($CJ130,DA$3,$CK130,$CL130)</f>
        <v>1472.8657671577412</v>
      </c>
      <c r="DB130" s="758">
        <f>_xll.VAData($CJ130,DB$3,$CK130,$CL130)</f>
        <v>1391.3261047958924</v>
      </c>
      <c r="DC130" s="758">
        <f>_xll.VAData($CJ130,DC$3,$CK130,$CL130)</f>
        <v>1500.1036092278475</v>
      </c>
      <c r="DD130" s="758">
        <f>_xll.VAData($CJ130,DD$3,$CK130,$CL130)</f>
        <v>1417.88405909735</v>
      </c>
      <c r="DE130" s="758">
        <f>_xll.VAData($CJ130,DE$3,$CK130,$CL130)</f>
        <v>1547.9947999568226</v>
      </c>
      <c r="DF130" s="758">
        <f>_xll.VAData($CJ130,DF$3,$CK130,$CL130)</f>
        <v>1463.2128897083376</v>
      </c>
      <c r="DG130" s="758">
        <f>_xll.VAData($CJ130,DG$3,$CK130,$CL130)</f>
        <v>1576.5594189549074</v>
      </c>
      <c r="DH130" s="758">
        <f>_xll.VAData($CJ130,DH$3,$CK130,$CL130)</f>
        <v>1491.9677565379225</v>
      </c>
      <c r="DI130" s="758">
        <f>_xll.VAData($CJ130,DI$3,$CK130,$CL130)</f>
        <v>1606.9252944800351</v>
      </c>
      <c r="DJ130" s="758">
        <f>_xll.VAData($CJ130,DJ$3,$CK130,$CL130)</f>
        <v>1522.4828499642174</v>
      </c>
      <c r="DK130" s="758">
        <f>_xll.VAData($CJ130,DK$3,$CK130,$CL130)</f>
        <v>1638.036437089105</v>
      </c>
      <c r="DL130" s="758">
        <f>_xll.VAData($CJ130,DL$3,$CK130,$CL130)</f>
        <v>1553.2107707406651</v>
      </c>
      <c r="DN130" s="758">
        <f>_xll.VAData($CJ130,DN$3,$CK130,$CL130)</f>
        <v>2377.3000000000002</v>
      </c>
      <c r="DO130" s="758">
        <f>_xll.VAData($CJ130,DO$3,$CK130,$CL130)</f>
        <v>2434.4</v>
      </c>
      <c r="DP130" s="758">
        <f>_xll.VAData($CJ130,DP$3,$CK130,$CL130)</f>
        <v>2338.9</v>
      </c>
      <c r="DQ130" s="758">
        <f>_xll.VAData($CJ130,DQ$3,$CK130,$CL130)</f>
        <v>2614.6</v>
      </c>
      <c r="DR130" s="758">
        <f>_xll.VAData($CJ130,DR$3,$CK130,$CL130)</f>
        <v>2636.3</v>
      </c>
      <c r="DS130" s="758">
        <f>_xll.VAData($CJ130,DS$3,$CK130,$CL130)</f>
        <v>2711.2841173520346</v>
      </c>
      <c r="DT130" s="758">
        <f>_xll.VAData($CJ130,DT$3,$CK130,$CL130)</f>
        <v>2814.8079061332687</v>
      </c>
      <c r="DU130" s="758">
        <f>_xll.VAData($CJ130,DU$3,$CK130,$CL130)</f>
        <v>2868.9247607100488</v>
      </c>
      <c r="DV130" s="758">
        <f>_xll.VAData($CJ130,DV$3,$CK130,$CL130)</f>
        <v>2923.4937201861258</v>
      </c>
      <c r="DW130" s="758">
        <f>_xll.VAData($CJ130,DW$3,$CK130,$CL130)</f>
        <v>3015.1552938508862</v>
      </c>
      <c r="DX130" s="758">
        <f>_xll.VAData($CJ130,DX$3,$CK130,$CL130)</f>
        <v>3071.98335488986</v>
      </c>
      <c r="DY130" s="758">
        <f>_xll.VAData($CJ130,DY$3,$CK130,$CL130)</f>
        <v>3129.2086525957361</v>
      </c>
      <c r="DZ130" s="758">
        <f>_xll.VAData($CJ130,DZ$3,$CK130,$CL130)</f>
        <v>3191.2771802086199</v>
      </c>
    </row>
    <row r="131" spans="2:130">
      <c r="B131" s="138" t="str">
        <f t="shared" ref="B131:B142" si="110">B116</f>
        <v>EBITDA</v>
      </c>
      <c r="C131" s="82" t="s">
        <v>900</v>
      </c>
      <c r="E131" s="7"/>
      <c r="F131" s="132">
        <f t="shared" ref="F131:F141" si="111">AU131</f>
        <v>170.5</v>
      </c>
      <c r="G131" s="132">
        <f t="shared" ref="G131:G141" si="112">AV131</f>
        <v>211.1</v>
      </c>
      <c r="H131" s="132">
        <f t="shared" ref="H131:H141" si="113">AW131</f>
        <v>196.6</v>
      </c>
      <c r="I131" s="132">
        <f t="shared" ref="I131:I141" si="114">AX131</f>
        <v>194.4</v>
      </c>
      <c r="J131" s="132">
        <f t="shared" ref="J131:J141" si="115">AY131</f>
        <v>169.8</v>
      </c>
      <c r="K131" s="132">
        <f t="shared" ref="K131:K141" si="116">AZ131</f>
        <v>147.9</v>
      </c>
      <c r="L131" s="132">
        <f t="shared" ref="L131:L141" si="117">BA131</f>
        <v>190.2</v>
      </c>
      <c r="M131" s="132">
        <f t="shared" ref="M131:M141" si="118">BB131</f>
        <v>178.691541193685</v>
      </c>
      <c r="N131" s="132">
        <f t="shared" ref="N131:N141" si="119">BC131</f>
        <v>206.84286457886478</v>
      </c>
      <c r="O131" s="132">
        <f t="shared" ref="O131:O141" si="120">BD131</f>
        <v>185.10754971078279</v>
      </c>
      <c r="P131" s="132">
        <f t="shared" ref="P131:P141" si="121">BE131</f>
        <v>211.61579762861166</v>
      </c>
      <c r="Q131" s="132">
        <f t="shared" ref="Q131:Q141" si="122">BF131</f>
        <v>189.03745228448011</v>
      </c>
      <c r="R131" s="132">
        <f t="shared" ref="R131:R141" si="123">BG131</f>
        <v>212.76495781363988</v>
      </c>
      <c r="S131" s="132">
        <f t="shared" ref="S131:S141" si="124">BH131</f>
        <v>192.45254181078087</v>
      </c>
      <c r="T131" s="132">
        <f t="shared" ref="T131:T141" si="125">BI131</f>
        <v>214.43491717382651</v>
      </c>
      <c r="U131" s="132">
        <f t="shared" ref="U131:U141" si="126">BJ131</f>
        <v>194.24285938036951</v>
      </c>
      <c r="V131" s="132">
        <f t="shared" ref="V131:V141" si="127">BK131</f>
        <v>217.194687490619</v>
      </c>
      <c r="W131" s="132">
        <f t="shared" ref="W131:W141" si="128">BL131</f>
        <v>196.42268678692199</v>
      </c>
      <c r="X131" s="132">
        <f t="shared" ref="X131:X141" si="129">BM131</f>
        <v>217.43215169163651</v>
      </c>
      <c r="Y131" s="132">
        <f t="shared" ref="Y131:Y141" si="130">BN131</f>
        <v>200.10496299256926</v>
      </c>
      <c r="Z131" s="132">
        <f t="shared" ref="Z131:Z141" si="131">BO131</f>
        <v>220.01246989738576</v>
      </c>
      <c r="AA131" s="132">
        <f t="shared" ref="AA131:AA141" si="132">BP131</f>
        <v>202.740571542693</v>
      </c>
      <c r="AB131" s="132">
        <f t="shared" ref="AB131:AB141" si="133">BQ131</f>
        <v>217.00340931799633</v>
      </c>
      <c r="AC131" s="132">
        <f t="shared" ref="AC131:AC141" si="134">BR131</f>
        <v>192.483740889487</v>
      </c>
      <c r="AD131" s="132">
        <f t="shared" ref="AD131:AD141" si="135">BS131</f>
        <v>219.11172025886199</v>
      </c>
      <c r="AE131" s="132">
        <f t="shared" ref="AE131:AE141" si="136">BT131</f>
        <v>194.46337665442468</v>
      </c>
      <c r="AF131" s="132"/>
      <c r="AG131" s="132">
        <f t="shared" ref="AG131:AG141" si="137">BV131</f>
        <v>381.6</v>
      </c>
      <c r="AH131" s="132">
        <f t="shared" ref="AH131:AH141" si="138">BW131</f>
        <v>391</v>
      </c>
      <c r="AI131" s="132">
        <f t="shared" ref="AI131:AI141" si="139">BX131</f>
        <v>317.7</v>
      </c>
      <c r="AJ131" s="132">
        <f t="shared" ref="AJ131:AJ141" si="140">BY131</f>
        <v>369.49937142808068</v>
      </c>
      <c r="AK131" s="132">
        <f t="shared" ref="AK131:AK141" si="141">BZ131</f>
        <v>392.3728971425756</v>
      </c>
      <c r="AL131" s="132">
        <f t="shared" ref="AL131:AL141" si="142">CA131</f>
        <v>401.56071189013471</v>
      </c>
      <c r="AM131" s="132">
        <f t="shared" ref="AM131:AM141" si="143">CB131</f>
        <v>405.48866641853812</v>
      </c>
      <c r="AN131" s="132">
        <f t="shared" ref="AN131:AN141" si="144">CC131</f>
        <v>409.71464487131442</v>
      </c>
      <c r="AO131" s="132">
        <f t="shared" ref="AO131:AO141" si="145">CD131</f>
        <v>416.08545458770431</v>
      </c>
      <c r="AP131" s="132">
        <f t="shared" ref="AP131:AP141" si="146">CE131</f>
        <v>423.68570780538266</v>
      </c>
      <c r="AQ131" s="132">
        <f t="shared" ref="AQ131:AQ141" si="147">CF131</f>
        <v>431.05276848342402</v>
      </c>
      <c r="AR131" s="132">
        <f t="shared" ref="AR131:AR141" si="148">CG131</f>
        <v>429.59020469922842</v>
      </c>
      <c r="AS131" s="132">
        <f t="shared" ref="AS131:AS141" si="149">CH131</f>
        <v>437.05469881532377</v>
      </c>
      <c r="AU131" s="256">
        <v>170.5</v>
      </c>
      <c r="AV131" s="256">
        <v>211.1</v>
      </c>
      <c r="AW131" s="256">
        <v>196.6</v>
      </c>
      <c r="AX131" s="256">
        <v>194.4</v>
      </c>
      <c r="AY131" s="256">
        <v>169.8</v>
      </c>
      <c r="AZ131" s="256">
        <v>147.9</v>
      </c>
      <c r="BA131" s="256">
        <v>190.2</v>
      </c>
      <c r="BB131" s="256">
        <v>178.691541193685</v>
      </c>
      <c r="BC131" s="256">
        <v>206.84286457886478</v>
      </c>
      <c r="BD131" s="256">
        <v>185.10754971078279</v>
      </c>
      <c r="BE131" s="256">
        <v>211.61579762861166</v>
      </c>
      <c r="BF131" s="256">
        <v>189.03745228448011</v>
      </c>
      <c r="BG131" s="256">
        <v>212.76495781363988</v>
      </c>
      <c r="BH131" s="256">
        <v>192.45254181078087</v>
      </c>
      <c r="BI131" s="256">
        <v>214.43491717382651</v>
      </c>
      <c r="BJ131" s="256">
        <v>194.24285938036951</v>
      </c>
      <c r="BK131" s="256">
        <v>217.194687490619</v>
      </c>
      <c r="BL131" s="256">
        <v>196.42268678692199</v>
      </c>
      <c r="BM131" s="256">
        <v>217.43215169163651</v>
      </c>
      <c r="BN131" s="256">
        <v>200.10496299256926</v>
      </c>
      <c r="BO131" s="256">
        <v>220.01246989738576</v>
      </c>
      <c r="BP131" s="256">
        <v>202.740571542693</v>
      </c>
      <c r="BQ131" s="256">
        <v>217.00340931799633</v>
      </c>
      <c r="BR131" s="256">
        <v>192.483740889487</v>
      </c>
      <c r="BS131" s="256">
        <v>219.11172025886199</v>
      </c>
      <c r="BT131" s="256">
        <v>194.46337665442468</v>
      </c>
      <c r="BV131" s="256">
        <v>381.6</v>
      </c>
      <c r="BW131" s="256">
        <v>391</v>
      </c>
      <c r="BX131" s="256">
        <v>317.7</v>
      </c>
      <c r="BY131" s="256">
        <v>369.49937142808068</v>
      </c>
      <c r="BZ131" s="256">
        <v>392.3728971425756</v>
      </c>
      <c r="CA131" s="256">
        <v>401.56071189013471</v>
      </c>
      <c r="CB131" s="256">
        <v>405.48866641853812</v>
      </c>
      <c r="CC131" s="256">
        <v>409.71464487131442</v>
      </c>
      <c r="CD131" s="256">
        <v>416.08545458770431</v>
      </c>
      <c r="CE131" s="256">
        <v>423.68570780538266</v>
      </c>
      <c r="CF131" s="256">
        <v>431.05276848342402</v>
      </c>
      <c r="CG131" s="256">
        <v>429.59020469922842</v>
      </c>
      <c r="CH131" s="256">
        <v>437.05469881532377</v>
      </c>
      <c r="CJ131" s="751" t="s">
        <v>1352</v>
      </c>
      <c r="CK131" s="145" t="s">
        <v>1083</v>
      </c>
      <c r="CL131" s="752" t="s">
        <v>961</v>
      </c>
      <c r="CM131" s="758">
        <f>_xll.VAData($CJ131,CM$3,$CK131,$CL131)</f>
        <v>159</v>
      </c>
      <c r="CN131" s="758">
        <f>_xll.VAData($CJ131,CN$3,$CK131,$CL131)</f>
        <v>201.6</v>
      </c>
      <c r="CO131" s="758">
        <f>_xll.VAData($CJ131,CO$3,$CK131,$CL131)</f>
        <v>196.6</v>
      </c>
      <c r="CP131" s="758">
        <f>_xll.VAData($CJ131,CP$3,$CK131,$CL131)</f>
        <v>194.4</v>
      </c>
      <c r="CQ131" s="758">
        <f>_xll.VAData($CJ131,CQ$3,$CK131,$CL131)</f>
        <v>169.8</v>
      </c>
      <c r="CR131" s="758">
        <f>_xll.VAData($CJ131,CR$3,$CK131,$CL131)</f>
        <v>147.9</v>
      </c>
      <c r="CS131" s="758">
        <f>_xll.VAData($CJ131,CS$3,$CK131,$CL131)</f>
        <v>190.2</v>
      </c>
      <c r="CT131" s="758">
        <f>_xll.VAData($CJ131,CT$3,$CK131,$CL131)</f>
        <v>201.3</v>
      </c>
      <c r="CU131" s="758">
        <f>_xll.VAData($CJ131,CU$3,$CK131,$CL131)</f>
        <v>217.4</v>
      </c>
      <c r="CV131" s="758">
        <f>_xll.VAData($CJ131,CV$3,$CK131,$CL131)</f>
        <v>214.3</v>
      </c>
      <c r="CW131" s="758">
        <f>_xll.VAData($CJ131,CW$3,$CK131,$CL131)</f>
        <v>244.83987963567512</v>
      </c>
      <c r="CX131" s="758">
        <f>_xll.VAData($CJ131,CX$3,$CK131,$CL131)</f>
        <v>221.70115691508445</v>
      </c>
      <c r="CY131" s="758">
        <f>_xll.VAData($CJ131,CY$3,$CK131,$CL131)</f>
        <v>256.37725152812988</v>
      </c>
      <c r="CZ131" s="758">
        <f>_xll.VAData($CJ131,CZ$3,$CK131,$CL131)</f>
        <v>232.33109124508263</v>
      </c>
      <c r="DA131" s="758">
        <f>_xll.VAData($CJ131,DA$3,$CK131,$CL131)</f>
        <v>264.68072166924213</v>
      </c>
      <c r="DB131" s="758">
        <f>_xll.VAData($CJ131,DB$3,$CK131,$CL131)</f>
        <v>238.48715558739286</v>
      </c>
      <c r="DC131" s="758">
        <f>_xll.VAData($CJ131,DC$3,$CK131,$CL131)</f>
        <v>270.71284703125252</v>
      </c>
      <c r="DD131" s="758">
        <f>_xll.VAData($CJ131,DD$3,$CK131,$CL131)</f>
        <v>244.32241396796186</v>
      </c>
      <c r="DE131" s="758">
        <f>_xll.VAData($CJ131,DE$3,$CK131,$CL131)</f>
        <v>280.37968372173651</v>
      </c>
      <c r="DF131" s="758">
        <f>_xll.VAData($CJ131,DF$3,$CK131,$CL131)</f>
        <v>249.47445987544825</v>
      </c>
      <c r="DG131" s="758">
        <f>_xll.VAData($CJ131,DG$3,$CK131,$CL131)</f>
        <v>285.21226573120498</v>
      </c>
      <c r="DH131" s="758">
        <f>_xll.VAData($CJ131,DH$3,$CK131,$CL131)</f>
        <v>254.41252995152075</v>
      </c>
      <c r="DI131" s="758">
        <f>_xll.VAData($CJ131,DI$3,$CK131,$CL131)</f>
        <v>290.64628342570973</v>
      </c>
      <c r="DJ131" s="758">
        <f>_xll.VAData($CJ131,DJ$3,$CK131,$CL131)</f>
        <v>259.90380647366322</v>
      </c>
      <c r="DK131" s="758">
        <f>_xll.VAData($CJ131,DK$3,$CK131,$CL131)</f>
        <v>296.22474377294202</v>
      </c>
      <c r="DL131" s="758">
        <f>_xll.VAData($CJ131,DL$3,$CK131,$CL131)</f>
        <v>265.32998936279574</v>
      </c>
      <c r="DN131" s="758">
        <f>_xll.VAData($CJ131,DN$3,$CK131,$CL131)</f>
        <v>381.6</v>
      </c>
      <c r="DO131" s="758">
        <f>_xll.VAData($CJ131,DO$3,$CK131,$CL131)</f>
        <v>391</v>
      </c>
      <c r="DP131" s="758">
        <f>_xll.VAData($CJ131,DP$3,$CK131,$CL131)</f>
        <v>317.7</v>
      </c>
      <c r="DQ131" s="758">
        <f>_xll.VAData($CJ131,DQ$3,$CK131,$CL131)</f>
        <v>391.5</v>
      </c>
      <c r="DR131" s="758">
        <f>_xll.VAData($CJ131,DR$3,$CK131,$CL131)</f>
        <v>431.7</v>
      </c>
      <c r="DS131" s="758">
        <f>_xll.VAData($CJ131,DS$3,$CK131,$CL131)</f>
        <v>466.54103655075943</v>
      </c>
      <c r="DT131" s="758">
        <f>_xll.VAData($CJ131,DT$3,$CK131,$CL131)</f>
        <v>489.57369726243365</v>
      </c>
      <c r="DU131" s="758">
        <f>_xll.VAData($CJ131,DU$3,$CK131,$CL131)</f>
        <v>505.18114586768235</v>
      </c>
      <c r="DV131" s="758">
        <f>_xll.VAData($CJ131,DV$3,$CK131,$CL131)</f>
        <v>518.40629665364895</v>
      </c>
      <c r="DW131" s="758">
        <f>_xll.VAData($CJ131,DW$3,$CK131,$CL131)</f>
        <v>535.79517263434479</v>
      </c>
      <c r="DX131" s="758">
        <f>_xll.VAData($CJ131,DX$3,$CK131,$CL131)</f>
        <v>546.82332049172601</v>
      </c>
      <c r="DY131" s="758">
        <f>_xll.VAData($CJ131,DY$3,$CK131,$CL131)</f>
        <v>556.33717857567638</v>
      </c>
      <c r="DZ131" s="758">
        <f>_xll.VAData($CJ131,DZ$3,$CK131,$CL131)</f>
        <v>567.97997875561805</v>
      </c>
    </row>
    <row r="132" spans="2:130">
      <c r="B132" s="138" t="str">
        <f t="shared" si="110"/>
        <v>D&amp;A</v>
      </c>
      <c r="C132" s="82" t="s">
        <v>900</v>
      </c>
      <c r="E132" s="7"/>
      <c r="F132" s="132">
        <f t="shared" si="111"/>
        <v>-142.69999999999999</v>
      </c>
      <c r="G132" s="132">
        <f t="shared" si="112"/>
        <v>-143.69999999999999</v>
      </c>
      <c r="H132" s="132">
        <f t="shared" si="113"/>
        <v>-123.4</v>
      </c>
      <c r="I132" s="132">
        <f t="shared" si="114"/>
        <v>-117.1</v>
      </c>
      <c r="J132" s="132">
        <f t="shared" si="115"/>
        <v>-119.8</v>
      </c>
      <c r="K132" s="132">
        <f t="shared" si="116"/>
        <v>-100.5</v>
      </c>
      <c r="L132" s="132">
        <f t="shared" si="117"/>
        <v>-97.5</v>
      </c>
      <c r="M132" s="132">
        <f t="shared" si="118"/>
        <v>-103.51841835179226</v>
      </c>
      <c r="N132" s="132">
        <f t="shared" si="119"/>
        <v>-100.25452570073965</v>
      </c>
      <c r="O132" s="132">
        <f t="shared" si="120"/>
        <v>-101.76410262136294</v>
      </c>
      <c r="P132" s="132">
        <f t="shared" si="121"/>
        <v>-100.90779917174933</v>
      </c>
      <c r="Q132" s="132">
        <f t="shared" si="122"/>
        <v>-102.20009328630678</v>
      </c>
      <c r="R132" s="132">
        <f t="shared" si="123"/>
        <v>-101.30552953222312</v>
      </c>
      <c r="S132" s="132">
        <f t="shared" si="124"/>
        <v>-102.69466816119446</v>
      </c>
      <c r="T132" s="132">
        <f t="shared" si="125"/>
        <v>-102.03180295831359</v>
      </c>
      <c r="U132" s="132">
        <f t="shared" si="126"/>
        <v>-103.40040745782237</v>
      </c>
      <c r="V132" s="132">
        <f t="shared" si="127"/>
        <v>-104.10758403239865</v>
      </c>
      <c r="W132" s="132">
        <f t="shared" si="128"/>
        <v>-103.8867682410495</v>
      </c>
      <c r="X132" s="132">
        <f t="shared" si="129"/>
        <v>-98.848745358928326</v>
      </c>
      <c r="Y132" s="132">
        <f t="shared" si="130"/>
        <v>-101.12549494815367</v>
      </c>
      <c r="Z132" s="132">
        <f t="shared" si="131"/>
        <v>-99.311128714259056</v>
      </c>
      <c r="AA132" s="132">
        <f t="shared" si="132"/>
        <v>-101.7365436527292</v>
      </c>
      <c r="AB132" s="132">
        <f t="shared" si="133"/>
        <v>-99.63828351974206</v>
      </c>
      <c r="AC132" s="132">
        <f t="shared" si="134"/>
        <v>-101.17726134856304</v>
      </c>
      <c r="AD132" s="132">
        <f t="shared" si="135"/>
        <v>-101.24369721238941</v>
      </c>
      <c r="AE132" s="132">
        <f t="shared" si="136"/>
        <v>-98.852003717781002</v>
      </c>
      <c r="AF132" s="132"/>
      <c r="AG132" s="132">
        <f t="shared" si="137"/>
        <v>-286.39999999999998</v>
      </c>
      <c r="AH132" s="132">
        <f t="shared" si="138"/>
        <v>-240.5</v>
      </c>
      <c r="AI132" s="132">
        <f t="shared" si="139"/>
        <v>-220.3</v>
      </c>
      <c r="AJ132" s="132">
        <f t="shared" si="140"/>
        <v>-201.11325584534291</v>
      </c>
      <c r="AK132" s="132">
        <f t="shared" si="141"/>
        <v>-201.83645933532441</v>
      </c>
      <c r="AL132" s="132">
        <f t="shared" si="142"/>
        <v>-203.5467753077383</v>
      </c>
      <c r="AM132" s="132">
        <f t="shared" si="143"/>
        <v>-201.93365439356921</v>
      </c>
      <c r="AN132" s="132">
        <f t="shared" si="144"/>
        <v>-200.4477842799717</v>
      </c>
      <c r="AO132" s="132">
        <f t="shared" si="145"/>
        <v>-200.72436742721433</v>
      </c>
      <c r="AP132" s="132">
        <f t="shared" si="146"/>
        <v>-191.24339979540551</v>
      </c>
      <c r="AQ132" s="132">
        <f t="shared" si="147"/>
        <v>-190.65998817335333</v>
      </c>
      <c r="AR132" s="132">
        <f t="shared" si="148"/>
        <v>-186.91495906934659</v>
      </c>
      <c r="AS132" s="132">
        <f t="shared" si="149"/>
        <v>-186.31558068206181</v>
      </c>
      <c r="AU132" s="256">
        <v>-142.69999999999999</v>
      </c>
      <c r="AV132" s="256">
        <v>-143.69999999999999</v>
      </c>
      <c r="AW132" s="256">
        <v>-123.4</v>
      </c>
      <c r="AX132" s="256">
        <v>-117.1</v>
      </c>
      <c r="AY132" s="256">
        <v>-119.8</v>
      </c>
      <c r="AZ132" s="256">
        <v>-100.5</v>
      </c>
      <c r="BA132" s="256">
        <v>-97.5</v>
      </c>
      <c r="BB132" s="256">
        <v>-103.51841835179226</v>
      </c>
      <c r="BC132" s="256">
        <v>-100.25452570073965</v>
      </c>
      <c r="BD132" s="256">
        <v>-101.76410262136294</v>
      </c>
      <c r="BE132" s="256">
        <v>-100.90779917174933</v>
      </c>
      <c r="BF132" s="256">
        <v>-102.20009328630678</v>
      </c>
      <c r="BG132" s="256">
        <v>-101.30552953222312</v>
      </c>
      <c r="BH132" s="256">
        <v>-102.69466816119446</v>
      </c>
      <c r="BI132" s="256">
        <v>-102.03180295831359</v>
      </c>
      <c r="BJ132" s="256">
        <v>-103.40040745782237</v>
      </c>
      <c r="BK132" s="256">
        <v>-104.10758403239865</v>
      </c>
      <c r="BL132" s="256">
        <v>-103.8867682410495</v>
      </c>
      <c r="BM132" s="256">
        <v>-98.848745358928326</v>
      </c>
      <c r="BN132" s="256">
        <v>-101.12549494815367</v>
      </c>
      <c r="BO132" s="256">
        <v>-99.311128714259056</v>
      </c>
      <c r="BP132" s="256">
        <v>-101.7365436527292</v>
      </c>
      <c r="BQ132" s="256">
        <v>-99.63828351974206</v>
      </c>
      <c r="BR132" s="256">
        <v>-101.17726134856304</v>
      </c>
      <c r="BS132" s="256">
        <v>-101.24369721238941</v>
      </c>
      <c r="BT132" s="256">
        <v>-98.852003717781002</v>
      </c>
      <c r="BV132" s="256">
        <v>-286.39999999999998</v>
      </c>
      <c r="BW132" s="256">
        <v>-240.5</v>
      </c>
      <c r="BX132" s="256">
        <v>-220.3</v>
      </c>
      <c r="BY132" s="256">
        <v>-201.11325584534291</v>
      </c>
      <c r="BZ132" s="256">
        <v>-201.83645933532441</v>
      </c>
      <c r="CA132" s="256">
        <v>-203.5467753077383</v>
      </c>
      <c r="CB132" s="256">
        <v>-201.93365439356921</v>
      </c>
      <c r="CC132" s="256">
        <v>-200.4477842799717</v>
      </c>
      <c r="CD132" s="256">
        <v>-200.72436742721433</v>
      </c>
      <c r="CE132" s="256">
        <v>-191.24339979540551</v>
      </c>
      <c r="CF132" s="256">
        <v>-190.65998817335333</v>
      </c>
      <c r="CG132" s="256">
        <v>-186.91495906934659</v>
      </c>
      <c r="CH132" s="256">
        <v>-186.31558068206181</v>
      </c>
      <c r="CJ132" s="751" t="s">
        <v>1352</v>
      </c>
      <c r="CK132" s="145" t="s">
        <v>1367</v>
      </c>
      <c r="CL132" s="752" t="s">
        <v>961</v>
      </c>
      <c r="CM132" s="753">
        <f>IFERROR(-_xll.VAData($CJ132,CM$3,$CK132,$CL132),"-")</f>
        <v>-142.69999999999999</v>
      </c>
      <c r="CN132" s="753">
        <f>IFERROR(-_xll.VAData($CJ132,CN$3,$CK132,$CL132),"-")</f>
        <v>-143.69999999999999</v>
      </c>
      <c r="CO132" s="753">
        <f>IFERROR(-_xll.VAData($CJ132,CO$3,$CK132,$CL132),"-")</f>
        <v>-123.4</v>
      </c>
      <c r="CP132" s="753">
        <f>IFERROR(-_xll.VAData($CJ132,CP$3,$CK132,$CL132),"-")</f>
        <v>-117.1</v>
      </c>
      <c r="CQ132" s="753">
        <f>IFERROR(-_xll.VAData($CJ132,CQ$3,$CK132,$CL132),"-")</f>
        <v>-119.8</v>
      </c>
      <c r="CR132" s="753">
        <f>IFERROR(-_xll.VAData($CJ132,CR$3,$CK132,$CL132),"-")</f>
        <v>-100.5</v>
      </c>
      <c r="CS132" s="753">
        <f>IFERROR(-_xll.VAData($CJ132,CS$3,$CK132,$CL132),"-")</f>
        <v>-97.5</v>
      </c>
      <c r="CT132" s="753">
        <f>IFERROR(-_xll.VAData($CJ132,CT$3,$CK132,$CL132),"-")</f>
        <v>-105.3</v>
      </c>
      <c r="CU132" s="753">
        <f>IFERROR(-_xll.VAData($CJ132,CU$3,$CK132,$CL132),"-")</f>
        <v>-107.2</v>
      </c>
      <c r="CV132" s="753">
        <f>IFERROR(-_xll.VAData($CJ132,CV$3,$CK132,$CL132),"-")</f>
        <v>-105.8</v>
      </c>
      <c r="CW132" s="753">
        <f>IFERROR(-_xll.VAData($CJ132,CW$3,$CK132,$CL132),"-")</f>
        <v>-115.25971363510753</v>
      </c>
      <c r="CX132" s="753">
        <f>IFERROR(-_xll.VAData($CJ132,CX$3,$CK132,$CL132),"-")</f>
        <v>-116.26445122945498</v>
      </c>
      <c r="CY132" s="753">
        <f>IFERROR(-_xll.VAData($CJ132,CY$3,$CK132,$CL132),"-")</f>
        <v>-118.04247103818473</v>
      </c>
      <c r="CZ132" s="753">
        <f>IFERROR(-_xll.VAData($CJ132,CZ$3,$CK132,$CL132),"-")</f>
        <v>-119.7469292192996</v>
      </c>
      <c r="DA132" s="753">
        <f>IFERROR(-_xll.VAData($CJ132,DA$3,$CK132,$CL132),"-")</f>
        <v>-119.24168799475538</v>
      </c>
      <c r="DB132" s="753">
        <f>IFERROR(-_xll.VAData($CJ132,DB$3,$CK132,$CL132),"-")</f>
        <v>-120.6745772100325</v>
      </c>
      <c r="DC132" s="753">
        <f>IFERROR(-_xll.VAData($CJ132,DC$3,$CK132,$CL132),"-")</f>
        <v>-119.1531695144553</v>
      </c>
      <c r="DD132" s="753">
        <f>IFERROR(-_xll.VAData($CJ132,DD$3,$CK132,$CL132),"-")</f>
        <v>-120.88274401440854</v>
      </c>
      <c r="DE132" s="753">
        <f>IFERROR(-_xll.VAData($CJ132,DE$3,$CK132,$CL132),"-")</f>
        <v>-116.32742928700303</v>
      </c>
      <c r="DF132" s="753">
        <f>IFERROR(-_xll.VAData($CJ132,DF$3,$CK132,$CL132),"-")</f>
        <v>-115.61453756724508</v>
      </c>
      <c r="DG132" s="753">
        <f>IFERROR(-_xll.VAData($CJ132,DG$3,$CK132,$CL132),"-")</f>
        <v>-115.94350453711823</v>
      </c>
      <c r="DH132" s="753">
        <f>IFERROR(-_xll.VAData($CJ132,DH$3,$CK132,$CL132),"-")</f>
        <v>-116.59851133069847</v>
      </c>
      <c r="DI132" s="753">
        <f>IFERROR(-_xll.VAData($CJ132,DI$3,$CK132,$CL132),"-")</f>
        <v>-117.02681267560888</v>
      </c>
      <c r="DJ132" s="753">
        <f>IFERROR(-_xll.VAData($CJ132,DJ$3,$CK132,$CL132),"-")</f>
        <v>-115.24378843205595</v>
      </c>
      <c r="DK132" s="753">
        <f>IFERROR(-_xll.VAData($CJ132,DK$3,$CK132,$CL132),"-")</f>
        <v>-116.09622144922815</v>
      </c>
      <c r="DL132" s="753">
        <f>IFERROR(-_xll.VAData($CJ132,DL$3,$CK132,$CL132),"-")</f>
        <v>-116.20675848434728</v>
      </c>
      <c r="DN132" s="753">
        <f>IFERROR(-_xll.VAData($CJ132,DN$3,$CK132,$CL132),"-")</f>
        <v>-286.39999999999998</v>
      </c>
      <c r="DO132" s="753">
        <f>IFERROR(-_xll.VAData($CJ132,DO$3,$CK132,$CL132),"-")</f>
        <v>-240.5</v>
      </c>
      <c r="DP132" s="753">
        <f>IFERROR(-_xll.VAData($CJ132,DP$3,$CK132,$CL132),"-")</f>
        <v>-220.3</v>
      </c>
      <c r="DQ132" s="753">
        <f>IFERROR(-_xll.VAData($CJ132,DQ$3,$CK132,$CL132),"-")</f>
        <v>-202.8</v>
      </c>
      <c r="DR132" s="753">
        <f>IFERROR(-_xll.VAData($CJ132,DR$3,$CK132,$CL132),"-")</f>
        <v>-213</v>
      </c>
      <c r="DS132" s="753">
        <f>IFERROR(-_xll.VAData($CJ132,DS$3,$CK132,$CL132),"-")</f>
        <v>-231.52416486456255</v>
      </c>
      <c r="DT132" s="753">
        <f>IFERROR(-_xll.VAData($CJ132,DT$3,$CK132,$CL132),"-")</f>
        <v>-238.32715456332866</v>
      </c>
      <c r="DU132" s="753">
        <f>IFERROR(-_xll.VAData($CJ132,DU$3,$CK132,$CL132),"-")</f>
        <v>-240.44390883106055</v>
      </c>
      <c r="DV132" s="753">
        <f>IFERROR(-_xll.VAData($CJ132,DV$3,$CK132,$CL132),"-")</f>
        <v>-241.64497201109322</v>
      </c>
      <c r="DW132" s="753">
        <f>IFERROR(-_xll.VAData($CJ132,DW$3,$CK132,$CL132),"-")</f>
        <v>-236.91229302018479</v>
      </c>
      <c r="DX132" s="753">
        <f>IFERROR(-_xll.VAData($CJ132,DX$3,$CK132,$CL132),"-")</f>
        <v>-236.81127054974439</v>
      </c>
      <c r="DY132" s="753">
        <f>IFERROR(-_xll.VAData($CJ132,DY$3,$CK132,$CL132),"-")</f>
        <v>-235.93076004862661</v>
      </c>
      <c r="DZ132" s="753">
        <f>IFERROR(-_xll.VAData($CJ132,DZ$3,$CK132,$CL132),"-")</f>
        <v>-236.59688308577319</v>
      </c>
    </row>
    <row r="133" spans="2:130">
      <c r="B133" s="138" t="str">
        <f t="shared" si="110"/>
        <v>EBIT</v>
      </c>
      <c r="C133" s="82" t="s">
        <v>900</v>
      </c>
      <c r="E133" s="7"/>
      <c r="F133" s="132">
        <f t="shared" si="111"/>
        <v>27.8</v>
      </c>
      <c r="G133" s="132">
        <f t="shared" si="112"/>
        <v>67.400000000000006</v>
      </c>
      <c r="H133" s="132">
        <f t="shared" si="113"/>
        <v>73.2</v>
      </c>
      <c r="I133" s="132">
        <f t="shared" si="114"/>
        <v>77.3</v>
      </c>
      <c r="J133" s="132">
        <f t="shared" si="115"/>
        <v>50</v>
      </c>
      <c r="K133" s="132">
        <f t="shared" si="116"/>
        <v>47.4</v>
      </c>
      <c r="L133" s="132">
        <f t="shared" si="117"/>
        <v>92.7</v>
      </c>
      <c r="M133" s="132">
        <f t="shared" si="118"/>
        <v>75.173122841892777</v>
      </c>
      <c r="N133" s="132">
        <f t="shared" si="119"/>
        <v>106.58833887812492</v>
      </c>
      <c r="O133" s="132">
        <f t="shared" si="120"/>
        <v>83.343447089419797</v>
      </c>
      <c r="P133" s="132">
        <f t="shared" si="121"/>
        <v>110.70799845686255</v>
      </c>
      <c r="Q133" s="132">
        <f t="shared" si="122"/>
        <v>86.8373589981734</v>
      </c>
      <c r="R133" s="132">
        <f t="shared" si="123"/>
        <v>111.45942828141661</v>
      </c>
      <c r="S133" s="132">
        <f t="shared" si="124"/>
        <v>89.757873649586543</v>
      </c>
      <c r="T133" s="132">
        <f t="shared" si="125"/>
        <v>112.4031142155129</v>
      </c>
      <c r="U133" s="132">
        <f t="shared" si="126"/>
        <v>90.842451922547198</v>
      </c>
      <c r="V133" s="132">
        <f t="shared" si="127"/>
        <v>113.08710345822057</v>
      </c>
      <c r="W133" s="132">
        <f t="shared" si="128"/>
        <v>92.535918545872605</v>
      </c>
      <c r="X133" s="132">
        <f t="shared" si="129"/>
        <v>118.58340633270825</v>
      </c>
      <c r="Y133" s="132">
        <f t="shared" si="130"/>
        <v>98.979468044415427</v>
      </c>
      <c r="Z133" s="132">
        <f t="shared" si="131"/>
        <v>120.70134118312706</v>
      </c>
      <c r="AA133" s="132">
        <f t="shared" si="132"/>
        <v>101.00402788996389</v>
      </c>
      <c r="AB133" s="132">
        <f t="shared" si="133"/>
        <v>117.36512579825444</v>
      </c>
      <c r="AC133" s="132">
        <f t="shared" si="134"/>
        <v>91.306479540923704</v>
      </c>
      <c r="AD133" s="132">
        <f t="shared" si="135"/>
        <v>117.8680230464726</v>
      </c>
      <c r="AE133" s="132">
        <f t="shared" si="136"/>
        <v>95.611372936643832</v>
      </c>
      <c r="AF133" s="132"/>
      <c r="AG133" s="132">
        <f t="shared" si="137"/>
        <v>95.2</v>
      </c>
      <c r="AH133" s="132">
        <f t="shared" si="138"/>
        <v>150.5</v>
      </c>
      <c r="AI133" s="132">
        <f t="shared" si="139"/>
        <v>97.4</v>
      </c>
      <c r="AJ133" s="132">
        <f t="shared" si="140"/>
        <v>168.3861155827378</v>
      </c>
      <c r="AK133" s="132">
        <f t="shared" si="141"/>
        <v>190.5364378072513</v>
      </c>
      <c r="AL133" s="132">
        <f t="shared" si="142"/>
        <v>198.0139365823965</v>
      </c>
      <c r="AM133" s="132">
        <f t="shared" si="143"/>
        <v>203.55501202496899</v>
      </c>
      <c r="AN133" s="132">
        <f t="shared" si="144"/>
        <v>209.26686059134261</v>
      </c>
      <c r="AO133" s="132">
        <f t="shared" si="145"/>
        <v>215.36108716048955</v>
      </c>
      <c r="AP133" s="132">
        <f t="shared" si="146"/>
        <v>232.44230800997715</v>
      </c>
      <c r="AQ133" s="132">
        <f t="shared" si="147"/>
        <v>240.392780310071</v>
      </c>
      <c r="AR133" s="132">
        <f t="shared" si="148"/>
        <v>242.6752456298814</v>
      </c>
      <c r="AS133" s="132">
        <f t="shared" si="149"/>
        <v>250.739118133262</v>
      </c>
      <c r="AU133" s="256">
        <v>27.8</v>
      </c>
      <c r="AV133" s="256">
        <v>67.400000000000006</v>
      </c>
      <c r="AW133" s="256">
        <v>73.2</v>
      </c>
      <c r="AX133" s="256">
        <v>77.3</v>
      </c>
      <c r="AY133" s="256">
        <v>50</v>
      </c>
      <c r="AZ133" s="256">
        <v>47.4</v>
      </c>
      <c r="BA133" s="256">
        <v>92.7</v>
      </c>
      <c r="BB133" s="256">
        <v>75.173122841892777</v>
      </c>
      <c r="BC133" s="256">
        <v>106.58833887812492</v>
      </c>
      <c r="BD133" s="256">
        <v>83.343447089419797</v>
      </c>
      <c r="BE133" s="256">
        <v>110.70799845686255</v>
      </c>
      <c r="BF133" s="256">
        <v>86.8373589981734</v>
      </c>
      <c r="BG133" s="256">
        <v>111.45942828141661</v>
      </c>
      <c r="BH133" s="256">
        <v>89.757873649586543</v>
      </c>
      <c r="BI133" s="256">
        <v>112.4031142155129</v>
      </c>
      <c r="BJ133" s="256">
        <v>90.842451922547198</v>
      </c>
      <c r="BK133" s="256">
        <v>113.08710345822057</v>
      </c>
      <c r="BL133" s="256">
        <v>92.535918545872605</v>
      </c>
      <c r="BM133" s="256">
        <v>118.58340633270825</v>
      </c>
      <c r="BN133" s="256">
        <v>98.979468044415427</v>
      </c>
      <c r="BO133" s="256">
        <v>120.70134118312706</v>
      </c>
      <c r="BP133" s="256">
        <v>101.00402788996389</v>
      </c>
      <c r="BQ133" s="256">
        <v>117.36512579825444</v>
      </c>
      <c r="BR133" s="256">
        <v>91.306479540923704</v>
      </c>
      <c r="BS133" s="256">
        <v>117.8680230464726</v>
      </c>
      <c r="BT133" s="256">
        <v>95.611372936643832</v>
      </c>
      <c r="BV133" s="256">
        <v>95.2</v>
      </c>
      <c r="BW133" s="256">
        <v>150.5</v>
      </c>
      <c r="BX133" s="256">
        <v>97.4</v>
      </c>
      <c r="BY133" s="256">
        <v>168.3861155827378</v>
      </c>
      <c r="BZ133" s="256">
        <v>190.5364378072513</v>
      </c>
      <c r="CA133" s="256">
        <v>198.0139365823965</v>
      </c>
      <c r="CB133" s="256">
        <v>203.55501202496899</v>
      </c>
      <c r="CC133" s="256">
        <v>209.26686059134261</v>
      </c>
      <c r="CD133" s="256">
        <v>215.36108716048955</v>
      </c>
      <c r="CE133" s="256">
        <v>232.44230800997715</v>
      </c>
      <c r="CF133" s="256">
        <v>240.392780310071</v>
      </c>
      <c r="CG133" s="256">
        <v>242.6752456298814</v>
      </c>
      <c r="CH133" s="256">
        <v>250.739118133262</v>
      </c>
      <c r="CJ133" s="751" t="s">
        <v>1352</v>
      </c>
      <c r="CK133" s="145" t="s">
        <v>1085</v>
      </c>
      <c r="CL133" s="752" t="s">
        <v>961</v>
      </c>
      <c r="CM133" s="758">
        <f>_xll.VAData($CJ133,CM$3,$CK133,$CL133)</f>
        <v>16.3</v>
      </c>
      <c r="CN133" s="758">
        <f>_xll.VAData($CJ133,CN$3,$CK133,$CL133)</f>
        <v>57.9</v>
      </c>
      <c r="CO133" s="758">
        <f>_xll.VAData($CJ133,CO$3,$CK133,$CL133)</f>
        <v>73.2</v>
      </c>
      <c r="CP133" s="758">
        <f>_xll.VAData($CJ133,CP$3,$CK133,$CL133)</f>
        <v>77.297995050420198</v>
      </c>
      <c r="CQ133" s="758">
        <f>_xll.VAData($CJ133,CQ$3,$CK133,$CL133)</f>
        <v>50</v>
      </c>
      <c r="CR133" s="758">
        <f>_xll.VAData($CJ133,CR$3,$CK133,$CL133)</f>
        <v>47.4</v>
      </c>
      <c r="CS133" s="758">
        <f>_xll.VAData($CJ133,CS$3,$CK133,$CL133)</f>
        <v>92.7</v>
      </c>
      <c r="CT133" s="758">
        <f>_xll.VAData($CJ133,CT$3,$CK133,$CL133)</f>
        <v>96</v>
      </c>
      <c r="CU133" s="758">
        <f>_xll.VAData($CJ133,CU$3,$CK133,$CL133)</f>
        <v>110.2</v>
      </c>
      <c r="CV133" s="758">
        <f>_xll.VAData($CJ133,CV$3,$CK133,$CL133)</f>
        <v>108.5</v>
      </c>
      <c r="CW133" s="758">
        <f>_xll.VAData($CJ133,CW$3,$CK133,$CL133)</f>
        <v>129.58016600056754</v>
      </c>
      <c r="CX133" s="758">
        <f>_xll.VAData($CJ133,CX$3,$CK133,$CL133)</f>
        <v>105.43670568562943</v>
      </c>
      <c r="CY133" s="758">
        <f>_xll.VAData($CJ133,CY$3,$CK133,$CL133)</f>
        <v>138.33478048994525</v>
      </c>
      <c r="CZ133" s="758">
        <f>_xll.VAData($CJ133,CZ$3,$CK133,$CL133)</f>
        <v>112.58416202578306</v>
      </c>
      <c r="DA133" s="758">
        <f>_xll.VAData($CJ133,DA$3,$CK133,$CL133)</f>
        <v>145.43903367448675</v>
      </c>
      <c r="DB133" s="758">
        <f>_xll.VAData($CJ133,DB$3,$CK133,$CL133)</f>
        <v>117.81257837736025</v>
      </c>
      <c r="DC133" s="758">
        <f>_xll.VAData($CJ133,DC$3,$CK133,$CL133)</f>
        <v>151.55967751679725</v>
      </c>
      <c r="DD133" s="758">
        <f>_xll.VAData($CJ133,DD$3,$CK133,$CL133)</f>
        <v>123.43966995355309</v>
      </c>
      <c r="DE133" s="758">
        <f>_xll.VAData($CJ133,DE$3,$CK133,$CL133)</f>
        <v>164.05225443473324</v>
      </c>
      <c r="DF133" s="758">
        <f>_xll.VAData($CJ133,DF$3,$CK133,$CL133)</f>
        <v>133.85992230820324</v>
      </c>
      <c r="DG133" s="758">
        <f>_xll.VAData($CJ133,DG$3,$CK133,$CL133)</f>
        <v>169.26876119408675</v>
      </c>
      <c r="DH133" s="758">
        <f>_xll.VAData($CJ133,DH$3,$CK133,$CL133)</f>
        <v>137.81401862082225</v>
      </c>
      <c r="DI133" s="758">
        <f>_xll.VAData($CJ133,DI$3,$CK133,$CL133)</f>
        <v>173.61947075010124</v>
      </c>
      <c r="DJ133" s="758">
        <f>_xll.VAData($CJ133,DJ$3,$CK133,$CL133)</f>
        <v>144.66001804160774</v>
      </c>
      <c r="DK133" s="758">
        <f>_xll.VAData($CJ133,DK$3,$CK133,$CL133)</f>
        <v>180.1285223237135</v>
      </c>
      <c r="DL133" s="758">
        <f>_xll.VAData($CJ133,DL$3,$CK133,$CL133)</f>
        <v>149.12323087844851</v>
      </c>
      <c r="DN133" s="758">
        <f>_xll.VAData($CJ133,DN$3,$CK133,$CL133)</f>
        <v>95.2</v>
      </c>
      <c r="DO133" s="758">
        <f>_xll.VAData($CJ133,DO$3,$CK133,$CL133)</f>
        <v>150.5</v>
      </c>
      <c r="DP133" s="758">
        <f>_xll.VAData($CJ133,DP$3,$CK133,$CL133)</f>
        <v>97.4</v>
      </c>
      <c r="DQ133" s="758">
        <f>_xll.VAData($CJ133,DQ$3,$CK133,$CL133)</f>
        <v>188.7</v>
      </c>
      <c r="DR133" s="758">
        <f>_xll.VAData($CJ133,DR$3,$CK133,$CL133)</f>
        <v>218.7</v>
      </c>
      <c r="DS133" s="758">
        <f>_xll.VAData($CJ133,DS$3,$CK133,$CL133)</f>
        <v>235.01687168619688</v>
      </c>
      <c r="DT133" s="758">
        <f>_xll.VAData($CJ133,DT$3,$CK133,$CL133)</f>
        <v>251.24654269910499</v>
      </c>
      <c r="DU133" s="758">
        <f>_xll.VAData($CJ133,DU$3,$CK133,$CL133)</f>
        <v>264.73723703662188</v>
      </c>
      <c r="DV133" s="758">
        <f>_xll.VAData($CJ133,DV$3,$CK133,$CL133)</f>
        <v>276.76132464255579</v>
      </c>
      <c r="DW133" s="758">
        <f>_xll.VAData($CJ133,DW$3,$CK133,$CL133)</f>
        <v>298.88287961416017</v>
      </c>
      <c r="DX133" s="758">
        <f>_xll.VAData($CJ133,DX$3,$CK133,$CL133)</f>
        <v>310.01204994198162</v>
      </c>
      <c r="DY133" s="758">
        <f>_xll.VAData($CJ133,DY$3,$CK133,$CL133)</f>
        <v>320.40641852704942</v>
      </c>
      <c r="DZ133" s="758">
        <f>_xll.VAData($CJ133,DZ$3,$CK133,$CL133)</f>
        <v>331.38309566984481</v>
      </c>
    </row>
    <row r="134" spans="2:130">
      <c r="B134" s="138" t="str">
        <f t="shared" si="110"/>
        <v>Loss from Equity Accounted Investment</v>
      </c>
      <c r="C134" s="82" t="s">
        <v>900</v>
      </c>
      <c r="E134" s="7"/>
      <c r="F134" s="132" t="str">
        <f t="shared" si="111"/>
        <v>-</v>
      </c>
      <c r="G134" s="132" t="str">
        <f t="shared" si="112"/>
        <v>-</v>
      </c>
      <c r="H134" s="132">
        <f t="shared" si="113"/>
        <v>-1.2</v>
      </c>
      <c r="I134" s="132">
        <f t="shared" si="114"/>
        <v>-1.5</v>
      </c>
      <c r="J134" s="132">
        <f t="shared" si="115"/>
        <v>-2.8</v>
      </c>
      <c r="K134" s="132">
        <f t="shared" si="116"/>
        <v>-0.4</v>
      </c>
      <c r="L134" s="132">
        <f t="shared" si="117"/>
        <v>-0.5</v>
      </c>
      <c r="M134" s="132">
        <f t="shared" si="118"/>
        <v>-0.2563831999999992</v>
      </c>
      <c r="N134" s="132">
        <f t="shared" si="119"/>
        <v>-0.25452182500000026</v>
      </c>
      <c r="O134" s="132">
        <f t="shared" si="120"/>
        <v>0.4163825399999998</v>
      </c>
      <c r="P134" s="132">
        <f t="shared" si="121"/>
        <v>1.0028218873999999</v>
      </c>
      <c r="Q134" s="132">
        <f t="shared" si="122"/>
        <v>2.0228218874000001</v>
      </c>
      <c r="R134" s="132">
        <f t="shared" si="123"/>
        <v>2.4460765959019999</v>
      </c>
      <c r="S134" s="132">
        <f t="shared" si="124"/>
        <v>2.3260765959020002</v>
      </c>
      <c r="T134" s="132">
        <f t="shared" si="125"/>
        <v>2.7978444534410598</v>
      </c>
      <c r="U134" s="132">
        <f t="shared" si="126"/>
        <v>2.6736444534410602</v>
      </c>
      <c r="V134" s="132">
        <f t="shared" si="127"/>
        <v>4.1008289758194874</v>
      </c>
      <c r="W134" s="132">
        <f t="shared" si="128"/>
        <v>3.9401714758194877</v>
      </c>
      <c r="X134" s="132">
        <f t="shared" si="129"/>
        <v>4.6776737234103178</v>
      </c>
      <c r="Y134" s="132">
        <f t="shared" si="130"/>
        <v>4.5114464984103178</v>
      </c>
      <c r="Z134" s="132">
        <f t="shared" si="131"/>
        <v>5.3387717951763047</v>
      </c>
      <c r="AA134" s="132">
        <f t="shared" si="132"/>
        <v>5.1668077534263048</v>
      </c>
      <c r="AB134" s="132">
        <f t="shared" si="133"/>
        <v>3.9173382724333332</v>
      </c>
      <c r="AC134" s="132">
        <f t="shared" si="134"/>
        <v>3.6801743217633334</v>
      </c>
      <c r="AD134" s="132">
        <f t="shared" si="135"/>
        <v>4.0448584206063334</v>
      </c>
      <c r="AE134" s="132">
        <f t="shared" si="136"/>
        <v>3.7995795514162332</v>
      </c>
      <c r="AF134" s="132"/>
      <c r="AG134" s="132" t="str">
        <f t="shared" si="137"/>
        <v>-</v>
      </c>
      <c r="AH134" s="132">
        <f t="shared" si="138"/>
        <v>-2.7</v>
      </c>
      <c r="AI134" s="132">
        <f t="shared" si="139"/>
        <v>-3.2</v>
      </c>
      <c r="AJ134" s="132">
        <f t="shared" si="140"/>
        <v>-0.88031933333333268</v>
      </c>
      <c r="AK134" s="132">
        <f t="shared" si="141"/>
        <v>-3.3000013714285719</v>
      </c>
      <c r="AL134" s="132">
        <f t="shared" si="142"/>
        <v>-1.1098421608571429</v>
      </c>
      <c r="AM134" s="132">
        <f t="shared" si="143"/>
        <v>0.28973842271714145</v>
      </c>
      <c r="AN134" s="132">
        <f t="shared" si="144"/>
        <v>0.98451164777294287</v>
      </c>
      <c r="AO134" s="132">
        <f t="shared" si="145"/>
        <v>2.2494869677593168</v>
      </c>
      <c r="AP134" s="132">
        <f t="shared" si="146"/>
        <v>3.418834814547083</v>
      </c>
      <c r="AQ134" s="132">
        <f t="shared" si="147"/>
        <v>4.8523821990684004</v>
      </c>
      <c r="AR134" s="132">
        <f t="shared" si="148"/>
        <v>2.9119947565180002</v>
      </c>
      <c r="AS134" s="132">
        <f t="shared" si="149"/>
        <v>4.3911834832135401</v>
      </c>
      <c r="AU134" s="256" t="s">
        <v>967</v>
      </c>
      <c r="AV134" s="256" t="s">
        <v>967</v>
      </c>
      <c r="AW134" s="256">
        <v>-1.2</v>
      </c>
      <c r="AX134" s="256">
        <v>-1.5</v>
      </c>
      <c r="AY134" s="256">
        <v>-2.8</v>
      </c>
      <c r="AZ134" s="256">
        <v>-0.4</v>
      </c>
      <c r="BA134" s="256">
        <v>-0.5</v>
      </c>
      <c r="BB134" s="256">
        <v>-0.2563831999999992</v>
      </c>
      <c r="BC134" s="256">
        <v>-0.25452182500000026</v>
      </c>
      <c r="BD134" s="256">
        <v>0.4163825399999998</v>
      </c>
      <c r="BE134" s="256">
        <v>1.0028218873999999</v>
      </c>
      <c r="BF134" s="256">
        <v>2.0228218874000001</v>
      </c>
      <c r="BG134" s="256">
        <v>2.4460765959019999</v>
      </c>
      <c r="BH134" s="256">
        <v>2.3260765959020002</v>
      </c>
      <c r="BI134" s="256">
        <v>2.7978444534410598</v>
      </c>
      <c r="BJ134" s="256">
        <v>2.6736444534410602</v>
      </c>
      <c r="BK134" s="256">
        <v>4.1008289758194874</v>
      </c>
      <c r="BL134" s="256">
        <v>3.9401714758194877</v>
      </c>
      <c r="BM134" s="256">
        <v>4.6776737234103178</v>
      </c>
      <c r="BN134" s="256">
        <v>4.5114464984103178</v>
      </c>
      <c r="BO134" s="256">
        <v>5.3387717951763047</v>
      </c>
      <c r="BP134" s="256">
        <v>5.1668077534263048</v>
      </c>
      <c r="BQ134" s="256">
        <v>3.9173382724333332</v>
      </c>
      <c r="BR134" s="256">
        <v>3.6801743217633334</v>
      </c>
      <c r="BS134" s="256">
        <v>4.0448584206063334</v>
      </c>
      <c r="BT134" s="256">
        <v>3.7995795514162332</v>
      </c>
      <c r="BV134" s="256" t="s">
        <v>967</v>
      </c>
      <c r="BW134" s="256">
        <v>-2.7</v>
      </c>
      <c r="BX134" s="256">
        <v>-3.2</v>
      </c>
      <c r="BY134" s="256">
        <v>-0.88031933333333268</v>
      </c>
      <c r="BZ134" s="256">
        <v>-3.3000013714285719</v>
      </c>
      <c r="CA134" s="256">
        <v>-1.1098421608571429</v>
      </c>
      <c r="CB134" s="256">
        <v>0.28973842271714145</v>
      </c>
      <c r="CC134" s="256">
        <v>0.98451164777294287</v>
      </c>
      <c r="CD134" s="256">
        <v>2.2494869677593168</v>
      </c>
      <c r="CE134" s="256">
        <v>3.418834814547083</v>
      </c>
      <c r="CF134" s="256">
        <v>4.8523821990684004</v>
      </c>
      <c r="CG134" s="256">
        <v>2.9119947565180002</v>
      </c>
      <c r="CH134" s="256">
        <v>4.3911834832135401</v>
      </c>
      <c r="CJ134" s="751" t="s">
        <v>1352</v>
      </c>
      <c r="CK134" s="145" t="s">
        <v>1502</v>
      </c>
      <c r="CL134" s="752" t="s">
        <v>961</v>
      </c>
      <c r="CM134" s="758" t="str">
        <f>_xll.VAData($CJ134,CM$3,$CK134,$CL134)</f>
        <v>-</v>
      </c>
      <c r="CN134" s="758" t="str">
        <f>_xll.VAData($CJ134,CN$3,$CK134,$CL134)</f>
        <v>-</v>
      </c>
      <c r="CO134" s="758">
        <f>_xll.VAData($CJ134,CO$3,$CK134,$CL134)</f>
        <v>-1.2</v>
      </c>
      <c r="CP134" s="758">
        <f>_xll.VAData($CJ134,CP$3,$CK134,$CL134)</f>
        <v>-1.5</v>
      </c>
      <c r="CQ134" s="758">
        <f>_xll.VAData($CJ134,CQ$3,$CK134,$CL134)</f>
        <v>-2.8</v>
      </c>
      <c r="CR134" s="758">
        <f>_xll.VAData($CJ134,CR$3,$CK134,$CL134)</f>
        <v>-0.4</v>
      </c>
      <c r="CS134" s="758">
        <f>_xll.VAData($CJ134,CS$3,$CK134,$CL134)</f>
        <v>-0.5</v>
      </c>
      <c r="CT134" s="758">
        <f>_xll.VAData($CJ134,CT$3,$CK134,$CL134)</f>
        <v>4.3</v>
      </c>
      <c r="CU134" s="758">
        <f>_xll.VAData($CJ134,CU$3,$CK134,$CL134)</f>
        <v>-4.5999999999999996</v>
      </c>
      <c r="CV134" s="758">
        <f>_xll.VAData($CJ134,CV$3,$CK134,$CL134)</f>
        <v>1.6</v>
      </c>
      <c r="CW134" s="758">
        <f>_xll.VAData($CJ134,CW$3,$CK134,$CL134)</f>
        <v>-1.2170326771912181</v>
      </c>
      <c r="CX134" s="758">
        <f>_xll.VAData($CJ134,CX$3,$CK134,$CL134)</f>
        <v>1.2164555112570226</v>
      </c>
      <c r="CY134" s="758">
        <f>_xll.VAData($CJ134,CY$3,$CK134,$CL134)</f>
        <v>-4.4262127974481001E-2</v>
      </c>
      <c r="CZ134" s="758">
        <f>_xll.VAData($CJ134,CZ$3,$CK134,$CL134)</f>
        <v>3.2081102864600242</v>
      </c>
      <c r="DA134" s="758">
        <f>_xll.VAData($CJ134,DA$3,$CK134,$CL134)</f>
        <v>1.6809343242949526</v>
      </c>
      <c r="DB134" s="758">
        <f>_xll.VAData($CJ134,DB$3,$CK134,$CL134)</f>
        <v>4.4317745255292724</v>
      </c>
      <c r="DC134" s="758">
        <f>_xll.VAData($CJ134,DC$3,$CK134,$CL134)</f>
        <v>2.9504615661073874</v>
      </c>
      <c r="DD134" s="758">
        <f>_xll.VAData($CJ134,DD$3,$CK134,$CL134)</f>
        <v>5.7001558883991148</v>
      </c>
      <c r="DE134" s="758">
        <f>_xll.VAData($CJ134,DE$3,$CK134,$CL134)</f>
        <v>8.5345360658143807</v>
      </c>
      <c r="DF134" s="758">
        <f>_xll.VAData($CJ134,DF$3,$CK134,$CL134)</f>
        <v>9.5429403690891448</v>
      </c>
      <c r="DG134" s="758">
        <f>_xll.VAData($CJ134,DG$3,$CK134,$CL134)</f>
        <v>8.8696901534077295</v>
      </c>
      <c r="DH134" s="758">
        <f>_xll.VAData($CJ134,DH$3,$CK134,$CL134)</f>
        <v>9.9149011300011196</v>
      </c>
      <c r="DI134" s="758">
        <f>_xll.VAData($CJ134,DI$3,$CK134,$CL134)</f>
        <v>9.1589449396638205</v>
      </c>
      <c r="DJ134" s="758">
        <f>_xll.VAData($CJ134,DJ$3,$CK134,$CL134)</f>
        <v>10.227054723256259</v>
      </c>
      <c r="DK134" s="758">
        <f>_xll.VAData($CJ134,DK$3,$CK134,$CL134)</f>
        <v>9.4212360383235048</v>
      </c>
      <c r="DL134" s="758">
        <f>_xll.VAData($CJ134,DL$3,$CK134,$CL134)</f>
        <v>10.521592548839971</v>
      </c>
      <c r="DN134" s="758" t="str">
        <f>_xll.VAData($CJ134,DN$3,$CK134,$CL134)</f>
        <v>-</v>
      </c>
      <c r="DO134" s="758">
        <f>_xll.VAData($CJ134,DO$3,$CK134,$CL134)</f>
        <v>-2.7</v>
      </c>
      <c r="DP134" s="758">
        <f>_xll.VAData($CJ134,DP$3,$CK134,$CL134)</f>
        <v>-3.2</v>
      </c>
      <c r="DQ134" s="758">
        <f>_xll.VAData($CJ134,DQ$3,$CK134,$CL134)</f>
        <v>3.8</v>
      </c>
      <c r="DR134" s="758">
        <f>_xll.VAData($CJ134,DR$3,$CK134,$CL134)</f>
        <v>-3</v>
      </c>
      <c r="DS134" s="758">
        <f>_xll.VAData($CJ134,DS$3,$CK134,$CL134)</f>
        <v>0.30368100336360876</v>
      </c>
      <c r="DT134" s="758">
        <f>_xll.VAData($CJ134,DT$3,$CK134,$CL134)</f>
        <v>3.1638481584855427</v>
      </c>
      <c r="DU134" s="758">
        <f>_xll.VAData($CJ134,DU$3,$CK134,$CL134)</f>
        <v>6.1127088498242248</v>
      </c>
      <c r="DV134" s="758">
        <f>_xll.VAData($CJ134,DV$3,$CK134,$CL134)</f>
        <v>8.6506174545065022</v>
      </c>
      <c r="DW134" s="758">
        <f>_xll.VAData($CJ134,DW$3,$CK134,$CL134)</f>
        <v>18.077476434903524</v>
      </c>
      <c r="DX134" s="758">
        <f>_xll.VAData($CJ134,DX$3,$CK134,$CL134)</f>
        <v>18.784591283408851</v>
      </c>
      <c r="DY134" s="758">
        <f>_xll.VAData($CJ134,DY$3,$CK134,$CL134)</f>
        <v>19.385999662920081</v>
      </c>
      <c r="DZ134" s="758">
        <f>_xll.VAData($CJ134,DZ$3,$CK134,$CL134)</f>
        <v>19.942828587163476</v>
      </c>
    </row>
    <row r="135" spans="2:130">
      <c r="B135" s="138" t="str">
        <f t="shared" si="110"/>
        <v>Net Finance Costs</v>
      </c>
      <c r="C135" s="82" t="s">
        <v>900</v>
      </c>
      <c r="E135" s="7"/>
      <c r="F135" s="132">
        <f t="shared" si="111"/>
        <v>-69.5</v>
      </c>
      <c r="G135" s="132">
        <f t="shared" si="112"/>
        <v>-55.9</v>
      </c>
      <c r="H135" s="132">
        <f t="shared" si="113"/>
        <v>-12.9</v>
      </c>
      <c r="I135" s="132">
        <f t="shared" si="114"/>
        <v>-19.600000000000001</v>
      </c>
      <c r="J135" s="132">
        <f t="shared" si="115"/>
        <v>-20.9</v>
      </c>
      <c r="K135" s="132">
        <f t="shared" si="116"/>
        <v>-21.3</v>
      </c>
      <c r="L135" s="132">
        <f t="shared" si="117"/>
        <v>-46</v>
      </c>
      <c r="M135" s="132">
        <f t="shared" si="118"/>
        <v>-43.505786771025676</v>
      </c>
      <c r="N135" s="132">
        <f t="shared" si="119"/>
        <v>-39.759609737025414</v>
      </c>
      <c r="O135" s="132">
        <f t="shared" si="120"/>
        <v>-38.527721479571774</v>
      </c>
      <c r="P135" s="132">
        <f t="shared" si="121"/>
        <v>-36.389951295132356</v>
      </c>
      <c r="Q135" s="132">
        <f t="shared" si="122"/>
        <v>-36.462885566877858</v>
      </c>
      <c r="R135" s="132">
        <f t="shared" si="123"/>
        <v>-35.676458215048598</v>
      </c>
      <c r="S135" s="132">
        <f t="shared" si="124"/>
        <v>-35.620597367871348</v>
      </c>
      <c r="T135" s="132">
        <f t="shared" si="125"/>
        <v>-32.942362476334488</v>
      </c>
      <c r="U135" s="132">
        <f t="shared" si="126"/>
        <v>-33.309091166486837</v>
      </c>
      <c r="V135" s="132">
        <f t="shared" si="127"/>
        <v>-30.678866362335729</v>
      </c>
      <c r="W135" s="132">
        <f t="shared" si="128"/>
        <v>-32.142453214721144</v>
      </c>
      <c r="X135" s="132">
        <f t="shared" si="129"/>
        <v>-32.790369677452901</v>
      </c>
      <c r="Y135" s="132">
        <f t="shared" si="130"/>
        <v>-34.552558172621097</v>
      </c>
      <c r="Z135" s="132">
        <f t="shared" si="131"/>
        <v>-31.006574110712251</v>
      </c>
      <c r="AA135" s="132">
        <f t="shared" si="132"/>
        <v>-32.929696287044052</v>
      </c>
      <c r="AB135" s="132">
        <f t="shared" si="133"/>
        <v>-29.5701115708077</v>
      </c>
      <c r="AC135" s="132">
        <f t="shared" si="134"/>
        <v>-33.8099557010894</v>
      </c>
      <c r="AD135" s="132">
        <f t="shared" si="135"/>
        <v>-29.562387698592733</v>
      </c>
      <c r="AE135" s="132">
        <f t="shared" si="136"/>
        <v>-31.957777058313599</v>
      </c>
      <c r="AF135" s="132"/>
      <c r="AG135" s="132">
        <f t="shared" si="137"/>
        <v>-125.4</v>
      </c>
      <c r="AH135" s="132">
        <f t="shared" si="138"/>
        <v>-32.5</v>
      </c>
      <c r="AI135" s="132">
        <f t="shared" si="139"/>
        <v>-42.2</v>
      </c>
      <c r="AJ135" s="132">
        <f t="shared" si="140"/>
        <v>-88.744598825857494</v>
      </c>
      <c r="AK135" s="132">
        <f t="shared" si="141"/>
        <v>-78.385698094937482</v>
      </c>
      <c r="AL135" s="132">
        <f t="shared" si="142"/>
        <v>-73.069653175809194</v>
      </c>
      <c r="AM135" s="132">
        <f t="shared" si="143"/>
        <v>-68.964219618428629</v>
      </c>
      <c r="AN135" s="132">
        <f t="shared" si="144"/>
        <v>-64.200523895898016</v>
      </c>
      <c r="AO135" s="132">
        <f t="shared" si="145"/>
        <v>-61.868348180177513</v>
      </c>
      <c r="AP135" s="132">
        <f t="shared" si="146"/>
        <v>-65.23871504718592</v>
      </c>
      <c r="AQ135" s="132">
        <f t="shared" si="147"/>
        <v>-62.378636518284637</v>
      </c>
      <c r="AR135" s="132">
        <f t="shared" si="148"/>
        <v>-61.042122895025997</v>
      </c>
      <c r="AS135" s="132">
        <f t="shared" si="149"/>
        <v>-59.260667950478258</v>
      </c>
      <c r="AU135" s="256">
        <v>-69.5</v>
      </c>
      <c r="AV135" s="256">
        <v>-55.9</v>
      </c>
      <c r="AW135" s="256">
        <v>-12.9</v>
      </c>
      <c r="AX135" s="256">
        <v>-19.600000000000001</v>
      </c>
      <c r="AY135" s="256">
        <v>-20.9</v>
      </c>
      <c r="AZ135" s="256">
        <v>-21.3</v>
      </c>
      <c r="BA135" s="256">
        <v>-46</v>
      </c>
      <c r="BB135" s="256">
        <v>-43.505786771025676</v>
      </c>
      <c r="BC135" s="256">
        <v>-39.759609737025414</v>
      </c>
      <c r="BD135" s="256">
        <v>-38.527721479571774</v>
      </c>
      <c r="BE135" s="256">
        <v>-36.389951295132356</v>
      </c>
      <c r="BF135" s="256">
        <v>-36.462885566877858</v>
      </c>
      <c r="BG135" s="256">
        <v>-35.676458215048598</v>
      </c>
      <c r="BH135" s="256">
        <v>-35.620597367871348</v>
      </c>
      <c r="BI135" s="256">
        <v>-32.942362476334488</v>
      </c>
      <c r="BJ135" s="256">
        <v>-33.309091166486837</v>
      </c>
      <c r="BK135" s="256">
        <v>-30.678866362335729</v>
      </c>
      <c r="BL135" s="256">
        <v>-32.142453214721144</v>
      </c>
      <c r="BM135" s="256">
        <v>-32.790369677452901</v>
      </c>
      <c r="BN135" s="256">
        <v>-34.552558172621097</v>
      </c>
      <c r="BO135" s="256">
        <v>-31.006574110712251</v>
      </c>
      <c r="BP135" s="256">
        <v>-32.929696287044052</v>
      </c>
      <c r="BQ135" s="256">
        <v>-29.5701115708077</v>
      </c>
      <c r="BR135" s="256">
        <v>-33.8099557010894</v>
      </c>
      <c r="BS135" s="256">
        <v>-29.562387698592733</v>
      </c>
      <c r="BT135" s="256">
        <v>-31.957777058313599</v>
      </c>
      <c r="BV135" s="256">
        <v>-125.4</v>
      </c>
      <c r="BW135" s="256">
        <v>-32.5</v>
      </c>
      <c r="BX135" s="256">
        <v>-42.2</v>
      </c>
      <c r="BY135" s="256">
        <v>-88.744598825857494</v>
      </c>
      <c r="BZ135" s="256">
        <v>-78.385698094937482</v>
      </c>
      <c r="CA135" s="256">
        <v>-73.069653175809194</v>
      </c>
      <c r="CB135" s="256">
        <v>-68.964219618428629</v>
      </c>
      <c r="CC135" s="256">
        <v>-64.200523895898016</v>
      </c>
      <c r="CD135" s="256">
        <v>-61.868348180177513</v>
      </c>
      <c r="CE135" s="256">
        <v>-65.23871504718592</v>
      </c>
      <c r="CF135" s="256">
        <v>-62.378636518284637</v>
      </c>
      <c r="CG135" s="256">
        <v>-61.042122895025997</v>
      </c>
      <c r="CH135" s="256">
        <v>-59.260667950478258</v>
      </c>
      <c r="CJ135" s="751" t="s">
        <v>1352</v>
      </c>
      <c r="CK135" s="145" t="s">
        <v>1086</v>
      </c>
      <c r="CL135" s="752" t="s">
        <v>961</v>
      </c>
      <c r="CM135" s="758">
        <f>_xll.VAData($CJ135,CM$3,$CK135,$CL135)</f>
        <v>-69.5</v>
      </c>
      <c r="CN135" s="758">
        <f>_xll.VAData($CJ135,CN$3,$CK135,$CL135)</f>
        <v>-55.9</v>
      </c>
      <c r="CO135" s="758">
        <f>_xll.VAData($CJ135,CO$3,$CK135,$CL135)</f>
        <v>-12.9</v>
      </c>
      <c r="CP135" s="758">
        <f>_xll.VAData($CJ135,CP$3,$CK135,$CL135)</f>
        <v>-19.600000000000001</v>
      </c>
      <c r="CQ135" s="758">
        <f>_xll.VAData($CJ135,CQ$3,$CK135,$CL135)</f>
        <v>-20.9</v>
      </c>
      <c r="CR135" s="758">
        <f>_xll.VAData($CJ135,CR$3,$CK135,$CL135)</f>
        <v>-21.3</v>
      </c>
      <c r="CS135" s="758">
        <f>_xll.VAData($CJ135,CS$3,$CK135,$CL135)</f>
        <v>-46</v>
      </c>
      <c r="CT135" s="758">
        <f>_xll.VAData($CJ135,CT$3,$CK135,$CL135)</f>
        <v>-45.5</v>
      </c>
      <c r="CU135" s="758">
        <f>_xll.VAData($CJ135,CU$3,$CK135,$CL135)</f>
        <v>-42.9</v>
      </c>
      <c r="CV135" s="758">
        <f>_xll.VAData($CJ135,CV$3,$CK135,$CL135)</f>
        <v>-43.3</v>
      </c>
      <c r="CW135" s="758">
        <f>_xll.VAData($CJ135,CW$3,$CK135,$CL135)</f>
        <v>-40.29885686574648</v>
      </c>
      <c r="CX135" s="758">
        <f>_xll.VAData($CJ135,CX$3,$CK135,$CL135)</f>
        <v>-41.968465193404299</v>
      </c>
      <c r="CY135" s="758">
        <f>_xll.VAData($CJ135,CY$3,$CK135,$CL135)</f>
        <v>-41.680895299209404</v>
      </c>
      <c r="CZ135" s="758">
        <f>_xll.VAData($CJ135,CZ$3,$CK135,$CL135)</f>
        <v>-40.320939097947424</v>
      </c>
      <c r="DA135" s="758">
        <f>_xll.VAData($CJ135,DA$3,$CK135,$CL135)</f>
        <v>-39.53036524365649</v>
      </c>
      <c r="DB135" s="758">
        <f>_xll.VAData($CJ135,DB$3,$CK135,$CL135)</f>
        <v>-37.455593817927216</v>
      </c>
      <c r="DC135" s="758">
        <f>_xll.VAData($CJ135,DC$3,$CK135,$CL135)</f>
        <v>-35.889984545851483</v>
      </c>
      <c r="DD135" s="758">
        <f>_xll.VAData($CJ135,DD$3,$CK135,$CL135)</f>
        <v>-33.711602118848951</v>
      </c>
      <c r="DE135" s="758">
        <f>_xll.VAData($CJ135,DE$3,$CK135,$CL135)</f>
        <v>-35.050327841323728</v>
      </c>
      <c r="DF135" s="758">
        <f>_xll.VAData($CJ135,DF$3,$CK135,$CL135)</f>
        <v>-32.807643178168576</v>
      </c>
      <c r="DG135" s="758">
        <f>_xll.VAData($CJ135,DG$3,$CK135,$CL135)</f>
        <v>-31.941334110293649</v>
      </c>
      <c r="DH135" s="758">
        <f>_xll.VAData($CJ135,DH$3,$CK135,$CL135)</f>
        <v>-29.786880872752317</v>
      </c>
      <c r="DI135" s="758">
        <f>_xll.VAData($CJ135,DI$3,$CK135,$CL135)</f>
        <v>-31.833870133768549</v>
      </c>
      <c r="DJ135" s="758">
        <f>_xll.VAData($CJ135,DJ$3,$CK135,$CL135)</f>
        <v>-29.140551542247113</v>
      </c>
      <c r="DK135" s="758">
        <f>_xll.VAData($CJ135,DK$3,$CK135,$CL135)</f>
        <v>-27.444223792843701</v>
      </c>
      <c r="DL135" s="758">
        <f>_xll.VAData($CJ135,DL$3,$CK135,$CL135)</f>
        <v>-25.175393232732713</v>
      </c>
      <c r="DN135" s="758">
        <f>_xll.VAData($CJ135,DN$3,$CK135,$CL135)</f>
        <v>-125.4</v>
      </c>
      <c r="DO135" s="758">
        <f>_xll.VAData($CJ135,DO$3,$CK135,$CL135)</f>
        <v>-32.5</v>
      </c>
      <c r="DP135" s="758">
        <f>_xll.VAData($CJ135,DP$3,$CK135,$CL135)</f>
        <v>-42.2</v>
      </c>
      <c r="DQ135" s="758">
        <f>_xll.VAData($CJ135,DQ$3,$CK135,$CL135)</f>
        <v>-91.5</v>
      </c>
      <c r="DR135" s="758">
        <f>_xll.VAData($CJ135,DR$3,$CK135,$CL135)</f>
        <v>-86.2</v>
      </c>
      <c r="DS135" s="758">
        <f>_xll.VAData($CJ135,DS$3,$CK135,$CL135)</f>
        <v>-82.267322059150786</v>
      </c>
      <c r="DT135" s="758">
        <f>_xll.VAData($CJ135,DT$3,$CK135,$CL135)</f>
        <v>-82.001834397156813</v>
      </c>
      <c r="DU135" s="758">
        <f>_xll.VAData($CJ135,DU$3,$CK135,$CL135)</f>
        <v>-76.985959061583713</v>
      </c>
      <c r="DV135" s="758">
        <f>_xll.VAData($CJ135,DV$3,$CK135,$CL135)</f>
        <v>-69.601586664700463</v>
      </c>
      <c r="DW135" s="758">
        <f>_xll.VAData($CJ135,DW$3,$CK135,$CL135)</f>
        <v>-67.857971019492297</v>
      </c>
      <c r="DX135" s="758">
        <f>_xll.VAData($CJ135,DX$3,$CK135,$CL135)</f>
        <v>-61.728214983045994</v>
      </c>
      <c r="DY135" s="758">
        <f>_xll.VAData($CJ135,DY$3,$CK135,$CL135)</f>
        <v>-60.974421676015638</v>
      </c>
      <c r="DZ135" s="758">
        <f>_xll.VAData($CJ135,DZ$3,$CK135,$CL135)</f>
        <v>-52.61961702557641</v>
      </c>
    </row>
    <row r="136" spans="2:130">
      <c r="B136" s="138" t="str">
        <f t="shared" si="110"/>
        <v>NPBT</v>
      </c>
      <c r="C136" s="82" t="s">
        <v>900</v>
      </c>
      <c r="E136" s="7"/>
      <c r="F136" s="132">
        <f t="shared" si="111"/>
        <v>-41.7</v>
      </c>
      <c r="G136" s="132">
        <f t="shared" si="112"/>
        <v>11.5</v>
      </c>
      <c r="H136" s="132">
        <f t="shared" si="113"/>
        <v>59.1</v>
      </c>
      <c r="I136" s="132">
        <f t="shared" si="114"/>
        <v>56.2</v>
      </c>
      <c r="J136" s="132">
        <f t="shared" si="115"/>
        <v>26.3</v>
      </c>
      <c r="K136" s="132">
        <f t="shared" si="116"/>
        <v>25.7</v>
      </c>
      <c r="L136" s="132">
        <f t="shared" si="117"/>
        <v>46.2</v>
      </c>
      <c r="M136" s="132">
        <f t="shared" si="118"/>
        <v>31.491567626422668</v>
      </c>
      <c r="N136" s="132">
        <f t="shared" si="119"/>
        <v>66.693386107766187</v>
      </c>
      <c r="O136" s="132">
        <f t="shared" si="120"/>
        <v>42.312178687625789</v>
      </c>
      <c r="P136" s="132">
        <f t="shared" si="121"/>
        <v>74.875170432507957</v>
      </c>
      <c r="Q136" s="132">
        <f t="shared" si="122"/>
        <v>48.843028479851114</v>
      </c>
      <c r="R136" s="132">
        <f t="shared" si="123"/>
        <v>77.37426793880671</v>
      </c>
      <c r="S136" s="132">
        <f t="shared" si="124"/>
        <v>55.653574154153922</v>
      </c>
      <c r="T136" s="132">
        <f t="shared" si="125"/>
        <v>81.334404522579149</v>
      </c>
      <c r="U136" s="132">
        <f t="shared" si="126"/>
        <v>59.329388539460972</v>
      </c>
      <c r="V136" s="132">
        <f t="shared" si="127"/>
        <v>84.894425082067386</v>
      </c>
      <c r="W136" s="132">
        <f t="shared" si="128"/>
        <v>62.7878490316198</v>
      </c>
      <c r="X136" s="132">
        <f t="shared" si="129"/>
        <v>90.470710378665856</v>
      </c>
      <c r="Y136" s="132">
        <f t="shared" si="130"/>
        <v>68.938356370204673</v>
      </c>
      <c r="Z136" s="132">
        <f t="shared" si="131"/>
        <v>95.033538867590849</v>
      </c>
      <c r="AA136" s="132">
        <f t="shared" si="132"/>
        <v>73.241139356346125</v>
      </c>
      <c r="AB136" s="132">
        <f t="shared" si="133"/>
        <v>91.712352499879927</v>
      </c>
      <c r="AC136" s="132">
        <f t="shared" si="134"/>
        <v>61.176698161597734</v>
      </c>
      <c r="AD136" s="132">
        <f t="shared" si="135"/>
        <v>92.350493768486061</v>
      </c>
      <c r="AE136" s="132">
        <f t="shared" si="136"/>
        <v>67.453175429746665</v>
      </c>
      <c r="AF136" s="132"/>
      <c r="AG136" s="132">
        <f t="shared" si="137"/>
        <v>-30.2</v>
      </c>
      <c r="AH136" s="132">
        <f t="shared" si="138"/>
        <v>115.3</v>
      </c>
      <c r="AI136" s="132">
        <f t="shared" si="139"/>
        <v>52</v>
      </c>
      <c r="AJ136" s="132">
        <f t="shared" si="140"/>
        <v>79.043325156880385</v>
      </c>
      <c r="AK136" s="132">
        <f t="shared" si="141"/>
        <v>109.8007387523138</v>
      </c>
      <c r="AL136" s="132">
        <f t="shared" si="142"/>
        <v>124.1673938939872</v>
      </c>
      <c r="AM136" s="132">
        <f t="shared" si="143"/>
        <v>134.89360930244214</v>
      </c>
      <c r="AN136" s="132">
        <f t="shared" si="144"/>
        <v>145.95549484888568</v>
      </c>
      <c r="AO136" s="132">
        <f t="shared" si="145"/>
        <v>155.21461918104043</v>
      </c>
      <c r="AP136" s="132">
        <f t="shared" si="146"/>
        <v>170.62242777733817</v>
      </c>
      <c r="AQ136" s="132">
        <f t="shared" si="147"/>
        <v>182.86652599085465</v>
      </c>
      <c r="AR136" s="132">
        <f t="shared" si="148"/>
        <v>184.54511749137339</v>
      </c>
      <c r="AS136" s="132">
        <f t="shared" si="149"/>
        <v>195.86963366599741</v>
      </c>
      <c r="AU136" s="256">
        <v>-41.7</v>
      </c>
      <c r="AV136" s="256">
        <v>11.5</v>
      </c>
      <c r="AW136" s="256">
        <v>59.1</v>
      </c>
      <c r="AX136" s="256">
        <v>56.2</v>
      </c>
      <c r="AY136" s="256">
        <v>26.3</v>
      </c>
      <c r="AZ136" s="256">
        <v>25.7</v>
      </c>
      <c r="BA136" s="256">
        <v>46.2</v>
      </c>
      <c r="BB136" s="256">
        <v>31.491567626422668</v>
      </c>
      <c r="BC136" s="256">
        <v>66.693386107766187</v>
      </c>
      <c r="BD136" s="256">
        <v>42.312178687625789</v>
      </c>
      <c r="BE136" s="256">
        <v>74.875170432507957</v>
      </c>
      <c r="BF136" s="256">
        <v>48.843028479851114</v>
      </c>
      <c r="BG136" s="256">
        <v>77.37426793880671</v>
      </c>
      <c r="BH136" s="256">
        <v>55.653574154153922</v>
      </c>
      <c r="BI136" s="256">
        <v>81.334404522579149</v>
      </c>
      <c r="BJ136" s="256">
        <v>59.329388539460972</v>
      </c>
      <c r="BK136" s="256">
        <v>84.894425082067386</v>
      </c>
      <c r="BL136" s="256">
        <v>62.7878490316198</v>
      </c>
      <c r="BM136" s="256">
        <v>90.470710378665856</v>
      </c>
      <c r="BN136" s="256">
        <v>68.938356370204673</v>
      </c>
      <c r="BO136" s="256">
        <v>95.033538867590849</v>
      </c>
      <c r="BP136" s="256">
        <v>73.241139356346125</v>
      </c>
      <c r="BQ136" s="256">
        <v>91.712352499879927</v>
      </c>
      <c r="BR136" s="256">
        <v>61.176698161597734</v>
      </c>
      <c r="BS136" s="256">
        <v>92.350493768486061</v>
      </c>
      <c r="BT136" s="256">
        <v>67.453175429746665</v>
      </c>
      <c r="BV136" s="256">
        <v>-30.2</v>
      </c>
      <c r="BW136" s="256">
        <v>115.3</v>
      </c>
      <c r="BX136" s="256">
        <v>52</v>
      </c>
      <c r="BY136" s="256">
        <v>79.043325156880385</v>
      </c>
      <c r="BZ136" s="256">
        <v>109.8007387523138</v>
      </c>
      <c r="CA136" s="256">
        <v>124.1673938939872</v>
      </c>
      <c r="CB136" s="256">
        <v>134.89360930244214</v>
      </c>
      <c r="CC136" s="256">
        <v>145.95549484888568</v>
      </c>
      <c r="CD136" s="256">
        <v>155.21461918104043</v>
      </c>
      <c r="CE136" s="256">
        <v>170.62242777733817</v>
      </c>
      <c r="CF136" s="256">
        <v>182.86652599085465</v>
      </c>
      <c r="CG136" s="256">
        <v>184.54511749137339</v>
      </c>
      <c r="CH136" s="256">
        <v>195.86963366599741</v>
      </c>
      <c r="CJ136" s="751" t="s">
        <v>1352</v>
      </c>
      <c r="CK136" s="145" t="s">
        <v>1503</v>
      </c>
      <c r="CL136" s="752" t="s">
        <v>961</v>
      </c>
      <c r="CM136" s="758">
        <f>_xll.VAData($CJ136,CM$3,$CK136,$CL136)</f>
        <v>-41.7</v>
      </c>
      <c r="CN136" s="758">
        <f>_xll.VAData($CJ136,CN$3,$CK136,$CL136)</f>
        <v>11.5</v>
      </c>
      <c r="CO136" s="758">
        <f>_xll.VAData($CJ136,CO$3,$CK136,$CL136)</f>
        <v>60.3</v>
      </c>
      <c r="CP136" s="758">
        <f>_xll.VAData($CJ136,CP$3,$CK136,$CL136)</f>
        <v>56.2</v>
      </c>
      <c r="CQ136" s="758">
        <f>_xll.VAData($CJ136,CQ$3,$CK136,$CL136)</f>
        <v>26.3</v>
      </c>
      <c r="CR136" s="758">
        <f>_xll.VAData($CJ136,CR$3,$CK136,$CL136)</f>
        <v>25.7</v>
      </c>
      <c r="CS136" s="758">
        <f>_xll.VAData($CJ136,CS$3,$CK136,$CL136)</f>
        <v>46.204984153251601</v>
      </c>
      <c r="CT136" s="758">
        <f>_xll.VAData($CJ136,CT$3,$CK136,$CL136)</f>
        <v>54.8</v>
      </c>
      <c r="CU136" s="758">
        <f>_xll.VAData($CJ136,CU$3,$CK136,$CL136)</f>
        <v>62.7</v>
      </c>
      <c r="CV136" s="758">
        <f>_xll.VAData($CJ136,CV$3,$CK136,$CL136)</f>
        <v>66.8</v>
      </c>
      <c r="CW136" s="758">
        <f>_xll.VAData($CJ136,CW$3,$CK136,$CL136)</f>
        <v>88.909109690978909</v>
      </c>
      <c r="CX136" s="758">
        <f>_xll.VAData($CJ136,CX$3,$CK136,$CL136)</f>
        <v>64.511527995814106</v>
      </c>
      <c r="CY136" s="758">
        <f>_xll.VAData($CJ136,CY$3,$CK136,$CL136)</f>
        <v>96.756754126748518</v>
      </c>
      <c r="CZ136" s="758">
        <f>_xll.VAData($CJ136,CZ$3,$CK136,$CL136)</f>
        <v>73.992278071065613</v>
      </c>
      <c r="DA136" s="758">
        <f>_xll.VAData($CJ136,DA$3,$CK136,$CL136)</f>
        <v>106.87413559297769</v>
      </c>
      <c r="DB136" s="758">
        <f>_xll.VAData($CJ136,DB$3,$CK136,$CL136)</f>
        <v>82.697871822197669</v>
      </c>
      <c r="DC136" s="758">
        <f>_xll.VAData($CJ136,DC$3,$CK136,$CL136)</f>
        <v>117.26992375399951</v>
      </c>
      <c r="DD136" s="758">
        <f>_xll.VAData($CJ136,DD$3,$CK136,$CL136)</f>
        <v>92.703145778903746</v>
      </c>
      <c r="DE136" s="758">
        <f>_xll.VAData($CJ136,DE$3,$CK136,$CL136)</f>
        <v>133.26919462631651</v>
      </c>
      <c r="DF136" s="758">
        <f>_xll.VAData($CJ136,DF$3,$CK136,$CL136)</f>
        <v>105.82374931457944</v>
      </c>
      <c r="DG136" s="758">
        <f>_xll.VAData($CJ136,DG$3,$CK136,$CL136)</f>
        <v>141.76227216049725</v>
      </c>
      <c r="DH136" s="758">
        <f>_xll.VAData($CJ136,DH$3,$CK136,$CL136)</f>
        <v>112.98458831307053</v>
      </c>
      <c r="DI136" s="758">
        <f>_xll.VAData($CJ136,DI$3,$CK136,$CL136)</f>
        <v>146.36507308616424</v>
      </c>
      <c r="DJ136" s="758">
        <f>_xll.VAData($CJ136,DJ$3,$CK136,$CL136)</f>
        <v>120.63299386098851</v>
      </c>
      <c r="DK136" s="758">
        <f>_xll.VAData($CJ136,DK$3,$CK136,$CL136)</f>
        <v>157.39491655003175</v>
      </c>
      <c r="DL136" s="758">
        <f>_xll.VAData($CJ136,DL$3,$CK136,$CL136)</f>
        <v>129.20863392013575</v>
      </c>
      <c r="DN136" s="758">
        <f>_xll.VAData($CJ136,DN$3,$CK136,$CL136)</f>
        <v>-30.2</v>
      </c>
      <c r="DO136" s="758">
        <f>_xll.VAData($CJ136,DO$3,$CK136,$CL136)</f>
        <v>115.3</v>
      </c>
      <c r="DP136" s="758">
        <f>_xll.VAData($CJ136,DP$3,$CK136,$CL136)</f>
        <v>52</v>
      </c>
      <c r="DQ136" s="758">
        <f>_xll.VAData($CJ136,DQ$3,$CK136,$CL136)</f>
        <v>101</v>
      </c>
      <c r="DR136" s="758">
        <f>_xll.VAData($CJ136,DR$3,$CK136,$CL136)</f>
        <v>129.5</v>
      </c>
      <c r="DS136" s="758">
        <f>_xll.VAData($CJ136,DS$3,$CK136,$CL136)</f>
        <v>153.4206376867929</v>
      </c>
      <c r="DT136" s="758">
        <f>_xll.VAData($CJ136,DT$3,$CK136,$CL136)</f>
        <v>171.53338766631299</v>
      </c>
      <c r="DU136" s="758">
        <f>_xll.VAData($CJ136,DU$3,$CK136,$CL136)</f>
        <v>191.61999750391411</v>
      </c>
      <c r="DV136" s="758">
        <f>_xll.VAData($CJ136,DV$3,$CK136,$CL136)</f>
        <v>212.04562934720695</v>
      </c>
      <c r="DW136" s="758">
        <f>_xll.VAData($CJ136,DW$3,$CK136,$CL136)</f>
        <v>240.73479564492339</v>
      </c>
      <c r="DX136" s="758">
        <f>_xll.VAData($CJ136,DX$3,$CK136,$CL136)</f>
        <v>258.4420057125804</v>
      </c>
      <c r="DY136" s="758">
        <f>_xll.VAData($CJ136,DY$3,$CK136,$CL136)</f>
        <v>271.10120041578199</v>
      </c>
      <c r="DZ136" s="758">
        <f>_xll.VAData($CJ136,DZ$3,$CK136,$CL136)</f>
        <v>290.36632267591841</v>
      </c>
    </row>
    <row r="137" spans="2:130">
      <c r="B137" s="138" t="str">
        <f t="shared" si="110"/>
        <v>Tax</v>
      </c>
      <c r="C137" s="82" t="s">
        <v>900</v>
      </c>
      <c r="E137" s="7"/>
      <c r="F137" s="132">
        <f t="shared" si="111"/>
        <v>17.5</v>
      </c>
      <c r="G137" s="132">
        <f t="shared" si="112"/>
        <v>87.1</v>
      </c>
      <c r="H137" s="132">
        <f t="shared" si="113"/>
        <v>-11.8</v>
      </c>
      <c r="I137" s="132">
        <f t="shared" si="114"/>
        <v>-19.2</v>
      </c>
      <c r="J137" s="132">
        <f t="shared" si="115"/>
        <v>-8.6999999999999993</v>
      </c>
      <c r="K137" s="132">
        <f t="shared" si="116"/>
        <v>-15.3</v>
      </c>
      <c r="L137" s="132">
        <f t="shared" si="117"/>
        <v>-24.1</v>
      </c>
      <c r="M137" s="132">
        <f t="shared" si="118"/>
        <v>-17.162277700940173</v>
      </c>
      <c r="N137" s="132">
        <f t="shared" si="119"/>
        <v>-29.278587164414322</v>
      </c>
      <c r="O137" s="132">
        <f t="shared" si="120"/>
        <v>-20.362020314989</v>
      </c>
      <c r="P137" s="132">
        <f t="shared" si="121"/>
        <v>-32.380039939803709</v>
      </c>
      <c r="Q137" s="132">
        <f t="shared" si="122"/>
        <v>-22.731917725473423</v>
      </c>
      <c r="R137" s="132">
        <f t="shared" si="123"/>
        <v>-33.12979679663345</v>
      </c>
      <c r="S137" s="132">
        <f t="shared" si="124"/>
        <v>-24.579812742275337</v>
      </c>
      <c r="T137" s="132">
        <f t="shared" si="125"/>
        <v>-34.504243980689161</v>
      </c>
      <c r="U137" s="132">
        <f t="shared" si="126"/>
        <v>-25.8737048645797</v>
      </c>
      <c r="V137" s="132">
        <f t="shared" si="127"/>
        <v>-35.759145891460285</v>
      </c>
      <c r="W137" s="132">
        <f t="shared" si="128"/>
        <v>-26.59546456133387</v>
      </c>
      <c r="X137" s="132">
        <f t="shared" si="129"/>
        <v>-36.680326085900198</v>
      </c>
      <c r="Y137" s="132">
        <f t="shared" si="130"/>
        <v>-27.405394825293349</v>
      </c>
      <c r="Z137" s="132">
        <f t="shared" si="131"/>
        <v>-38.272303489946474</v>
      </c>
      <c r="AA137" s="132">
        <f t="shared" si="132"/>
        <v>-28.898477784259125</v>
      </c>
      <c r="AB137" s="132">
        <f t="shared" si="133"/>
        <v>-38.2404624685051</v>
      </c>
      <c r="AC137" s="132">
        <f t="shared" si="134"/>
        <v>-25.232106016581699</v>
      </c>
      <c r="AD137" s="132">
        <f t="shared" si="135"/>
        <v>-38.771858066045802</v>
      </c>
      <c r="AE137" s="132">
        <f t="shared" si="136"/>
        <v>-27.402200934996966</v>
      </c>
      <c r="AF137" s="132"/>
      <c r="AG137" s="132">
        <f t="shared" si="137"/>
        <v>12.1</v>
      </c>
      <c r="AH137" s="132">
        <f t="shared" si="138"/>
        <v>-31</v>
      </c>
      <c r="AI137" s="132">
        <f t="shared" si="139"/>
        <v>-24</v>
      </c>
      <c r="AJ137" s="132">
        <f t="shared" si="140"/>
        <v>-41.886051051228918</v>
      </c>
      <c r="AK137" s="132">
        <f t="shared" si="141"/>
        <v>-49.939625427870453</v>
      </c>
      <c r="AL137" s="132">
        <f t="shared" si="142"/>
        <v>-54.729167847895077</v>
      </c>
      <c r="AM137" s="132">
        <f t="shared" si="143"/>
        <v>-58.603186586619927</v>
      </c>
      <c r="AN137" s="132">
        <f t="shared" si="144"/>
        <v>-62.63642391404592</v>
      </c>
      <c r="AO137" s="132">
        <f t="shared" si="145"/>
        <v>-65.639178397013637</v>
      </c>
      <c r="AP137" s="132">
        <f t="shared" si="146"/>
        <v>-69.699246749697707</v>
      </c>
      <c r="AQ137" s="132">
        <f t="shared" si="147"/>
        <v>-73.920549601122602</v>
      </c>
      <c r="AR137" s="132">
        <f t="shared" si="148"/>
        <v>-75.781511135741439</v>
      </c>
      <c r="AS137" s="132">
        <f t="shared" si="149"/>
        <v>-79.912037089981325</v>
      </c>
      <c r="AU137" s="256">
        <v>17.5</v>
      </c>
      <c r="AV137" s="256">
        <v>87.1</v>
      </c>
      <c r="AW137" s="256">
        <v>-11.8</v>
      </c>
      <c r="AX137" s="256">
        <v>-19.2</v>
      </c>
      <c r="AY137" s="256">
        <v>-8.6999999999999993</v>
      </c>
      <c r="AZ137" s="256">
        <v>-15.3</v>
      </c>
      <c r="BA137" s="256">
        <v>-24.1</v>
      </c>
      <c r="BB137" s="256">
        <v>-17.162277700940173</v>
      </c>
      <c r="BC137" s="256">
        <v>-29.278587164414322</v>
      </c>
      <c r="BD137" s="256">
        <v>-20.362020314989</v>
      </c>
      <c r="BE137" s="256">
        <v>-32.380039939803709</v>
      </c>
      <c r="BF137" s="256">
        <v>-22.731917725473423</v>
      </c>
      <c r="BG137" s="256">
        <v>-33.12979679663345</v>
      </c>
      <c r="BH137" s="256">
        <v>-24.579812742275337</v>
      </c>
      <c r="BI137" s="256">
        <v>-34.504243980689161</v>
      </c>
      <c r="BJ137" s="256">
        <v>-25.8737048645797</v>
      </c>
      <c r="BK137" s="256">
        <v>-35.759145891460285</v>
      </c>
      <c r="BL137" s="256">
        <v>-26.59546456133387</v>
      </c>
      <c r="BM137" s="256">
        <v>-36.680326085900198</v>
      </c>
      <c r="BN137" s="256">
        <v>-27.405394825293349</v>
      </c>
      <c r="BO137" s="256">
        <v>-38.272303489946474</v>
      </c>
      <c r="BP137" s="256">
        <v>-28.898477784259125</v>
      </c>
      <c r="BQ137" s="256">
        <v>-38.2404624685051</v>
      </c>
      <c r="BR137" s="256">
        <v>-25.232106016581699</v>
      </c>
      <c r="BS137" s="256">
        <v>-38.771858066045802</v>
      </c>
      <c r="BT137" s="256">
        <v>-27.402200934996966</v>
      </c>
      <c r="BV137" s="256">
        <v>12.1</v>
      </c>
      <c r="BW137" s="256">
        <v>-31</v>
      </c>
      <c r="BX137" s="256">
        <v>-24</v>
      </c>
      <c r="BY137" s="256">
        <v>-41.886051051228918</v>
      </c>
      <c r="BZ137" s="256">
        <v>-49.939625427870453</v>
      </c>
      <c r="CA137" s="256">
        <v>-54.729167847895077</v>
      </c>
      <c r="CB137" s="256">
        <v>-58.603186586619927</v>
      </c>
      <c r="CC137" s="256">
        <v>-62.63642391404592</v>
      </c>
      <c r="CD137" s="256">
        <v>-65.639178397013637</v>
      </c>
      <c r="CE137" s="256">
        <v>-69.699246749697707</v>
      </c>
      <c r="CF137" s="256">
        <v>-73.920549601122602</v>
      </c>
      <c r="CG137" s="256">
        <v>-75.781511135741439</v>
      </c>
      <c r="CH137" s="256">
        <v>-79.912037089981325</v>
      </c>
      <c r="CJ137" s="751" t="s">
        <v>1352</v>
      </c>
      <c r="CK137" s="145" t="s">
        <v>1087</v>
      </c>
      <c r="CL137" s="752" t="s">
        <v>961</v>
      </c>
      <c r="CM137" s="753">
        <f>IFERROR(-_xll.VAData($CJ137,CM$3,$CK137,$CL137),"-")</f>
        <v>17.5</v>
      </c>
      <c r="CN137" s="753">
        <f>IFERROR(-_xll.VAData($CJ137,CN$3,$CK137,$CL137),"-")</f>
        <v>87.1</v>
      </c>
      <c r="CO137" s="753">
        <f>IFERROR(-_xll.VAData($CJ137,CO$3,$CK137,$CL137),"-")</f>
        <v>-11.8</v>
      </c>
      <c r="CP137" s="753">
        <f>IFERROR(-_xll.VAData($CJ137,CP$3,$CK137,$CL137),"-")</f>
        <v>-19.2</v>
      </c>
      <c r="CQ137" s="753">
        <f>IFERROR(-_xll.VAData($CJ137,CQ$3,$CK137,$CL137),"-")</f>
        <v>-8.6999999999999993</v>
      </c>
      <c r="CR137" s="753">
        <f>IFERROR(-_xll.VAData($CJ137,CR$3,$CK137,$CL137),"-")</f>
        <v>-15.3</v>
      </c>
      <c r="CS137" s="753">
        <f>IFERROR(-_xll.VAData($CJ137,CS$3,$CK137,$CL137),"-")</f>
        <v>-24.1</v>
      </c>
      <c r="CT137" s="753">
        <f>IFERROR(-_xll.VAData($CJ137,CT$3,$CK137,$CL137),"-")</f>
        <v>-27.4</v>
      </c>
      <c r="CU137" s="753">
        <f>IFERROR(-_xll.VAData($CJ137,CU$3,$CK137,$CL137),"-")</f>
        <v>-27</v>
      </c>
      <c r="CV137" s="753">
        <f>IFERROR(-_xll.VAData($CJ137,CV$3,$CK137,$CL137),"-")</f>
        <v>-31.4</v>
      </c>
      <c r="CW137" s="753">
        <f>IFERROR(-_xll.VAData($CJ137,CW$3,$CK137,$CL137),"-")</f>
        <v>-36.791242833675014</v>
      </c>
      <c r="CX137" s="753">
        <f>IFERROR(-_xll.VAData($CJ137,CX$3,$CK137,$CL137),"-")</f>
        <v>-29.009054355275733</v>
      </c>
      <c r="CY137" s="753">
        <f>IFERROR(-_xll.VAData($CJ137,CY$3,$CK137,$CL137),"-")</f>
        <v>-38.896870705805938</v>
      </c>
      <c r="CZ137" s="753">
        <f>IFERROR(-_xll.VAData($CJ137,CZ$3,$CK137,$CL137),"-")</f>
        <v>-31.948822406048961</v>
      </c>
      <c r="DA137" s="753">
        <f>IFERROR(-_xll.VAData($CJ137,DA$3,$CK137,$CL137),"-")</f>
        <v>-41.924109360811649</v>
      </c>
      <c r="DB137" s="753">
        <f>IFERROR(-_xll.VAData($CJ137,DB$3,$CK137,$CL137),"-")</f>
        <v>-34.508580617590127</v>
      </c>
      <c r="DC137" s="753">
        <f>IFERROR(-_xll.VAData($CJ137,DC$3,$CK137,$CL137),"-")</f>
        <v>-44.992497454534714</v>
      </c>
      <c r="DD137" s="753">
        <f>IFERROR(-_xll.VAData($CJ137,DD$3,$CK137,$CL137),"-")</f>
        <v>-37.472338632341888</v>
      </c>
      <c r="DE137" s="753">
        <f>IFERROR(-_xll.VAData($CJ137,DE$3,$CK137,$CL137),"-")</f>
        <v>-49.837799189844752</v>
      </c>
      <c r="DF137" s="753">
        <f>IFERROR(-_xll.VAData($CJ137,DF$3,$CK137,$CL137),"-")</f>
        <v>-41.641641290810128</v>
      </c>
      <c r="DG137" s="753">
        <f>IFERROR(-_xll.VAData($CJ137,DG$3,$CK137,$CL137),"-")</f>
        <v>-52.454906099255126</v>
      </c>
      <c r="DH137" s="753">
        <f>IFERROR(-_xll.VAData($CJ137,DH$3,$CK137,$CL137),"-")</f>
        <v>-43.921106949537901</v>
      </c>
      <c r="DI137" s="753">
        <f>IFERROR(-_xll.VAData($CJ137,DI$3,$CK137,$CL137),"-")</f>
        <v>-53.929495899749476</v>
      </c>
      <c r="DJ137" s="753">
        <f>IFERROR(-_xll.VAData($CJ137,DJ$3,$CK137,$CL137),"-")</f>
        <v>-46.319075777135652</v>
      </c>
      <c r="DK137" s="753">
        <f>IFERROR(-_xll.VAData($CJ137,DK$3,$CK137,$CL137),"-")</f>
        <v>-54.186790492639922</v>
      </c>
      <c r="DL137" s="753">
        <f>IFERROR(-_xll.VAData($CJ137,DL$3,$CK137,$CL137),"-")</f>
        <v>-45.658256537459749</v>
      </c>
      <c r="DN137" s="753">
        <f>IFERROR(-_xll.VAData($CJ137,DN$3,$CK137,$CL137),"-")</f>
        <v>12.1</v>
      </c>
      <c r="DO137" s="753">
        <f>IFERROR(-_xll.VAData($CJ137,DO$3,$CK137,$CL137),"-")</f>
        <v>-31</v>
      </c>
      <c r="DP137" s="753">
        <f>IFERROR(-_xll.VAData($CJ137,DP$3,$CK137,$CL137),"-")</f>
        <v>-24</v>
      </c>
      <c r="DQ137" s="753">
        <f>IFERROR(-_xll.VAData($CJ137,DQ$3,$CK137,$CL137),"-")</f>
        <v>-51.5</v>
      </c>
      <c r="DR137" s="753">
        <f>IFERROR(-_xll.VAData($CJ137,DR$3,$CK137,$CL137),"-")</f>
        <v>-58.4</v>
      </c>
      <c r="DS137" s="753">
        <f>IFERROR(-_xll.VAData($CJ137,DS$3,$CK137,$CL137),"-")</f>
        <v>-65.800297188950751</v>
      </c>
      <c r="DT137" s="753">
        <f>IFERROR(-_xll.VAData($CJ137,DT$3,$CK137,$CL137),"-")</f>
        <v>-71.371895052911299</v>
      </c>
      <c r="DU137" s="753">
        <f>IFERROR(-_xll.VAData($CJ137,DU$3,$CK137,$CL137),"-")</f>
        <v>-77.361412764714515</v>
      </c>
      <c r="DV137" s="753">
        <f>IFERROR(-_xll.VAData($CJ137,DV$3,$CK137,$CL137),"-")</f>
        <v>-83.42218351031245</v>
      </c>
      <c r="DW137" s="753">
        <f>IFERROR(-_xll.VAData($CJ137,DW$3,$CK137,$CL137),"-")</f>
        <v>-92.538986734646954</v>
      </c>
      <c r="DX137" s="753">
        <f>IFERROR(-_xll.VAData($CJ137,DX$3,$CK137,$CL137),"-")</f>
        <v>-98.037388225821104</v>
      </c>
      <c r="DY137" s="753">
        <f>IFERROR(-_xll.VAData($CJ137,DY$3,$CK137,$CL137),"-")</f>
        <v>-102.00719513321648</v>
      </c>
      <c r="DZ137" s="753">
        <f>IFERROR(-_xll.VAData($CJ137,DZ$3,$CK137,$CL137),"-")</f>
        <v>-102.77649972551386</v>
      </c>
    </row>
    <row r="138" spans="2:130">
      <c r="B138" s="138" t="str">
        <f t="shared" si="110"/>
        <v>NPAT from continuing operations before significant items</v>
      </c>
      <c r="C138" s="82" t="s">
        <v>900</v>
      </c>
      <c r="E138" s="7"/>
      <c r="F138" s="132">
        <f t="shared" si="111"/>
        <v>186.5</v>
      </c>
      <c r="G138" s="132">
        <f t="shared" si="112"/>
        <v>175.4</v>
      </c>
      <c r="H138" s="132">
        <f t="shared" si="113"/>
        <v>47.3</v>
      </c>
      <c r="I138" s="132">
        <f t="shared" si="114"/>
        <v>37</v>
      </c>
      <c r="J138" s="132">
        <f t="shared" si="115"/>
        <v>17.600000000000001</v>
      </c>
      <c r="K138" s="132">
        <f t="shared" si="116"/>
        <v>10.4</v>
      </c>
      <c r="L138" s="132">
        <f t="shared" si="117"/>
        <v>22.1</v>
      </c>
      <c r="M138" s="132">
        <f t="shared" si="118"/>
        <v>14.329289925482467</v>
      </c>
      <c r="N138" s="132">
        <f t="shared" si="119"/>
        <v>37.498132276685197</v>
      </c>
      <c r="O138" s="132">
        <f t="shared" si="120"/>
        <v>22.033491705970146</v>
      </c>
      <c r="P138" s="132">
        <f t="shared" si="121"/>
        <v>42.635686048259814</v>
      </c>
      <c r="Q138" s="132">
        <f t="shared" si="122"/>
        <v>26.251666309933249</v>
      </c>
      <c r="R138" s="132">
        <f t="shared" si="123"/>
        <v>44.306971142173275</v>
      </c>
      <c r="S138" s="132">
        <f t="shared" si="124"/>
        <v>31.136261411878589</v>
      </c>
      <c r="T138" s="132">
        <f t="shared" si="125"/>
        <v>46.892660541889953</v>
      </c>
      <c r="U138" s="132">
        <f t="shared" si="126"/>
        <v>33.518183674881264</v>
      </c>
      <c r="V138" s="132">
        <f t="shared" si="127"/>
        <v>49.206707762035727</v>
      </c>
      <c r="W138" s="132">
        <f t="shared" si="128"/>
        <v>36.263813041714499</v>
      </c>
      <c r="X138" s="132">
        <f t="shared" si="129"/>
        <v>53.790384292765602</v>
      </c>
      <c r="Y138" s="132">
        <f t="shared" si="130"/>
        <v>41.532961544911323</v>
      </c>
      <c r="Z138" s="132">
        <f t="shared" si="131"/>
        <v>56.761235377644397</v>
      </c>
      <c r="AA138" s="132">
        <f t="shared" si="132"/>
        <v>44.342661572087103</v>
      </c>
      <c r="AB138" s="132">
        <f t="shared" si="133"/>
        <v>53.47189003137477</v>
      </c>
      <c r="AC138" s="132">
        <f t="shared" si="134"/>
        <v>35.944592145016067</v>
      </c>
      <c r="AD138" s="132">
        <f t="shared" si="135"/>
        <v>53.578635702440366</v>
      </c>
      <c r="AE138" s="132">
        <f t="shared" si="136"/>
        <v>40.050974494749603</v>
      </c>
      <c r="AF138" s="132"/>
      <c r="AG138" s="132">
        <f t="shared" si="137"/>
        <v>362.4</v>
      </c>
      <c r="AH138" s="132">
        <f t="shared" si="138"/>
        <v>84.3</v>
      </c>
      <c r="AI138" s="132">
        <f t="shared" si="139"/>
        <v>28</v>
      </c>
      <c r="AJ138" s="132">
        <f t="shared" si="140"/>
        <v>37.05727410565148</v>
      </c>
      <c r="AK138" s="132">
        <f t="shared" si="141"/>
        <v>60.01111332444335</v>
      </c>
      <c r="AL138" s="132">
        <f t="shared" si="142"/>
        <v>69.691226046092154</v>
      </c>
      <c r="AM138" s="132">
        <f t="shared" si="143"/>
        <v>76.546482715822364</v>
      </c>
      <c r="AN138" s="132">
        <f t="shared" si="144"/>
        <v>83.578252134839829</v>
      </c>
      <c r="AO138" s="132">
        <f t="shared" si="145"/>
        <v>89.866957255138061</v>
      </c>
      <c r="AP138" s="132">
        <f t="shared" si="146"/>
        <v>101.19920122844063</v>
      </c>
      <c r="AQ138" s="132">
        <f t="shared" si="147"/>
        <v>109.2275169945479</v>
      </c>
      <c r="AR138" s="132">
        <f t="shared" si="148"/>
        <v>109.10821205592674</v>
      </c>
      <c r="AS138" s="132">
        <f t="shared" si="149"/>
        <v>116.3090943903167</v>
      </c>
      <c r="AU138" s="256">
        <v>186.5</v>
      </c>
      <c r="AV138" s="256">
        <v>175.4</v>
      </c>
      <c r="AW138" s="256">
        <v>47.3</v>
      </c>
      <c r="AX138" s="256">
        <v>37</v>
      </c>
      <c r="AY138" s="256">
        <v>17.600000000000001</v>
      </c>
      <c r="AZ138" s="256">
        <v>10.4</v>
      </c>
      <c r="BA138" s="256">
        <v>22.1</v>
      </c>
      <c r="BB138" s="256">
        <v>14.329289925482467</v>
      </c>
      <c r="BC138" s="256">
        <v>37.498132276685197</v>
      </c>
      <c r="BD138" s="256">
        <v>22.033491705970146</v>
      </c>
      <c r="BE138" s="256">
        <v>42.635686048259814</v>
      </c>
      <c r="BF138" s="256">
        <v>26.251666309933249</v>
      </c>
      <c r="BG138" s="256">
        <v>44.306971142173275</v>
      </c>
      <c r="BH138" s="256">
        <v>31.136261411878589</v>
      </c>
      <c r="BI138" s="256">
        <v>46.892660541889953</v>
      </c>
      <c r="BJ138" s="256">
        <v>33.518183674881264</v>
      </c>
      <c r="BK138" s="256">
        <v>49.206707762035727</v>
      </c>
      <c r="BL138" s="256">
        <v>36.263813041714499</v>
      </c>
      <c r="BM138" s="256">
        <v>53.790384292765602</v>
      </c>
      <c r="BN138" s="256">
        <v>41.532961544911323</v>
      </c>
      <c r="BO138" s="256">
        <v>56.761235377644397</v>
      </c>
      <c r="BP138" s="256">
        <v>44.342661572087103</v>
      </c>
      <c r="BQ138" s="256">
        <v>53.47189003137477</v>
      </c>
      <c r="BR138" s="256">
        <v>35.944592145016067</v>
      </c>
      <c r="BS138" s="256">
        <v>53.578635702440366</v>
      </c>
      <c r="BT138" s="256">
        <v>40.050974494749603</v>
      </c>
      <c r="BV138" s="256">
        <v>362.4</v>
      </c>
      <c r="BW138" s="256">
        <v>84.3</v>
      </c>
      <c r="BX138" s="256">
        <v>28</v>
      </c>
      <c r="BY138" s="256">
        <v>37.05727410565148</v>
      </c>
      <c r="BZ138" s="256">
        <v>60.01111332444335</v>
      </c>
      <c r="CA138" s="256">
        <v>69.691226046092154</v>
      </c>
      <c r="CB138" s="256">
        <v>76.546482715822364</v>
      </c>
      <c r="CC138" s="256">
        <v>83.578252134839829</v>
      </c>
      <c r="CD138" s="256">
        <v>89.866957255138061</v>
      </c>
      <c r="CE138" s="256">
        <v>101.19920122844063</v>
      </c>
      <c r="CF138" s="256">
        <v>109.2275169945479</v>
      </c>
      <c r="CG138" s="256">
        <v>109.10821205592674</v>
      </c>
      <c r="CH138" s="256">
        <v>116.3090943903167</v>
      </c>
      <c r="CJ138" s="751" t="s">
        <v>1352</v>
      </c>
      <c r="CK138" s="145" t="s">
        <v>1088</v>
      </c>
      <c r="CL138" s="752" t="s">
        <v>961</v>
      </c>
      <c r="CM138" s="758">
        <f>_xll.VAData($CJ138,CM$3,$CK138,$CL138)</f>
        <v>186.5</v>
      </c>
      <c r="CN138" s="758">
        <f>_xll.VAData($CJ138,CN$3,$CK138,$CL138)</f>
        <v>175.4</v>
      </c>
      <c r="CO138" s="758">
        <f>_xll.VAData($CJ138,CO$3,$CK138,$CL138)</f>
        <v>47.3</v>
      </c>
      <c r="CP138" s="758">
        <f>_xll.VAData($CJ138,CP$3,$CK138,$CL138)</f>
        <v>37</v>
      </c>
      <c r="CQ138" s="758">
        <f>_xll.VAData($CJ138,CQ$3,$CK138,$CL138)</f>
        <v>17.600000000000001</v>
      </c>
      <c r="CR138" s="758">
        <f>_xll.VAData($CJ138,CR$3,$CK138,$CL138)</f>
        <v>10.4</v>
      </c>
      <c r="CS138" s="758">
        <f>_xll.VAData($CJ138,CS$3,$CK138,$CL138)</f>
        <v>22.1</v>
      </c>
      <c r="CT138" s="758">
        <f>_xll.VAData($CJ138,CT$3,$CK138,$CL138)</f>
        <v>27.4</v>
      </c>
      <c r="CU138" s="758">
        <f>_xll.VAData($CJ138,CU$3,$CK138,$CL138)</f>
        <v>35.700000000000003</v>
      </c>
      <c r="CV138" s="758">
        <f>_xll.VAData($CJ138,CV$3,$CK138,$CL138)</f>
        <v>35.4</v>
      </c>
      <c r="CW138" s="758">
        <f>_xll.VAData($CJ138,CW$3,$CK138,$CL138)</f>
        <v>52.20675574619279</v>
      </c>
      <c r="CX138" s="758">
        <f>_xll.VAData($CJ138,CX$3,$CK138,$CL138)</f>
        <v>36.058029196093933</v>
      </c>
      <c r="CY138" s="758">
        <f>_xll.VAData($CJ138,CY$3,$CK138,$CL138)</f>
        <v>57.797383420942523</v>
      </c>
      <c r="CZ138" s="758">
        <f>_xll.VAData($CJ138,CZ$3,$CK138,$CL138)</f>
        <v>42.240955665016699</v>
      </c>
      <c r="DA138" s="758">
        <f>_xll.VAData($CJ138,DA$3,$CK138,$CL138)</f>
        <v>65.012526232165925</v>
      </c>
      <c r="DB138" s="758">
        <f>_xll.VAData($CJ138,DB$3,$CK138,$CL138)</f>
        <v>48.425291204607575</v>
      </c>
      <c r="DC138" s="758">
        <f>_xll.VAData($CJ138,DC$3,$CK138,$CL138)</f>
        <v>72.364926299464727</v>
      </c>
      <c r="DD138" s="758">
        <f>_xll.VAData($CJ138,DD$3,$CK138,$CL138)</f>
        <v>55.509157146561925</v>
      </c>
      <c r="DE138" s="758">
        <f>_xll.VAData($CJ138,DE$3,$CK138,$CL138)</f>
        <v>84.036395436471807</v>
      </c>
      <c r="DF138" s="758">
        <f>_xll.VAData($CJ138,DF$3,$CK138,$CL138)</f>
        <v>65.206978023769153</v>
      </c>
      <c r="DG138" s="758">
        <f>_xll.VAData($CJ138,DG$3,$CK138,$CL138)</f>
        <v>89.97286606124203</v>
      </c>
      <c r="DH138" s="758">
        <f>_xll.VAData($CJ138,DH$3,$CK138,$CL138)</f>
        <v>70.19083836353262</v>
      </c>
      <c r="DI138" s="758">
        <f>_xll.VAData($CJ138,DI$3,$CK138,$CL138)</f>
        <v>93.167627186414848</v>
      </c>
      <c r="DJ138" s="758">
        <f>_xll.VAData($CJ138,DJ$3,$CK138,$CL138)</f>
        <v>75.554010783852846</v>
      </c>
      <c r="DK138" s="758">
        <f>_xll.VAData($CJ138,DK$3,$CK138,$CL138)</f>
        <v>104.01338105739163</v>
      </c>
      <c r="DL138" s="758">
        <f>_xll.VAData($CJ138,DL$3,$CK138,$CL138)</f>
        <v>84.914479352675869</v>
      </c>
      <c r="DN138" s="758">
        <f>_xll.VAData($CJ138,DN$3,$CK138,$CL138)</f>
        <v>362.4</v>
      </c>
      <c r="DO138" s="758">
        <f>_xll.VAData($CJ138,DO$3,$CK138,$CL138)</f>
        <v>84.3</v>
      </c>
      <c r="DP138" s="758">
        <f>_xll.VAData($CJ138,DP$3,$CK138,$CL138)</f>
        <v>28</v>
      </c>
      <c r="DQ138" s="758">
        <f>_xll.VAData($CJ138,DQ$3,$CK138,$CL138)</f>
        <v>49.5</v>
      </c>
      <c r="DR138" s="758">
        <f>_xll.VAData($CJ138,DR$3,$CK138,$CL138)</f>
        <v>71.099999999999994</v>
      </c>
      <c r="DS138" s="758">
        <f>_xll.VAData($CJ138,DS$3,$CK138,$CL138)</f>
        <v>88.264784942286738</v>
      </c>
      <c r="DT138" s="758">
        <f>_xll.VAData($CJ138,DT$3,$CK138,$CL138)</f>
        <v>101.014825946735</v>
      </c>
      <c r="DU138" s="758">
        <f>_xll.VAData($CJ138,DU$3,$CK138,$CL138)</f>
        <v>115.33058473919968</v>
      </c>
      <c r="DV138" s="758">
        <f>_xll.VAData($CJ138,DV$3,$CK138,$CL138)</f>
        <v>129.83597917022777</v>
      </c>
      <c r="DW138" s="758">
        <f>_xll.VAData($CJ138,DW$3,$CK138,$CL138)</f>
        <v>151.2566249102764</v>
      </c>
      <c r="DX138" s="758">
        <f>_xll.VAData($CJ138,DX$3,$CK138,$CL138)</f>
        <v>163.77151508675959</v>
      </c>
      <c r="DY138" s="758">
        <f>_xll.VAData($CJ138,DY$3,$CK138,$CL138)</f>
        <v>172.7975926425658</v>
      </c>
      <c r="DZ138" s="758">
        <f>_xll.VAData($CJ138,DZ$3,$CK138,$CL138)</f>
        <v>191.66376904640441</v>
      </c>
    </row>
    <row r="139" spans="2:130">
      <c r="B139" s="138" t="str">
        <f t="shared" si="110"/>
        <v>Statutory NPAT</v>
      </c>
      <c r="C139" s="82" t="s">
        <v>900</v>
      </c>
      <c r="E139" s="7"/>
      <c r="F139" s="132">
        <f t="shared" si="111"/>
        <v>174.5</v>
      </c>
      <c r="G139" s="132">
        <f t="shared" si="112"/>
        <v>6601.4</v>
      </c>
      <c r="H139" s="132">
        <f t="shared" si="113"/>
        <v>51.7</v>
      </c>
      <c r="I139" s="132">
        <f t="shared" si="114"/>
        <v>14.8</v>
      </c>
      <c r="J139" s="132">
        <f t="shared" si="115"/>
        <v>-636.79999999999995</v>
      </c>
      <c r="K139" s="132">
        <f t="shared" si="116"/>
        <v>-722.9</v>
      </c>
      <c r="L139" s="132">
        <f t="shared" si="117"/>
        <v>25.3</v>
      </c>
      <c r="M139" s="132">
        <f t="shared" si="118"/>
        <v>10.779289925482468</v>
      </c>
      <c r="N139" s="132">
        <f t="shared" si="119"/>
        <v>36.664798943351869</v>
      </c>
      <c r="O139" s="132">
        <f t="shared" si="120"/>
        <v>20.45015837263681</v>
      </c>
      <c r="P139" s="132">
        <f t="shared" si="121"/>
        <v>41.802352714926478</v>
      </c>
      <c r="Q139" s="132">
        <f t="shared" si="122"/>
        <v>24.668332976599924</v>
      </c>
      <c r="R139" s="132">
        <f t="shared" si="123"/>
        <v>44.306971142173275</v>
      </c>
      <c r="S139" s="132">
        <f t="shared" si="124"/>
        <v>31.136261411878589</v>
      </c>
      <c r="T139" s="132">
        <f t="shared" si="125"/>
        <v>46.892660541889953</v>
      </c>
      <c r="U139" s="132">
        <f t="shared" si="126"/>
        <v>33.518183674881264</v>
      </c>
      <c r="V139" s="132">
        <f t="shared" si="127"/>
        <v>49.206707762035727</v>
      </c>
      <c r="W139" s="132">
        <f t="shared" si="128"/>
        <v>36.263813041714499</v>
      </c>
      <c r="X139" s="132">
        <f t="shared" si="129"/>
        <v>53.790384292765602</v>
      </c>
      <c r="Y139" s="132">
        <f t="shared" si="130"/>
        <v>41.532961544911323</v>
      </c>
      <c r="Z139" s="132">
        <f t="shared" si="131"/>
        <v>56.761235377644397</v>
      </c>
      <c r="AA139" s="132">
        <f t="shared" si="132"/>
        <v>44.342661572087103</v>
      </c>
      <c r="AB139" s="132">
        <f t="shared" si="133"/>
        <v>53.47189003137477</v>
      </c>
      <c r="AC139" s="132">
        <f t="shared" si="134"/>
        <v>35.944592145016067</v>
      </c>
      <c r="AD139" s="132">
        <f t="shared" si="135"/>
        <v>53.578635702440366</v>
      </c>
      <c r="AE139" s="132">
        <f t="shared" si="136"/>
        <v>40.050974494749603</v>
      </c>
      <c r="AF139" s="132"/>
      <c r="AG139" s="132">
        <f t="shared" si="137"/>
        <v>6775.9</v>
      </c>
      <c r="AH139" s="132">
        <f t="shared" si="138"/>
        <v>66.5</v>
      </c>
      <c r="AI139" s="132">
        <f t="shared" si="139"/>
        <v>-1359.7</v>
      </c>
      <c r="AJ139" s="132">
        <f t="shared" si="140"/>
        <v>36.742274105651489</v>
      </c>
      <c r="AK139" s="132">
        <f t="shared" si="141"/>
        <v>57.836113324443353</v>
      </c>
      <c r="AL139" s="132">
        <f t="shared" si="142"/>
        <v>67.516226046092157</v>
      </c>
      <c r="AM139" s="132">
        <f t="shared" si="143"/>
        <v>76.546482715822364</v>
      </c>
      <c r="AN139" s="132">
        <f t="shared" si="144"/>
        <v>83.578252134839829</v>
      </c>
      <c r="AO139" s="132">
        <f t="shared" si="145"/>
        <v>89.866957255138061</v>
      </c>
      <c r="AP139" s="132">
        <f t="shared" si="146"/>
        <v>101.19920122844063</v>
      </c>
      <c r="AQ139" s="132">
        <f t="shared" si="147"/>
        <v>109.2275169945479</v>
      </c>
      <c r="AR139" s="132">
        <f t="shared" si="148"/>
        <v>109.10821205592674</v>
      </c>
      <c r="AS139" s="132">
        <f t="shared" si="149"/>
        <v>116.3090943903167</v>
      </c>
      <c r="AU139" s="256">
        <v>174.5</v>
      </c>
      <c r="AV139" s="256">
        <v>6601.4</v>
      </c>
      <c r="AW139" s="256">
        <v>51.7</v>
      </c>
      <c r="AX139" s="256">
        <v>14.8</v>
      </c>
      <c r="AY139" s="256">
        <v>-636.79999999999995</v>
      </c>
      <c r="AZ139" s="256">
        <v>-722.9</v>
      </c>
      <c r="BA139" s="256">
        <v>25.3</v>
      </c>
      <c r="BB139" s="256">
        <v>10.779289925482468</v>
      </c>
      <c r="BC139" s="256">
        <v>36.664798943351869</v>
      </c>
      <c r="BD139" s="256">
        <v>20.45015837263681</v>
      </c>
      <c r="BE139" s="256">
        <v>41.802352714926478</v>
      </c>
      <c r="BF139" s="256">
        <v>24.668332976599924</v>
      </c>
      <c r="BG139" s="256">
        <v>44.306971142173275</v>
      </c>
      <c r="BH139" s="256">
        <v>31.136261411878589</v>
      </c>
      <c r="BI139" s="256">
        <v>46.892660541889953</v>
      </c>
      <c r="BJ139" s="256">
        <v>33.518183674881264</v>
      </c>
      <c r="BK139" s="256">
        <v>49.206707762035727</v>
      </c>
      <c r="BL139" s="256">
        <v>36.263813041714499</v>
      </c>
      <c r="BM139" s="256">
        <v>53.790384292765602</v>
      </c>
      <c r="BN139" s="256">
        <v>41.532961544911323</v>
      </c>
      <c r="BO139" s="256">
        <v>56.761235377644397</v>
      </c>
      <c r="BP139" s="256">
        <v>44.342661572087103</v>
      </c>
      <c r="BQ139" s="256">
        <v>53.47189003137477</v>
      </c>
      <c r="BR139" s="256">
        <v>35.944592145016067</v>
      </c>
      <c r="BS139" s="256">
        <v>53.578635702440366</v>
      </c>
      <c r="BT139" s="256">
        <v>40.050974494749603</v>
      </c>
      <c r="BV139" s="256">
        <v>6775.9</v>
      </c>
      <c r="BW139" s="256">
        <v>66.5</v>
      </c>
      <c r="BX139" s="256">
        <v>-1359.7</v>
      </c>
      <c r="BY139" s="256">
        <v>36.742274105651489</v>
      </c>
      <c r="BZ139" s="256">
        <v>57.836113324443353</v>
      </c>
      <c r="CA139" s="256">
        <v>67.516226046092157</v>
      </c>
      <c r="CB139" s="256">
        <v>76.546482715822364</v>
      </c>
      <c r="CC139" s="256">
        <v>83.578252134839829</v>
      </c>
      <c r="CD139" s="256">
        <v>89.866957255138061</v>
      </c>
      <c r="CE139" s="256">
        <v>101.19920122844063</v>
      </c>
      <c r="CF139" s="256">
        <v>109.2275169945479</v>
      </c>
      <c r="CG139" s="256">
        <v>109.10821205592674</v>
      </c>
      <c r="CH139" s="256">
        <v>116.3090943903167</v>
      </c>
      <c r="CJ139" s="751" t="s">
        <v>1352</v>
      </c>
      <c r="CK139" s="145" t="s">
        <v>1089</v>
      </c>
      <c r="CL139" s="752" t="s">
        <v>961</v>
      </c>
      <c r="CM139" s="758">
        <f>_xll.VAData($CJ139,CM$3,$CK139,$CL139)</f>
        <v>174.5</v>
      </c>
      <c r="CN139" s="758">
        <f>_xll.VAData($CJ139,CN$3,$CK139,$CL139)</f>
        <v>6601.4</v>
      </c>
      <c r="CO139" s="758">
        <f>_xll.VAData($CJ139,CO$3,$CK139,$CL139)</f>
        <v>51.7</v>
      </c>
      <c r="CP139" s="758">
        <f>_xll.VAData($CJ139,CP$3,$CK139,$CL139)</f>
        <v>14.8</v>
      </c>
      <c r="CQ139" s="758">
        <f>_xll.VAData($CJ139,CQ$3,$CK139,$CL139)</f>
        <v>-636.79999999999995</v>
      </c>
      <c r="CR139" s="758">
        <f>_xll.VAData($CJ139,CR$3,$CK139,$CL139)</f>
        <v>-722.9</v>
      </c>
      <c r="CS139" s="758">
        <f>_xll.VAData($CJ139,CS$3,$CK139,$CL139)</f>
        <v>25.3</v>
      </c>
      <c r="CT139" s="758">
        <f>_xll.VAData($CJ139,CT$3,$CK139,$CL139)</f>
        <v>11.3</v>
      </c>
      <c r="CU139" s="758">
        <f>_xll.VAData($CJ139,CU$3,$CK139,$CL139)</f>
        <v>21.7</v>
      </c>
      <c r="CV139" s="758">
        <f>_xll.VAData($CJ139,CV$3,$CK139,$CL139)</f>
        <v>24.6</v>
      </c>
      <c r="CW139" s="758">
        <f>_xll.VAData($CJ139,CW$3,$CK139,$CL139)</f>
        <v>47.946727437827825</v>
      </c>
      <c r="CX139" s="758">
        <f>_xll.VAData($CJ139,CX$3,$CK139,$CL139)</f>
        <v>31.028970952643235</v>
      </c>
      <c r="CY139" s="758">
        <f>_xll.VAData($CJ139,CY$3,$CK139,$CL139)</f>
        <v>55.667602000177503</v>
      </c>
      <c r="CZ139" s="758">
        <f>_xll.VAData($CJ139,CZ$3,$CK139,$CL139)</f>
        <v>40.745737085781727</v>
      </c>
      <c r="DA139" s="758">
        <f>_xll.VAData($CJ139,DA$3,$CK139,$CL139)</f>
        <v>65.012526232165925</v>
      </c>
      <c r="DB139" s="758">
        <f>_xll.VAData($CJ139,DB$3,$CK139,$CL139)</f>
        <v>48.425291204607575</v>
      </c>
      <c r="DC139" s="758">
        <f>_xll.VAData($CJ139,DC$3,$CK139,$CL139)</f>
        <v>72.364926299464727</v>
      </c>
      <c r="DD139" s="758">
        <f>_xll.VAData($CJ139,DD$3,$CK139,$CL139)</f>
        <v>55.509157146561925</v>
      </c>
      <c r="DE139" s="758">
        <f>_xll.VAData($CJ139,DE$3,$CK139,$CL139)</f>
        <v>84.036395436471807</v>
      </c>
      <c r="DF139" s="758">
        <f>_xll.VAData($CJ139,DF$3,$CK139,$CL139)</f>
        <v>65.206978023769153</v>
      </c>
      <c r="DG139" s="758">
        <f>_xll.VAData($CJ139,DG$3,$CK139,$CL139)</f>
        <v>89.97286606124203</v>
      </c>
      <c r="DH139" s="758">
        <f>_xll.VAData($CJ139,DH$3,$CK139,$CL139)</f>
        <v>70.19083836353262</v>
      </c>
      <c r="DI139" s="758">
        <f>_xll.VAData($CJ139,DI$3,$CK139,$CL139)</f>
        <v>93.167627186414848</v>
      </c>
      <c r="DJ139" s="758">
        <f>_xll.VAData($CJ139,DJ$3,$CK139,$CL139)</f>
        <v>75.554010783852846</v>
      </c>
      <c r="DK139" s="758">
        <f>_xll.VAData($CJ139,DK$3,$CK139,$CL139)</f>
        <v>104.01338105739163</v>
      </c>
      <c r="DL139" s="758">
        <f>_xll.VAData($CJ139,DL$3,$CK139,$CL139)</f>
        <v>84.914479352675869</v>
      </c>
      <c r="DN139" s="758">
        <f>_xll.VAData($CJ139,DN$3,$CK139,$CL139)</f>
        <v>6775.9</v>
      </c>
      <c r="DO139" s="758">
        <f>_xll.VAData($CJ139,DO$3,$CK139,$CL139)</f>
        <v>66.5</v>
      </c>
      <c r="DP139" s="758">
        <f>_xll.VAData($CJ139,DP$3,$CK139,$CL139)</f>
        <v>-1359.7</v>
      </c>
      <c r="DQ139" s="758">
        <f>_xll.VAData($CJ139,DQ$3,$CK139,$CL139)</f>
        <v>36.6</v>
      </c>
      <c r="DR139" s="758">
        <f>_xll.VAData($CJ139,DR$3,$CK139,$CL139)</f>
        <v>46.3</v>
      </c>
      <c r="DS139" s="758">
        <f>_xll.VAData($CJ139,DS$3,$CK139,$CL139)</f>
        <v>78.975698390471038</v>
      </c>
      <c r="DT139" s="758">
        <f>_xll.VAData($CJ139,DT$3,$CK139,$CL139)</f>
        <v>95.570381502290573</v>
      </c>
      <c r="DU139" s="758">
        <f>_xll.VAData($CJ139,DU$3,$CK139,$CL139)</f>
        <v>115.33058473919968</v>
      </c>
      <c r="DV139" s="758">
        <f>_xll.VAData($CJ139,DV$3,$CK139,$CL139)</f>
        <v>129.83597917022777</v>
      </c>
      <c r="DW139" s="758">
        <f>_xll.VAData($CJ139,DW$3,$CK139,$CL139)</f>
        <v>151.2566249102764</v>
      </c>
      <c r="DX139" s="758">
        <f>_xll.VAData($CJ139,DX$3,$CK139,$CL139)</f>
        <v>163.77151508675959</v>
      </c>
      <c r="DY139" s="758">
        <f>_xll.VAData($CJ139,DY$3,$CK139,$CL139)</f>
        <v>172.7975926425658</v>
      </c>
      <c r="DZ139" s="758">
        <f>_xll.VAData($CJ139,DZ$3,$CK139,$CL139)</f>
        <v>191.66376904640441</v>
      </c>
    </row>
    <row r="140" spans="2:130">
      <c r="B140" s="138" t="str">
        <f t="shared" si="110"/>
        <v>EPS (statutory)</v>
      </c>
      <c r="C140" s="82" t="s">
        <v>900</v>
      </c>
      <c r="E140" s="7"/>
      <c r="F140" s="132">
        <f t="shared" si="111"/>
        <v>5.1207792882424998</v>
      </c>
      <c r="G140" s="132">
        <f t="shared" si="112"/>
        <v>296.768472587985</v>
      </c>
      <c r="H140" s="132">
        <f t="shared" si="113"/>
        <v>2.2681407387908998</v>
      </c>
      <c r="I140" s="132">
        <f t="shared" si="114"/>
        <v>0.64929367377379998</v>
      </c>
      <c r="J140" s="132">
        <f t="shared" si="115"/>
        <v>-28.2</v>
      </c>
      <c r="K140" s="132">
        <f t="shared" si="116"/>
        <v>-31.4</v>
      </c>
      <c r="L140" s="132">
        <f t="shared" si="117"/>
        <v>1.1078762457883</v>
      </c>
      <c r="M140" s="132">
        <f t="shared" si="118"/>
        <v>0.61660142383289995</v>
      </c>
      <c r="N140" s="132">
        <f t="shared" si="119"/>
        <v>1.6077592587856</v>
      </c>
      <c r="O140" s="132">
        <f t="shared" si="120"/>
        <v>0.90031601495419999</v>
      </c>
      <c r="P140" s="132">
        <f t="shared" si="121"/>
        <v>1.8633989230478001</v>
      </c>
      <c r="Q140" s="132">
        <f t="shared" si="122"/>
        <v>1.1074524028391</v>
      </c>
      <c r="R140" s="132">
        <f t="shared" si="123"/>
        <v>1.9926317687462001</v>
      </c>
      <c r="S140" s="132">
        <f t="shared" si="124"/>
        <v>1.4333845773508</v>
      </c>
      <c r="T140" s="132">
        <f t="shared" si="125"/>
        <v>2.1170524853904</v>
      </c>
      <c r="U140" s="132">
        <f t="shared" si="126"/>
        <v>1.5427880718761</v>
      </c>
      <c r="V140" s="132">
        <f t="shared" si="127"/>
        <v>2.2344015482717001</v>
      </c>
      <c r="W140" s="132">
        <f t="shared" si="128"/>
        <v>1.6824186148572</v>
      </c>
      <c r="X140" s="132">
        <f t="shared" si="129"/>
        <v>2.5600835182154</v>
      </c>
      <c r="Y140" s="132">
        <f t="shared" si="130"/>
        <v>2.0644559754965002</v>
      </c>
      <c r="Z140" s="132">
        <f t="shared" si="131"/>
        <v>2.7083742473674999</v>
      </c>
      <c r="AA140" s="132">
        <f t="shared" si="132"/>
        <v>2.2097796325912</v>
      </c>
      <c r="AB140" s="132">
        <f t="shared" si="133"/>
        <v>2.6371558124062</v>
      </c>
      <c r="AC140" s="132">
        <f t="shared" si="134"/>
        <v>1.9313971291942</v>
      </c>
      <c r="AD140" s="132">
        <f t="shared" si="135"/>
        <v>2.7197328512879002</v>
      </c>
      <c r="AE140" s="132">
        <f t="shared" si="136"/>
        <v>2.1486908199494001</v>
      </c>
      <c r="AF140" s="132"/>
      <c r="AG140" s="132">
        <f t="shared" si="137"/>
        <v>304.60000000000002</v>
      </c>
      <c r="AH140" s="132">
        <f t="shared" si="138"/>
        <v>2.9324866599999999</v>
      </c>
      <c r="AI140" s="132">
        <f t="shared" si="139"/>
        <v>-59.568036449662699</v>
      </c>
      <c r="AJ140" s="132">
        <f t="shared" si="140"/>
        <v>1.5862914158001999</v>
      </c>
      <c r="AK140" s="132">
        <f t="shared" si="141"/>
        <v>2.5424740500155001</v>
      </c>
      <c r="AL140" s="132">
        <f t="shared" si="142"/>
        <v>3.0150492229090999</v>
      </c>
      <c r="AM140" s="132">
        <f t="shared" si="143"/>
        <v>3.4525142168820002</v>
      </c>
      <c r="AN140" s="132">
        <f t="shared" si="144"/>
        <v>3.7831523343959002</v>
      </c>
      <c r="AO140" s="132">
        <f t="shared" si="145"/>
        <v>4.0899019155131002</v>
      </c>
      <c r="AP140" s="132">
        <f t="shared" si="146"/>
        <v>4.7531947421189997</v>
      </c>
      <c r="AQ140" s="132">
        <f t="shared" si="147"/>
        <v>5.1487335801066001</v>
      </c>
      <c r="AR140" s="132">
        <f t="shared" si="148"/>
        <v>5.3199615048522997</v>
      </c>
      <c r="AS140" s="132">
        <f t="shared" si="149"/>
        <v>5.7256884663771999</v>
      </c>
      <c r="AU140" s="256">
        <v>5.1207792882424998</v>
      </c>
      <c r="AV140" s="256">
        <v>296.768472587985</v>
      </c>
      <c r="AW140" s="256">
        <v>2.2681407387908998</v>
      </c>
      <c r="AX140" s="256">
        <v>0.64929367377379998</v>
      </c>
      <c r="AY140" s="256">
        <v>-28.2</v>
      </c>
      <c r="AZ140" s="256">
        <v>-31.4</v>
      </c>
      <c r="BA140" s="256">
        <v>1.1078762457883</v>
      </c>
      <c r="BB140" s="256">
        <v>0.61660142383289995</v>
      </c>
      <c r="BC140" s="256">
        <v>1.6077592587856</v>
      </c>
      <c r="BD140" s="256">
        <v>0.90031601495419999</v>
      </c>
      <c r="BE140" s="256">
        <v>1.8633989230478001</v>
      </c>
      <c r="BF140" s="256">
        <v>1.1074524028391</v>
      </c>
      <c r="BG140" s="256">
        <v>1.9926317687462001</v>
      </c>
      <c r="BH140" s="256">
        <v>1.4333845773508</v>
      </c>
      <c r="BI140" s="256">
        <v>2.1170524853904</v>
      </c>
      <c r="BJ140" s="256">
        <v>1.5427880718761</v>
      </c>
      <c r="BK140" s="256">
        <v>2.2344015482717001</v>
      </c>
      <c r="BL140" s="256">
        <v>1.6824186148572</v>
      </c>
      <c r="BM140" s="256">
        <v>2.5600835182154</v>
      </c>
      <c r="BN140" s="256">
        <v>2.0644559754965002</v>
      </c>
      <c r="BO140" s="256">
        <v>2.7083742473674999</v>
      </c>
      <c r="BP140" s="256">
        <v>2.2097796325912</v>
      </c>
      <c r="BQ140" s="256">
        <v>2.6371558124062</v>
      </c>
      <c r="BR140" s="256">
        <v>1.9313971291942</v>
      </c>
      <c r="BS140" s="256">
        <v>2.7197328512879002</v>
      </c>
      <c r="BT140" s="256">
        <v>2.1486908199494001</v>
      </c>
      <c r="BV140" s="256">
        <v>304.60000000000002</v>
      </c>
      <c r="BW140" s="256">
        <v>2.9324866599999999</v>
      </c>
      <c r="BX140" s="256">
        <v>-59.568036449662699</v>
      </c>
      <c r="BY140" s="256">
        <v>1.5862914158001999</v>
      </c>
      <c r="BZ140" s="256">
        <v>2.5424740500155001</v>
      </c>
      <c r="CA140" s="256">
        <v>3.0150492229090999</v>
      </c>
      <c r="CB140" s="256">
        <v>3.4525142168820002</v>
      </c>
      <c r="CC140" s="256">
        <v>3.7831523343959002</v>
      </c>
      <c r="CD140" s="256">
        <v>4.0899019155131002</v>
      </c>
      <c r="CE140" s="256">
        <v>4.7531947421189997</v>
      </c>
      <c r="CF140" s="256">
        <v>5.1487335801066001</v>
      </c>
      <c r="CG140" s="256">
        <v>5.3199615048522997</v>
      </c>
      <c r="CH140" s="256">
        <v>5.7256884663771999</v>
      </c>
      <c r="CJ140" s="751" t="s">
        <v>1352</v>
      </c>
      <c r="CK140" s="145" t="s">
        <v>1353</v>
      </c>
      <c r="CL140" s="752" t="s">
        <v>961</v>
      </c>
      <c r="CM140" s="758">
        <f>_xll.VAData($CJ140,CM$3,$CK140,$CL140)</f>
        <v>7.8450265791894997</v>
      </c>
      <c r="CN140" s="758">
        <f>_xll.VAData($CJ140,CN$3,$CK140,$CL140)</f>
        <v>296.768472587985</v>
      </c>
      <c r="CO140" s="758">
        <f>_xll.VAData($CJ140,CO$3,$CK140,$CL140)</f>
        <v>2.2951765776564002</v>
      </c>
      <c r="CP140" s="758">
        <f>_xll.VAData($CJ140,CP$3,$CK140,$CL140)</f>
        <v>0.64899033766720005</v>
      </c>
      <c r="CQ140" s="758">
        <f>_xll.VAData($CJ140,CQ$3,$CK140,$CL140)</f>
        <v>-27.9063856453899</v>
      </c>
      <c r="CR140" s="758">
        <f>_xll.VAData($CJ140,CR$3,$CK140,$CL140)</f>
        <v>-31.6649566774657</v>
      </c>
      <c r="CS140" s="758">
        <f>_xll.VAData($CJ140,CS$3,$CK140,$CL140)</f>
        <v>1.1076013308728001</v>
      </c>
      <c r="CT140" s="758">
        <f>_xll.VAData($CJ140,CT$3,$CK140,$CL140)</f>
        <v>0.49441802387610001</v>
      </c>
      <c r="CU140" s="758">
        <f>_xll.VAData($CJ140,CU$3,$CK140,$CL140)</f>
        <v>0.94854456747240001</v>
      </c>
      <c r="CV140" s="758">
        <f>_xll.VAData($CJ140,CV$3,$CK140,$CL140)</f>
        <v>1.0738065737914999</v>
      </c>
      <c r="CW140" s="758">
        <f>_xll.VAData($CJ140,CW$3,$CK140,$CL140)</f>
        <v>2.0792082942621</v>
      </c>
      <c r="CX140" s="758">
        <f>_xll.VAData($CJ140,CX$3,$CK140,$CL140)</f>
        <v>1.3344580524608001</v>
      </c>
      <c r="CY140" s="758">
        <f>_xll.VAData($CJ140,CY$3,$CK140,$CL140)</f>
        <v>2.3862427488661</v>
      </c>
      <c r="CZ140" s="758">
        <f>_xll.VAData($CJ140,CZ$3,$CK140,$CL140)</f>
        <v>1.7483200540996999</v>
      </c>
      <c r="DA140" s="758">
        <f>_xll.VAData($CJ140,DA$3,$CK140,$CL140)</f>
        <v>2.7852292594481001</v>
      </c>
      <c r="DB140" s="758">
        <f>_xll.VAData($CJ140,DB$3,$CK140,$CL140)</f>
        <v>2.0756843684847999</v>
      </c>
      <c r="DC140" s="758">
        <f>_xll.VAData($CJ140,DC$3,$CK140,$CL140)</f>
        <v>3.0992091187541</v>
      </c>
      <c r="DD140" s="758">
        <f>_xll.VAData($CJ140,DD$3,$CK140,$CL140)</f>
        <v>2.3775300084205999</v>
      </c>
      <c r="DE140" s="758">
        <f>_xll.VAData($CJ140,DE$3,$CK140,$CL140)</f>
        <v>3.5968699454253001</v>
      </c>
      <c r="DF140" s="758">
        <f>_xll.VAData($CJ140,DF$3,$CK140,$CL140)</f>
        <v>2.7908961639175001</v>
      </c>
      <c r="DG140" s="758">
        <f>_xll.VAData($CJ140,DG$3,$CK140,$CL140)</f>
        <v>3.8509873371243999</v>
      </c>
      <c r="DH140" s="758">
        <f>_xll.VAData($CJ140,DH$3,$CK140,$CL140)</f>
        <v>3.0044608865483</v>
      </c>
      <c r="DI140" s="758">
        <f>_xll.VAData($CJ140,DI$3,$CK140,$CL140)</f>
        <v>3.9885758231724999</v>
      </c>
      <c r="DJ140" s="758">
        <f>_xll.VAData($CJ140,DJ$3,$CK140,$CL140)</f>
        <v>3.2324923071619001</v>
      </c>
      <c r="DK140" s="758">
        <f>_xll.VAData($CJ140,DK$3,$CK140,$CL140)</f>
        <v>4.4528470856595002</v>
      </c>
      <c r="DL140" s="758">
        <f>_xll.VAData($CJ140,DL$3,$CK140,$CL140)</f>
        <v>3.6350449299829002</v>
      </c>
      <c r="DN140" s="758">
        <f>_xll.VAData($CJ140,DN$3,$CK140,$CL140)</f>
        <v>304.60000000000002</v>
      </c>
      <c r="DO140" s="758">
        <f>_xll.VAData($CJ140,DO$3,$CK140,$CL140)</f>
        <v>2.9</v>
      </c>
      <c r="DP140" s="758">
        <f>_xll.VAData($CJ140,DP$3,$CK140,$CL140)</f>
        <v>-59.571337619252098</v>
      </c>
      <c r="DQ140" s="758">
        <f>_xll.VAData($CJ140,DQ$3,$CK140,$CL140)</f>
        <v>1.6</v>
      </c>
      <c r="DR140" s="758">
        <f>_xll.VAData($CJ140,DR$3,$CK140,$CL140)</f>
        <v>2.0223511412639001</v>
      </c>
      <c r="DS140" s="758">
        <f>_xll.VAData($CJ140,DS$3,$CK140,$CL140)</f>
        <v>3.4074018772586001</v>
      </c>
      <c r="DT140" s="758">
        <f>_xll.VAData($CJ140,DT$3,$CK140,$CL140)</f>
        <v>4.0844377284046001</v>
      </c>
      <c r="DU140" s="758">
        <f>_xll.VAData($CJ140,DU$3,$CK140,$CL140)</f>
        <v>4.9247770031006004</v>
      </c>
      <c r="DV140" s="758">
        <f>_xll.VAData($CJ140,DV$3,$CK140,$CL140)</f>
        <v>5.5418836493606998</v>
      </c>
      <c r="DW140" s="758">
        <f>_xll.VAData($CJ140,DW$3,$CK140,$CL140)</f>
        <v>6.4376272166032997</v>
      </c>
      <c r="DX140" s="758">
        <f>_xll.VAData($CJ140,DX$3,$CK140,$CL140)</f>
        <v>6.9691959553886003</v>
      </c>
      <c r="DY140" s="758">
        <f>_xll.VAData($CJ140,DY$3,$CK140,$CL140)</f>
        <v>7.3525026426815003</v>
      </c>
      <c r="DZ140" s="758">
        <f>_xll.VAData($CJ140,DZ$3,$CK140,$CL140)</f>
        <v>8.1584976194443009</v>
      </c>
    </row>
    <row r="141" spans="2:130">
      <c r="B141" s="138" t="str">
        <f t="shared" si="110"/>
        <v>EPS (NPAT before significant items and equity accounted loss)</v>
      </c>
      <c r="C141" s="82" t="s">
        <v>900</v>
      </c>
      <c r="E141" s="7"/>
      <c r="F141" s="132">
        <f t="shared" si="111"/>
        <v>1.4550157690214001</v>
      </c>
      <c r="G141" s="132">
        <f t="shared" si="112"/>
        <v>2.0859561892770002</v>
      </c>
      <c r="H141" s="132">
        <f t="shared" si="113"/>
        <v>2.0924243126219002</v>
      </c>
      <c r="I141" s="132">
        <f t="shared" si="114"/>
        <v>1.6232341844345</v>
      </c>
      <c r="J141" s="132">
        <f t="shared" si="115"/>
        <v>0.77139692597169995</v>
      </c>
      <c r="K141" s="132">
        <f t="shared" si="116"/>
        <v>0.45527441372869998</v>
      </c>
      <c r="L141" s="132">
        <f t="shared" si="117"/>
        <v>0.96774960600479998</v>
      </c>
      <c r="M141" s="132">
        <f t="shared" si="118"/>
        <v>0.61854612856790003</v>
      </c>
      <c r="N141" s="132">
        <f t="shared" si="119"/>
        <v>1.6487427717281999</v>
      </c>
      <c r="O141" s="132">
        <f t="shared" si="120"/>
        <v>0.97831785415549999</v>
      </c>
      <c r="P141" s="132">
        <f t="shared" si="121"/>
        <v>1.9044525226275</v>
      </c>
      <c r="Q141" s="132">
        <f t="shared" si="122"/>
        <v>1.1854542420404</v>
      </c>
      <c r="R141" s="132">
        <f t="shared" si="123"/>
        <v>1.9926317687462001</v>
      </c>
      <c r="S141" s="132">
        <f t="shared" si="124"/>
        <v>1.4333845773508</v>
      </c>
      <c r="T141" s="132">
        <f t="shared" si="125"/>
        <v>2.1170524853904</v>
      </c>
      <c r="U141" s="132">
        <f t="shared" si="126"/>
        <v>1.5427880718761</v>
      </c>
      <c r="V141" s="132">
        <f t="shared" si="127"/>
        <v>2.2344015482717001</v>
      </c>
      <c r="W141" s="132">
        <f t="shared" si="128"/>
        <v>1.6824186148572</v>
      </c>
      <c r="X141" s="132">
        <f t="shared" si="129"/>
        <v>2.5600835182154</v>
      </c>
      <c r="Y141" s="132">
        <f t="shared" si="130"/>
        <v>2.0644559754965002</v>
      </c>
      <c r="Z141" s="132">
        <f t="shared" si="131"/>
        <v>2.7083742473674999</v>
      </c>
      <c r="AA141" s="132">
        <f t="shared" si="132"/>
        <v>2.2097796325912</v>
      </c>
      <c r="AB141" s="132">
        <f t="shared" si="133"/>
        <v>2.6371558124062</v>
      </c>
      <c r="AC141" s="132">
        <f t="shared" si="134"/>
        <v>1.9313971291942</v>
      </c>
      <c r="AD141" s="132">
        <f t="shared" si="135"/>
        <v>2.7197328512879002</v>
      </c>
      <c r="AE141" s="132">
        <f t="shared" si="136"/>
        <v>2.1486908199494001</v>
      </c>
      <c r="AF141" s="132"/>
      <c r="AG141" s="132">
        <f t="shared" si="137"/>
        <v>16.288372511124098</v>
      </c>
      <c r="AH141" s="132">
        <f t="shared" si="138"/>
        <v>3.7174229395423</v>
      </c>
      <c r="AI141" s="132">
        <f t="shared" si="139"/>
        <v>1.2266713397003</v>
      </c>
      <c r="AJ141" s="132">
        <f t="shared" si="140"/>
        <v>1.6172939989173001</v>
      </c>
      <c r="AK141" s="132">
        <f t="shared" si="141"/>
        <v>2.6483011067095998</v>
      </c>
      <c r="AL141" s="132">
        <f t="shared" si="142"/>
        <v>3.1208762796032001</v>
      </c>
      <c r="AM141" s="132">
        <f t="shared" si="143"/>
        <v>3.4525142168820002</v>
      </c>
      <c r="AN141" s="132">
        <f t="shared" si="144"/>
        <v>3.7831523343959002</v>
      </c>
      <c r="AO141" s="132">
        <f t="shared" si="145"/>
        <v>4.0899019155131002</v>
      </c>
      <c r="AP141" s="132">
        <f t="shared" si="146"/>
        <v>4.7531947421189997</v>
      </c>
      <c r="AQ141" s="132">
        <f t="shared" si="147"/>
        <v>5.1487335801066001</v>
      </c>
      <c r="AR141" s="132">
        <f t="shared" si="148"/>
        <v>5.3199615048522997</v>
      </c>
      <c r="AS141" s="132">
        <f t="shared" si="149"/>
        <v>5.7256884663771999</v>
      </c>
      <c r="AU141" s="256">
        <v>1.4550157690214001</v>
      </c>
      <c r="AV141" s="256">
        <v>2.0859561892770002</v>
      </c>
      <c r="AW141" s="256">
        <v>2.0924243126219002</v>
      </c>
      <c r="AX141" s="256">
        <v>1.6232341844345</v>
      </c>
      <c r="AY141" s="256">
        <v>0.77139692597169995</v>
      </c>
      <c r="AZ141" s="256">
        <v>0.45527441372869998</v>
      </c>
      <c r="BA141" s="256">
        <v>0.96774960600479998</v>
      </c>
      <c r="BB141" s="256">
        <v>0.61854612856790003</v>
      </c>
      <c r="BC141" s="256">
        <v>1.6487427717281999</v>
      </c>
      <c r="BD141" s="256">
        <v>0.97831785415549999</v>
      </c>
      <c r="BE141" s="256">
        <v>1.9044525226275</v>
      </c>
      <c r="BF141" s="256">
        <v>1.1854542420404</v>
      </c>
      <c r="BG141" s="256">
        <v>1.9926317687462001</v>
      </c>
      <c r="BH141" s="256">
        <v>1.4333845773508</v>
      </c>
      <c r="BI141" s="256">
        <v>2.1170524853904</v>
      </c>
      <c r="BJ141" s="256">
        <v>1.5427880718761</v>
      </c>
      <c r="BK141" s="256">
        <v>2.2344015482717001</v>
      </c>
      <c r="BL141" s="256">
        <v>1.6824186148572</v>
      </c>
      <c r="BM141" s="256">
        <v>2.5600835182154</v>
      </c>
      <c r="BN141" s="256">
        <v>2.0644559754965002</v>
      </c>
      <c r="BO141" s="256">
        <v>2.7083742473674999</v>
      </c>
      <c r="BP141" s="256">
        <v>2.2097796325912</v>
      </c>
      <c r="BQ141" s="256">
        <v>2.6371558124062</v>
      </c>
      <c r="BR141" s="256">
        <v>1.9313971291942</v>
      </c>
      <c r="BS141" s="256">
        <v>2.7197328512879002</v>
      </c>
      <c r="BT141" s="256">
        <v>2.1486908199494001</v>
      </c>
      <c r="BV141" s="256">
        <v>16.288372511124098</v>
      </c>
      <c r="BW141" s="256">
        <v>3.7174229395423</v>
      </c>
      <c r="BX141" s="256">
        <v>1.2266713397003</v>
      </c>
      <c r="BY141" s="256">
        <v>1.6172939989173001</v>
      </c>
      <c r="BZ141" s="256">
        <v>2.6483011067095998</v>
      </c>
      <c r="CA141" s="256">
        <v>3.1208762796032001</v>
      </c>
      <c r="CB141" s="256">
        <v>3.4525142168820002</v>
      </c>
      <c r="CC141" s="256">
        <v>3.7831523343959002</v>
      </c>
      <c r="CD141" s="256">
        <v>4.0899019155131002</v>
      </c>
      <c r="CE141" s="256">
        <v>4.7531947421189997</v>
      </c>
      <c r="CF141" s="256">
        <v>5.1487335801066001</v>
      </c>
      <c r="CG141" s="256">
        <v>5.3199615048522997</v>
      </c>
      <c r="CH141" s="256">
        <v>5.7256884663771999</v>
      </c>
      <c r="CJ141" s="751" t="s">
        <v>1352</v>
      </c>
      <c r="CK141" s="145" t="s">
        <v>1354</v>
      </c>
      <c r="CL141" s="752" t="s">
        <v>961</v>
      </c>
      <c r="CM141" s="758">
        <f>_xll.VAData($CJ141,CM$3,$CK141,$CL141)</f>
        <v>8.3845126476724001</v>
      </c>
      <c r="CN141" s="758">
        <f>_xll.VAData($CJ141,CN$3,$CK141,$CL141)</f>
        <v>2.153665526842</v>
      </c>
      <c r="CO141" s="758">
        <f>_xll.VAData($CJ141,CO$3,$CK141,$CL141)</f>
        <v>2.0998424008345999</v>
      </c>
      <c r="CP141" s="758">
        <f>_xll.VAData($CJ141,CP$3,$CK141,$CL141)</f>
        <v>1.6207810412423</v>
      </c>
      <c r="CQ141" s="758">
        <f>_xll.VAData($CJ141,CQ$3,$CK141,$CL141)</f>
        <v>0.77139692597169995</v>
      </c>
      <c r="CR141" s="758">
        <f>_xll.VAData($CJ141,CR$3,$CK141,$CL141)</f>
        <v>0.45554786200809999</v>
      </c>
      <c r="CS141" s="758">
        <f>_xll.VAData($CJ141,CS$3,$CK141,$CL141)</f>
        <v>0.96750946293630002</v>
      </c>
      <c r="CT141" s="758">
        <f>_xll.VAData($CJ141,CT$3,$CK141,$CL141)</f>
        <v>1.1988543233810001</v>
      </c>
      <c r="CU141" s="758">
        <f>_xll.VAData($CJ141,CU$3,$CK141,$CL141)</f>
        <v>1.5605088045514</v>
      </c>
      <c r="CV141" s="758">
        <f>_xll.VAData($CJ141,CV$3,$CK141,$CL141)</f>
        <v>1.5439383741132</v>
      </c>
      <c r="CW141" s="758">
        <f>_xll.VAData($CJ141,CW$3,$CK141,$CL141)</f>
        <v>2.2635658353807999</v>
      </c>
      <c r="CX141" s="758">
        <f>_xll.VAData($CJ141,CX$3,$CK141,$CL141)</f>
        <v>1.5514493513826</v>
      </c>
      <c r="CY141" s="758">
        <f>_xll.VAData($CJ141,CY$3,$CK141,$CL141)</f>
        <v>2.4764829356334999</v>
      </c>
      <c r="CZ141" s="758">
        <f>_xll.VAData($CJ141,CZ$3,$CK141,$CL141)</f>
        <v>1.8110508349106</v>
      </c>
      <c r="DA141" s="758">
        <f>_xll.VAData($CJ141,DA$3,$CK141,$CL141)</f>
        <v>2.7852292594481001</v>
      </c>
      <c r="DB141" s="758">
        <f>_xll.VAData($CJ141,DB$3,$CK141,$CL141)</f>
        <v>2.0756843684847999</v>
      </c>
      <c r="DC141" s="758">
        <f>_xll.VAData($CJ141,DC$3,$CK141,$CL141)</f>
        <v>3.0992091187541999</v>
      </c>
      <c r="DD141" s="758">
        <f>_xll.VAData($CJ141,DD$3,$CK141,$CL141)</f>
        <v>2.3775300084205999</v>
      </c>
      <c r="DE141" s="758">
        <f>_xll.VAData($CJ141,DE$3,$CK141,$CL141)</f>
        <v>3.5968699454253001</v>
      </c>
      <c r="DF141" s="758">
        <f>_xll.VAData($CJ141,DF$3,$CK141,$CL141)</f>
        <v>2.7908961639175001</v>
      </c>
      <c r="DG141" s="758">
        <f>_xll.VAData($CJ141,DG$3,$CK141,$CL141)</f>
        <v>3.8509873371243999</v>
      </c>
      <c r="DH141" s="758">
        <f>_xll.VAData($CJ141,DH$3,$CK141,$CL141)</f>
        <v>3.0044608865483</v>
      </c>
      <c r="DI141" s="758">
        <f>_xll.VAData($CJ141,DI$3,$CK141,$CL141)</f>
        <v>3.9885758231724999</v>
      </c>
      <c r="DJ141" s="758">
        <f>_xll.VAData($CJ141,DJ$3,$CK141,$CL141)</f>
        <v>3.2324923071619001</v>
      </c>
      <c r="DK141" s="758">
        <f>_xll.VAData($CJ141,DK$3,$CK141,$CL141)</f>
        <v>4.4528470856595002</v>
      </c>
      <c r="DL141" s="758">
        <f>_xll.VAData($CJ141,DL$3,$CK141,$CL141)</f>
        <v>3.6350449299829002</v>
      </c>
      <c r="DN141" s="758">
        <f>_xll.VAData($CJ141,DN$3,$CK141,$CL141)</f>
        <v>16.288372511124098</v>
      </c>
      <c r="DO141" s="758">
        <f>_xll.VAData($CJ141,DO$3,$CK141,$CL141)</f>
        <v>3.7174229395423</v>
      </c>
      <c r="DP141" s="758">
        <f>_xll.VAData($CJ141,DP$3,$CK141,$CL141)</f>
        <v>1.2266713397003</v>
      </c>
      <c r="DQ141" s="758">
        <f>_xll.VAData($CJ141,DQ$3,$CK141,$CL141)</f>
        <v>2.1570507233746001</v>
      </c>
      <c r="DR141" s="758">
        <f>_xll.VAData($CJ141,DR$3,$CK141,$CL141)</f>
        <v>3.0560928433268999</v>
      </c>
      <c r="DS141" s="758">
        <f>_xll.VAData($CJ141,DS$3,$CK141,$CL141)</f>
        <v>3.8066274498818999</v>
      </c>
      <c r="DT141" s="758">
        <f>_xll.VAData($CJ141,DT$3,$CK141,$CL141)</f>
        <v>4.3149055700811001</v>
      </c>
      <c r="DU141" s="758">
        <f>_xll.VAData($CJ141,DU$3,$CK141,$CL141)</f>
        <v>4.9247770031006004</v>
      </c>
      <c r="DV141" s="758">
        <f>_xll.VAData($CJ141,DV$3,$CK141,$CL141)</f>
        <v>5.5418836493606998</v>
      </c>
      <c r="DW141" s="758">
        <f>_xll.VAData($CJ141,DW$3,$CK141,$CL141)</f>
        <v>6.4376272166032997</v>
      </c>
      <c r="DX141" s="758">
        <f>_xll.VAData($CJ141,DX$3,$CK141,$CL141)</f>
        <v>6.9691959553886003</v>
      </c>
      <c r="DY141" s="758">
        <f>_xll.VAData($CJ141,DY$3,$CK141,$CL141)</f>
        <v>7.3525026426815003</v>
      </c>
      <c r="DZ141" s="758">
        <f>_xll.VAData($CJ141,DZ$3,$CK141,$CL141)</f>
        <v>8.1584976194443009</v>
      </c>
    </row>
    <row r="142" spans="2:130">
      <c r="B142" s="138" t="str">
        <f t="shared" si="110"/>
        <v>DPS</v>
      </c>
      <c r="C142" s="82" t="s">
        <v>900</v>
      </c>
      <c r="E142" s="7"/>
      <c r="F142" s="132">
        <f t="shared" ref="F142:AE142" si="150">AU142</f>
        <v>6.5</v>
      </c>
      <c r="G142" s="132">
        <f t="shared" si="150"/>
        <v>6.5</v>
      </c>
      <c r="H142" s="132">
        <f t="shared" si="150"/>
        <v>1.3</v>
      </c>
      <c r="I142" s="132">
        <f t="shared" si="150"/>
        <v>1</v>
      </c>
      <c r="J142" s="132">
        <f t="shared" si="150"/>
        <v>1</v>
      </c>
      <c r="K142" s="132">
        <f t="shared" si="150"/>
        <v>0.3</v>
      </c>
      <c r="L142" s="132">
        <f t="shared" si="150"/>
        <v>1</v>
      </c>
      <c r="M142" s="132">
        <f t="shared" si="150"/>
        <v>0.40193945531940001</v>
      </c>
      <c r="N142" s="132">
        <f t="shared" si="150"/>
        <v>1.0274296375712999</v>
      </c>
      <c r="O142" s="132">
        <f t="shared" si="150"/>
        <v>0.59548720570939995</v>
      </c>
      <c r="P142" s="132">
        <f t="shared" si="150"/>
        <v>1.1574077748756</v>
      </c>
      <c r="Q142" s="132">
        <f t="shared" si="150"/>
        <v>0.76744604984050002</v>
      </c>
      <c r="R142" s="132">
        <f t="shared" si="150"/>
        <v>1.1288338363646999</v>
      </c>
      <c r="S142" s="132">
        <f t="shared" si="150"/>
        <v>0.83302240042919995</v>
      </c>
      <c r="T142" s="132">
        <f t="shared" si="150"/>
        <v>1.2119141739838999</v>
      </c>
      <c r="U142" s="132">
        <f t="shared" si="150"/>
        <v>0.90918373094339999</v>
      </c>
      <c r="V142" s="132">
        <f t="shared" si="150"/>
        <v>1.2608021806955001</v>
      </c>
      <c r="W142" s="132">
        <f t="shared" si="150"/>
        <v>0.9476961879461</v>
      </c>
      <c r="X142" s="132">
        <f t="shared" si="150"/>
        <v>1.3416088016144001</v>
      </c>
      <c r="Y142" s="132">
        <f t="shared" si="150"/>
        <v>1.0771993103422</v>
      </c>
      <c r="Z142" s="132">
        <f t="shared" si="150"/>
        <v>1.4073708738041</v>
      </c>
      <c r="AA142" s="132">
        <f t="shared" si="150"/>
        <v>1.1456531316228</v>
      </c>
      <c r="AB142" s="132">
        <f t="shared" si="150"/>
        <v>1.2499524076105999</v>
      </c>
      <c r="AC142" s="132">
        <f t="shared" si="150"/>
        <v>0.80467946468710005</v>
      </c>
      <c r="AD142" s="132">
        <f t="shared" si="150"/>
        <v>1.2431845493177001</v>
      </c>
      <c r="AE142" s="132">
        <f t="shared" si="150"/>
        <v>0.91910135223379996</v>
      </c>
      <c r="AF142" s="132"/>
      <c r="AG142" s="132">
        <f t="shared" ref="AG142:AS142" si="151">BV142</f>
        <v>13</v>
      </c>
      <c r="AH142" s="132">
        <f t="shared" si="151"/>
        <v>2.2999999999999998</v>
      </c>
      <c r="AI142" s="132">
        <f t="shared" si="151"/>
        <v>1.3</v>
      </c>
      <c r="AJ142" s="132">
        <f t="shared" si="151"/>
        <v>1.3337445330504001</v>
      </c>
      <c r="AK142" s="132">
        <f t="shared" si="151"/>
        <v>1.6860933423054001</v>
      </c>
      <c r="AL142" s="132">
        <f t="shared" si="151"/>
        <v>1.9331238800823001</v>
      </c>
      <c r="AM142" s="132">
        <f t="shared" si="151"/>
        <v>2.0440927010516998</v>
      </c>
      <c r="AN142" s="132">
        <f t="shared" si="151"/>
        <v>2.2568035014525001</v>
      </c>
      <c r="AO142" s="132">
        <f t="shared" si="151"/>
        <v>2.3861237966184001</v>
      </c>
      <c r="AP142" s="132">
        <f t="shared" si="151"/>
        <v>2.6961712334676</v>
      </c>
      <c r="AQ142" s="132">
        <f t="shared" si="151"/>
        <v>2.9077945883365999</v>
      </c>
      <c r="AR142" s="132">
        <f t="shared" si="151"/>
        <v>2.8320710214676001</v>
      </c>
      <c r="AS142" s="132">
        <f t="shared" si="151"/>
        <v>3.0435476807995001</v>
      </c>
      <c r="AU142" s="256">
        <v>6.5</v>
      </c>
      <c r="AV142" s="256">
        <v>6.5</v>
      </c>
      <c r="AW142" s="256">
        <v>1.3</v>
      </c>
      <c r="AX142" s="256">
        <v>1</v>
      </c>
      <c r="AY142" s="256">
        <v>1</v>
      </c>
      <c r="AZ142" s="256">
        <v>0.3</v>
      </c>
      <c r="BA142" s="256">
        <v>1</v>
      </c>
      <c r="BB142" s="256">
        <v>0.40193945531940001</v>
      </c>
      <c r="BC142" s="256">
        <v>1.0274296375712999</v>
      </c>
      <c r="BD142" s="256">
        <v>0.59548720570939995</v>
      </c>
      <c r="BE142" s="256">
        <v>1.1574077748756</v>
      </c>
      <c r="BF142" s="256">
        <v>0.76744604984050002</v>
      </c>
      <c r="BG142" s="256">
        <v>1.1288338363646999</v>
      </c>
      <c r="BH142" s="256">
        <v>0.83302240042919995</v>
      </c>
      <c r="BI142" s="256">
        <v>1.2119141739838999</v>
      </c>
      <c r="BJ142" s="256">
        <v>0.90918373094339999</v>
      </c>
      <c r="BK142" s="256">
        <v>1.2608021806955001</v>
      </c>
      <c r="BL142" s="256">
        <v>0.9476961879461</v>
      </c>
      <c r="BM142" s="256">
        <v>1.3416088016144001</v>
      </c>
      <c r="BN142" s="256">
        <v>1.0771993103422</v>
      </c>
      <c r="BO142" s="256">
        <v>1.4073708738041</v>
      </c>
      <c r="BP142" s="256">
        <v>1.1456531316228</v>
      </c>
      <c r="BQ142" s="256">
        <v>1.2499524076105999</v>
      </c>
      <c r="BR142" s="256">
        <v>0.80467946468710005</v>
      </c>
      <c r="BS142" s="256">
        <v>1.2431845493177001</v>
      </c>
      <c r="BT142" s="256">
        <v>0.91910135223379996</v>
      </c>
      <c r="BV142" s="256">
        <v>13</v>
      </c>
      <c r="BW142" s="256">
        <v>2.2999999999999998</v>
      </c>
      <c r="BX142" s="256">
        <v>1.3</v>
      </c>
      <c r="BY142" s="256">
        <v>1.3337445330504001</v>
      </c>
      <c r="BZ142" s="256">
        <v>1.6860933423054001</v>
      </c>
      <c r="CA142" s="256">
        <v>1.9331238800823001</v>
      </c>
      <c r="CB142" s="256">
        <v>2.0440927010516998</v>
      </c>
      <c r="CC142" s="256">
        <v>2.2568035014525001</v>
      </c>
      <c r="CD142" s="256">
        <v>2.3861237966184001</v>
      </c>
      <c r="CE142" s="256">
        <v>2.6961712334676</v>
      </c>
      <c r="CF142" s="256">
        <v>2.9077945883365999</v>
      </c>
      <c r="CG142" s="256">
        <v>2.8320710214676001</v>
      </c>
      <c r="CH142" s="256">
        <v>3.0435476807995001</v>
      </c>
      <c r="CJ142" s="751" t="s">
        <v>1352</v>
      </c>
      <c r="CK142" s="145" t="s">
        <v>969</v>
      </c>
      <c r="CL142" s="752" t="s">
        <v>961</v>
      </c>
      <c r="CM142" s="758">
        <f>_xll.VAData($CJ142,CM$3,$CK142,$CL142)</f>
        <v>6.5</v>
      </c>
      <c r="CN142" s="758">
        <f>_xll.VAData($CJ142,CN$3,$CK142,$CL142)</f>
        <v>6.5</v>
      </c>
      <c r="CO142" s="758">
        <f>_xll.VAData($CJ142,CO$3,$CK142,$CL142)</f>
        <v>1.3</v>
      </c>
      <c r="CP142" s="758">
        <f>_xll.VAData($CJ142,CP$3,$CK142,$CL142)</f>
        <v>1</v>
      </c>
      <c r="CQ142" s="758">
        <f>_xll.VAData($CJ142,CQ$3,$CK142,$CL142)</f>
        <v>1</v>
      </c>
      <c r="CR142" s="758">
        <f>_xll.VAData($CJ142,CR$3,$CK142,$CL142)</f>
        <v>0.3</v>
      </c>
      <c r="CS142" s="758">
        <f>_xll.VAData($CJ142,CS$3,$CK142,$CL142)</f>
        <v>1</v>
      </c>
      <c r="CT142" s="758">
        <f>_xll.VAData($CJ142,CT$3,$CK142,$CL142)</f>
        <v>1</v>
      </c>
      <c r="CU142" s="758">
        <f>_xll.VAData($CJ142,CU$3,$CK142,$CL142)</f>
        <v>1.5</v>
      </c>
      <c r="CV142" s="758">
        <f>_xll.VAData($CJ142,CV$3,$CK142,$CL142)</f>
        <v>1.5</v>
      </c>
      <c r="CW142" s="758">
        <f>_xll.VAData($CJ142,CW$3,$CK142,$CL142)</f>
        <v>1.7613486410142001</v>
      </c>
      <c r="CX142" s="758">
        <f>_xll.VAData($CJ142,CX$3,$CK142,$CL142)</f>
        <v>1.4208592432772</v>
      </c>
      <c r="CY142" s="758">
        <f>_xll.VAData($CJ142,CY$3,$CK142,$CL142)</f>
        <v>1.9311014800132</v>
      </c>
      <c r="CZ142" s="758">
        <f>_xll.VAData($CJ142,CZ$3,$CK142,$CL142)</f>
        <v>1.5146540042514001</v>
      </c>
      <c r="DA142" s="758">
        <f>_xll.VAData($CJ142,DA$3,$CK142,$CL142)</f>
        <v>2.2566959124835</v>
      </c>
      <c r="DB142" s="758">
        <f>_xll.VAData($CJ142,DB$3,$CK142,$CL142)</f>
        <v>1.7926053075171</v>
      </c>
      <c r="DC142" s="758">
        <f>_xll.VAData($CJ142,DC$3,$CK142,$CL142)</f>
        <v>2.4548387319864</v>
      </c>
      <c r="DD142" s="758">
        <f>_xll.VAData($CJ142,DD$3,$CK142,$CL142)</f>
        <v>1.9928086530599001</v>
      </c>
      <c r="DE142" s="758">
        <f>_xll.VAData($CJ142,DE$3,$CK142,$CL142)</f>
        <v>2.6994934082681001</v>
      </c>
      <c r="DF142" s="758">
        <f>_xll.VAData($CJ142,DF$3,$CK142,$CL142)</f>
        <v>2.2985508271918</v>
      </c>
      <c r="DG142" s="758">
        <f>_xll.VAData($CJ142,DG$3,$CK142,$CL142)</f>
        <v>2.3223325382006998</v>
      </c>
      <c r="DH142" s="758">
        <f>_xll.VAData($CJ142,DH$3,$CK142,$CL142)</f>
        <v>1.9904280020062</v>
      </c>
      <c r="DI142" s="758">
        <f>_xll.VAData($CJ142,DI$3,$CK142,$CL142)</f>
        <v>2.3833892726574</v>
      </c>
      <c r="DJ142" s="758">
        <f>_xll.VAData($CJ142,DJ$3,$CK142,$CL142)</f>
        <v>2.0977487156754</v>
      </c>
      <c r="DK142" s="758">
        <f>_xll.VAData($CJ142,DK$3,$CK142,$CL142)</f>
        <v>2.5675698986304001</v>
      </c>
      <c r="DL142" s="758">
        <f>_xll.VAData($CJ142,DL$3,$CK142,$CL142)</f>
        <v>2.2532521258242002</v>
      </c>
      <c r="DN142" s="758">
        <f>_xll.VAData($CJ142,DN$3,$CK142,$CL142)</f>
        <v>13</v>
      </c>
      <c r="DO142" s="758">
        <f>_xll.VAData($CJ142,DO$3,$CK142,$CL142)</f>
        <v>2.2999999999999998</v>
      </c>
      <c r="DP142" s="758">
        <f>_xll.VAData($CJ142,DP$3,$CK142,$CL142)</f>
        <v>1.3</v>
      </c>
      <c r="DQ142" s="758">
        <f>_xll.VAData($CJ142,DQ$3,$CK142,$CL142)</f>
        <v>2</v>
      </c>
      <c r="DR142" s="758">
        <f>_xll.VAData($CJ142,DR$3,$CK142,$CL142)</f>
        <v>3</v>
      </c>
      <c r="DS142" s="758">
        <f>_xll.VAData($CJ142,DS$3,$CK142,$CL142)</f>
        <v>3.3014116861148</v>
      </c>
      <c r="DT142" s="758">
        <f>_xll.VAData($CJ142,DT$3,$CK142,$CL142)</f>
        <v>3.5969057927715999</v>
      </c>
      <c r="DU142" s="758">
        <f>_xll.VAData($CJ142,DU$3,$CK142,$CL142)</f>
        <v>4.0664096246827004</v>
      </c>
      <c r="DV142" s="758">
        <f>_xll.VAData($CJ142,DV$3,$CK142,$CL142)</f>
        <v>4.4596902975659001</v>
      </c>
      <c r="DW142" s="758">
        <f>_xll.VAData($CJ142,DW$3,$CK142,$CL142)</f>
        <v>4.9724387914946</v>
      </c>
      <c r="DX142" s="758">
        <f>_xll.VAData($CJ142,DX$3,$CK142,$CL142)</f>
        <v>4.5142739126539997</v>
      </c>
      <c r="DY142" s="758">
        <f>_xll.VAData($CJ142,DY$3,$CK142,$CL142)</f>
        <v>4.6986314021985001</v>
      </c>
      <c r="DZ142" s="758">
        <f>_xll.VAData($CJ142,DZ$3,$CK142,$CL142)</f>
        <v>5.0325861334582003</v>
      </c>
    </row>
    <row r="144" spans="2:130">
      <c r="B144" s="130" t="s">
        <v>1500</v>
      </c>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row>
    <row r="145" spans="2:130">
      <c r="B145" s="138" t="str">
        <f>B115</f>
        <v>Revenue</v>
      </c>
      <c r="C145" s="82" t="s">
        <v>842</v>
      </c>
      <c r="E145" s="7"/>
      <c r="F145" s="314"/>
      <c r="G145" s="314"/>
      <c r="H145" s="314">
        <f t="shared" ref="H145:AE145" si="152" xml:space="preserve"> IFERROR(ROUND( H115/ H130,3) - 1, 0)</f>
        <v>0</v>
      </c>
      <c r="I145" s="314">
        <f t="shared" si="152"/>
        <v>0</v>
      </c>
      <c r="J145" s="314">
        <f t="shared" si="152"/>
        <v>0</v>
      </c>
      <c r="K145" s="314">
        <f t="shared" si="152"/>
        <v>0</v>
      </c>
      <c r="L145" s="314">
        <f t="shared" si="152"/>
        <v>0</v>
      </c>
      <c r="M145" s="314">
        <f t="shared" si="152"/>
        <v>2.0999999999999908E-2</v>
      </c>
      <c r="N145" s="314">
        <f t="shared" si="152"/>
        <v>-2.300000000000002E-2</v>
      </c>
      <c r="O145" s="314">
        <f t="shared" si="152"/>
        <v>4.0000000000000036E-3</v>
      </c>
      <c r="P145" s="314">
        <f t="shared" si="152"/>
        <v>-4.0000000000000036E-3</v>
      </c>
      <c r="Q145" s="314">
        <f t="shared" si="152"/>
        <v>2.2999999999999909E-2</v>
      </c>
      <c r="R145" s="314">
        <f t="shared" si="152"/>
        <v>2.0000000000000018E-2</v>
      </c>
      <c r="S145" s="314">
        <f t="shared" si="152"/>
        <v>3.2999999999999918E-2</v>
      </c>
      <c r="T145" s="314">
        <f t="shared" si="152"/>
        <v>1.4000000000000012E-2</v>
      </c>
      <c r="U145" s="314">
        <f t="shared" si="152"/>
        <v>2.4999999999999911E-2</v>
      </c>
      <c r="V145" s="314">
        <f t="shared" si="152"/>
        <v>1.6999999999999904E-2</v>
      </c>
      <c r="W145" s="314">
        <f t="shared" si="152"/>
        <v>2.200000000000002E-2</v>
      </c>
      <c r="X145" s="314">
        <f t="shared" si="152"/>
        <v>1.4000000000000012E-2</v>
      </c>
      <c r="Y145" s="314">
        <f t="shared" si="152"/>
        <v>2.4999999999999911E-2</v>
      </c>
      <c r="Z145" s="314">
        <f t="shared" si="152"/>
        <v>1.0999999999999899E-2</v>
      </c>
      <c r="AA145" s="314">
        <f t="shared" si="152"/>
        <v>2.200000000000002E-2</v>
      </c>
      <c r="AB145" s="314">
        <f t="shared" si="152"/>
        <v>2.2999999999999909E-2</v>
      </c>
      <c r="AC145" s="314">
        <f t="shared" si="152"/>
        <v>3.8000000000000034E-2</v>
      </c>
      <c r="AD145" s="314">
        <f t="shared" si="152"/>
        <v>2.200000000000002E-2</v>
      </c>
      <c r="AE145" s="314">
        <f t="shared" si="152"/>
        <v>3.6999999999999922E-2</v>
      </c>
      <c r="AG145" s="314"/>
      <c r="AH145" s="314">
        <f t="shared" ref="AH145:AS145" si="153" xml:space="preserve"> IFERROR(ROUND( AH115/ AH130,3) - 1, 0)</f>
        <v>0</v>
      </c>
      <c r="AI145" s="314">
        <f t="shared" si="153"/>
        <v>0</v>
      </c>
      <c r="AJ145" s="314">
        <f t="shared" si="153"/>
        <v>1.0999999999999899E-2</v>
      </c>
      <c r="AK145" s="314">
        <f t="shared" si="153"/>
        <v>-1.100000000000001E-2</v>
      </c>
      <c r="AL145" s="314">
        <f t="shared" si="153"/>
        <v>8.0000000000000071E-3</v>
      </c>
      <c r="AM145" s="314">
        <f t="shared" si="153"/>
        <v>2.6999999999999913E-2</v>
      </c>
      <c r="AN145" s="314">
        <f t="shared" si="153"/>
        <v>2.0000000000000018E-2</v>
      </c>
      <c r="AO145" s="314">
        <f t="shared" si="153"/>
        <v>2.0999999999999908E-2</v>
      </c>
      <c r="AP145" s="314">
        <f t="shared" si="153"/>
        <v>2.0000000000000018E-2</v>
      </c>
      <c r="AQ145" s="314">
        <f t="shared" si="153"/>
        <v>1.6999999999999904E-2</v>
      </c>
      <c r="AR145" s="314">
        <f t="shared" si="153"/>
        <v>2.4999999999999911E-2</v>
      </c>
      <c r="AS145" s="314">
        <f t="shared" si="153"/>
        <v>2.2999999999999909E-2</v>
      </c>
      <c r="AU145" s="314"/>
      <c r="AV145" s="314"/>
      <c r="AW145" s="314"/>
      <c r="AX145" s="314"/>
      <c r="AY145" s="314"/>
      <c r="AZ145" s="314"/>
      <c r="BA145" s="314"/>
      <c r="BB145" s="314"/>
      <c r="BC145" s="314"/>
      <c r="BD145" s="314"/>
      <c r="BE145" s="314"/>
      <c r="BF145" s="314"/>
      <c r="BG145" s="314"/>
      <c r="BH145" s="314"/>
      <c r="BI145" s="314"/>
      <c r="BJ145" s="314"/>
      <c r="BK145" s="314"/>
      <c r="BL145" s="314"/>
      <c r="BM145" s="314"/>
      <c r="BN145" s="314"/>
      <c r="BO145" s="314"/>
      <c r="BP145" s="314"/>
      <c r="BQ145" s="314"/>
      <c r="BR145" s="314"/>
      <c r="BS145" s="314"/>
      <c r="BT145" s="314"/>
      <c r="BV145" s="314"/>
      <c r="BW145" s="314"/>
      <c r="BX145" s="314"/>
      <c r="BY145" s="314"/>
      <c r="BZ145" s="314"/>
      <c r="CA145" s="314"/>
      <c r="CB145" s="314"/>
      <c r="CC145" s="314"/>
      <c r="CD145" s="314"/>
      <c r="CE145" s="314"/>
      <c r="CF145" s="314"/>
      <c r="CG145" s="314"/>
      <c r="CH145" s="314"/>
      <c r="CM145" s="314"/>
      <c r="CN145" s="314"/>
      <c r="CO145" s="314"/>
      <c r="CP145" s="314"/>
      <c r="CQ145" s="314"/>
      <c r="CR145" s="314"/>
      <c r="CS145" s="314"/>
      <c r="CT145" s="314"/>
      <c r="CU145" s="314"/>
      <c r="CV145" s="314"/>
      <c r="CW145" s="314"/>
      <c r="CX145" s="314"/>
      <c r="CY145" s="314"/>
      <c r="CZ145" s="314"/>
      <c r="DA145" s="314"/>
      <c r="DB145" s="314"/>
      <c r="DC145" s="314"/>
      <c r="DD145" s="314"/>
      <c r="DE145" s="314"/>
      <c r="DF145" s="314"/>
      <c r="DG145" s="314"/>
      <c r="DH145" s="314"/>
      <c r="DI145" s="314"/>
      <c r="DJ145" s="314"/>
      <c r="DK145" s="314"/>
      <c r="DL145" s="314"/>
      <c r="DN145" s="314"/>
      <c r="DO145" s="314"/>
      <c r="DP145" s="314"/>
      <c r="DQ145" s="314"/>
      <c r="DR145" s="314"/>
      <c r="DS145" s="314"/>
      <c r="DT145" s="314"/>
      <c r="DU145" s="314"/>
      <c r="DV145" s="314"/>
      <c r="DW145" s="314"/>
      <c r="DX145" s="314"/>
      <c r="DY145" s="314"/>
      <c r="DZ145" s="314"/>
    </row>
    <row r="146" spans="2:130">
      <c r="B146" s="138" t="str">
        <f t="shared" ref="B146:B157" si="154">B116</f>
        <v>EBITDA</v>
      </c>
      <c r="C146" s="82" t="s">
        <v>842</v>
      </c>
      <c r="E146" s="7"/>
      <c r="F146" s="314"/>
      <c r="G146" s="314"/>
      <c r="H146" s="314">
        <f t="shared" ref="H146:AE146" si="155" xml:space="preserve"> IFERROR(ROUND( H116/ H131,3) - 1, 0)</f>
        <v>0</v>
      </c>
      <c r="I146" s="314">
        <f t="shared" si="155"/>
        <v>0</v>
      </c>
      <c r="J146" s="314">
        <f t="shared" si="155"/>
        <v>0</v>
      </c>
      <c r="K146" s="314">
        <f t="shared" si="155"/>
        <v>0</v>
      </c>
      <c r="L146" s="314">
        <f t="shared" si="155"/>
        <v>0</v>
      </c>
      <c r="M146" s="314">
        <f t="shared" si="155"/>
        <v>0.127</v>
      </c>
      <c r="N146" s="314">
        <f t="shared" si="155"/>
        <v>5.0999999999999934E-2</v>
      </c>
      <c r="O146" s="314">
        <f t="shared" si="155"/>
        <v>0.15799999999999992</v>
      </c>
      <c r="P146" s="314">
        <f t="shared" si="155"/>
        <v>0.16199999999999992</v>
      </c>
      <c r="Q146" s="314">
        <f t="shared" si="155"/>
        <v>0.16599999999999993</v>
      </c>
      <c r="R146" s="314">
        <f t="shared" si="155"/>
        <v>0.18700000000000006</v>
      </c>
      <c r="S146" s="314">
        <f t="shared" si="155"/>
        <v>0.21100000000000008</v>
      </c>
      <c r="T146" s="314">
        <f t="shared" si="155"/>
        <v>0.21399999999999997</v>
      </c>
      <c r="U146" s="314">
        <f t="shared" si="155"/>
        <v>0.20500000000000007</v>
      </c>
      <c r="V146" s="314">
        <f t="shared" si="155"/>
        <v>0.21500000000000008</v>
      </c>
      <c r="W146" s="314">
        <f t="shared" si="155"/>
        <v>0.20799999999999996</v>
      </c>
      <c r="X146" s="314">
        <f t="shared" si="155"/>
        <v>0.22799999999999998</v>
      </c>
      <c r="Y146" s="314">
        <f t="shared" si="155"/>
        <v>0.19999999999999996</v>
      </c>
      <c r="Z146" s="314">
        <f t="shared" si="155"/>
        <v>0.22799999999999998</v>
      </c>
      <c r="AA146" s="314">
        <f t="shared" si="155"/>
        <v>0.19999999999999996</v>
      </c>
      <c r="AB146" s="314">
        <f t="shared" si="155"/>
        <v>0.26</v>
      </c>
      <c r="AC146" s="314">
        <f t="shared" si="155"/>
        <v>0.28099999999999992</v>
      </c>
      <c r="AD146" s="314">
        <f t="shared" si="155"/>
        <v>0.2649999999999999</v>
      </c>
      <c r="AE146" s="314">
        <f t="shared" si="155"/>
        <v>0.28699999999999992</v>
      </c>
      <c r="AG146" s="314"/>
      <c r="AH146" s="314">
        <f t="shared" ref="AH146:AS146" si="156" xml:space="preserve"> IFERROR(ROUND( AH116/ AH131,3) - 1, 0)</f>
        <v>0</v>
      </c>
      <c r="AI146" s="314">
        <f t="shared" si="156"/>
        <v>0</v>
      </c>
      <c r="AJ146" s="314">
        <f t="shared" si="156"/>
        <v>6.0000000000000053E-2</v>
      </c>
      <c r="AK146" s="314">
        <f t="shared" si="156"/>
        <v>0.10000000000000009</v>
      </c>
      <c r="AL146" s="314">
        <f t="shared" si="156"/>
        <v>0.16199999999999992</v>
      </c>
      <c r="AM146" s="314">
        <f t="shared" si="156"/>
        <v>0.19799999999999995</v>
      </c>
      <c r="AN146" s="314">
        <f t="shared" si="156"/>
        <v>0.20700000000000007</v>
      </c>
      <c r="AO146" s="314">
        <f t="shared" si="156"/>
        <v>0.20500000000000007</v>
      </c>
      <c r="AP146" s="314">
        <f t="shared" si="156"/>
        <v>0.19700000000000006</v>
      </c>
      <c r="AQ146" s="314">
        <f t="shared" si="156"/>
        <v>0.19100000000000006</v>
      </c>
      <c r="AR146" s="314">
        <f t="shared" si="156"/>
        <v>0.21100000000000008</v>
      </c>
      <c r="AS146" s="314">
        <f t="shared" si="156"/>
        <v>0.20700000000000007</v>
      </c>
      <c r="AU146" s="314"/>
      <c r="AV146" s="314"/>
      <c r="AW146" s="314"/>
      <c r="AX146" s="314"/>
      <c r="AY146" s="314"/>
      <c r="AZ146" s="314"/>
      <c r="BA146" s="314"/>
      <c r="BB146" s="314"/>
      <c r="BC146" s="314"/>
      <c r="BD146" s="314"/>
      <c r="BE146" s="314"/>
      <c r="BF146" s="314"/>
      <c r="BG146" s="314"/>
      <c r="BH146" s="314"/>
      <c r="BI146" s="314"/>
      <c r="BJ146" s="314"/>
      <c r="BK146" s="314"/>
      <c r="BL146" s="314"/>
      <c r="BM146" s="314"/>
      <c r="BN146" s="314"/>
      <c r="BO146" s="314"/>
      <c r="BP146" s="314"/>
      <c r="BQ146" s="314"/>
      <c r="BR146" s="314"/>
      <c r="BS146" s="314"/>
      <c r="BT146" s="314"/>
      <c r="BV146" s="314"/>
      <c r="BW146" s="314"/>
      <c r="BX146" s="314"/>
      <c r="BY146" s="314"/>
      <c r="BZ146" s="314"/>
      <c r="CA146" s="314"/>
      <c r="CB146" s="314"/>
      <c r="CC146" s="314"/>
      <c r="CD146" s="314"/>
      <c r="CE146" s="314"/>
      <c r="CF146" s="314"/>
      <c r="CG146" s="314"/>
      <c r="CH146" s="314"/>
      <c r="CM146" s="314"/>
      <c r="CN146" s="314"/>
      <c r="CO146" s="314"/>
      <c r="CP146" s="314"/>
      <c r="CQ146" s="314"/>
      <c r="CR146" s="314"/>
      <c r="CS146" s="314"/>
      <c r="CT146" s="314"/>
      <c r="CU146" s="314"/>
      <c r="CV146" s="314"/>
      <c r="CW146" s="314"/>
      <c r="CX146" s="314"/>
      <c r="CY146" s="314"/>
      <c r="CZ146" s="314"/>
      <c r="DA146" s="314"/>
      <c r="DB146" s="314"/>
      <c r="DC146" s="314"/>
      <c r="DD146" s="314"/>
      <c r="DE146" s="314"/>
      <c r="DF146" s="314"/>
      <c r="DG146" s="314"/>
      <c r="DH146" s="314"/>
      <c r="DI146" s="314"/>
      <c r="DJ146" s="314"/>
      <c r="DK146" s="314"/>
      <c r="DL146" s="314"/>
      <c r="DN146" s="314"/>
      <c r="DO146" s="314"/>
      <c r="DP146" s="314"/>
      <c r="DQ146" s="314"/>
      <c r="DR146" s="314"/>
      <c r="DS146" s="314"/>
      <c r="DT146" s="314"/>
      <c r="DU146" s="314"/>
      <c r="DV146" s="314"/>
      <c r="DW146" s="314"/>
      <c r="DX146" s="314"/>
      <c r="DY146" s="314"/>
      <c r="DZ146" s="314"/>
    </row>
    <row r="147" spans="2:130">
      <c r="B147" s="138" t="str">
        <f t="shared" si="154"/>
        <v>D&amp;A</v>
      </c>
      <c r="C147" s="82" t="s">
        <v>842</v>
      </c>
      <c r="E147" s="7"/>
      <c r="F147" s="314"/>
      <c r="G147" s="314"/>
      <c r="H147" s="314">
        <f t="shared" ref="H147:AE147" si="157" xml:space="preserve"> IFERROR(ROUND( H117/ H132,3) - 1, 0)</f>
        <v>0</v>
      </c>
      <c r="I147" s="314">
        <f t="shared" si="157"/>
        <v>0</v>
      </c>
      <c r="J147" s="314">
        <f t="shared" si="157"/>
        <v>0</v>
      </c>
      <c r="K147" s="314">
        <f t="shared" si="157"/>
        <v>0</v>
      </c>
      <c r="L147" s="314">
        <f t="shared" si="157"/>
        <v>0</v>
      </c>
      <c r="M147" s="314">
        <f t="shared" si="157"/>
        <v>1.6999999999999904E-2</v>
      </c>
      <c r="N147" s="314">
        <f t="shared" si="157"/>
        <v>6.899999999999995E-2</v>
      </c>
      <c r="O147" s="314">
        <f t="shared" si="157"/>
        <v>4.0000000000000036E-2</v>
      </c>
      <c r="P147" s="314">
        <f t="shared" si="157"/>
        <v>0.1319999999999999</v>
      </c>
      <c r="Q147" s="314">
        <f t="shared" si="157"/>
        <v>0.11699999999999999</v>
      </c>
      <c r="R147" s="314">
        <f t="shared" si="157"/>
        <v>0.10299999999999998</v>
      </c>
      <c r="S147" s="314">
        <f t="shared" si="157"/>
        <v>8.8000000000000078E-2</v>
      </c>
      <c r="T147" s="314">
        <f t="shared" si="157"/>
        <v>0.1160000000000001</v>
      </c>
      <c r="U147" s="314">
        <f t="shared" si="157"/>
        <v>7.6000000000000068E-2</v>
      </c>
      <c r="V147" s="314">
        <f t="shared" si="157"/>
        <v>4.2999999999999927E-2</v>
      </c>
      <c r="W147" s="314">
        <f t="shared" si="157"/>
        <v>2.8000000000000025E-2</v>
      </c>
      <c r="X147" s="314">
        <f t="shared" si="157"/>
        <v>5.8999999999999941E-2</v>
      </c>
      <c r="Y147" s="314">
        <f t="shared" si="157"/>
        <v>2.4000000000000021E-2</v>
      </c>
      <c r="Z147" s="314">
        <f t="shared" si="157"/>
        <v>2.8999999999999915E-2</v>
      </c>
      <c r="AA147" s="314">
        <f t="shared" si="157"/>
        <v>-2.0000000000000018E-3</v>
      </c>
      <c r="AB147" s="314">
        <f t="shared" si="157"/>
        <v>1.0000000000000009E-2</v>
      </c>
      <c r="AC147" s="314">
        <f t="shared" si="157"/>
        <v>-8.0000000000000071E-3</v>
      </c>
      <c r="AD147" s="314">
        <f t="shared" si="157"/>
        <v>-1.4000000000000012E-2</v>
      </c>
      <c r="AE147" s="314">
        <f t="shared" si="157"/>
        <v>1.0000000000000009E-2</v>
      </c>
      <c r="AG147" s="314"/>
      <c r="AH147" s="314">
        <f t="shared" ref="AH147:AS147" si="158" xml:space="preserve"> IFERROR(ROUND( AH117/ AH132,3) - 1, 0)</f>
        <v>0</v>
      </c>
      <c r="AI147" s="314">
        <f t="shared" si="158"/>
        <v>0</v>
      </c>
      <c r="AJ147" s="314">
        <f t="shared" si="158"/>
        <v>8.0000000000000071E-3</v>
      </c>
      <c r="AK147" s="314">
        <f t="shared" si="158"/>
        <v>5.4999999999999938E-2</v>
      </c>
      <c r="AL147" s="314">
        <f t="shared" si="158"/>
        <v>0.12200000000000011</v>
      </c>
      <c r="AM147" s="314">
        <f t="shared" si="158"/>
        <v>0.10600000000000009</v>
      </c>
      <c r="AN147" s="314">
        <f t="shared" si="158"/>
        <v>0.123</v>
      </c>
      <c r="AO147" s="314">
        <f t="shared" si="158"/>
        <v>7.2999999999999954E-2</v>
      </c>
      <c r="AP147" s="314">
        <f t="shared" si="158"/>
        <v>8.8999999999999968E-2</v>
      </c>
      <c r="AQ147" s="314">
        <f t="shared" si="158"/>
        <v>6.899999999999995E-2</v>
      </c>
      <c r="AR147" s="314">
        <f t="shared" si="158"/>
        <v>7.6000000000000068E-2</v>
      </c>
      <c r="AS147" s="314">
        <f t="shared" si="158"/>
        <v>7.2000000000000064E-2</v>
      </c>
      <c r="AU147" s="314"/>
      <c r="AV147" s="314"/>
      <c r="AW147" s="314"/>
      <c r="AX147" s="314"/>
      <c r="AY147" s="314"/>
      <c r="AZ147" s="314"/>
      <c r="BA147" s="314"/>
      <c r="BB147" s="314"/>
      <c r="BC147" s="314"/>
      <c r="BD147" s="314"/>
      <c r="BE147" s="314"/>
      <c r="BF147" s="314"/>
      <c r="BG147" s="314"/>
      <c r="BH147" s="314"/>
      <c r="BI147" s="314"/>
      <c r="BJ147" s="314"/>
      <c r="BK147" s="314"/>
      <c r="BL147" s="314"/>
      <c r="BM147" s="314"/>
      <c r="BN147" s="314"/>
      <c r="BO147" s="314"/>
      <c r="BP147" s="314"/>
      <c r="BQ147" s="314"/>
      <c r="BR147" s="314"/>
      <c r="BS147" s="314"/>
      <c r="BT147" s="314"/>
      <c r="BV147" s="314"/>
      <c r="BW147" s="314"/>
      <c r="BX147" s="314"/>
      <c r="BY147" s="314"/>
      <c r="BZ147" s="314"/>
      <c r="CA147" s="314"/>
      <c r="CB147" s="314"/>
      <c r="CC147" s="314"/>
      <c r="CD147" s="314"/>
      <c r="CE147" s="314"/>
      <c r="CF147" s="314"/>
      <c r="CG147" s="314"/>
      <c r="CH147" s="314"/>
      <c r="CM147" s="314"/>
      <c r="CN147" s="314"/>
      <c r="CO147" s="314"/>
      <c r="CP147" s="314"/>
      <c r="CQ147" s="314"/>
      <c r="CR147" s="314"/>
      <c r="CS147" s="314"/>
      <c r="CT147" s="314"/>
      <c r="CU147" s="314"/>
      <c r="CV147" s="314"/>
      <c r="CW147" s="314"/>
      <c r="CX147" s="314"/>
      <c r="CY147" s="314"/>
      <c r="CZ147" s="314"/>
      <c r="DA147" s="314"/>
      <c r="DB147" s="314"/>
      <c r="DC147" s="314"/>
      <c r="DD147" s="314"/>
      <c r="DE147" s="314"/>
      <c r="DF147" s="314"/>
      <c r="DG147" s="314"/>
      <c r="DH147" s="314"/>
      <c r="DI147" s="314"/>
      <c r="DJ147" s="314"/>
      <c r="DK147" s="314"/>
      <c r="DL147" s="314"/>
      <c r="DN147" s="314"/>
      <c r="DO147" s="314"/>
      <c r="DP147" s="314"/>
      <c r="DQ147" s="314"/>
      <c r="DR147" s="314"/>
      <c r="DS147" s="314"/>
      <c r="DT147" s="314"/>
      <c r="DU147" s="314"/>
      <c r="DV147" s="314"/>
      <c r="DW147" s="314"/>
      <c r="DX147" s="314"/>
      <c r="DY147" s="314"/>
      <c r="DZ147" s="314"/>
    </row>
    <row r="148" spans="2:130">
      <c r="B148" s="138" t="str">
        <f t="shared" si="154"/>
        <v>EBIT</v>
      </c>
      <c r="C148" s="82" t="s">
        <v>842</v>
      </c>
      <c r="E148" s="7"/>
      <c r="F148" s="314"/>
      <c r="G148" s="314"/>
      <c r="H148" s="314">
        <f t="shared" ref="H148:AE148" si="159" xml:space="preserve"> IFERROR(ROUND( H118/ H133,3) - 1, 0)</f>
        <v>0</v>
      </c>
      <c r="I148" s="314">
        <f t="shared" si="159"/>
        <v>0</v>
      </c>
      <c r="J148" s="314">
        <f t="shared" si="159"/>
        <v>0</v>
      </c>
      <c r="K148" s="314">
        <f t="shared" si="159"/>
        <v>0</v>
      </c>
      <c r="L148" s="314">
        <f t="shared" si="159"/>
        <v>0</v>
      </c>
      <c r="M148" s="314">
        <f t="shared" si="159"/>
        <v>0.27699999999999991</v>
      </c>
      <c r="N148" s="314">
        <f t="shared" si="159"/>
        <v>3.400000000000003E-2</v>
      </c>
      <c r="O148" s="314">
        <f t="shared" si="159"/>
        <v>0.30200000000000005</v>
      </c>
      <c r="P148" s="314">
        <f t="shared" si="159"/>
        <v>0.18999999999999995</v>
      </c>
      <c r="Q148" s="314">
        <f t="shared" si="159"/>
        <v>0.22399999999999998</v>
      </c>
      <c r="R148" s="314">
        <f t="shared" si="159"/>
        <v>0.26400000000000001</v>
      </c>
      <c r="S148" s="314">
        <f t="shared" si="159"/>
        <v>0.35200000000000009</v>
      </c>
      <c r="T148" s="314">
        <f t="shared" si="159"/>
        <v>0.30299999999999994</v>
      </c>
      <c r="U148" s="314">
        <f t="shared" si="159"/>
        <v>0.35099999999999998</v>
      </c>
      <c r="V148" s="314">
        <f t="shared" si="159"/>
        <v>0.37400000000000011</v>
      </c>
      <c r="W148" s="314">
        <f t="shared" si="159"/>
        <v>0.41100000000000003</v>
      </c>
      <c r="X148" s="314">
        <f t="shared" si="159"/>
        <v>0.3680000000000001</v>
      </c>
      <c r="Y148" s="314">
        <f t="shared" si="159"/>
        <v>0.37999999999999989</v>
      </c>
      <c r="Z148" s="314">
        <f t="shared" si="159"/>
        <v>0.39100000000000001</v>
      </c>
      <c r="AA148" s="314">
        <f t="shared" si="159"/>
        <v>0.40300000000000002</v>
      </c>
      <c r="AB148" s="314">
        <f t="shared" si="159"/>
        <v>0.47300000000000009</v>
      </c>
      <c r="AC148" s="314">
        <f t="shared" si="159"/>
        <v>0.60099999999999998</v>
      </c>
      <c r="AD148" s="314">
        <f t="shared" si="159"/>
        <v>0.50499999999999989</v>
      </c>
      <c r="AE148" s="314">
        <f t="shared" si="159"/>
        <v>0.57200000000000006</v>
      </c>
      <c r="AG148" s="314"/>
      <c r="AH148" s="314">
        <f t="shared" ref="AH148:AS148" si="160" xml:space="preserve"> IFERROR(ROUND( AH118/ AH133,3) - 1, 0)</f>
        <v>0</v>
      </c>
      <c r="AI148" s="314">
        <f t="shared" si="160"/>
        <v>0</v>
      </c>
      <c r="AJ148" s="314">
        <f t="shared" si="160"/>
        <v>0.121</v>
      </c>
      <c r="AK148" s="314">
        <f t="shared" si="160"/>
        <v>0.14799999999999991</v>
      </c>
      <c r="AL148" s="314">
        <f t="shared" si="160"/>
        <v>0.20199999999999996</v>
      </c>
      <c r="AM148" s="314">
        <f t="shared" si="160"/>
        <v>0.28800000000000003</v>
      </c>
      <c r="AN148" s="314">
        <f t="shared" si="160"/>
        <v>0.28600000000000003</v>
      </c>
      <c r="AO148" s="314">
        <f t="shared" si="160"/>
        <v>0.32800000000000007</v>
      </c>
      <c r="AP148" s="314">
        <f t="shared" si="160"/>
        <v>0.28499999999999992</v>
      </c>
      <c r="AQ148" s="314">
        <f t="shared" si="160"/>
        <v>0.28800000000000003</v>
      </c>
      <c r="AR148" s="314">
        <f t="shared" si="160"/>
        <v>0.31499999999999995</v>
      </c>
      <c r="AS148" s="314">
        <f t="shared" si="160"/>
        <v>0.30699999999999994</v>
      </c>
      <c r="AU148" s="314"/>
      <c r="AV148" s="314"/>
      <c r="AW148" s="314"/>
      <c r="AX148" s="314"/>
      <c r="AY148" s="314"/>
      <c r="AZ148" s="314"/>
      <c r="BA148" s="314"/>
      <c r="BB148" s="314"/>
      <c r="BC148" s="314"/>
      <c r="BD148" s="314"/>
      <c r="BE148" s="314"/>
      <c r="BF148" s="314"/>
      <c r="BG148" s="314"/>
      <c r="BH148" s="314"/>
      <c r="BI148" s="314"/>
      <c r="BJ148" s="314"/>
      <c r="BK148" s="314"/>
      <c r="BL148" s="314"/>
      <c r="BM148" s="314"/>
      <c r="BN148" s="314"/>
      <c r="BO148" s="314"/>
      <c r="BP148" s="314"/>
      <c r="BQ148" s="314"/>
      <c r="BR148" s="314"/>
      <c r="BS148" s="314"/>
      <c r="BT148" s="314"/>
      <c r="BV148" s="314"/>
      <c r="BW148" s="314"/>
      <c r="BX148" s="314"/>
      <c r="BY148" s="314"/>
      <c r="BZ148" s="314"/>
      <c r="CA148" s="314"/>
      <c r="CB148" s="314"/>
      <c r="CC148" s="314"/>
      <c r="CD148" s="314"/>
      <c r="CE148" s="314"/>
      <c r="CF148" s="314"/>
      <c r="CG148" s="314"/>
      <c r="CH148" s="314"/>
      <c r="CM148" s="314"/>
      <c r="CN148" s="314"/>
      <c r="CO148" s="314"/>
      <c r="CP148" s="314"/>
      <c r="CQ148" s="314"/>
      <c r="CR148" s="314"/>
      <c r="CS148" s="314"/>
      <c r="CT148" s="314"/>
      <c r="CU148" s="314"/>
      <c r="CV148" s="314"/>
      <c r="CW148" s="314"/>
      <c r="CX148" s="314"/>
      <c r="CY148" s="314"/>
      <c r="CZ148" s="314"/>
      <c r="DA148" s="314"/>
      <c r="DB148" s="314"/>
      <c r="DC148" s="314"/>
      <c r="DD148" s="314"/>
      <c r="DE148" s="314"/>
      <c r="DF148" s="314"/>
      <c r="DG148" s="314"/>
      <c r="DH148" s="314"/>
      <c r="DI148" s="314"/>
      <c r="DJ148" s="314"/>
      <c r="DK148" s="314"/>
      <c r="DL148" s="314"/>
      <c r="DN148" s="314"/>
      <c r="DO148" s="314"/>
      <c r="DP148" s="314"/>
      <c r="DQ148" s="314"/>
      <c r="DR148" s="314"/>
      <c r="DS148" s="314"/>
      <c r="DT148" s="314"/>
      <c r="DU148" s="314"/>
      <c r="DV148" s="314"/>
      <c r="DW148" s="314"/>
      <c r="DX148" s="314"/>
      <c r="DY148" s="314"/>
      <c r="DZ148" s="314"/>
    </row>
    <row r="149" spans="2:130">
      <c r="B149" s="138" t="str">
        <f t="shared" si="154"/>
        <v>Loss from Equity Accounted Investment</v>
      </c>
      <c r="C149" s="82" t="s">
        <v>842</v>
      </c>
      <c r="E149" s="7"/>
      <c r="F149" s="314"/>
      <c r="G149" s="314"/>
      <c r="H149" s="314">
        <f t="shared" ref="H149:AE149" si="161" xml:space="preserve"> IFERROR(ROUND( H119/ H134,3) - 1, 0)</f>
        <v>0</v>
      </c>
      <c r="I149" s="314">
        <f t="shared" si="161"/>
        <v>0</v>
      </c>
      <c r="J149" s="314">
        <f t="shared" si="161"/>
        <v>0</v>
      </c>
      <c r="K149" s="314">
        <f t="shared" si="161"/>
        <v>0</v>
      </c>
      <c r="L149" s="314">
        <f t="shared" si="161"/>
        <v>0</v>
      </c>
      <c r="M149" s="314">
        <f t="shared" si="161"/>
        <v>-17.771999999999998</v>
      </c>
      <c r="N149" s="314">
        <f t="shared" si="161"/>
        <v>17.073</v>
      </c>
      <c r="O149" s="314">
        <f t="shared" si="161"/>
        <v>2.843</v>
      </c>
      <c r="P149" s="314">
        <f t="shared" si="161"/>
        <v>-1</v>
      </c>
      <c r="Q149" s="314">
        <f t="shared" si="161"/>
        <v>-0.50600000000000001</v>
      </c>
      <c r="R149" s="314">
        <f t="shared" si="161"/>
        <v>0.63500000000000001</v>
      </c>
      <c r="S149" s="314">
        <f t="shared" si="161"/>
        <v>2.4390000000000001</v>
      </c>
      <c r="T149" s="314">
        <f t="shared" si="161"/>
        <v>2.5739999999999998</v>
      </c>
      <c r="U149" s="314">
        <f t="shared" si="161"/>
        <v>3.4880000000000004</v>
      </c>
      <c r="V149" s="314">
        <f t="shared" si="161"/>
        <v>2.4140000000000001</v>
      </c>
      <c r="W149" s="314">
        <f t="shared" si="161"/>
        <v>3.0609999999999999</v>
      </c>
      <c r="X149" s="314">
        <f t="shared" si="161"/>
        <v>2.0830000000000002</v>
      </c>
      <c r="Y149" s="314">
        <f t="shared" si="161"/>
        <v>2.653</v>
      </c>
      <c r="Z149" s="314">
        <f t="shared" si="161"/>
        <v>1.782</v>
      </c>
      <c r="AA149" s="314">
        <f t="shared" si="161"/>
        <v>2.2850000000000001</v>
      </c>
      <c r="AB149" s="314">
        <f t="shared" si="161"/>
        <v>2.9049999999999998</v>
      </c>
      <c r="AC149" s="314">
        <f t="shared" si="161"/>
        <v>3.7510000000000003</v>
      </c>
      <c r="AD149" s="314">
        <f t="shared" si="161"/>
        <v>2.8959999999999999</v>
      </c>
      <c r="AE149" s="314">
        <f t="shared" si="161"/>
        <v>3.74</v>
      </c>
      <c r="AG149" s="314"/>
      <c r="AH149" s="314">
        <f t="shared" ref="AH149:AS149" si="162" xml:space="preserve"> IFERROR(ROUND( AH119/ AH134,3) - 1, 0)</f>
        <v>0</v>
      </c>
      <c r="AI149" s="314">
        <f t="shared" si="162"/>
        <v>0</v>
      </c>
      <c r="AJ149" s="314">
        <f t="shared" si="162"/>
        <v>-5.3170000000000002</v>
      </c>
      <c r="AK149" s="314">
        <f t="shared" si="162"/>
        <v>-9.099999999999997E-2</v>
      </c>
      <c r="AL149" s="314">
        <f t="shared" si="162"/>
        <v>-1.901</v>
      </c>
      <c r="AM149" s="314">
        <f t="shared" si="162"/>
        <v>40.417000000000002</v>
      </c>
      <c r="AN149" s="314">
        <f t="shared" si="162"/>
        <v>21.346</v>
      </c>
      <c r="AO149" s="314">
        <f t="shared" si="162"/>
        <v>12.336</v>
      </c>
      <c r="AP149" s="314">
        <f t="shared" si="162"/>
        <v>8.0380000000000003</v>
      </c>
      <c r="AQ149" s="314">
        <f t="shared" si="162"/>
        <v>5.5590000000000002</v>
      </c>
      <c r="AR149" s="314">
        <f t="shared" si="162"/>
        <v>10.257999999999999</v>
      </c>
      <c r="AS149" s="314">
        <f t="shared" si="162"/>
        <v>6.6890000000000001</v>
      </c>
      <c r="AU149" s="314"/>
      <c r="AV149" s="314"/>
      <c r="AW149" s="314"/>
      <c r="AX149" s="314"/>
      <c r="AY149" s="314"/>
      <c r="AZ149" s="314"/>
      <c r="BA149" s="314"/>
      <c r="BB149" s="314"/>
      <c r="BC149" s="314"/>
      <c r="BD149" s="314"/>
      <c r="BE149" s="314"/>
      <c r="BF149" s="314"/>
      <c r="BG149" s="314"/>
      <c r="BH149" s="314"/>
      <c r="BI149" s="314"/>
      <c r="BJ149" s="314"/>
      <c r="BK149" s="314"/>
      <c r="BL149" s="314"/>
      <c r="BM149" s="314"/>
      <c r="BN149" s="314"/>
      <c r="BO149" s="314"/>
      <c r="BP149" s="314"/>
      <c r="BQ149" s="314"/>
      <c r="BR149" s="314"/>
      <c r="BS149" s="314"/>
      <c r="BT149" s="314"/>
      <c r="BV149" s="314"/>
      <c r="BW149" s="314"/>
      <c r="BX149" s="314"/>
      <c r="BY149" s="314"/>
      <c r="BZ149" s="314"/>
      <c r="CA149" s="314"/>
      <c r="CB149" s="314"/>
      <c r="CC149" s="314"/>
      <c r="CD149" s="314"/>
      <c r="CE149" s="314"/>
      <c r="CF149" s="314"/>
      <c r="CG149" s="314"/>
      <c r="CH149" s="314"/>
      <c r="CM149" s="314"/>
      <c r="CN149" s="314"/>
      <c r="CO149" s="314"/>
      <c r="CP149" s="314"/>
      <c r="CQ149" s="314"/>
      <c r="CR149" s="314"/>
      <c r="CS149" s="314"/>
      <c r="CT149" s="314"/>
      <c r="CU149" s="314"/>
      <c r="CV149" s="314"/>
      <c r="CW149" s="314"/>
      <c r="CX149" s="314"/>
      <c r="CY149" s="314"/>
      <c r="CZ149" s="314"/>
      <c r="DA149" s="314"/>
      <c r="DB149" s="314"/>
      <c r="DC149" s="314"/>
      <c r="DD149" s="314"/>
      <c r="DE149" s="314"/>
      <c r="DF149" s="314"/>
      <c r="DG149" s="314"/>
      <c r="DH149" s="314"/>
      <c r="DI149" s="314"/>
      <c r="DJ149" s="314"/>
      <c r="DK149" s="314"/>
      <c r="DL149" s="314"/>
      <c r="DN149" s="314"/>
      <c r="DO149" s="314"/>
      <c r="DP149" s="314"/>
      <c r="DQ149" s="314"/>
      <c r="DR149" s="314"/>
      <c r="DS149" s="314"/>
      <c r="DT149" s="314"/>
      <c r="DU149" s="314"/>
      <c r="DV149" s="314"/>
      <c r="DW149" s="314"/>
      <c r="DX149" s="314"/>
      <c r="DY149" s="314"/>
      <c r="DZ149" s="314"/>
    </row>
    <row r="150" spans="2:130">
      <c r="B150" s="138" t="str">
        <f t="shared" si="154"/>
        <v>Net Finance Costs</v>
      </c>
      <c r="C150" s="82" t="s">
        <v>842</v>
      </c>
      <c r="E150" s="7"/>
      <c r="F150" s="314"/>
      <c r="G150" s="314"/>
      <c r="H150" s="314">
        <f t="shared" ref="H150:AE150" si="163" xml:space="preserve"> IFERROR(ROUND( H120/ H135,3) - 1, 0)</f>
        <v>0</v>
      </c>
      <c r="I150" s="314">
        <f t="shared" si="163"/>
        <v>0</v>
      </c>
      <c r="J150" s="314">
        <f t="shared" si="163"/>
        <v>0</v>
      </c>
      <c r="K150" s="314">
        <f t="shared" si="163"/>
        <v>0</v>
      </c>
      <c r="L150" s="314">
        <f t="shared" si="163"/>
        <v>0</v>
      </c>
      <c r="M150" s="314">
        <f t="shared" si="163"/>
        <v>4.6000000000000041E-2</v>
      </c>
      <c r="N150" s="314">
        <f t="shared" si="163"/>
        <v>7.8999999999999959E-2</v>
      </c>
      <c r="O150" s="314">
        <f t="shared" si="163"/>
        <v>0.12400000000000011</v>
      </c>
      <c r="P150" s="314">
        <f t="shared" si="163"/>
        <v>0.15500000000000003</v>
      </c>
      <c r="Q150" s="314">
        <f t="shared" si="163"/>
        <v>0.24500000000000011</v>
      </c>
      <c r="R150" s="314">
        <f t="shared" si="163"/>
        <v>0.33499999999999996</v>
      </c>
      <c r="S150" s="314">
        <f t="shared" si="163"/>
        <v>0.30200000000000005</v>
      </c>
      <c r="T150" s="314">
        <f t="shared" si="163"/>
        <v>0.44399999999999995</v>
      </c>
      <c r="U150" s="314">
        <f t="shared" si="163"/>
        <v>0.38500000000000001</v>
      </c>
      <c r="V150" s="314">
        <f t="shared" si="163"/>
        <v>0.5069999999999999</v>
      </c>
      <c r="W150" s="314">
        <f t="shared" si="163"/>
        <v>0.3879999999999999</v>
      </c>
      <c r="X150" s="314">
        <f t="shared" si="163"/>
        <v>0.33000000000000007</v>
      </c>
      <c r="Y150" s="314">
        <f t="shared" si="163"/>
        <v>0.21799999999999997</v>
      </c>
      <c r="Z150" s="314">
        <f t="shared" si="163"/>
        <v>0.35699999999999998</v>
      </c>
      <c r="AA150" s="314">
        <f t="shared" si="163"/>
        <v>0.21799999999999997</v>
      </c>
      <c r="AB150" s="314">
        <f t="shared" si="163"/>
        <v>0.33600000000000008</v>
      </c>
      <c r="AC150" s="314">
        <f t="shared" si="163"/>
        <v>0.10600000000000009</v>
      </c>
      <c r="AD150" s="314">
        <f t="shared" si="163"/>
        <v>0.24500000000000011</v>
      </c>
      <c r="AE150" s="314">
        <f t="shared" si="163"/>
        <v>8.2000000000000073E-2</v>
      </c>
      <c r="AG150" s="314"/>
      <c r="AH150" s="314">
        <f t="shared" ref="AH150:AS150" si="164" xml:space="preserve"> IFERROR(ROUND( AH120/ AH135,3) - 1, 0)</f>
        <v>0</v>
      </c>
      <c r="AI150" s="314">
        <f t="shared" si="164"/>
        <v>0</v>
      </c>
      <c r="AJ150" s="314">
        <f xml:space="preserve"> IFERROR(ROUND( AJ120/ AJ135,3) - 1, 0)</f>
        <v>3.0999999999999917E-2</v>
      </c>
      <c r="AK150" s="314">
        <f t="shared" si="164"/>
        <v>0.10000000000000009</v>
      </c>
      <c r="AL150" s="314">
        <f t="shared" si="164"/>
        <v>0.19700000000000006</v>
      </c>
      <c r="AM150" s="314">
        <f t="shared" si="164"/>
        <v>0.36299999999999999</v>
      </c>
      <c r="AN150" s="314">
        <f t="shared" si="164"/>
        <v>0.45900000000000007</v>
      </c>
      <c r="AO150" s="314">
        <f t="shared" si="164"/>
        <v>0.46900000000000008</v>
      </c>
      <c r="AP150" s="314">
        <f t="shared" si="164"/>
        <v>0.31299999999999994</v>
      </c>
      <c r="AQ150" s="314">
        <f t="shared" si="164"/>
        <v>0.31699999999999995</v>
      </c>
      <c r="AR150" s="314">
        <f t="shared" si="164"/>
        <v>0.26</v>
      </c>
      <c r="AS150" s="314">
        <f t="shared" si="164"/>
        <v>0.20500000000000007</v>
      </c>
      <c r="AU150" s="314"/>
      <c r="AV150" s="314"/>
      <c r="AW150" s="314"/>
      <c r="AX150" s="314"/>
      <c r="AY150" s="314"/>
      <c r="AZ150" s="314"/>
      <c r="BA150" s="314"/>
      <c r="BB150" s="314"/>
      <c r="BC150" s="314"/>
      <c r="BD150" s="314"/>
      <c r="BE150" s="314"/>
      <c r="BF150" s="314"/>
      <c r="BG150" s="314"/>
      <c r="BH150" s="314"/>
      <c r="BI150" s="314"/>
      <c r="BJ150" s="314"/>
      <c r="BK150" s="314"/>
      <c r="BL150" s="314"/>
      <c r="BM150" s="314"/>
      <c r="BN150" s="314"/>
      <c r="BO150" s="314"/>
      <c r="BP150" s="314"/>
      <c r="BQ150" s="314"/>
      <c r="BR150" s="314"/>
      <c r="BS150" s="314"/>
      <c r="BT150" s="314"/>
      <c r="BV150" s="314"/>
      <c r="BW150" s="314"/>
      <c r="BX150" s="314"/>
      <c r="BY150" s="314"/>
      <c r="BZ150" s="314"/>
      <c r="CA150" s="314"/>
      <c r="CB150" s="314"/>
      <c r="CC150" s="314"/>
      <c r="CD150" s="314"/>
      <c r="CE150" s="314"/>
      <c r="CF150" s="314"/>
      <c r="CG150" s="314"/>
      <c r="CH150" s="314"/>
      <c r="CM150" s="314"/>
      <c r="CN150" s="314"/>
      <c r="CO150" s="314"/>
      <c r="CP150" s="314"/>
      <c r="CQ150" s="314"/>
      <c r="CR150" s="314"/>
      <c r="CS150" s="314"/>
      <c r="CT150" s="314"/>
      <c r="CU150" s="314"/>
      <c r="CV150" s="314"/>
      <c r="CW150" s="314"/>
      <c r="CX150" s="314"/>
      <c r="CY150" s="314"/>
      <c r="CZ150" s="314"/>
      <c r="DA150" s="314"/>
      <c r="DB150" s="314"/>
      <c r="DC150" s="314"/>
      <c r="DD150" s="314"/>
      <c r="DE150" s="314"/>
      <c r="DF150" s="314"/>
      <c r="DG150" s="314"/>
      <c r="DH150" s="314"/>
      <c r="DI150" s="314"/>
      <c r="DJ150" s="314"/>
      <c r="DK150" s="314"/>
      <c r="DL150" s="314"/>
      <c r="DN150" s="314"/>
      <c r="DO150" s="314"/>
      <c r="DP150" s="314"/>
      <c r="DQ150" s="314"/>
      <c r="DR150" s="314"/>
      <c r="DS150" s="314"/>
      <c r="DT150" s="314"/>
      <c r="DU150" s="314"/>
      <c r="DV150" s="314"/>
      <c r="DW150" s="314"/>
      <c r="DX150" s="314"/>
      <c r="DY150" s="314"/>
      <c r="DZ150" s="314"/>
    </row>
    <row r="151" spans="2:130">
      <c r="B151" s="138" t="str">
        <f t="shared" si="154"/>
        <v>NPBT</v>
      </c>
      <c r="C151" s="82" t="s">
        <v>842</v>
      </c>
      <c r="E151" s="7"/>
      <c r="F151" s="314"/>
      <c r="G151" s="314"/>
      <c r="H151" s="314">
        <f t="shared" ref="H151:AE151" si="165" xml:space="preserve"> IFERROR(ROUND( H121/ H136,3) - 1, 0)</f>
        <v>0</v>
      </c>
      <c r="I151" s="314">
        <f t="shared" si="165"/>
        <v>0</v>
      </c>
      <c r="J151" s="314">
        <f t="shared" si="165"/>
        <v>0</v>
      </c>
      <c r="K151" s="314">
        <f t="shared" si="165"/>
        <v>0</v>
      </c>
      <c r="L151" s="314">
        <f t="shared" si="165"/>
        <v>0</v>
      </c>
      <c r="M151" s="314">
        <f t="shared" si="165"/>
        <v>0.74</v>
      </c>
      <c r="N151" s="314">
        <f t="shared" si="165"/>
        <v>-6.0000000000000053E-2</v>
      </c>
      <c r="O151" s="314">
        <f t="shared" si="165"/>
        <v>0.57899999999999996</v>
      </c>
      <c r="P151" s="314">
        <f t="shared" si="165"/>
        <v>0.19799999999999995</v>
      </c>
      <c r="Q151" s="314">
        <f t="shared" si="165"/>
        <v>0.2669999999999999</v>
      </c>
      <c r="R151" s="314">
        <f t="shared" si="165"/>
        <v>0.2569999999999999</v>
      </c>
      <c r="S151" s="314">
        <f t="shared" si="165"/>
        <v>0.4910000000000001</v>
      </c>
      <c r="T151" s="314">
        <f t="shared" si="165"/>
        <v>0.33800000000000008</v>
      </c>
      <c r="U151" s="314">
        <f t="shared" si="165"/>
        <v>0.49399999999999999</v>
      </c>
      <c r="V151" s="314">
        <f t="shared" si="165"/>
        <v>0.44999999999999996</v>
      </c>
      <c r="W151" s="314">
        <f t="shared" si="165"/>
        <v>0.623</v>
      </c>
      <c r="X151" s="314">
        <f t="shared" si="165"/>
        <v>0.47</v>
      </c>
      <c r="Y151" s="314">
        <f t="shared" si="165"/>
        <v>0.6100000000000001</v>
      </c>
      <c r="Z151" s="314">
        <f t="shared" si="165"/>
        <v>0.48100000000000009</v>
      </c>
      <c r="AA151" s="314">
        <f t="shared" si="165"/>
        <v>0.61899999999999999</v>
      </c>
      <c r="AB151" s="314">
        <f t="shared" si="165"/>
        <v>0.621</v>
      </c>
      <c r="AC151" s="314">
        <f t="shared" si="165"/>
        <v>1.0640000000000001</v>
      </c>
      <c r="AD151" s="314">
        <f t="shared" si="165"/>
        <v>0.69300000000000006</v>
      </c>
      <c r="AE151" s="314">
        <f t="shared" si="165"/>
        <v>0.9830000000000001</v>
      </c>
      <c r="AG151" s="314"/>
      <c r="AH151" s="314">
        <f t="shared" ref="AH151:AS151" si="166" xml:space="preserve"> IFERROR(ROUND( AH121/ AH136,3) - 1, 0)</f>
        <v>0</v>
      </c>
      <c r="AI151" s="314">
        <f t="shared" si="166"/>
        <v>0</v>
      </c>
      <c r="AJ151" s="314">
        <f t="shared" si="166"/>
        <v>0.27800000000000002</v>
      </c>
      <c r="AK151" s="314">
        <f t="shared" si="166"/>
        <v>0.17900000000000005</v>
      </c>
      <c r="AL151" s="314">
        <f t="shared" si="166"/>
        <v>0.22100000000000009</v>
      </c>
      <c r="AM151" s="314">
        <f t="shared" si="166"/>
        <v>0.33600000000000008</v>
      </c>
      <c r="AN151" s="314">
        <f t="shared" si="166"/>
        <v>0.35299999999999998</v>
      </c>
      <c r="AO151" s="314">
        <f t="shared" si="166"/>
        <v>0.44999999999999996</v>
      </c>
      <c r="AP151" s="314">
        <f t="shared" si="166"/>
        <v>0.42999999999999994</v>
      </c>
      <c r="AQ151" s="314">
        <f t="shared" si="166"/>
        <v>0.41799999999999993</v>
      </c>
      <c r="AR151" s="314">
        <f t="shared" si="166"/>
        <v>0.49</v>
      </c>
      <c r="AS151" s="314">
        <f t="shared" si="166"/>
        <v>0.48100000000000009</v>
      </c>
      <c r="AU151" s="314"/>
      <c r="AV151" s="314"/>
      <c r="AW151" s="314"/>
      <c r="AX151" s="314"/>
      <c r="AY151" s="314"/>
      <c r="AZ151" s="314"/>
      <c r="BA151" s="314"/>
      <c r="BB151" s="314"/>
      <c r="BC151" s="314"/>
      <c r="BD151" s="314"/>
      <c r="BE151" s="314"/>
      <c r="BF151" s="314"/>
      <c r="BG151" s="314"/>
      <c r="BH151" s="314"/>
      <c r="BI151" s="314"/>
      <c r="BJ151" s="314"/>
      <c r="BK151" s="314"/>
      <c r="BL151" s="314"/>
      <c r="BM151" s="314"/>
      <c r="BN151" s="314"/>
      <c r="BO151" s="314"/>
      <c r="BP151" s="314"/>
      <c r="BQ151" s="314"/>
      <c r="BR151" s="314"/>
      <c r="BS151" s="314"/>
      <c r="BT151" s="314"/>
      <c r="BV151" s="314"/>
      <c r="BW151" s="314"/>
      <c r="BX151" s="314"/>
      <c r="BY151" s="314"/>
      <c r="BZ151" s="314"/>
      <c r="CA151" s="314"/>
      <c r="CB151" s="314"/>
      <c r="CC151" s="314"/>
      <c r="CD151" s="314"/>
      <c r="CE151" s="314"/>
      <c r="CF151" s="314"/>
      <c r="CG151" s="314"/>
      <c r="CH151" s="314"/>
      <c r="CM151" s="314"/>
      <c r="CN151" s="314"/>
      <c r="CO151" s="314"/>
      <c r="CP151" s="314"/>
      <c r="CQ151" s="314"/>
      <c r="CR151" s="314"/>
      <c r="CS151" s="314"/>
      <c r="CT151" s="314"/>
      <c r="CU151" s="314"/>
      <c r="CV151" s="314"/>
      <c r="CW151" s="314"/>
      <c r="CX151" s="314"/>
      <c r="CY151" s="314"/>
      <c r="CZ151" s="314"/>
      <c r="DA151" s="314"/>
      <c r="DB151" s="314"/>
      <c r="DC151" s="314"/>
      <c r="DD151" s="314"/>
      <c r="DE151" s="314"/>
      <c r="DF151" s="314"/>
      <c r="DG151" s="314"/>
      <c r="DH151" s="314"/>
      <c r="DI151" s="314"/>
      <c r="DJ151" s="314"/>
      <c r="DK151" s="314"/>
      <c r="DL151" s="314"/>
      <c r="DN151" s="314"/>
      <c r="DO151" s="314"/>
      <c r="DP151" s="314"/>
      <c r="DQ151" s="314"/>
      <c r="DR151" s="314"/>
      <c r="DS151" s="314"/>
      <c r="DT151" s="314"/>
      <c r="DU151" s="314"/>
      <c r="DV151" s="314"/>
      <c r="DW151" s="314"/>
      <c r="DX151" s="314"/>
      <c r="DY151" s="314"/>
      <c r="DZ151" s="314"/>
    </row>
    <row r="152" spans="2:130">
      <c r="B152" s="138" t="str">
        <f t="shared" si="154"/>
        <v>Tax</v>
      </c>
      <c r="C152" s="82" t="s">
        <v>842</v>
      </c>
      <c r="E152" s="7"/>
      <c r="F152" s="314"/>
      <c r="G152" s="314"/>
      <c r="H152" s="314">
        <f t="shared" ref="H152:AE152" si="167" xml:space="preserve"> IFERROR(ROUND( H122/ H137,3) - 1, 0)</f>
        <v>0</v>
      </c>
      <c r="I152" s="314">
        <f t="shared" si="167"/>
        <v>0</v>
      </c>
      <c r="J152" s="314">
        <f t="shared" si="167"/>
        <v>0</v>
      </c>
      <c r="K152" s="314">
        <f t="shared" si="167"/>
        <v>0</v>
      </c>
      <c r="L152" s="314">
        <f t="shared" si="167"/>
        <v>0</v>
      </c>
      <c r="M152" s="314">
        <f t="shared" si="167"/>
        <v>0.59699999999999998</v>
      </c>
      <c r="N152" s="314">
        <f t="shared" si="167"/>
        <v>-7.7999999999999958E-2</v>
      </c>
      <c r="O152" s="314">
        <f t="shared" si="167"/>
        <v>0.54200000000000004</v>
      </c>
      <c r="P152" s="314">
        <f t="shared" si="167"/>
        <v>0.1080000000000001</v>
      </c>
      <c r="Q152" s="314">
        <f t="shared" si="167"/>
        <v>0.14399999999999991</v>
      </c>
      <c r="R152" s="314">
        <f t="shared" si="167"/>
        <v>0.1160000000000001</v>
      </c>
      <c r="S152" s="314">
        <f t="shared" si="167"/>
        <v>0.35000000000000009</v>
      </c>
      <c r="T152" s="314">
        <f t="shared" si="167"/>
        <v>0.19900000000000007</v>
      </c>
      <c r="U152" s="314">
        <f t="shared" si="167"/>
        <v>0.37000000000000011</v>
      </c>
      <c r="V152" s="314">
        <f t="shared" si="167"/>
        <v>0.30899999999999994</v>
      </c>
      <c r="W152" s="314">
        <f t="shared" si="167"/>
        <v>0.53299999999999992</v>
      </c>
      <c r="X152" s="314">
        <f t="shared" si="167"/>
        <v>0.37799999999999989</v>
      </c>
      <c r="Y152" s="314">
        <f t="shared" si="167"/>
        <v>0.62000000000000011</v>
      </c>
      <c r="Z152" s="314">
        <f t="shared" si="167"/>
        <v>0.39700000000000002</v>
      </c>
      <c r="AA152" s="314">
        <f t="shared" si="167"/>
        <v>0.64100000000000001</v>
      </c>
      <c r="AB152" s="314">
        <f t="shared" si="167"/>
        <v>0.47799999999999998</v>
      </c>
      <c r="AC152" s="314">
        <f t="shared" si="167"/>
        <v>1.0019999999999998</v>
      </c>
      <c r="AD152" s="314">
        <f t="shared" si="167"/>
        <v>0.20999999999999996</v>
      </c>
      <c r="AE152" s="314">
        <f t="shared" si="167"/>
        <v>0.46399999999999997</v>
      </c>
      <c r="AG152" s="314"/>
      <c r="AH152" s="314">
        <f t="shared" ref="AH152:AS152" si="168" xml:space="preserve"> IFERROR(ROUND( AH122/ AH137,3) - 1, 0)</f>
        <v>0</v>
      </c>
      <c r="AI152" s="314">
        <f t="shared" si="168"/>
        <v>0</v>
      </c>
      <c r="AJ152" s="314">
        <f t="shared" si="168"/>
        <v>0.22999999999999998</v>
      </c>
      <c r="AK152" s="314">
        <f t="shared" si="168"/>
        <v>0.16900000000000004</v>
      </c>
      <c r="AL152" s="314">
        <f t="shared" si="168"/>
        <v>0.12999999999999989</v>
      </c>
      <c r="AM152" s="314">
        <f t="shared" si="168"/>
        <v>0.19700000000000006</v>
      </c>
      <c r="AN152" s="314">
        <f t="shared" si="168"/>
        <v>0.22599999999999998</v>
      </c>
      <c r="AO152" s="314">
        <f t="shared" si="168"/>
        <v>0.33400000000000007</v>
      </c>
      <c r="AP152" s="314">
        <f t="shared" si="168"/>
        <v>0.3620000000000001</v>
      </c>
      <c r="AQ152" s="314">
        <f t="shared" si="168"/>
        <v>0.36499999999999999</v>
      </c>
      <c r="AR152" s="314">
        <f t="shared" si="168"/>
        <v>0.41199999999999992</v>
      </c>
      <c r="AS152" s="314">
        <f t="shared" si="168"/>
        <v>8.8999999999999968E-2</v>
      </c>
      <c r="AU152" s="314"/>
      <c r="AV152" s="314"/>
      <c r="AW152" s="314"/>
      <c r="AX152" s="314"/>
      <c r="AY152" s="314"/>
      <c r="AZ152" s="314"/>
      <c r="BA152" s="314"/>
      <c r="BB152" s="314"/>
      <c r="BC152" s="314"/>
      <c r="BD152" s="314"/>
      <c r="BE152" s="314"/>
      <c r="BF152" s="314"/>
      <c r="BG152" s="314"/>
      <c r="BH152" s="314"/>
      <c r="BI152" s="314"/>
      <c r="BJ152" s="314"/>
      <c r="BK152" s="314"/>
      <c r="BL152" s="314"/>
      <c r="BM152" s="314"/>
      <c r="BN152" s="314"/>
      <c r="BO152" s="314"/>
      <c r="BP152" s="314"/>
      <c r="BQ152" s="314"/>
      <c r="BR152" s="314"/>
      <c r="BS152" s="314"/>
      <c r="BT152" s="314"/>
      <c r="BV152" s="314"/>
      <c r="BW152" s="314"/>
      <c r="BX152" s="314"/>
      <c r="BY152" s="314"/>
      <c r="BZ152" s="314"/>
      <c r="CA152" s="314"/>
      <c r="CB152" s="314"/>
      <c r="CC152" s="314"/>
      <c r="CD152" s="314"/>
      <c r="CE152" s="314"/>
      <c r="CF152" s="314"/>
      <c r="CG152" s="314"/>
      <c r="CH152" s="314"/>
      <c r="CM152" s="314"/>
      <c r="CN152" s="314"/>
      <c r="CO152" s="314"/>
      <c r="CP152" s="314"/>
      <c r="CQ152" s="314"/>
      <c r="CR152" s="314"/>
      <c r="CS152" s="314"/>
      <c r="CT152" s="314"/>
      <c r="CU152" s="314"/>
      <c r="CV152" s="314"/>
      <c r="CW152" s="314"/>
      <c r="CX152" s="314"/>
      <c r="CY152" s="314"/>
      <c r="CZ152" s="314"/>
      <c r="DA152" s="314"/>
      <c r="DB152" s="314"/>
      <c r="DC152" s="314"/>
      <c r="DD152" s="314"/>
      <c r="DE152" s="314"/>
      <c r="DF152" s="314"/>
      <c r="DG152" s="314"/>
      <c r="DH152" s="314"/>
      <c r="DI152" s="314"/>
      <c r="DJ152" s="314"/>
      <c r="DK152" s="314"/>
      <c r="DL152" s="314"/>
      <c r="DN152" s="314"/>
      <c r="DO152" s="314"/>
      <c r="DP152" s="314"/>
      <c r="DQ152" s="314"/>
      <c r="DR152" s="314"/>
      <c r="DS152" s="314"/>
      <c r="DT152" s="314"/>
      <c r="DU152" s="314"/>
      <c r="DV152" s="314"/>
      <c r="DW152" s="314"/>
      <c r="DX152" s="314"/>
      <c r="DY152" s="314"/>
      <c r="DZ152" s="314"/>
    </row>
    <row r="153" spans="2:130">
      <c r="B153" s="138" t="str">
        <f t="shared" si="154"/>
        <v>NPAT from continuing operations before significant items</v>
      </c>
      <c r="C153" s="82" t="s">
        <v>842</v>
      </c>
      <c r="E153" s="7"/>
      <c r="F153" s="314"/>
      <c r="G153" s="314"/>
      <c r="H153" s="314">
        <f t="shared" ref="H153:AE153" si="169" xml:space="preserve"> IFERROR(ROUND( H123/ H138,3) - 1, 0)</f>
        <v>0</v>
      </c>
      <c r="I153" s="314">
        <f t="shared" si="169"/>
        <v>0</v>
      </c>
      <c r="J153" s="314">
        <f t="shared" si="169"/>
        <v>0</v>
      </c>
      <c r="K153" s="314">
        <f t="shared" si="169"/>
        <v>0</v>
      </c>
      <c r="L153" s="314">
        <f t="shared" si="169"/>
        <v>0</v>
      </c>
      <c r="M153" s="314">
        <f t="shared" si="169"/>
        <v>0.91199999999999992</v>
      </c>
      <c r="N153" s="314">
        <f t="shared" si="169"/>
        <v>-4.8000000000000043E-2</v>
      </c>
      <c r="O153" s="314">
        <f t="shared" si="169"/>
        <v>0.60699999999999998</v>
      </c>
      <c r="P153" s="314">
        <f t="shared" si="169"/>
        <v>0.26200000000000001</v>
      </c>
      <c r="Q153" s="314">
        <f t="shared" si="169"/>
        <v>0.3680000000000001</v>
      </c>
      <c r="R153" s="314">
        <f t="shared" si="169"/>
        <v>0.36099999999999999</v>
      </c>
      <c r="S153" s="314">
        <f t="shared" si="169"/>
        <v>0.59899999999999998</v>
      </c>
      <c r="T153" s="314">
        <f t="shared" si="169"/>
        <v>0.43900000000000006</v>
      </c>
      <c r="U153" s="314">
        <f t="shared" si="169"/>
        <v>0.58600000000000008</v>
      </c>
      <c r="V153" s="314">
        <f t="shared" si="169"/>
        <v>0.55099999999999993</v>
      </c>
      <c r="W153" s="314">
        <f t="shared" si="169"/>
        <v>0.68599999999999994</v>
      </c>
      <c r="X153" s="314">
        <f t="shared" si="169"/>
        <v>0.53299999999999992</v>
      </c>
      <c r="Y153" s="314">
        <f t="shared" si="169"/>
        <v>0.60299999999999998</v>
      </c>
      <c r="Z153" s="314">
        <f t="shared" si="169"/>
        <v>0.53699999999999992</v>
      </c>
      <c r="AA153" s="314">
        <f t="shared" si="169"/>
        <v>0.60400000000000009</v>
      </c>
      <c r="AB153" s="314">
        <f t="shared" si="169"/>
        <v>0.72399999999999998</v>
      </c>
      <c r="AC153" s="314">
        <f t="shared" si="169"/>
        <v>1.1080000000000001</v>
      </c>
      <c r="AD153" s="314">
        <f t="shared" si="169"/>
        <v>1.0430000000000001</v>
      </c>
      <c r="AE153" s="314">
        <f t="shared" si="169"/>
        <v>1.3370000000000002</v>
      </c>
      <c r="AG153" s="314"/>
      <c r="AH153" s="314">
        <f t="shared" ref="AH153:AS153" si="170" xml:space="preserve"> IFERROR(ROUND( AH123/ AH138,3) - 1, 0)</f>
        <v>0</v>
      </c>
      <c r="AI153" s="314">
        <f t="shared" si="170"/>
        <v>0</v>
      </c>
      <c r="AJ153" s="314">
        <f t="shared" si="170"/>
        <v>0.33600000000000008</v>
      </c>
      <c r="AK153" s="314">
        <f t="shared" si="170"/>
        <v>0.18500000000000005</v>
      </c>
      <c r="AL153" s="314">
        <f t="shared" si="170"/>
        <v>0.28699999999999992</v>
      </c>
      <c r="AM153" s="314">
        <f t="shared" si="170"/>
        <v>0.43799999999999994</v>
      </c>
      <c r="AN153" s="314">
        <f t="shared" si="170"/>
        <v>0.44399999999999995</v>
      </c>
      <c r="AO153" s="314">
        <f t="shared" si="170"/>
        <v>0.53</v>
      </c>
      <c r="AP153" s="314">
        <f t="shared" si="170"/>
        <v>0.47300000000000009</v>
      </c>
      <c r="AQ153" s="314">
        <f t="shared" si="170"/>
        <v>0.44999999999999996</v>
      </c>
      <c r="AR153" s="314">
        <f t="shared" si="170"/>
        <v>0.53899999999999992</v>
      </c>
      <c r="AS153" s="314">
        <f t="shared" si="170"/>
        <v>0.746</v>
      </c>
      <c r="AU153" s="314"/>
      <c r="AV153" s="314"/>
      <c r="AW153" s="314"/>
      <c r="AX153" s="314"/>
      <c r="AY153" s="314"/>
      <c r="AZ153" s="314"/>
      <c r="BA153" s="314"/>
      <c r="BB153" s="314"/>
      <c r="BC153" s="314"/>
      <c r="BD153" s="314"/>
      <c r="BE153" s="314"/>
      <c r="BF153" s="314"/>
      <c r="BG153" s="314"/>
      <c r="BH153" s="314"/>
      <c r="BI153" s="314"/>
      <c r="BJ153" s="314"/>
      <c r="BK153" s="314"/>
      <c r="BL153" s="314"/>
      <c r="BM153" s="314"/>
      <c r="BN153" s="314"/>
      <c r="BO153" s="314"/>
      <c r="BP153" s="314"/>
      <c r="BQ153" s="314"/>
      <c r="BR153" s="314"/>
      <c r="BS153" s="314"/>
      <c r="BT153" s="314"/>
      <c r="BV153" s="314"/>
      <c r="BW153" s="314"/>
      <c r="BX153" s="314"/>
      <c r="BY153" s="314"/>
      <c r="BZ153" s="314"/>
      <c r="CA153" s="314"/>
      <c r="CB153" s="314"/>
      <c r="CC153" s="314"/>
      <c r="CD153" s="314"/>
      <c r="CE153" s="314"/>
      <c r="CF153" s="314"/>
      <c r="CG153" s="314"/>
      <c r="CH153" s="314"/>
      <c r="CM153" s="314"/>
      <c r="CN153" s="314"/>
      <c r="CO153" s="314"/>
      <c r="CP153" s="314"/>
      <c r="CQ153" s="314"/>
      <c r="CR153" s="314"/>
      <c r="CS153" s="314"/>
      <c r="CT153" s="314"/>
      <c r="CU153" s="314"/>
      <c r="CV153" s="314"/>
      <c r="CW153" s="314"/>
      <c r="CX153" s="314"/>
      <c r="CY153" s="314"/>
      <c r="CZ153" s="314"/>
      <c r="DA153" s="314"/>
      <c r="DB153" s="314"/>
      <c r="DC153" s="314"/>
      <c r="DD153" s="314"/>
      <c r="DE153" s="314"/>
      <c r="DF153" s="314"/>
      <c r="DG153" s="314"/>
      <c r="DH153" s="314"/>
      <c r="DI153" s="314"/>
      <c r="DJ153" s="314"/>
      <c r="DK153" s="314"/>
      <c r="DL153" s="314"/>
      <c r="DN153" s="314"/>
      <c r="DO153" s="314"/>
      <c r="DP153" s="314"/>
      <c r="DQ153" s="314"/>
      <c r="DR153" s="314"/>
      <c r="DS153" s="314"/>
      <c r="DT153" s="314"/>
      <c r="DU153" s="314"/>
      <c r="DV153" s="314"/>
      <c r="DW153" s="314"/>
      <c r="DX153" s="314"/>
      <c r="DY153" s="314"/>
      <c r="DZ153" s="314"/>
    </row>
    <row r="154" spans="2:130">
      <c r="B154" s="138" t="str">
        <f t="shared" si="154"/>
        <v>Statutory NPAT</v>
      </c>
      <c r="C154" s="82" t="s">
        <v>842</v>
      </c>
      <c r="E154" s="7"/>
      <c r="F154" s="314"/>
      <c r="G154" s="314"/>
      <c r="H154" s="314">
        <f t="shared" ref="H154:AE154" si="171" xml:space="preserve"> IFERROR(ROUND( H124/ H139,3) - 1, 0)</f>
        <v>0</v>
      </c>
      <c r="I154" s="314">
        <f t="shared" si="171"/>
        <v>0</v>
      </c>
      <c r="J154" s="314">
        <f t="shared" si="171"/>
        <v>0</v>
      </c>
      <c r="K154" s="314">
        <f t="shared" si="171"/>
        <v>0</v>
      </c>
      <c r="L154" s="314">
        <f t="shared" si="171"/>
        <v>0</v>
      </c>
      <c r="M154" s="314">
        <f t="shared" si="171"/>
        <v>4.8000000000000043E-2</v>
      </c>
      <c r="N154" s="314">
        <f t="shared" si="171"/>
        <v>-0.40800000000000003</v>
      </c>
      <c r="O154" s="314">
        <f t="shared" si="171"/>
        <v>0.20300000000000007</v>
      </c>
      <c r="P154" s="314">
        <f t="shared" si="171"/>
        <v>-4.8000000000000043E-2</v>
      </c>
      <c r="Q154" s="314">
        <f t="shared" si="171"/>
        <v>-0.47699999999999998</v>
      </c>
      <c r="R154" s="314">
        <f t="shared" si="171"/>
        <v>0.248</v>
      </c>
      <c r="S154" s="314">
        <f t="shared" si="171"/>
        <v>0.59899999999999998</v>
      </c>
      <c r="T154" s="314">
        <f t="shared" si="171"/>
        <v>0.43900000000000006</v>
      </c>
      <c r="U154" s="314">
        <f t="shared" si="171"/>
        <v>0.58600000000000008</v>
      </c>
      <c r="V154" s="314">
        <f t="shared" si="171"/>
        <v>0.55099999999999993</v>
      </c>
      <c r="W154" s="314">
        <f t="shared" si="171"/>
        <v>0.68599999999999994</v>
      </c>
      <c r="X154" s="314">
        <f t="shared" si="171"/>
        <v>0.53299999999999992</v>
      </c>
      <c r="Y154" s="314">
        <f t="shared" si="171"/>
        <v>0.60299999999999998</v>
      </c>
      <c r="Z154" s="314">
        <f t="shared" si="171"/>
        <v>0.53699999999999992</v>
      </c>
      <c r="AA154" s="314">
        <f t="shared" si="171"/>
        <v>0.60400000000000009</v>
      </c>
      <c r="AB154" s="314">
        <f t="shared" si="171"/>
        <v>0.72399999999999998</v>
      </c>
      <c r="AC154" s="314">
        <f t="shared" si="171"/>
        <v>1.1080000000000001</v>
      </c>
      <c r="AD154" s="314">
        <f t="shared" si="171"/>
        <v>1.0430000000000001</v>
      </c>
      <c r="AE154" s="314">
        <f t="shared" si="171"/>
        <v>1.3370000000000002</v>
      </c>
      <c r="AG154" s="314"/>
      <c r="AH154" s="314">
        <f t="shared" ref="AH154:AS154" si="172" xml:space="preserve"> IFERROR(ROUND( AH124/ AH139,3) - 1, 0)</f>
        <v>0</v>
      </c>
      <c r="AI154" s="314">
        <f t="shared" si="172"/>
        <v>0</v>
      </c>
      <c r="AJ154" s="314">
        <f t="shared" si="172"/>
        <v>-4.0000000000000036E-3</v>
      </c>
      <c r="AK154" s="314">
        <f t="shared" si="172"/>
        <v>-0.19899999999999995</v>
      </c>
      <c r="AL154" s="314">
        <f t="shared" si="172"/>
        <v>-0.21899999999999997</v>
      </c>
      <c r="AM154" s="314">
        <f t="shared" si="172"/>
        <v>0.373</v>
      </c>
      <c r="AN154" s="314">
        <f t="shared" si="172"/>
        <v>0.44399999999999995</v>
      </c>
      <c r="AO154" s="314">
        <f t="shared" si="172"/>
        <v>0.53</v>
      </c>
      <c r="AP154" s="314">
        <f t="shared" si="172"/>
        <v>0.47300000000000009</v>
      </c>
      <c r="AQ154" s="314">
        <f t="shared" si="172"/>
        <v>0.44999999999999996</v>
      </c>
      <c r="AR154" s="314">
        <f t="shared" si="172"/>
        <v>0.53899999999999992</v>
      </c>
      <c r="AS154" s="314">
        <f t="shared" si="172"/>
        <v>0.746</v>
      </c>
      <c r="AU154" s="314"/>
      <c r="AV154" s="314"/>
      <c r="AW154" s="314"/>
      <c r="AX154" s="314"/>
      <c r="AY154" s="314"/>
      <c r="AZ154" s="314"/>
      <c r="BA154" s="314"/>
      <c r="BB154" s="314"/>
      <c r="BC154" s="314"/>
      <c r="BD154" s="314"/>
      <c r="BE154" s="314"/>
      <c r="BF154" s="314"/>
      <c r="BG154" s="314"/>
      <c r="BH154" s="314"/>
      <c r="BI154" s="314"/>
      <c r="BJ154" s="314"/>
      <c r="BK154" s="314"/>
      <c r="BL154" s="314"/>
      <c r="BM154" s="314"/>
      <c r="BN154" s="314"/>
      <c r="BO154" s="314"/>
      <c r="BP154" s="314"/>
      <c r="BQ154" s="314"/>
      <c r="BR154" s="314"/>
      <c r="BS154" s="314"/>
      <c r="BT154" s="314"/>
      <c r="BV154" s="314"/>
      <c r="BW154" s="314"/>
      <c r="BX154" s="314"/>
      <c r="BY154" s="314"/>
      <c r="BZ154" s="314"/>
      <c r="CA154" s="314"/>
      <c r="CB154" s="314"/>
      <c r="CC154" s="314"/>
      <c r="CD154" s="314"/>
      <c r="CE154" s="314"/>
      <c r="CF154" s="314"/>
      <c r="CG154" s="314"/>
      <c r="CH154" s="314"/>
      <c r="CM154" s="314"/>
      <c r="CN154" s="314"/>
      <c r="CO154" s="314"/>
      <c r="CP154" s="314"/>
      <c r="CQ154" s="314"/>
      <c r="CR154" s="314"/>
      <c r="CS154" s="314"/>
      <c r="CT154" s="314"/>
      <c r="CU154" s="314"/>
      <c r="CV154" s="314"/>
      <c r="CW154" s="314"/>
      <c r="CX154" s="314"/>
      <c r="CY154" s="314"/>
      <c r="CZ154" s="314"/>
      <c r="DA154" s="314"/>
      <c r="DB154" s="314"/>
      <c r="DC154" s="314"/>
      <c r="DD154" s="314"/>
      <c r="DE154" s="314"/>
      <c r="DF154" s="314"/>
      <c r="DG154" s="314"/>
      <c r="DH154" s="314"/>
      <c r="DI154" s="314"/>
      <c r="DJ154" s="314"/>
      <c r="DK154" s="314"/>
      <c r="DL154" s="314"/>
      <c r="DN154" s="314"/>
      <c r="DO154" s="314"/>
      <c r="DP154" s="314"/>
      <c r="DQ154" s="314"/>
      <c r="DR154" s="314"/>
      <c r="DS154" s="314"/>
      <c r="DT154" s="314"/>
      <c r="DU154" s="314"/>
      <c r="DV154" s="314"/>
      <c r="DW154" s="314"/>
      <c r="DX154" s="314"/>
      <c r="DY154" s="314"/>
      <c r="DZ154" s="314"/>
    </row>
    <row r="155" spans="2:130">
      <c r="B155" s="138" t="str">
        <f t="shared" si="154"/>
        <v>EPS (statutory)</v>
      </c>
      <c r="C155" s="82" t="s">
        <v>842</v>
      </c>
      <c r="E155" s="7"/>
      <c r="F155" s="314"/>
      <c r="G155" s="314"/>
      <c r="H155" s="314">
        <f t="shared" ref="H155:AE155" si="173" xml:space="preserve"> IFERROR(ROUND( H125/ H140,3) - 1, 0)</f>
        <v>1.4000000000000012E-2</v>
      </c>
      <c r="I155" s="314">
        <f t="shared" si="173"/>
        <v>-7.5999999999999956E-2</v>
      </c>
      <c r="J155" s="314">
        <f t="shared" si="173"/>
        <v>0</v>
      </c>
      <c r="K155" s="314">
        <f t="shared" si="173"/>
        <v>0</v>
      </c>
      <c r="L155" s="314">
        <f t="shared" si="173"/>
        <v>-7.0000000000000062E-3</v>
      </c>
      <c r="M155" s="314">
        <f t="shared" si="173"/>
        <v>-0.18899999999999995</v>
      </c>
      <c r="N155" s="314">
        <f t="shared" si="173"/>
        <v>-0.43999999999999995</v>
      </c>
      <c r="O155" s="314">
        <f t="shared" si="173"/>
        <v>0.22199999999999998</v>
      </c>
      <c r="P155" s="314">
        <f t="shared" si="173"/>
        <v>-6.7999999999999949E-2</v>
      </c>
      <c r="Q155" s="314">
        <f t="shared" si="173"/>
        <v>-0.49199999999999999</v>
      </c>
      <c r="R155" s="314">
        <f t="shared" si="173"/>
        <v>0.20999999999999996</v>
      </c>
      <c r="S155" s="314">
        <f t="shared" si="173"/>
        <v>0.5149999999999999</v>
      </c>
      <c r="T155" s="314">
        <f t="shared" si="173"/>
        <v>0.3899999999999999</v>
      </c>
      <c r="U155" s="314">
        <f t="shared" si="173"/>
        <v>0.50299999999999989</v>
      </c>
      <c r="V155" s="314">
        <f t="shared" si="173"/>
        <v>0.49</v>
      </c>
      <c r="W155" s="314">
        <f t="shared" si="173"/>
        <v>0.58499999999999996</v>
      </c>
      <c r="X155" s="314">
        <f t="shared" si="173"/>
        <v>0.40500000000000003</v>
      </c>
      <c r="Y155" s="314">
        <f t="shared" si="173"/>
        <v>0.40700000000000003</v>
      </c>
      <c r="Z155" s="314">
        <f t="shared" si="173"/>
        <v>0.40500000000000003</v>
      </c>
      <c r="AA155" s="314">
        <f t="shared" si="173"/>
        <v>0.40399999999999991</v>
      </c>
      <c r="AB155" s="314">
        <f t="shared" si="173"/>
        <v>0.52499999999999991</v>
      </c>
      <c r="AC155" s="314">
        <f t="shared" si="173"/>
        <v>0.71100000000000008</v>
      </c>
      <c r="AD155" s="314">
        <f t="shared" si="173"/>
        <v>0.75499999999999989</v>
      </c>
      <c r="AE155" s="314">
        <f t="shared" si="173"/>
        <v>0.89999999999999991</v>
      </c>
      <c r="AG155" s="314"/>
      <c r="AH155" s="314">
        <f t="shared" ref="AH155:AS155" si="174" xml:space="preserve"> IFERROR(ROUND( AH125/ AH140,3) - 1, 0)</f>
        <v>-1.100000000000001E-2</v>
      </c>
      <c r="AI155" s="314">
        <f t="shared" si="174"/>
        <v>9.9999999999988987E-4</v>
      </c>
      <c r="AJ155" s="314">
        <f t="shared" si="174"/>
        <v>8.999999999999897E-3</v>
      </c>
      <c r="AK155" s="314">
        <f t="shared" si="174"/>
        <v>-0.21299999999999997</v>
      </c>
      <c r="AL155" s="314">
        <f t="shared" si="174"/>
        <v>-0.23699999999999999</v>
      </c>
      <c r="AM155" s="314">
        <f t="shared" si="174"/>
        <v>0.32800000000000007</v>
      </c>
      <c r="AN155" s="314">
        <f t="shared" si="174"/>
        <v>0.39100000000000001</v>
      </c>
      <c r="AO155" s="314">
        <f t="shared" si="174"/>
        <v>0.46599999999999997</v>
      </c>
      <c r="AP155" s="314">
        <f t="shared" si="174"/>
        <v>0.3680000000000001</v>
      </c>
      <c r="AQ155" s="314">
        <f t="shared" si="174"/>
        <v>0.34200000000000008</v>
      </c>
      <c r="AR155" s="314">
        <f t="shared" si="174"/>
        <v>0.377</v>
      </c>
      <c r="AS155" s="314">
        <f t="shared" si="174"/>
        <v>0.54699999999999993</v>
      </c>
      <c r="AU155" s="314"/>
      <c r="AV155" s="314"/>
      <c r="AW155" s="314"/>
      <c r="AX155" s="314"/>
      <c r="AY155" s="314"/>
      <c r="AZ155" s="314"/>
      <c r="BA155" s="314"/>
      <c r="BB155" s="314"/>
      <c r="BC155" s="314"/>
      <c r="BD155" s="314"/>
      <c r="BE155" s="314"/>
      <c r="BF155" s="314"/>
      <c r="BG155" s="314"/>
      <c r="BH155" s="314"/>
      <c r="BI155" s="314"/>
      <c r="BJ155" s="314"/>
      <c r="BK155" s="314"/>
      <c r="BL155" s="314"/>
      <c r="BM155" s="314"/>
      <c r="BN155" s="314"/>
      <c r="BO155" s="314"/>
      <c r="BP155" s="314"/>
      <c r="BQ155" s="314"/>
      <c r="BR155" s="314"/>
      <c r="BS155" s="314"/>
      <c r="BT155" s="314"/>
      <c r="BV155" s="314"/>
      <c r="BW155" s="314"/>
      <c r="BX155" s="314"/>
      <c r="BY155" s="314"/>
      <c r="BZ155" s="314"/>
      <c r="CA155" s="314"/>
      <c r="CB155" s="314"/>
      <c r="CC155" s="314"/>
      <c r="CD155" s="314"/>
      <c r="CE155" s="314"/>
      <c r="CF155" s="314"/>
      <c r="CG155" s="314"/>
      <c r="CH155" s="314"/>
      <c r="CM155" s="314"/>
      <c r="CN155" s="314"/>
      <c r="CO155" s="314"/>
      <c r="CP155" s="314"/>
      <c r="CQ155" s="314"/>
      <c r="CR155" s="314"/>
      <c r="CS155" s="314"/>
      <c r="CT155" s="314"/>
      <c r="CU155" s="314"/>
      <c r="CV155" s="314"/>
      <c r="CW155" s="314"/>
      <c r="CX155" s="314"/>
      <c r="CY155" s="314"/>
      <c r="CZ155" s="314"/>
      <c r="DA155" s="314"/>
      <c r="DB155" s="314"/>
      <c r="DC155" s="314"/>
      <c r="DD155" s="314"/>
      <c r="DE155" s="314"/>
      <c r="DF155" s="314"/>
      <c r="DG155" s="314"/>
      <c r="DH155" s="314"/>
      <c r="DI155" s="314"/>
      <c r="DJ155" s="314"/>
      <c r="DK155" s="314"/>
      <c r="DL155" s="314"/>
      <c r="DN155" s="314"/>
      <c r="DO155" s="314"/>
      <c r="DP155" s="314"/>
      <c r="DQ155" s="314"/>
      <c r="DR155" s="314"/>
      <c r="DS155" s="314"/>
      <c r="DT155" s="314"/>
      <c r="DU155" s="314"/>
      <c r="DV155" s="314"/>
      <c r="DW155" s="314"/>
      <c r="DX155" s="314"/>
      <c r="DY155" s="314"/>
      <c r="DZ155" s="314"/>
    </row>
    <row r="156" spans="2:130">
      <c r="B156" s="138" t="str">
        <f t="shared" si="154"/>
        <v>EPS (NPAT before significant items and equity accounted loss)</v>
      </c>
      <c r="C156" s="82" t="s">
        <v>842</v>
      </c>
      <c r="E156" s="7"/>
      <c r="F156" s="314"/>
      <c r="G156" s="314"/>
      <c r="H156" s="314">
        <f t="shared" ref="H156:AE156" si="175" xml:space="preserve"> IFERROR(ROUND( H126/ H141,3) - 1, 0)</f>
        <v>5.0999999999999934E-2</v>
      </c>
      <c r="I156" s="314">
        <f t="shared" si="175"/>
        <v>-1.4000000000000012E-2</v>
      </c>
      <c r="J156" s="314">
        <f t="shared" si="175"/>
        <v>0.16700000000000004</v>
      </c>
      <c r="K156" s="314">
        <f t="shared" si="175"/>
        <v>9.8000000000000087E-2</v>
      </c>
      <c r="L156" s="314">
        <f t="shared" si="175"/>
        <v>0.96300000000000008</v>
      </c>
      <c r="M156" s="314">
        <f t="shared" si="175"/>
        <v>2.2330000000000001</v>
      </c>
      <c r="N156" s="314">
        <f t="shared" si="175"/>
        <v>0.6379999999999999</v>
      </c>
      <c r="O156" s="314">
        <f t="shared" si="175"/>
        <v>1.5550000000000002</v>
      </c>
      <c r="P156" s="314">
        <f t="shared" si="175"/>
        <v>0.73399999999999999</v>
      </c>
      <c r="Q156" s="314">
        <f t="shared" si="175"/>
        <v>1.0899999999999999</v>
      </c>
      <c r="R156" s="314">
        <f t="shared" si="175"/>
        <v>0.71199999999999997</v>
      </c>
      <c r="S156" s="314">
        <f t="shared" si="175"/>
        <v>0.93799999999999994</v>
      </c>
      <c r="T156" s="314">
        <f t="shared" si="175"/>
        <v>0.6359999999999999</v>
      </c>
      <c r="U156" s="314">
        <f t="shared" si="175"/>
        <v>0.78299999999999992</v>
      </c>
      <c r="V156" s="314">
        <f t="shared" si="175"/>
        <v>0.64500000000000002</v>
      </c>
      <c r="W156" s="314">
        <f t="shared" si="175"/>
        <v>0.73799999999999999</v>
      </c>
      <c r="X156" s="314">
        <f t="shared" si="175"/>
        <v>0.53200000000000003</v>
      </c>
      <c r="Y156" s="314">
        <f t="shared" si="175"/>
        <v>0.52099999999999991</v>
      </c>
      <c r="Z156" s="314">
        <f t="shared" si="175"/>
        <v>0.51800000000000002</v>
      </c>
      <c r="AA156" s="314">
        <f t="shared" si="175"/>
        <v>0.50099999999999989</v>
      </c>
      <c r="AB156" s="314">
        <f t="shared" si="175"/>
        <v>0.6339999999999999</v>
      </c>
      <c r="AC156" s="314">
        <f t="shared" si="175"/>
        <v>0.81099999999999994</v>
      </c>
      <c r="AD156" s="314">
        <f t="shared" si="175"/>
        <v>0.85400000000000009</v>
      </c>
      <c r="AE156" s="314">
        <f t="shared" si="175"/>
        <v>0.97900000000000009</v>
      </c>
      <c r="AG156" s="314"/>
      <c r="AH156" s="314">
        <f t="shared" ref="AH156:AS156" si="176" xml:space="preserve"> IFERROR(ROUND( AH126/ AH141,3) - 1, 0)</f>
        <v>2.200000000000002E-2</v>
      </c>
      <c r="AI156" s="314">
        <f t="shared" si="176"/>
        <v>0.14100000000000001</v>
      </c>
      <c r="AJ156" s="314">
        <f t="shared" si="176"/>
        <v>1.411</v>
      </c>
      <c r="AK156" s="314">
        <f t="shared" si="176"/>
        <v>0.96399999999999997</v>
      </c>
      <c r="AL156" s="314">
        <f t="shared" si="176"/>
        <v>0.85200000000000009</v>
      </c>
      <c r="AM156" s="314">
        <f t="shared" si="176"/>
        <v>0.79299999999999993</v>
      </c>
      <c r="AN156" s="314">
        <f t="shared" si="176"/>
        <v>0.6419999999999999</v>
      </c>
      <c r="AO156" s="314">
        <f t="shared" si="176"/>
        <v>0.6140000000000001</v>
      </c>
      <c r="AP156" s="314">
        <f t="shared" si="176"/>
        <v>0.48599999999999999</v>
      </c>
      <c r="AQ156" s="314">
        <f t="shared" si="176"/>
        <v>0.44300000000000006</v>
      </c>
      <c r="AR156" s="314">
        <f t="shared" si="176"/>
        <v>0.46700000000000008</v>
      </c>
      <c r="AS156" s="314">
        <f t="shared" si="176"/>
        <v>0.623</v>
      </c>
      <c r="AU156" s="314"/>
      <c r="AV156" s="314"/>
      <c r="AW156" s="314"/>
      <c r="AX156" s="314"/>
      <c r="AY156" s="314"/>
      <c r="AZ156" s="314"/>
      <c r="BA156" s="314"/>
      <c r="BB156" s="314"/>
      <c r="BC156" s="314"/>
      <c r="BD156" s="314"/>
      <c r="BE156" s="314"/>
      <c r="BF156" s="314"/>
      <c r="BG156" s="314"/>
      <c r="BH156" s="314"/>
      <c r="BI156" s="314"/>
      <c r="BJ156" s="314"/>
      <c r="BK156" s="314"/>
      <c r="BL156" s="314"/>
      <c r="BM156" s="314"/>
      <c r="BN156" s="314"/>
      <c r="BO156" s="314"/>
      <c r="BP156" s="314"/>
      <c r="BQ156" s="314"/>
      <c r="BR156" s="314"/>
      <c r="BS156" s="314"/>
      <c r="BT156" s="314"/>
      <c r="BV156" s="314"/>
      <c r="BW156" s="314"/>
      <c r="BX156" s="314"/>
      <c r="BY156" s="314"/>
      <c r="BZ156" s="314"/>
      <c r="CA156" s="314"/>
      <c r="CB156" s="314"/>
      <c r="CC156" s="314"/>
      <c r="CD156" s="314"/>
      <c r="CE156" s="314"/>
      <c r="CF156" s="314"/>
      <c r="CG156" s="314"/>
      <c r="CH156" s="314"/>
      <c r="CM156" s="314"/>
      <c r="CN156" s="314"/>
      <c r="CO156" s="314"/>
      <c r="CP156" s="314"/>
      <c r="CQ156" s="314"/>
      <c r="CR156" s="314"/>
      <c r="CS156" s="314"/>
      <c r="CT156" s="314"/>
      <c r="CU156" s="314"/>
      <c r="CV156" s="314"/>
      <c r="CW156" s="314"/>
      <c r="CX156" s="314"/>
      <c r="CY156" s="314"/>
      <c r="CZ156" s="314"/>
      <c r="DA156" s="314"/>
      <c r="DB156" s="314"/>
      <c r="DC156" s="314"/>
      <c r="DD156" s="314"/>
      <c r="DE156" s="314"/>
      <c r="DF156" s="314"/>
      <c r="DG156" s="314"/>
      <c r="DH156" s="314"/>
      <c r="DI156" s="314"/>
      <c r="DJ156" s="314"/>
      <c r="DK156" s="314"/>
      <c r="DL156" s="314"/>
      <c r="DN156" s="314"/>
      <c r="DO156" s="314"/>
      <c r="DP156" s="314"/>
      <c r="DQ156" s="314"/>
      <c r="DR156" s="314"/>
      <c r="DS156" s="314"/>
      <c r="DT156" s="314"/>
      <c r="DU156" s="314"/>
      <c r="DV156" s="314"/>
      <c r="DW156" s="314"/>
      <c r="DX156" s="314"/>
      <c r="DY156" s="314"/>
      <c r="DZ156" s="314"/>
    </row>
    <row r="157" spans="2:130">
      <c r="B157" s="138" t="str">
        <f t="shared" si="154"/>
        <v>DPS</v>
      </c>
      <c r="C157" s="82" t="s">
        <v>842</v>
      </c>
      <c r="E157" s="7"/>
      <c r="F157" s="314"/>
      <c r="G157" s="314"/>
      <c r="H157" s="314">
        <f t="shared" ref="H157:AE157" si="177" xml:space="preserve"> IFERROR(ROUND( H127/ H142,3) - 1, 0)</f>
        <v>0</v>
      </c>
      <c r="I157" s="314">
        <f t="shared" si="177"/>
        <v>0</v>
      </c>
      <c r="J157" s="314">
        <f t="shared" si="177"/>
        <v>0</v>
      </c>
      <c r="K157" s="314">
        <f t="shared" si="177"/>
        <v>0</v>
      </c>
      <c r="L157" s="314">
        <f t="shared" si="177"/>
        <v>0</v>
      </c>
      <c r="M157" s="314">
        <f t="shared" si="177"/>
        <v>1.488</v>
      </c>
      <c r="N157" s="314">
        <f t="shared" si="177"/>
        <v>0.45999999999999996</v>
      </c>
      <c r="O157" s="314">
        <f t="shared" si="177"/>
        <v>1.5190000000000001</v>
      </c>
      <c r="P157" s="314">
        <f t="shared" si="177"/>
        <v>0.3819999999999999</v>
      </c>
      <c r="Q157" s="314">
        <f t="shared" si="177"/>
        <v>1.085</v>
      </c>
      <c r="R157" s="314">
        <f t="shared" si="177"/>
        <v>0.41700000000000004</v>
      </c>
      <c r="S157" s="314">
        <f t="shared" si="177"/>
        <v>0.92100000000000004</v>
      </c>
      <c r="T157" s="314">
        <f t="shared" si="177"/>
        <v>0.71399999999999997</v>
      </c>
      <c r="U157" s="314">
        <f t="shared" si="177"/>
        <v>0.81600000000000006</v>
      </c>
      <c r="V157" s="314">
        <f t="shared" si="177"/>
        <v>0.45700000000000007</v>
      </c>
      <c r="W157" s="314">
        <f t="shared" si="177"/>
        <v>0.54299999999999993</v>
      </c>
      <c r="X157" s="314">
        <f t="shared" si="177"/>
        <v>0.46199999999999997</v>
      </c>
      <c r="Y157" s="314">
        <f t="shared" si="177"/>
        <v>0.45799999999999996</v>
      </c>
      <c r="Z157" s="314">
        <f t="shared" si="177"/>
        <v>-1</v>
      </c>
      <c r="AA157" s="314">
        <f t="shared" si="177"/>
        <v>-1</v>
      </c>
      <c r="AB157" s="314">
        <f t="shared" si="177"/>
        <v>-1</v>
      </c>
      <c r="AC157" s="314">
        <f t="shared" si="177"/>
        <v>-1</v>
      </c>
      <c r="AD157" s="314">
        <f t="shared" si="177"/>
        <v>-1</v>
      </c>
      <c r="AE157" s="314">
        <f t="shared" si="177"/>
        <v>-1</v>
      </c>
      <c r="AG157" s="314"/>
      <c r="AH157" s="314">
        <f t="shared" ref="AH157:AS157" si="178" xml:space="preserve"> IFERROR(ROUND( AH127/ AH142,3) - 1, 0)</f>
        <v>0</v>
      </c>
      <c r="AI157" s="314">
        <f t="shared" si="178"/>
        <v>0</v>
      </c>
      <c r="AJ157" s="314">
        <f t="shared" si="178"/>
        <v>0.5</v>
      </c>
      <c r="AK157" s="314">
        <f t="shared" si="178"/>
        <v>0.77899999999999991</v>
      </c>
      <c r="AL157" s="314">
        <f t="shared" si="178"/>
        <v>0.65500000000000003</v>
      </c>
      <c r="AM157" s="314">
        <f t="shared" si="178"/>
        <v>0.56499999999999995</v>
      </c>
      <c r="AN157" s="314">
        <f t="shared" si="178"/>
        <v>0.65199999999999991</v>
      </c>
      <c r="AO157" s="314">
        <f t="shared" si="178"/>
        <v>0.38300000000000001</v>
      </c>
      <c r="AP157" s="314">
        <f t="shared" si="178"/>
        <v>0.31000000000000005</v>
      </c>
      <c r="AQ157" s="314">
        <f t="shared" si="178"/>
        <v>-1</v>
      </c>
      <c r="AR157" s="314">
        <f t="shared" si="178"/>
        <v>-1</v>
      </c>
      <c r="AS157" s="314">
        <f t="shared" si="178"/>
        <v>-1</v>
      </c>
      <c r="AU157" s="314"/>
      <c r="AV157" s="314"/>
      <c r="AW157" s="314"/>
      <c r="AX157" s="314"/>
      <c r="AY157" s="314"/>
      <c r="AZ157" s="314"/>
      <c r="BA157" s="314"/>
      <c r="BB157" s="314"/>
      <c r="BC157" s="314"/>
      <c r="BD157" s="314"/>
      <c r="BE157" s="314"/>
      <c r="BF157" s="314"/>
      <c r="BG157" s="314"/>
      <c r="BH157" s="314"/>
      <c r="BI157" s="314"/>
      <c r="BJ157" s="314"/>
      <c r="BK157" s="314"/>
      <c r="BL157" s="314"/>
      <c r="BM157" s="314"/>
      <c r="BN157" s="314"/>
      <c r="BO157" s="314"/>
      <c r="BP157" s="314"/>
      <c r="BQ157" s="314"/>
      <c r="BR157" s="314"/>
      <c r="BS157" s="314"/>
      <c r="BT157" s="314"/>
      <c r="BV157" s="314"/>
      <c r="BW157" s="314"/>
      <c r="BX157" s="314"/>
      <c r="BY157" s="314"/>
      <c r="BZ157" s="314"/>
      <c r="CA157" s="314"/>
      <c r="CB157" s="314"/>
      <c r="CC157" s="314"/>
      <c r="CD157" s="314"/>
      <c r="CE157" s="314"/>
      <c r="CF157" s="314"/>
      <c r="CG157" s="314"/>
      <c r="CH157" s="314"/>
      <c r="CM157" s="314"/>
      <c r="CN157" s="314"/>
      <c r="CO157" s="314"/>
      <c r="CP157" s="314"/>
      <c r="CQ157" s="314"/>
      <c r="CR157" s="314"/>
      <c r="CS157" s="314"/>
      <c r="CT157" s="314"/>
      <c r="CU157" s="314"/>
      <c r="CV157" s="314"/>
      <c r="CW157" s="314"/>
      <c r="CX157" s="314"/>
      <c r="CY157" s="314"/>
      <c r="CZ157" s="314"/>
      <c r="DA157" s="314"/>
      <c r="DB157" s="314"/>
      <c r="DC157" s="314"/>
      <c r="DD157" s="314"/>
      <c r="DE157" s="314"/>
      <c r="DF157" s="314"/>
      <c r="DG157" s="314"/>
      <c r="DH157" s="314"/>
      <c r="DI157" s="314"/>
      <c r="DJ157" s="314"/>
      <c r="DK157" s="314"/>
      <c r="DL157" s="314"/>
      <c r="DN157" s="314"/>
      <c r="DO157" s="314"/>
      <c r="DP157" s="314"/>
      <c r="DQ157" s="314"/>
      <c r="DR157" s="314"/>
      <c r="DS157" s="314"/>
      <c r="DT157" s="314"/>
      <c r="DU157" s="314"/>
      <c r="DV157" s="314"/>
      <c r="DW157" s="314"/>
      <c r="DX157" s="314"/>
      <c r="DY157" s="314"/>
      <c r="DZ157" s="314"/>
    </row>
  </sheetData>
  <phoneticPr fontId="42"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E68BA-91AA-47D6-9A78-7A2619032C60}">
  <sheetPr codeName="Sheet11">
    <tabColor theme="1"/>
  </sheetPr>
  <dimension ref="E3:G133"/>
  <sheetViews>
    <sheetView topLeftCell="A96" workbookViewId="0">
      <selection activeCell="C43" sqref="C43"/>
    </sheetView>
  </sheetViews>
  <sheetFormatPr defaultRowHeight="15"/>
  <sheetData>
    <row r="3" spans="5:7">
      <c r="E3" t="str">
        <f>[18]!DfsCell("TimeSeries", 7.31, "audusd.fx", 2,,,,,, "1-Oct-2022", "31-Mar-2023", TRUE, 0, FALSE, TRUE, "10:00:00 AM", "4:00:00 PM", 5, "0*5")</f>
        <v>TimeSeries: audusd.fx</v>
      </c>
      <c r="F3" t="s">
        <v>0</v>
      </c>
      <c r="G3" t="s">
        <v>850</v>
      </c>
    </row>
    <row r="4" spans="5:7">
      <c r="E4" t="s">
        <v>954</v>
      </c>
      <c r="F4" s="29">
        <v>44837</v>
      </c>
      <c r="G4">
        <v>0.65139999999999998</v>
      </c>
    </row>
    <row r="5" spans="5:7">
      <c r="F5" s="29">
        <v>44838</v>
      </c>
      <c r="G5">
        <v>0.64939999999999998</v>
      </c>
    </row>
    <row r="6" spans="5:7">
      <c r="F6" s="29">
        <v>44839</v>
      </c>
      <c r="G6">
        <v>0.64890000000000003</v>
      </c>
    </row>
    <row r="7" spans="5:7">
      <c r="F7" s="29">
        <v>44840</v>
      </c>
      <c r="G7">
        <v>0.64032</v>
      </c>
    </row>
    <row r="8" spans="5:7">
      <c r="F8" s="29">
        <v>44841</v>
      </c>
      <c r="G8">
        <v>0.63807000000000003</v>
      </c>
    </row>
    <row r="9" spans="5:7">
      <c r="F9" s="29">
        <v>44844</v>
      </c>
      <c r="G9">
        <v>0.62621499999999997</v>
      </c>
    </row>
    <row r="10" spans="5:7">
      <c r="F10" s="29">
        <v>44845</v>
      </c>
      <c r="G10">
        <v>0.627</v>
      </c>
    </row>
    <row r="11" spans="5:7">
      <c r="F11" s="29">
        <v>44846</v>
      </c>
      <c r="G11">
        <v>0.62771500000000002</v>
      </c>
    </row>
    <row r="12" spans="5:7">
      <c r="F12" s="29">
        <v>44847</v>
      </c>
      <c r="G12">
        <v>0.62986500000000001</v>
      </c>
    </row>
    <row r="13" spans="5:7">
      <c r="F13" s="29">
        <v>44848</v>
      </c>
      <c r="G13">
        <v>0.61983999999999995</v>
      </c>
    </row>
    <row r="14" spans="5:7">
      <c r="F14" s="29">
        <v>44851</v>
      </c>
      <c r="G14">
        <v>0.62919999999999998</v>
      </c>
    </row>
    <row r="15" spans="5:7">
      <c r="F15" s="29">
        <v>44852</v>
      </c>
      <c r="G15">
        <v>0.63092000000000004</v>
      </c>
    </row>
    <row r="16" spans="5:7">
      <c r="F16" s="29">
        <v>44853</v>
      </c>
      <c r="G16">
        <v>0.62644</v>
      </c>
    </row>
    <row r="17" spans="6:7">
      <c r="F17" s="29">
        <v>44854</v>
      </c>
      <c r="G17">
        <v>0.62775000000000003</v>
      </c>
    </row>
    <row r="18" spans="6:7">
      <c r="F18" s="29">
        <v>44855</v>
      </c>
      <c r="G18">
        <v>0.63538499999999998</v>
      </c>
    </row>
    <row r="19" spans="6:7">
      <c r="F19" s="29">
        <v>44858</v>
      </c>
      <c r="G19">
        <v>0.631135</v>
      </c>
    </row>
    <row r="20" spans="6:7">
      <c r="F20" s="29">
        <v>44859</v>
      </c>
      <c r="G20">
        <v>0.63929999999999998</v>
      </c>
    </row>
    <row r="21" spans="6:7">
      <c r="F21" s="29">
        <v>44860</v>
      </c>
      <c r="G21">
        <v>0.65051499999999995</v>
      </c>
    </row>
    <row r="22" spans="6:7">
      <c r="F22" s="29">
        <v>44861</v>
      </c>
      <c r="G22">
        <v>0.645285</v>
      </c>
    </row>
    <row r="23" spans="6:7">
      <c r="F23" s="29">
        <v>44862</v>
      </c>
      <c r="G23">
        <v>0.64152500000000001</v>
      </c>
    </row>
    <row r="24" spans="6:7">
      <c r="F24" s="29">
        <v>44865</v>
      </c>
      <c r="G24">
        <v>0.63991500000000001</v>
      </c>
    </row>
    <row r="25" spans="6:7">
      <c r="F25" s="29">
        <v>44866</v>
      </c>
      <c r="G25">
        <v>0.63948499999999997</v>
      </c>
    </row>
    <row r="26" spans="6:7">
      <c r="F26" s="29">
        <v>44867</v>
      </c>
      <c r="G26">
        <v>0.63506499999999999</v>
      </c>
    </row>
    <row r="27" spans="6:7">
      <c r="F27" s="29">
        <v>44868</v>
      </c>
      <c r="G27">
        <v>0.62880999999999998</v>
      </c>
    </row>
    <row r="28" spans="6:7">
      <c r="F28" s="29">
        <v>44869</v>
      </c>
      <c r="G28">
        <v>0.64415500000000003</v>
      </c>
    </row>
    <row r="29" spans="6:7">
      <c r="F29" s="29">
        <v>44872</v>
      </c>
      <c r="G29">
        <v>0.64796500000000001</v>
      </c>
    </row>
    <row r="30" spans="6:7">
      <c r="F30" s="29">
        <v>44873</v>
      </c>
      <c r="G30">
        <v>0.65047999999999995</v>
      </c>
    </row>
    <row r="31" spans="6:7">
      <c r="F31" s="29">
        <v>44874</v>
      </c>
      <c r="G31">
        <v>0.64319999999999999</v>
      </c>
    </row>
    <row r="32" spans="6:7">
      <c r="F32" s="29">
        <v>44875</v>
      </c>
      <c r="G32">
        <v>0.66183000000000003</v>
      </c>
    </row>
    <row r="33" spans="6:7">
      <c r="F33" s="29">
        <v>44876</v>
      </c>
      <c r="G33">
        <v>0.67032999999999998</v>
      </c>
    </row>
    <row r="34" spans="6:7">
      <c r="F34" s="29">
        <v>44879</v>
      </c>
      <c r="G34">
        <v>0.67020000000000002</v>
      </c>
    </row>
    <row r="35" spans="6:7">
      <c r="F35" s="29">
        <v>44880</v>
      </c>
      <c r="G35">
        <v>0.67522000000000004</v>
      </c>
    </row>
    <row r="36" spans="6:7">
      <c r="F36" s="29">
        <v>44881</v>
      </c>
      <c r="G36">
        <v>0.67430000000000001</v>
      </c>
    </row>
    <row r="37" spans="6:7">
      <c r="F37" s="29">
        <v>44882</v>
      </c>
      <c r="G37">
        <v>0.66654500000000005</v>
      </c>
    </row>
    <row r="38" spans="6:7">
      <c r="F38" s="29">
        <v>44883</v>
      </c>
      <c r="G38">
        <v>0.66739499999999996</v>
      </c>
    </row>
    <row r="39" spans="6:7">
      <c r="F39" s="29">
        <v>44886</v>
      </c>
      <c r="G39">
        <v>0.660385</v>
      </c>
    </row>
    <row r="40" spans="6:7">
      <c r="F40" s="29">
        <v>44887</v>
      </c>
      <c r="G40">
        <v>0.66487499999999999</v>
      </c>
    </row>
    <row r="41" spans="6:7">
      <c r="F41" s="29">
        <v>44888</v>
      </c>
      <c r="G41">
        <v>0.67318999999999996</v>
      </c>
    </row>
    <row r="42" spans="6:7">
      <c r="F42" s="29">
        <v>44889</v>
      </c>
      <c r="G42">
        <v>0.67649999999999999</v>
      </c>
    </row>
    <row r="43" spans="6:7">
      <c r="F43" s="29">
        <v>44890</v>
      </c>
      <c r="G43">
        <v>0.67476999999999998</v>
      </c>
    </row>
    <row r="44" spans="6:7">
      <c r="F44" s="29">
        <v>44893</v>
      </c>
      <c r="G44">
        <v>0.66496500000000003</v>
      </c>
    </row>
    <row r="45" spans="6:7">
      <c r="F45" s="29">
        <v>44894</v>
      </c>
      <c r="G45">
        <v>0.67062999999999995</v>
      </c>
    </row>
    <row r="46" spans="6:7">
      <c r="F46" s="29">
        <v>44895</v>
      </c>
      <c r="G46">
        <v>0.67876000000000003</v>
      </c>
    </row>
    <row r="47" spans="6:7">
      <c r="F47" s="29">
        <v>44896</v>
      </c>
      <c r="G47">
        <v>0.68113999999999997</v>
      </c>
    </row>
    <row r="48" spans="6:7">
      <c r="F48" s="29">
        <v>44897</v>
      </c>
      <c r="G48">
        <v>0.67962500000000003</v>
      </c>
    </row>
    <row r="49" spans="6:7">
      <c r="F49" s="29">
        <v>44900</v>
      </c>
      <c r="G49">
        <v>0.66990000000000005</v>
      </c>
    </row>
    <row r="50" spans="6:7">
      <c r="F50" s="29">
        <v>44901</v>
      </c>
      <c r="G50">
        <v>0.66890000000000005</v>
      </c>
    </row>
    <row r="51" spans="6:7">
      <c r="F51" s="29">
        <v>44902</v>
      </c>
      <c r="G51">
        <v>0.67238500000000001</v>
      </c>
    </row>
    <row r="52" spans="6:7">
      <c r="F52" s="29">
        <v>44903</v>
      </c>
      <c r="G52">
        <v>0.676705</v>
      </c>
    </row>
    <row r="53" spans="6:7">
      <c r="F53" s="29">
        <v>44904</v>
      </c>
      <c r="G53">
        <v>0.67935999999999996</v>
      </c>
    </row>
    <row r="54" spans="6:7">
      <c r="F54" s="29">
        <v>44907</v>
      </c>
      <c r="G54">
        <v>0.67411500000000002</v>
      </c>
    </row>
    <row r="55" spans="6:7">
      <c r="F55" s="29">
        <v>44908</v>
      </c>
      <c r="G55">
        <v>0.68530500000000005</v>
      </c>
    </row>
    <row r="56" spans="6:7">
      <c r="F56" s="29">
        <v>44909</v>
      </c>
      <c r="G56">
        <v>0.68642000000000003</v>
      </c>
    </row>
    <row r="57" spans="6:7">
      <c r="F57" s="29">
        <v>44910</v>
      </c>
      <c r="G57">
        <v>0.6704</v>
      </c>
    </row>
    <row r="58" spans="6:7">
      <c r="F58" s="29">
        <v>44911</v>
      </c>
      <c r="G58">
        <v>0.66894500000000001</v>
      </c>
    </row>
    <row r="59" spans="6:7">
      <c r="F59" s="29">
        <v>44914</v>
      </c>
      <c r="G59">
        <v>0.67010000000000003</v>
      </c>
    </row>
    <row r="60" spans="6:7">
      <c r="F60" s="29">
        <v>44915</v>
      </c>
      <c r="G60">
        <v>0.66735</v>
      </c>
    </row>
    <row r="61" spans="6:7">
      <c r="F61" s="29">
        <v>44916</v>
      </c>
      <c r="G61">
        <v>0.67059999999999997</v>
      </c>
    </row>
    <row r="62" spans="6:7">
      <c r="F62" s="29">
        <v>44917</v>
      </c>
      <c r="G62">
        <v>0.66705499999999995</v>
      </c>
    </row>
    <row r="63" spans="6:7">
      <c r="F63" s="29">
        <v>44918</v>
      </c>
      <c r="G63">
        <v>0.67201500000000003</v>
      </c>
    </row>
    <row r="64" spans="6:7">
      <c r="F64" s="29">
        <v>44921</v>
      </c>
      <c r="G64">
        <v>0.67279999999999995</v>
      </c>
    </row>
    <row r="65" spans="6:7">
      <c r="F65" s="29">
        <v>44922</v>
      </c>
      <c r="G65">
        <v>0.67286999999999997</v>
      </c>
    </row>
    <row r="66" spans="6:7">
      <c r="F66" s="29">
        <v>44923</v>
      </c>
      <c r="G66">
        <v>0.67344499999999996</v>
      </c>
    </row>
    <row r="67" spans="6:7">
      <c r="F67" s="29">
        <v>44924</v>
      </c>
      <c r="G67">
        <v>0.6774</v>
      </c>
    </row>
    <row r="68" spans="6:7">
      <c r="F68" s="29">
        <v>44925</v>
      </c>
      <c r="G68">
        <v>0.68155500000000002</v>
      </c>
    </row>
    <row r="69" spans="6:7">
      <c r="F69" s="29">
        <v>44928</v>
      </c>
      <c r="G69">
        <v>0.68025000000000002</v>
      </c>
    </row>
    <row r="70" spans="6:7">
      <c r="F70" s="29">
        <v>44929</v>
      </c>
      <c r="G70">
        <v>0.67318</v>
      </c>
    </row>
    <row r="71" spans="6:7">
      <c r="F71" s="29">
        <v>44930</v>
      </c>
      <c r="G71">
        <v>0.68506500000000004</v>
      </c>
    </row>
    <row r="72" spans="6:7">
      <c r="F72" s="29">
        <v>44931</v>
      </c>
      <c r="G72">
        <v>0.67552000000000001</v>
      </c>
    </row>
    <row r="73" spans="6:7">
      <c r="F73" s="29">
        <v>44932</v>
      </c>
      <c r="G73">
        <v>0.68830000000000002</v>
      </c>
    </row>
    <row r="74" spans="6:7">
      <c r="F74" s="29">
        <v>44935</v>
      </c>
      <c r="G74">
        <v>0.69101000000000001</v>
      </c>
    </row>
    <row r="75" spans="6:7">
      <c r="F75" s="29">
        <v>44936</v>
      </c>
      <c r="G75">
        <v>0.68772500000000003</v>
      </c>
    </row>
    <row r="76" spans="6:7">
      <c r="F76" s="29">
        <v>44937</v>
      </c>
      <c r="G76">
        <v>0.68962000000000001</v>
      </c>
    </row>
    <row r="77" spans="6:7">
      <c r="F77" s="29">
        <v>44938</v>
      </c>
      <c r="G77">
        <v>0.69740500000000005</v>
      </c>
    </row>
    <row r="78" spans="6:7">
      <c r="F78" s="29">
        <v>44939</v>
      </c>
      <c r="G78">
        <v>0.69766499999999998</v>
      </c>
    </row>
    <row r="79" spans="6:7">
      <c r="F79" s="29">
        <v>44942</v>
      </c>
      <c r="G79">
        <v>0.69547499999999995</v>
      </c>
    </row>
    <row r="80" spans="6:7">
      <c r="F80" s="29">
        <v>44943</v>
      </c>
      <c r="G80">
        <v>0.69764499999999996</v>
      </c>
    </row>
    <row r="81" spans="6:7">
      <c r="F81" s="29">
        <v>44944</v>
      </c>
      <c r="G81">
        <v>0.69452000000000003</v>
      </c>
    </row>
    <row r="82" spans="6:7">
      <c r="F82" s="29">
        <v>44945</v>
      </c>
      <c r="G82">
        <v>0.69089999999999996</v>
      </c>
    </row>
    <row r="83" spans="6:7">
      <c r="F83" s="29">
        <v>44946</v>
      </c>
      <c r="G83">
        <v>0.69523999999999997</v>
      </c>
    </row>
    <row r="84" spans="6:7">
      <c r="F84" s="29">
        <v>44949</v>
      </c>
      <c r="G84">
        <v>0.70279999999999998</v>
      </c>
    </row>
    <row r="85" spans="6:7">
      <c r="F85" s="29">
        <v>44950</v>
      </c>
      <c r="G85">
        <v>0.70479499999999995</v>
      </c>
    </row>
    <row r="86" spans="6:7">
      <c r="F86" s="29">
        <v>44951</v>
      </c>
      <c r="G86">
        <v>0.71069499999999997</v>
      </c>
    </row>
    <row r="87" spans="6:7">
      <c r="F87" s="29">
        <v>44952</v>
      </c>
      <c r="G87">
        <v>0.7107</v>
      </c>
    </row>
    <row r="88" spans="6:7">
      <c r="F88" s="29">
        <v>44953</v>
      </c>
      <c r="G88">
        <v>0.71060000000000001</v>
      </c>
    </row>
    <row r="89" spans="6:7">
      <c r="F89" s="29">
        <v>44956</v>
      </c>
      <c r="G89">
        <v>0.70589999999999997</v>
      </c>
    </row>
    <row r="90" spans="6:7">
      <c r="F90" s="29">
        <v>44957</v>
      </c>
      <c r="G90">
        <v>0.7056</v>
      </c>
    </row>
    <row r="91" spans="6:7">
      <c r="F91" s="29">
        <v>44958</v>
      </c>
      <c r="G91">
        <v>0.71366499999999999</v>
      </c>
    </row>
    <row r="92" spans="6:7">
      <c r="F92" s="29">
        <v>44959</v>
      </c>
      <c r="G92">
        <v>0.70762000000000003</v>
      </c>
    </row>
    <row r="93" spans="6:7">
      <c r="F93" s="29">
        <v>44960</v>
      </c>
      <c r="G93">
        <v>0.69249000000000005</v>
      </c>
    </row>
    <row r="94" spans="6:7">
      <c r="F94" s="29">
        <v>44963</v>
      </c>
      <c r="G94">
        <v>0.68832000000000004</v>
      </c>
    </row>
    <row r="95" spans="6:7">
      <c r="F95" s="29">
        <v>44964</v>
      </c>
      <c r="G95">
        <v>0.69594500000000004</v>
      </c>
    </row>
    <row r="96" spans="6:7">
      <c r="F96" s="29">
        <v>44965</v>
      </c>
      <c r="G96">
        <v>0.69220000000000004</v>
      </c>
    </row>
    <row r="97" spans="6:7">
      <c r="F97" s="29">
        <v>44966</v>
      </c>
      <c r="G97">
        <v>0.69359000000000004</v>
      </c>
    </row>
    <row r="98" spans="6:7">
      <c r="F98" s="29">
        <v>44967</v>
      </c>
      <c r="G98">
        <v>0.69161499999999998</v>
      </c>
    </row>
    <row r="99" spans="6:7">
      <c r="F99" s="29">
        <v>44970</v>
      </c>
      <c r="G99">
        <v>0.69669999999999999</v>
      </c>
    </row>
    <row r="100" spans="6:7">
      <c r="F100" s="29">
        <v>44971</v>
      </c>
      <c r="G100">
        <v>0.69877</v>
      </c>
    </row>
    <row r="101" spans="6:7">
      <c r="F101" s="29">
        <v>44972</v>
      </c>
      <c r="G101">
        <v>0.69028500000000004</v>
      </c>
    </row>
    <row r="102" spans="6:7">
      <c r="F102" s="29">
        <v>44973</v>
      </c>
      <c r="G102">
        <v>0.68799999999999994</v>
      </c>
    </row>
    <row r="103" spans="6:7">
      <c r="F103" s="29">
        <v>44974</v>
      </c>
      <c r="G103">
        <v>0.68812499999999999</v>
      </c>
    </row>
    <row r="104" spans="6:7">
      <c r="F104" s="29">
        <v>44977</v>
      </c>
      <c r="G104">
        <v>0.69069999999999998</v>
      </c>
    </row>
    <row r="105" spans="6:7">
      <c r="F105" s="29">
        <v>44978</v>
      </c>
      <c r="G105">
        <v>0.6855</v>
      </c>
    </row>
    <row r="106" spans="6:7">
      <c r="F106" s="29">
        <v>44979</v>
      </c>
      <c r="G106">
        <v>0.68025000000000002</v>
      </c>
    </row>
    <row r="107" spans="6:7">
      <c r="F107" s="29">
        <v>44980</v>
      </c>
      <c r="G107">
        <v>0.68084999999999996</v>
      </c>
    </row>
    <row r="108" spans="6:7">
      <c r="F108" s="29">
        <v>44981</v>
      </c>
      <c r="G108">
        <v>0.67223999999999995</v>
      </c>
    </row>
    <row r="109" spans="6:7">
      <c r="F109" s="29">
        <v>44984</v>
      </c>
      <c r="G109">
        <v>0.67390000000000005</v>
      </c>
    </row>
    <row r="110" spans="6:7">
      <c r="F110" s="29">
        <v>44985</v>
      </c>
      <c r="G110">
        <v>0.67269000000000001</v>
      </c>
    </row>
    <row r="111" spans="6:7">
      <c r="F111" s="29">
        <v>44986</v>
      </c>
      <c r="G111">
        <v>0.67630000000000001</v>
      </c>
    </row>
    <row r="112" spans="6:7">
      <c r="F112" s="29">
        <v>44987</v>
      </c>
      <c r="G112">
        <v>0.67340999999999995</v>
      </c>
    </row>
    <row r="113" spans="6:7">
      <c r="F113" s="29">
        <v>44988</v>
      </c>
      <c r="G113">
        <v>0.67690499999999998</v>
      </c>
    </row>
    <row r="114" spans="6:7">
      <c r="F114" s="29">
        <v>44991</v>
      </c>
      <c r="G114">
        <v>0.67285499999999998</v>
      </c>
    </row>
    <row r="115" spans="6:7">
      <c r="F115" s="29">
        <v>44992</v>
      </c>
      <c r="G115">
        <v>0.65829499999999996</v>
      </c>
    </row>
    <row r="116" spans="6:7">
      <c r="F116" s="29">
        <v>44993</v>
      </c>
      <c r="G116">
        <v>0.65910000000000002</v>
      </c>
    </row>
    <row r="117" spans="6:7">
      <c r="F117" s="29">
        <v>44994</v>
      </c>
      <c r="G117">
        <v>0.65900499999999995</v>
      </c>
    </row>
    <row r="118" spans="6:7">
      <c r="F118" s="29">
        <v>44995</v>
      </c>
      <c r="G118">
        <v>0.657725</v>
      </c>
    </row>
    <row r="119" spans="6:7">
      <c r="F119" s="29">
        <v>44998</v>
      </c>
      <c r="G119">
        <v>0.66659999999999997</v>
      </c>
    </row>
    <row r="120" spans="6:7">
      <c r="F120" s="29">
        <v>44999</v>
      </c>
      <c r="G120">
        <v>0.66720000000000002</v>
      </c>
    </row>
    <row r="121" spans="6:7">
      <c r="F121" s="29">
        <v>45000</v>
      </c>
      <c r="G121">
        <v>0.66132500000000005</v>
      </c>
    </row>
    <row r="122" spans="6:7">
      <c r="F122" s="29">
        <v>45001</v>
      </c>
      <c r="G122">
        <v>0.66539000000000004</v>
      </c>
    </row>
    <row r="123" spans="6:7">
      <c r="F123" s="29">
        <v>45002</v>
      </c>
      <c r="G123">
        <v>0.67117000000000004</v>
      </c>
    </row>
    <row r="124" spans="6:7">
      <c r="F124" s="29">
        <v>45005</v>
      </c>
      <c r="G124">
        <v>0.67203000000000002</v>
      </c>
    </row>
    <row r="125" spans="6:7">
      <c r="F125" s="29">
        <v>45006</v>
      </c>
      <c r="G125">
        <v>0.66681999999999997</v>
      </c>
    </row>
    <row r="126" spans="6:7">
      <c r="F126" s="29">
        <v>45007</v>
      </c>
      <c r="G126">
        <v>0.66849499999999995</v>
      </c>
    </row>
    <row r="127" spans="6:7">
      <c r="F127" s="29">
        <v>45008</v>
      </c>
      <c r="G127">
        <v>0.66835999999999995</v>
      </c>
    </row>
    <row r="128" spans="6:7">
      <c r="F128" s="29">
        <v>45009</v>
      </c>
      <c r="G128">
        <v>0.66450500000000001</v>
      </c>
    </row>
    <row r="129" spans="6:7">
      <c r="F129" s="29">
        <v>45012</v>
      </c>
      <c r="G129">
        <v>0.66510999999999998</v>
      </c>
    </row>
    <row r="130" spans="6:7">
      <c r="F130" s="29">
        <v>45013</v>
      </c>
      <c r="G130">
        <v>0.67022499999999996</v>
      </c>
    </row>
    <row r="131" spans="6:7">
      <c r="F131" s="29">
        <v>45014</v>
      </c>
      <c r="G131">
        <v>0.66793999999999998</v>
      </c>
    </row>
    <row r="132" spans="6:7">
      <c r="F132" s="29">
        <v>45015</v>
      </c>
      <c r="G132">
        <v>0.67110000000000003</v>
      </c>
    </row>
    <row r="133" spans="6:7">
      <c r="F133" s="29">
        <v>45016</v>
      </c>
      <c r="G133">
        <v>0.66854999999999998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033E6-4BAD-4A26-9807-EC262EFC45BA}">
  <sheetPr codeName="Sheet16">
    <tabColor theme="6" tint="0.79998168889431442"/>
  </sheetPr>
  <dimension ref="A1:AU93"/>
  <sheetViews>
    <sheetView showGridLines="0" tabSelected="1" zoomScale="85" zoomScaleNormal="85" workbookViewId="0">
      <pane xSplit="3" ySplit="4" topLeftCell="AB5" activePane="bottomRight" state="frozen"/>
      <selection pane="topRight" activeCell="D1" sqref="D1"/>
      <selection pane="bottomLeft" activeCell="A5" sqref="A5"/>
      <selection pane="bottomRight" activeCell="C5" sqref="C5"/>
    </sheetView>
  </sheetViews>
  <sheetFormatPr defaultColWidth="9.140625" defaultRowHeight="15" outlineLevelRow="1"/>
  <cols>
    <col min="1" max="1" width="8.140625" style="18" customWidth="1"/>
    <col min="2" max="2" width="25.5703125" style="18" customWidth="1"/>
    <col min="3" max="3" width="59.42578125" style="18" bestFit="1" customWidth="1"/>
    <col min="4" max="7" width="14.140625" style="909" customWidth="1"/>
    <col min="8" max="8" width="2.7109375" style="927" customWidth="1"/>
    <col min="9" max="12" width="14.140625" style="909" customWidth="1"/>
    <col min="13" max="13" width="2.7109375" customWidth="1"/>
    <col min="14" max="21" width="14.5703125" style="18" customWidth="1"/>
    <col min="22" max="22" width="2.7109375" customWidth="1"/>
    <col min="23" max="29" width="14.5703125" style="18" customWidth="1"/>
    <col min="30" max="30" width="2.7109375" customWidth="1"/>
    <col min="31" max="35" width="14.5703125" style="18" customWidth="1"/>
    <col min="36" max="36" width="45" style="18" bestFit="1" customWidth="1"/>
    <col min="37" max="40" width="9.140625" style="18"/>
    <col min="41" max="41" width="2.7109375" style="18" customWidth="1"/>
    <col min="42" max="16384" width="9.140625" style="18"/>
  </cols>
  <sheetData>
    <row r="1" spans="1:47" ht="16.5">
      <c r="A1" s="587" t="s">
        <v>1296</v>
      </c>
      <c r="B1" s="588"/>
      <c r="C1" s="587"/>
      <c r="D1" s="901"/>
      <c r="E1" s="901"/>
      <c r="F1" s="901"/>
      <c r="G1" s="901"/>
      <c r="H1" s="916"/>
      <c r="I1" s="901"/>
      <c r="J1" s="901"/>
      <c r="K1" s="901"/>
      <c r="L1" s="901"/>
      <c r="N1" s="587"/>
      <c r="O1" s="587"/>
      <c r="P1" s="587"/>
      <c r="Q1" s="587"/>
      <c r="R1" s="587"/>
      <c r="S1" s="587"/>
      <c r="T1" s="587"/>
      <c r="U1" s="587"/>
      <c r="W1" s="587"/>
      <c r="X1" s="587"/>
      <c r="Y1" s="587"/>
      <c r="Z1" s="587"/>
      <c r="AA1" s="587"/>
      <c r="AB1" s="587"/>
      <c r="AC1" s="587"/>
      <c r="AE1" s="587"/>
      <c r="AF1" s="587"/>
      <c r="AG1" s="587"/>
      <c r="AH1" s="587"/>
      <c r="AI1" s="587"/>
      <c r="AJ1" s="589"/>
    </row>
    <row r="2" spans="1:47" ht="16.5">
      <c r="A2" s="590"/>
      <c r="B2" s="591"/>
      <c r="C2" s="590"/>
      <c r="D2" s="902"/>
      <c r="E2" s="902"/>
      <c r="F2" s="902"/>
      <c r="G2" s="902"/>
      <c r="H2" s="916"/>
      <c r="I2" s="902"/>
      <c r="J2" s="902"/>
      <c r="K2" s="902"/>
      <c r="L2" s="902"/>
      <c r="N2" s="590"/>
      <c r="O2" s="590"/>
      <c r="P2" s="590"/>
      <c r="Q2" s="590"/>
      <c r="R2" s="590"/>
      <c r="S2" s="590"/>
      <c r="T2" s="590"/>
      <c r="U2" s="590"/>
      <c r="W2" s="590"/>
      <c r="X2" s="590"/>
      <c r="Y2" s="590"/>
      <c r="Z2" s="590"/>
      <c r="AA2" s="590"/>
      <c r="AB2" s="590"/>
      <c r="AC2" s="590"/>
      <c r="AE2" s="590"/>
      <c r="AF2" s="590"/>
      <c r="AG2" s="590"/>
      <c r="AH2" s="590"/>
      <c r="AI2" s="590"/>
      <c r="AJ2" s="589"/>
    </row>
    <row r="3" spans="1:47">
      <c r="A3" s="590"/>
      <c r="B3" s="869" t="s">
        <v>1297</v>
      </c>
      <c r="C3" s="870"/>
      <c r="D3" s="881" t="s">
        <v>1075</v>
      </c>
      <c r="E3" s="881" t="s">
        <v>1075</v>
      </c>
      <c r="F3" s="881" t="s">
        <v>1075</v>
      </c>
      <c r="G3" s="881" t="s">
        <v>1075</v>
      </c>
      <c r="H3" s="917"/>
      <c r="I3" s="881" t="s">
        <v>1075</v>
      </c>
      <c r="J3" s="881" t="s">
        <v>1075</v>
      </c>
      <c r="K3" s="881" t="s">
        <v>1075</v>
      </c>
      <c r="L3" s="881" t="s">
        <v>1075</v>
      </c>
      <c r="N3" s="592" t="s">
        <v>1081</v>
      </c>
      <c r="O3" s="592" t="s">
        <v>1081</v>
      </c>
      <c r="P3" s="592" t="s">
        <v>1081</v>
      </c>
      <c r="Q3" s="592" t="s">
        <v>1081</v>
      </c>
      <c r="R3" s="592" t="s">
        <v>1081</v>
      </c>
      <c r="S3" s="592" t="s">
        <v>1081</v>
      </c>
      <c r="T3" s="592" t="s">
        <v>1081</v>
      </c>
      <c r="U3" s="592" t="s">
        <v>1081</v>
      </c>
      <c r="W3" s="592" t="s">
        <v>1081</v>
      </c>
      <c r="X3" s="592" t="s">
        <v>1081</v>
      </c>
      <c r="Y3" s="592" t="s">
        <v>1081</v>
      </c>
      <c r="Z3" s="592" t="s">
        <v>1081</v>
      </c>
      <c r="AA3" s="592" t="s">
        <v>1081</v>
      </c>
      <c r="AB3" s="592" t="s">
        <v>1081</v>
      </c>
      <c r="AC3" s="592" t="s">
        <v>1081</v>
      </c>
      <c r="AE3" s="593" t="s">
        <v>1081</v>
      </c>
      <c r="AF3" s="593" t="s">
        <v>1081</v>
      </c>
      <c r="AG3" s="593" t="s">
        <v>1081</v>
      </c>
      <c r="AH3" s="593" t="s">
        <v>1081</v>
      </c>
      <c r="AI3" s="593" t="s">
        <v>1081</v>
      </c>
    </row>
    <row r="4" spans="1:47" ht="45">
      <c r="A4" s="590"/>
      <c r="B4" s="871"/>
      <c r="C4" s="872"/>
      <c r="D4" s="882" t="s">
        <v>1589</v>
      </c>
      <c r="E4" s="882" t="s">
        <v>1590</v>
      </c>
      <c r="F4" s="882" t="s">
        <v>1614</v>
      </c>
      <c r="G4" s="882" t="s">
        <v>1680</v>
      </c>
      <c r="H4" s="918"/>
      <c r="I4" s="882" t="s">
        <v>1298</v>
      </c>
      <c r="J4" s="882" t="s">
        <v>1530</v>
      </c>
      <c r="K4" s="882" t="s">
        <v>1588</v>
      </c>
      <c r="L4" s="882" t="s">
        <v>1681</v>
      </c>
      <c r="N4" s="882" t="s">
        <v>1589</v>
      </c>
      <c r="O4" s="882" t="s">
        <v>1590</v>
      </c>
      <c r="P4" s="882" t="s">
        <v>1614</v>
      </c>
      <c r="Q4" s="882" t="s">
        <v>1680</v>
      </c>
      <c r="R4" s="594" t="s">
        <v>1683</v>
      </c>
      <c r="S4" s="594" t="s">
        <v>1684</v>
      </c>
      <c r="T4" s="594" t="s">
        <v>1686</v>
      </c>
      <c r="U4" s="594" t="s">
        <v>1687</v>
      </c>
      <c r="W4" s="882" t="s">
        <v>1298</v>
      </c>
      <c r="X4" s="882" t="s">
        <v>1530</v>
      </c>
      <c r="Y4" s="882" t="s">
        <v>1588</v>
      </c>
      <c r="Z4" s="882" t="s">
        <v>1681</v>
      </c>
      <c r="AA4" s="882" t="s">
        <v>1688</v>
      </c>
      <c r="AB4" s="882" t="s">
        <v>1689</v>
      </c>
      <c r="AC4" s="882" t="s">
        <v>1690</v>
      </c>
      <c r="AE4" s="594" t="s">
        <v>1683</v>
      </c>
      <c r="AF4" s="594" t="s">
        <v>1684</v>
      </c>
      <c r="AG4" s="594" t="s">
        <v>1531</v>
      </c>
      <c r="AH4" s="594" t="s">
        <v>1591</v>
      </c>
      <c r="AI4" s="594" t="s">
        <v>1682</v>
      </c>
      <c r="AK4" s="882" t="s">
        <v>1589</v>
      </c>
      <c r="AL4" s="882" t="s">
        <v>1590</v>
      </c>
      <c r="AM4" s="882" t="s">
        <v>1614</v>
      </c>
      <c r="AN4" s="882" t="s">
        <v>1680</v>
      </c>
      <c r="AP4" s="882" t="s">
        <v>1298</v>
      </c>
      <c r="AQ4" s="882" t="s">
        <v>1530</v>
      </c>
      <c r="AR4" s="882" t="s">
        <v>1588</v>
      </c>
      <c r="AS4" s="882" t="s">
        <v>1681</v>
      </c>
      <c r="AU4" s="18" t="s">
        <v>1691</v>
      </c>
    </row>
    <row r="5" spans="1:47">
      <c r="A5" s="590"/>
      <c r="B5" s="595" t="s">
        <v>1299</v>
      </c>
      <c r="C5" s="596">
        <f>C93</f>
        <v>0.89457632937266562</v>
      </c>
      <c r="D5" s="903"/>
      <c r="E5" s="903"/>
      <c r="F5" s="903"/>
      <c r="G5" s="903"/>
      <c r="H5" s="919"/>
      <c r="I5" s="903"/>
      <c r="J5" s="883"/>
      <c r="K5" s="883"/>
      <c r="L5" s="883"/>
      <c r="N5" s="634"/>
      <c r="O5" s="634"/>
      <c r="P5" s="634"/>
      <c r="Q5" s="634"/>
      <c r="R5" s="634"/>
      <c r="S5" s="634"/>
      <c r="T5" s="634"/>
      <c r="U5" s="634"/>
      <c r="W5" s="634"/>
      <c r="X5" s="634"/>
      <c r="Y5" s="634"/>
      <c r="Z5" s="634"/>
      <c r="AA5" s="634"/>
      <c r="AB5" s="634"/>
      <c r="AC5" s="634"/>
      <c r="AE5" s="597"/>
      <c r="AF5" s="597"/>
      <c r="AG5" s="597"/>
      <c r="AH5" s="597"/>
      <c r="AI5" s="597"/>
    </row>
    <row r="6" spans="1:47">
      <c r="A6" s="590"/>
      <c r="B6" s="598" t="s">
        <v>1300</v>
      </c>
      <c r="C6" s="599">
        <v>46055</v>
      </c>
      <c r="D6" s="903"/>
      <c r="E6" s="903"/>
      <c r="F6" s="903"/>
      <c r="G6" s="903"/>
      <c r="H6" s="919"/>
      <c r="I6" s="903"/>
      <c r="J6" s="883"/>
      <c r="K6" s="883"/>
      <c r="L6" s="883"/>
      <c r="N6" s="635"/>
      <c r="O6" s="635"/>
      <c r="P6" s="635"/>
      <c r="Q6" s="635"/>
      <c r="R6" s="635"/>
      <c r="S6" s="635"/>
      <c r="T6" s="635"/>
      <c r="U6" s="635"/>
      <c r="W6" s="635"/>
      <c r="X6" s="635"/>
      <c r="Y6" s="635"/>
      <c r="Z6" s="635"/>
      <c r="AA6" s="635"/>
      <c r="AB6" s="635"/>
      <c r="AC6" s="635"/>
      <c r="AE6" s="600"/>
      <c r="AF6" s="600"/>
      <c r="AG6" s="600"/>
      <c r="AH6" s="600"/>
      <c r="AI6" s="600"/>
    </row>
    <row r="7" spans="1:47">
      <c r="A7" s="590"/>
      <c r="B7" s="598" t="s">
        <v>124</v>
      </c>
      <c r="C7" s="601" t="str">
        <f>BM!D14</f>
        <v>Neutral</v>
      </c>
      <c r="D7" s="903"/>
      <c r="E7" s="903"/>
      <c r="F7" s="903"/>
      <c r="G7" s="903"/>
      <c r="H7" s="919"/>
      <c r="I7" s="903"/>
      <c r="J7" s="883"/>
      <c r="K7" s="883"/>
      <c r="L7" s="883"/>
      <c r="N7" s="636"/>
      <c r="O7" s="636"/>
      <c r="P7" s="636"/>
      <c r="Q7" s="636"/>
      <c r="R7" s="636"/>
      <c r="S7" s="636"/>
      <c r="T7" s="636"/>
      <c r="U7" s="636"/>
      <c r="W7" s="636"/>
      <c r="X7" s="636"/>
      <c r="Y7" s="636"/>
      <c r="Z7" s="636"/>
      <c r="AA7" s="636"/>
      <c r="AB7" s="636"/>
      <c r="AC7" s="636"/>
      <c r="AE7" s="602"/>
      <c r="AF7" s="602"/>
      <c r="AG7" s="602"/>
      <c r="AH7" s="602"/>
      <c r="AI7" s="602"/>
    </row>
    <row r="8" spans="1:47">
      <c r="A8" s="590"/>
      <c r="B8" s="598"/>
      <c r="C8" s="603" t="s">
        <v>1301</v>
      </c>
      <c r="D8" s="884">
        <v>1.9</v>
      </c>
      <c r="E8" s="884">
        <v>2</v>
      </c>
      <c r="F8" s="884">
        <v>2.7</v>
      </c>
      <c r="G8" s="884">
        <v>2.5</v>
      </c>
      <c r="H8" s="920"/>
      <c r="I8" s="884">
        <v>3.8</v>
      </c>
      <c r="J8" s="884">
        <v>1.4</v>
      </c>
      <c r="K8" s="884">
        <v>3.9</v>
      </c>
      <c r="L8" s="884">
        <v>5.2</v>
      </c>
      <c r="N8" s="646">
        <f>HY!S621</f>
        <v>1.9</v>
      </c>
      <c r="O8" s="646">
        <f>HY!T621</f>
        <v>2</v>
      </c>
      <c r="P8" s="646">
        <f>HY!U621</f>
        <v>2.7</v>
      </c>
      <c r="Q8" s="646">
        <f>HY!V621</f>
        <v>2.5</v>
      </c>
      <c r="R8" s="646">
        <f>HY!W621</f>
        <v>3.3022167918125076</v>
      </c>
      <c r="S8" s="646">
        <f>HY!X621</f>
        <v>2.4776952740706562</v>
      </c>
      <c r="T8" s="646">
        <f>HY!Y621</f>
        <v>3.4109127633987337</v>
      </c>
      <c r="U8" s="646">
        <f>HY!Z621</f>
        <v>2.7780270313634703</v>
      </c>
      <c r="W8" s="646">
        <f>FY!D183</f>
        <v>3.8</v>
      </c>
      <c r="X8" s="646">
        <f>FY!E183</f>
        <v>1.4</v>
      </c>
      <c r="Y8" s="646">
        <f>FY!F183</f>
        <v>3.9</v>
      </c>
      <c r="Z8" s="646">
        <f>FY!G183</f>
        <v>5.2</v>
      </c>
      <c r="AA8" s="646">
        <f>FY!H183</f>
        <v>5.7799120658831633</v>
      </c>
      <c r="AB8" s="646">
        <f>FY!I183</f>
        <v>6.188939794762204</v>
      </c>
      <c r="AC8" s="646">
        <f>FY!J183</f>
        <v>6.213802180636014</v>
      </c>
      <c r="AE8" s="661">
        <f>R8</f>
        <v>3.3022167918125076</v>
      </c>
      <c r="AF8" s="661">
        <f t="shared" ref="AF8:AF11" si="0">S8</f>
        <v>2.4776952740706562</v>
      </c>
      <c r="AG8" s="661">
        <f>AA8</f>
        <v>5.7799120658831633</v>
      </c>
      <c r="AH8" s="661">
        <f t="shared" ref="AH8:AH11" si="1">AB8</f>
        <v>6.188939794762204</v>
      </c>
      <c r="AI8" s="661">
        <f t="shared" ref="AI8:AI11" si="2">AC8</f>
        <v>6.213802180636014</v>
      </c>
      <c r="AK8" s="930">
        <f>N8-D8</f>
        <v>0</v>
      </c>
      <c r="AL8" s="930">
        <f>O8-E8</f>
        <v>0</v>
      </c>
      <c r="AM8" s="930">
        <f>P8-F8</f>
        <v>0</v>
      </c>
      <c r="AN8" s="930">
        <f>Q8-G8</f>
        <v>0</v>
      </c>
      <c r="AP8" s="930">
        <f>W8-I8</f>
        <v>0</v>
      </c>
      <c r="AQ8" s="930">
        <f t="shared" ref="AQ8" si="3">X8-J8</f>
        <v>0</v>
      </c>
      <c r="AR8" s="930">
        <f t="shared" ref="AR8:AU8" si="4">Y8-K8</f>
        <v>0</v>
      </c>
      <c r="AS8" s="930">
        <f t="shared" si="4"/>
        <v>0</v>
      </c>
      <c r="AU8" s="930">
        <f>AG8-SUM(AE8:AF8)</f>
        <v>0</v>
      </c>
    </row>
    <row r="9" spans="1:47">
      <c r="A9" s="590"/>
      <c r="B9" s="598"/>
      <c r="C9" s="590" t="s">
        <v>1302</v>
      </c>
      <c r="D9" s="884">
        <v>1</v>
      </c>
      <c r="E9" s="884">
        <v>1</v>
      </c>
      <c r="F9" s="884">
        <v>1.5</v>
      </c>
      <c r="G9" s="884">
        <v>1.5</v>
      </c>
      <c r="H9" s="920"/>
      <c r="I9" s="884">
        <v>2.2999999999999998</v>
      </c>
      <c r="J9" s="884">
        <v>1.3</v>
      </c>
      <c r="K9" s="884">
        <v>2</v>
      </c>
      <c r="L9" s="884">
        <v>3</v>
      </c>
      <c r="N9" s="647">
        <f>HY!S527</f>
        <v>1</v>
      </c>
      <c r="O9" s="647">
        <f>HY!T527</f>
        <v>1</v>
      </c>
      <c r="P9" s="647">
        <f>HY!U527</f>
        <v>1.5</v>
      </c>
      <c r="Q9" s="647">
        <f>HY!V527</f>
        <v>1.5</v>
      </c>
      <c r="R9" s="647">
        <f>HY!W527</f>
        <v>1.6</v>
      </c>
      <c r="S9" s="647">
        <f>HY!X527</f>
        <v>1.6</v>
      </c>
      <c r="T9" s="647">
        <f>HY!Y527</f>
        <v>1.6</v>
      </c>
      <c r="U9" s="647">
        <f>HY!Z527</f>
        <v>1.6</v>
      </c>
      <c r="W9" s="647">
        <f>FY!D186</f>
        <v>2.2999999999999998</v>
      </c>
      <c r="X9" s="647">
        <f>FY!E186</f>
        <v>1.3</v>
      </c>
      <c r="Y9" s="647">
        <f>FY!F186</f>
        <v>2</v>
      </c>
      <c r="Z9" s="647">
        <f>FY!G186</f>
        <v>3</v>
      </c>
      <c r="AA9" s="647">
        <f>FY!H186</f>
        <v>3.2</v>
      </c>
      <c r="AB9" s="647">
        <f>FY!I186</f>
        <v>3.2</v>
      </c>
      <c r="AC9" s="647">
        <f>FY!J186</f>
        <v>3.7282813083816082</v>
      </c>
      <c r="AE9" s="661">
        <f t="shared" ref="AE9:AE11" si="5">R9</f>
        <v>1.6</v>
      </c>
      <c r="AF9" s="661">
        <f t="shared" si="0"/>
        <v>1.6</v>
      </c>
      <c r="AG9" s="661">
        <f t="shared" ref="AG9:AG11" si="6">AA9</f>
        <v>3.2</v>
      </c>
      <c r="AH9" s="661">
        <f t="shared" si="1"/>
        <v>3.2</v>
      </c>
      <c r="AI9" s="661">
        <f t="shared" si="2"/>
        <v>3.7282813083816082</v>
      </c>
      <c r="AK9" s="930">
        <f>N9-D9</f>
        <v>0</v>
      </c>
      <c r="AL9" s="930">
        <f t="shared" ref="AL9:AL52" si="7">O9-E9</f>
        <v>0</v>
      </c>
      <c r="AM9" s="930">
        <f t="shared" ref="AM9:AM52" si="8">P9-F9</f>
        <v>0</v>
      </c>
      <c r="AN9" s="930">
        <f>Q9-G9</f>
        <v>0</v>
      </c>
      <c r="AP9" s="930">
        <f t="shared" ref="AP9:AP52" si="9">W9-I9</f>
        <v>0</v>
      </c>
      <c r="AQ9" s="930">
        <f t="shared" ref="AQ9:AQ52" si="10">X9-J9</f>
        <v>0</v>
      </c>
      <c r="AR9" s="930">
        <f t="shared" ref="AR9:AU52" si="11">Y9-K9</f>
        <v>0</v>
      </c>
      <c r="AS9" s="930">
        <f t="shared" si="11"/>
        <v>0</v>
      </c>
      <c r="AU9" s="930">
        <f t="shared" ref="AU9:AU11" si="12">AG9-SUM(AE9:AF9)</f>
        <v>0</v>
      </c>
    </row>
    <row r="10" spans="1:47">
      <c r="A10" s="590"/>
      <c r="B10" s="598"/>
      <c r="C10" s="604" t="s">
        <v>1303</v>
      </c>
      <c r="D10" s="814">
        <f t="shared" ref="D10:G10" si="13">D9/D8</f>
        <v>0.52631578947368418</v>
      </c>
      <c r="E10" s="814">
        <f t="shared" si="13"/>
        <v>0.5</v>
      </c>
      <c r="F10" s="814">
        <f t="shared" si="13"/>
        <v>0.55555555555555547</v>
      </c>
      <c r="G10" s="814">
        <f t="shared" si="13"/>
        <v>0.6</v>
      </c>
      <c r="H10" s="910"/>
      <c r="I10" s="814">
        <f t="shared" ref="I10:K10" si="14">I9/I8</f>
        <v>0.60526315789473684</v>
      </c>
      <c r="J10" s="814">
        <f t="shared" si="14"/>
        <v>0.92857142857142871</v>
      </c>
      <c r="K10" s="814">
        <f t="shared" si="14"/>
        <v>0.51282051282051289</v>
      </c>
      <c r="L10" s="814">
        <f>L9/L8</f>
        <v>0.57692307692307687</v>
      </c>
      <c r="N10" s="638">
        <f>HY!S534</f>
        <v>0.52631578947368418</v>
      </c>
      <c r="O10" s="638">
        <f>HY!T534</f>
        <v>0.5</v>
      </c>
      <c r="P10" s="638">
        <f>HY!U534</f>
        <v>0.55555555555555547</v>
      </c>
      <c r="Q10" s="638">
        <f>HY!V534</f>
        <v>0.6</v>
      </c>
      <c r="R10" s="638">
        <f>HY!W534</f>
        <v>0.48452300405201393</v>
      </c>
      <c r="S10" s="638">
        <f>HY!X534</f>
        <v>0.64576141252888108</v>
      </c>
      <c r="T10" s="638">
        <f>HY!Y534</f>
        <v>0.46908265059400495</v>
      </c>
      <c r="U10" s="638">
        <f>HY!Z534</f>
        <v>0.57594831941383651</v>
      </c>
      <c r="W10" s="638">
        <f>FY!D189</f>
        <v>0.60526315789473684</v>
      </c>
      <c r="X10" s="638">
        <f>FY!E189</f>
        <v>0.92857142857142871</v>
      </c>
      <c r="Y10" s="638">
        <f>FY!F189</f>
        <v>0.51282051282051289</v>
      </c>
      <c r="Z10" s="638">
        <f>FY!G189</f>
        <v>0.57692307692307687</v>
      </c>
      <c r="AA10" s="638">
        <f>FY!H189</f>
        <v>0.55364164082850009</v>
      </c>
      <c r="AB10" s="638">
        <f>FY!I189</f>
        <v>0.51705140235944935</v>
      </c>
      <c r="AC10" s="638">
        <f>FY!J189</f>
        <v>0.6</v>
      </c>
      <c r="AE10" s="660">
        <f t="shared" si="5"/>
        <v>0.48452300405201393</v>
      </c>
      <c r="AF10" s="660">
        <f t="shared" si="0"/>
        <v>0.64576141252888108</v>
      </c>
      <c r="AG10" s="660">
        <f t="shared" si="6"/>
        <v>0.55364164082850009</v>
      </c>
      <c r="AH10" s="660">
        <f t="shared" si="1"/>
        <v>0.51705140235944935</v>
      </c>
      <c r="AI10" s="660">
        <f t="shared" si="2"/>
        <v>0.6</v>
      </c>
      <c r="AJ10"/>
      <c r="AK10" s="930">
        <f>N10-D10</f>
        <v>0</v>
      </c>
      <c r="AL10" s="930">
        <f t="shared" si="7"/>
        <v>0</v>
      </c>
      <c r="AM10" s="930">
        <f t="shared" si="8"/>
        <v>0</v>
      </c>
      <c r="AN10" s="930">
        <f>Q10-G10</f>
        <v>0</v>
      </c>
      <c r="AP10" s="930">
        <f t="shared" si="9"/>
        <v>0</v>
      </c>
      <c r="AQ10" s="930">
        <f t="shared" si="10"/>
        <v>0</v>
      </c>
      <c r="AR10" s="930">
        <f t="shared" si="11"/>
        <v>0</v>
      </c>
      <c r="AS10" s="930">
        <f t="shared" si="11"/>
        <v>0</v>
      </c>
      <c r="AU10" s="930">
        <f t="shared" si="12"/>
        <v>-0.57664277575239486</v>
      </c>
    </row>
    <row r="11" spans="1:47">
      <c r="A11" s="590"/>
      <c r="B11" s="598"/>
      <c r="C11" s="605" t="s">
        <v>21</v>
      </c>
      <c r="D11" s="830">
        <v>57.4</v>
      </c>
      <c r="E11" s="830">
        <v>57.800000000000004</v>
      </c>
      <c r="F11" s="830">
        <v>50.8</v>
      </c>
      <c r="G11" s="830">
        <v>89.3</v>
      </c>
      <c r="H11" s="911"/>
      <c r="I11" s="830">
        <v>155.4</v>
      </c>
      <c r="J11" s="815">
        <v>150.80000000000001</v>
      </c>
      <c r="K11" s="815">
        <v>115.2</v>
      </c>
      <c r="L11" s="815">
        <v>140.1</v>
      </c>
      <c r="N11" s="639">
        <f>HY!S449</f>
        <v>57</v>
      </c>
      <c r="O11" s="639">
        <f>HY!T449</f>
        <v>57.800000000000004</v>
      </c>
      <c r="P11" s="639">
        <f>HY!U449</f>
        <v>51</v>
      </c>
      <c r="Q11" s="639">
        <f>HY!V449</f>
        <v>89</v>
      </c>
      <c r="R11" s="639">
        <f>HY!W449</f>
        <v>80</v>
      </c>
      <c r="S11" s="639">
        <f>HY!X449</f>
        <v>80</v>
      </c>
      <c r="T11" s="639">
        <f>HY!Y449</f>
        <v>75</v>
      </c>
      <c r="U11" s="639">
        <f>HY!Z449</f>
        <v>75</v>
      </c>
      <c r="W11" s="639">
        <f>FY!D196</f>
        <v>155.4</v>
      </c>
      <c r="X11" s="639">
        <f>FY!E196</f>
        <v>168.2</v>
      </c>
      <c r="Y11" s="639">
        <f>FY!F196</f>
        <v>114.80000000000001</v>
      </c>
      <c r="Z11" s="639">
        <f>FY!G196</f>
        <v>140</v>
      </c>
      <c r="AA11" s="639">
        <f>FY!H196</f>
        <v>160</v>
      </c>
      <c r="AB11" s="639">
        <f>FY!I196</f>
        <v>150</v>
      </c>
      <c r="AC11" s="639">
        <f>FY!J196</f>
        <v>129.51030025250009</v>
      </c>
      <c r="AE11" s="648">
        <f t="shared" si="5"/>
        <v>80</v>
      </c>
      <c r="AF11" s="648">
        <f t="shared" si="0"/>
        <v>80</v>
      </c>
      <c r="AG11" s="648">
        <f t="shared" si="6"/>
        <v>160</v>
      </c>
      <c r="AH11" s="648">
        <f t="shared" si="1"/>
        <v>150</v>
      </c>
      <c r="AI11" s="648">
        <f t="shared" si="2"/>
        <v>129.51030025250009</v>
      </c>
      <c r="AK11" s="930">
        <f>N11-D11</f>
        <v>-0.39999999999999858</v>
      </c>
      <c r="AL11" s="930">
        <f t="shared" si="7"/>
        <v>0</v>
      </c>
      <c r="AM11" s="930">
        <f t="shared" si="8"/>
        <v>0.20000000000000284</v>
      </c>
      <c r="AN11" s="930">
        <f>Q11-G11</f>
        <v>-0.29999999999999716</v>
      </c>
      <c r="AP11" s="930">
        <f t="shared" si="9"/>
        <v>0</v>
      </c>
      <c r="AQ11" s="930">
        <f t="shared" si="10"/>
        <v>17.399999999999977</v>
      </c>
      <c r="AR11" s="930">
        <f t="shared" si="11"/>
        <v>-0.39999999999999147</v>
      </c>
      <c r="AS11" s="930">
        <f t="shared" si="11"/>
        <v>-9.9999999999994316E-2</v>
      </c>
      <c r="AU11" s="930">
        <f t="shared" si="12"/>
        <v>0</v>
      </c>
    </row>
    <row r="12" spans="1:47">
      <c r="A12" s="590"/>
      <c r="B12" s="873" t="s">
        <v>1304</v>
      </c>
      <c r="C12" s="873"/>
      <c r="D12" s="831"/>
      <c r="E12" s="831"/>
      <c r="F12" s="831"/>
      <c r="G12" s="831"/>
      <c r="H12" s="912"/>
      <c r="I12" s="831"/>
      <c r="J12" s="816"/>
      <c r="K12" s="816"/>
      <c r="L12" s="816"/>
      <c r="N12" s="606"/>
      <c r="O12" s="606"/>
      <c r="P12" s="606"/>
      <c r="Q12" s="606"/>
      <c r="R12" s="606"/>
      <c r="S12" s="606"/>
      <c r="T12" s="606"/>
      <c r="U12" s="606"/>
      <c r="W12" s="606"/>
      <c r="X12" s="606"/>
      <c r="Y12" s="606"/>
      <c r="Z12" s="606"/>
      <c r="AA12" s="606"/>
      <c r="AB12" s="606"/>
      <c r="AC12" s="606"/>
      <c r="AE12" s="649"/>
      <c r="AF12" s="649"/>
      <c r="AG12" s="649"/>
      <c r="AH12" s="649"/>
      <c r="AI12" s="649"/>
      <c r="AK12" s="930"/>
      <c r="AL12" s="930"/>
      <c r="AM12" s="930"/>
      <c r="AN12" s="930"/>
      <c r="AP12" s="930"/>
      <c r="AQ12" s="930"/>
      <c r="AR12" s="930"/>
      <c r="AS12" s="930"/>
      <c r="AU12" s="930"/>
    </row>
    <row r="13" spans="1:47">
      <c r="A13" s="590"/>
      <c r="B13" s="607" t="s">
        <v>1</v>
      </c>
      <c r="C13" s="888" t="s">
        <v>1226</v>
      </c>
      <c r="D13" s="819">
        <v>1243.2</v>
      </c>
      <c r="E13" s="819">
        <v>1195.6000000000001</v>
      </c>
      <c r="F13" s="819">
        <v>1253.2</v>
      </c>
      <c r="G13" s="819">
        <v>1201.4999999999998</v>
      </c>
      <c r="H13" s="912"/>
      <c r="I13" s="819">
        <v>2230.8000000000002</v>
      </c>
      <c r="J13" s="817">
        <v>2162.8000000000002</v>
      </c>
      <c r="K13" s="817">
        <v>2438.8000000000002</v>
      </c>
      <c r="L13" s="817">
        <v>2454.6999999999998</v>
      </c>
      <c r="N13" s="640">
        <f>HY!S268</f>
        <v>1243.2</v>
      </c>
      <c r="O13" s="640">
        <f>HY!T268</f>
        <v>1195.6000000000001</v>
      </c>
      <c r="P13" s="640">
        <f>HY!U268</f>
        <v>1253.2</v>
      </c>
      <c r="Q13" s="640">
        <f>HY!V268</f>
        <v>1201.4999999999998</v>
      </c>
      <c r="R13" s="640">
        <f>HY!W268</f>
        <v>1306.9912626</v>
      </c>
      <c r="S13" s="640">
        <f>HY!X268</f>
        <v>1228.5870538500001</v>
      </c>
      <c r="T13" s="640">
        <f>HY!Y268</f>
        <v>1311.5464535010001</v>
      </c>
      <c r="U13" s="640">
        <f>HY!Z268</f>
        <v>1242.032782024</v>
      </c>
      <c r="W13" s="640">
        <f>FY!D8</f>
        <v>2230.8000000000002</v>
      </c>
      <c r="X13" s="640">
        <f>FY!E8</f>
        <v>2162.8000000000002</v>
      </c>
      <c r="Y13" s="640">
        <f>FY!F8</f>
        <v>2438.8000000000002</v>
      </c>
      <c r="Z13" s="640">
        <f>FY!G8</f>
        <v>2454.6999999999998</v>
      </c>
      <c r="AA13" s="640">
        <f>FY!H8</f>
        <v>2535.5783164499999</v>
      </c>
      <c r="AB13" s="640">
        <f>FY!I8</f>
        <v>2553.5792355250001</v>
      </c>
      <c r="AC13" s="640">
        <f>FY!J8</f>
        <v>2575.9298172777799</v>
      </c>
      <c r="AE13" s="650">
        <f t="shared" ref="AE13:AF16" si="15">R13</f>
        <v>1306.9912626</v>
      </c>
      <c r="AF13" s="650">
        <f t="shared" ref="AF13:AF16" si="16">S13</f>
        <v>1228.5870538500001</v>
      </c>
      <c r="AG13" s="650">
        <f t="shared" ref="AG13:AG16" si="17">AA13</f>
        <v>2535.5783164499999</v>
      </c>
      <c r="AH13" s="650">
        <f t="shared" ref="AH13:AH16" si="18">AB13</f>
        <v>2553.5792355250001</v>
      </c>
      <c r="AI13" s="650">
        <f t="shared" ref="AI13:AI16" si="19">AC13</f>
        <v>2575.9298172777799</v>
      </c>
      <c r="AK13" s="930">
        <f>N13-D13</f>
        <v>0</v>
      </c>
      <c r="AL13" s="930">
        <f t="shared" si="7"/>
        <v>0</v>
      </c>
      <c r="AM13" s="930">
        <f t="shared" si="8"/>
        <v>0</v>
      </c>
      <c r="AN13" s="930">
        <f>Q13-G13</f>
        <v>0</v>
      </c>
      <c r="AP13" s="930">
        <f t="shared" si="9"/>
        <v>0</v>
      </c>
      <c r="AQ13" s="930">
        <f t="shared" si="10"/>
        <v>0</v>
      </c>
      <c r="AR13" s="930">
        <f t="shared" si="11"/>
        <v>0</v>
      </c>
      <c r="AS13" s="930">
        <f t="shared" si="11"/>
        <v>0</v>
      </c>
      <c r="AU13" s="930">
        <f t="shared" ref="AU13:AU16" si="20">AG13-SUM(AE13:AF13)</f>
        <v>0</v>
      </c>
    </row>
    <row r="14" spans="1:47">
      <c r="A14" s="590"/>
      <c r="B14" s="607"/>
      <c r="C14" s="889" t="s">
        <v>1227</v>
      </c>
      <c r="D14" s="819">
        <v>88.1</v>
      </c>
      <c r="E14" s="819">
        <v>87.700000000000017</v>
      </c>
      <c r="F14" s="819">
        <v>91.7</v>
      </c>
      <c r="G14" s="819">
        <v>89.899999999999991</v>
      </c>
      <c r="H14" s="912"/>
      <c r="I14" s="819">
        <v>203.6</v>
      </c>
      <c r="J14" s="817">
        <v>176.1</v>
      </c>
      <c r="K14" s="817">
        <v>175.8</v>
      </c>
      <c r="L14" s="817">
        <v>181.6</v>
      </c>
      <c r="N14" s="640">
        <f>HY!S269</f>
        <v>88.1</v>
      </c>
      <c r="O14" s="640">
        <f>HY!T269</f>
        <v>87.700000000000017</v>
      </c>
      <c r="P14" s="640">
        <f>HY!U269</f>
        <v>91.7</v>
      </c>
      <c r="Q14" s="640">
        <f>HY!V269</f>
        <v>89.899999999999991</v>
      </c>
      <c r="R14" s="640">
        <f>HY!W269</f>
        <v>93.992499999999993</v>
      </c>
      <c r="S14" s="640">
        <f>HY!X269</f>
        <v>92.14749999999998</v>
      </c>
      <c r="T14" s="640">
        <f>HY!Y269</f>
        <v>96.342312499999977</v>
      </c>
      <c r="U14" s="640">
        <f>HY!Z269</f>
        <v>94.451187499999975</v>
      </c>
      <c r="W14" s="640">
        <f>FY!D9</f>
        <v>203.6</v>
      </c>
      <c r="X14" s="640">
        <f>FY!E9</f>
        <v>163.4</v>
      </c>
      <c r="Y14" s="640">
        <f>FY!F9</f>
        <v>175.8</v>
      </c>
      <c r="Z14" s="640">
        <f>FY!G9</f>
        <v>181.6</v>
      </c>
      <c r="AA14" s="640">
        <f>FY!H9</f>
        <v>186.14</v>
      </c>
      <c r="AB14" s="640">
        <f>FY!I9</f>
        <v>190.79349999999994</v>
      </c>
      <c r="AC14" s="640">
        <f>FY!J9</f>
        <v>196.51730499999996</v>
      </c>
      <c r="AE14" s="650">
        <f t="shared" si="15"/>
        <v>93.992499999999993</v>
      </c>
      <c r="AF14" s="650">
        <f t="shared" si="16"/>
        <v>92.14749999999998</v>
      </c>
      <c r="AG14" s="650">
        <f t="shared" si="17"/>
        <v>186.14</v>
      </c>
      <c r="AH14" s="650">
        <f t="shared" si="18"/>
        <v>190.79349999999994</v>
      </c>
      <c r="AI14" s="650">
        <f t="shared" si="19"/>
        <v>196.51730499999996</v>
      </c>
      <c r="AK14" s="930">
        <f>N14-D14</f>
        <v>0</v>
      </c>
      <c r="AL14" s="930">
        <f t="shared" si="7"/>
        <v>0</v>
      </c>
      <c r="AM14" s="930">
        <f t="shared" si="8"/>
        <v>0</v>
      </c>
      <c r="AN14" s="930">
        <f>Q14-G14</f>
        <v>0</v>
      </c>
      <c r="AP14" s="930">
        <f t="shared" si="9"/>
        <v>0</v>
      </c>
      <c r="AQ14" s="930">
        <f t="shared" si="10"/>
        <v>-12.699999999999989</v>
      </c>
      <c r="AR14" s="930">
        <f t="shared" si="11"/>
        <v>0</v>
      </c>
      <c r="AS14" s="930">
        <f t="shared" si="11"/>
        <v>0</v>
      </c>
      <c r="AU14" s="930">
        <f t="shared" si="20"/>
        <v>0</v>
      </c>
    </row>
    <row r="15" spans="1:47" ht="17.25">
      <c r="A15" s="590"/>
      <c r="B15" s="607"/>
      <c r="C15" s="888" t="s">
        <v>1305</v>
      </c>
      <c r="D15" s="819">
        <v>0</v>
      </c>
      <c r="E15" s="819">
        <v>0</v>
      </c>
      <c r="F15" s="819">
        <v>0</v>
      </c>
      <c r="G15" s="819">
        <v>0</v>
      </c>
      <c r="H15" s="912"/>
      <c r="I15" s="819">
        <v>0</v>
      </c>
      <c r="J15" s="817">
        <v>0</v>
      </c>
      <c r="K15" s="817">
        <v>0</v>
      </c>
      <c r="L15" s="817">
        <v>0</v>
      </c>
      <c r="N15" s="640">
        <f>HY!S270</f>
        <v>0</v>
      </c>
      <c r="O15" s="640">
        <f>HY!T270</f>
        <v>0</v>
      </c>
      <c r="P15" s="640">
        <f>HY!U270</f>
        <v>0</v>
      </c>
      <c r="Q15" s="640">
        <f>HY!V270</f>
        <v>0</v>
      </c>
      <c r="R15" s="640">
        <f>HY!W270</f>
        <v>0</v>
      </c>
      <c r="S15" s="640">
        <f>HY!X270</f>
        <v>25.25</v>
      </c>
      <c r="T15" s="640">
        <f>HY!Y270</f>
        <v>50.47</v>
      </c>
      <c r="U15" s="640">
        <f>HY!Z270</f>
        <v>52.015000000000001</v>
      </c>
      <c r="W15" s="640">
        <f>FY!D10</f>
        <v>0</v>
      </c>
      <c r="X15" s="640">
        <f>FY!E10</f>
        <v>0</v>
      </c>
      <c r="Y15" s="640">
        <f>FY!F10</f>
        <v>0</v>
      </c>
      <c r="Z15" s="640">
        <f>FY!G10</f>
        <v>0</v>
      </c>
      <c r="AA15" s="640">
        <f>FY!H10</f>
        <v>25.25</v>
      </c>
      <c r="AB15" s="640">
        <f>FY!I10</f>
        <v>102.485</v>
      </c>
      <c r="AC15" s="640">
        <f>FY!J10</f>
        <v>105.55955</v>
      </c>
      <c r="AE15" s="651">
        <f t="shared" si="15"/>
        <v>0</v>
      </c>
      <c r="AF15" s="651">
        <f t="shared" si="16"/>
        <v>25.25</v>
      </c>
      <c r="AG15" s="651">
        <f t="shared" si="17"/>
        <v>25.25</v>
      </c>
      <c r="AH15" s="651">
        <f t="shared" si="18"/>
        <v>102.485</v>
      </c>
      <c r="AI15" s="651">
        <f t="shared" si="19"/>
        <v>105.55955</v>
      </c>
      <c r="AK15" s="930">
        <f>N15-D15</f>
        <v>0</v>
      </c>
      <c r="AL15" s="930">
        <f t="shared" si="7"/>
        <v>0</v>
      </c>
      <c r="AM15" s="930">
        <f t="shared" si="8"/>
        <v>0</v>
      </c>
      <c r="AN15" s="930">
        <f>Q15-G15</f>
        <v>0</v>
      </c>
      <c r="AP15" s="930">
        <f t="shared" si="9"/>
        <v>0</v>
      </c>
      <c r="AQ15" s="930">
        <f t="shared" si="10"/>
        <v>0</v>
      </c>
      <c r="AR15" s="930">
        <f t="shared" si="11"/>
        <v>0</v>
      </c>
      <c r="AS15" s="930">
        <f t="shared" si="11"/>
        <v>0</v>
      </c>
      <c r="AU15" s="930">
        <f t="shared" si="20"/>
        <v>0</v>
      </c>
    </row>
    <row r="16" spans="1:47" s="662" customFormat="1">
      <c r="A16" s="608"/>
      <c r="B16" s="607"/>
      <c r="C16" s="890" t="s">
        <v>70</v>
      </c>
      <c r="D16" s="820">
        <v>1331.3</v>
      </c>
      <c r="E16" s="820">
        <v>1283.3000000000004</v>
      </c>
      <c r="F16" s="820">
        <v>1344.9</v>
      </c>
      <c r="G16" s="820">
        <v>1291.3999999999996</v>
      </c>
      <c r="H16" s="913"/>
      <c r="I16" s="820">
        <f>SUM(I13:I15)</f>
        <v>2434.4</v>
      </c>
      <c r="J16" s="818">
        <f>SUM(J13:J15)</f>
        <v>2338.9</v>
      </c>
      <c r="K16" s="818">
        <v>2614.6000000000004</v>
      </c>
      <c r="L16" s="818">
        <f>SUM(L13:L15)</f>
        <v>2636.2999999999997</v>
      </c>
      <c r="N16" s="641">
        <f>SUM(N13:N15)</f>
        <v>1331.3</v>
      </c>
      <c r="O16" s="641">
        <f>SUM(O13:O15)</f>
        <v>1283.3000000000002</v>
      </c>
      <c r="P16" s="641">
        <f t="shared" ref="P16:Q16" si="21">SUM(P13:P15)</f>
        <v>1344.9</v>
      </c>
      <c r="Q16" s="641">
        <f t="shared" si="21"/>
        <v>1291.3999999999999</v>
      </c>
      <c r="R16" s="641">
        <f t="shared" ref="R16" si="22">SUM(R13:R15)</f>
        <v>1400.9837626000001</v>
      </c>
      <c r="S16" s="641">
        <f t="shared" ref="S16" si="23">SUM(S13:S15)</f>
        <v>1345.9845538500001</v>
      </c>
      <c r="T16" s="641">
        <f t="shared" ref="T16" si="24">SUM(T13:T15)</f>
        <v>1458.358766001</v>
      </c>
      <c r="U16" s="641">
        <f t="shared" ref="U16" si="25">SUM(U13:U15)</f>
        <v>1388.4989695240001</v>
      </c>
      <c r="W16" s="641">
        <f t="shared" ref="W16:Y16" si="26">SUM(W13:W15)</f>
        <v>2434.4</v>
      </c>
      <c r="X16" s="641">
        <f t="shared" si="26"/>
        <v>2326.2000000000003</v>
      </c>
      <c r="Y16" s="641">
        <f t="shared" si="26"/>
        <v>2614.6000000000004</v>
      </c>
      <c r="Z16" s="641">
        <f>SUM(Z13:Z15)</f>
        <v>2636.2999999999997</v>
      </c>
      <c r="AA16" s="641">
        <f t="shared" ref="AA16:AC16" si="27">SUM(AA13:AA15)</f>
        <v>2746.9683164499997</v>
      </c>
      <c r="AB16" s="641">
        <f t="shared" si="27"/>
        <v>2846.857735525</v>
      </c>
      <c r="AC16" s="641">
        <f t="shared" si="27"/>
        <v>2878.0066722777797</v>
      </c>
      <c r="AE16" s="652">
        <f t="shared" si="15"/>
        <v>1400.9837626000001</v>
      </c>
      <c r="AF16" s="652">
        <f t="shared" si="16"/>
        <v>1345.9845538500001</v>
      </c>
      <c r="AG16" s="652">
        <f t="shared" si="17"/>
        <v>2746.9683164499997</v>
      </c>
      <c r="AH16" s="652">
        <f t="shared" si="18"/>
        <v>2846.857735525</v>
      </c>
      <c r="AI16" s="652">
        <f t="shared" si="19"/>
        <v>2878.0066722777797</v>
      </c>
      <c r="AK16" s="930">
        <f>N16-D16</f>
        <v>0</v>
      </c>
      <c r="AL16" s="930">
        <f t="shared" si="7"/>
        <v>0</v>
      </c>
      <c r="AM16" s="930">
        <f t="shared" si="8"/>
        <v>0</v>
      </c>
      <c r="AN16" s="930">
        <f>Q16-G16</f>
        <v>0</v>
      </c>
      <c r="AO16" s="18"/>
      <c r="AP16" s="930">
        <f t="shared" si="9"/>
        <v>0</v>
      </c>
      <c r="AQ16" s="930">
        <f t="shared" si="10"/>
        <v>-12.699999999999818</v>
      </c>
      <c r="AR16" s="930">
        <f t="shared" si="11"/>
        <v>0</v>
      </c>
      <c r="AS16" s="930">
        <f t="shared" si="11"/>
        <v>0</v>
      </c>
      <c r="AU16" s="930">
        <f t="shared" si="20"/>
        <v>0</v>
      </c>
    </row>
    <row r="17" spans="1:47">
      <c r="A17" s="590"/>
      <c r="B17" s="607"/>
      <c r="C17" s="888"/>
      <c r="D17" s="885"/>
      <c r="E17" s="885"/>
      <c r="F17" s="885"/>
      <c r="G17" s="885"/>
      <c r="H17" s="920"/>
      <c r="I17" s="885"/>
      <c r="J17" s="885"/>
      <c r="K17" s="885"/>
      <c r="L17" s="885"/>
      <c r="N17" s="609"/>
      <c r="O17" s="609"/>
      <c r="P17" s="609"/>
      <c r="Q17" s="609"/>
      <c r="R17" s="609"/>
      <c r="S17" s="609"/>
      <c r="T17" s="609"/>
      <c r="U17" s="609"/>
      <c r="W17" s="609"/>
      <c r="X17" s="609"/>
      <c r="Y17" s="609"/>
      <c r="Z17" s="609"/>
      <c r="AA17" s="609"/>
      <c r="AB17" s="609"/>
      <c r="AC17" s="609"/>
      <c r="AE17" s="653"/>
      <c r="AF17" s="653"/>
      <c r="AG17" s="653"/>
      <c r="AH17" s="653"/>
      <c r="AI17" s="653"/>
      <c r="AK17" s="930"/>
      <c r="AL17" s="930"/>
      <c r="AM17" s="930"/>
      <c r="AN17" s="930"/>
      <c r="AP17" s="930"/>
      <c r="AQ17" s="930"/>
      <c r="AR17" s="930"/>
      <c r="AS17" s="930"/>
      <c r="AU17" s="930"/>
    </row>
    <row r="18" spans="1:47">
      <c r="A18" s="590"/>
      <c r="B18" s="607" t="s">
        <v>1164</v>
      </c>
      <c r="C18" s="888" t="s">
        <v>1226</v>
      </c>
      <c r="D18" s="819">
        <v>458.1</v>
      </c>
      <c r="E18" s="819">
        <v>457.79999999999995</v>
      </c>
      <c r="F18" s="819">
        <v>477.4</v>
      </c>
      <c r="G18" s="819">
        <v>475.80000000000007</v>
      </c>
      <c r="H18" s="912"/>
      <c r="I18" s="819">
        <v>815.1</v>
      </c>
      <c r="J18" s="817">
        <v>758.2</v>
      </c>
      <c r="K18" s="817">
        <v>915.9</v>
      </c>
      <c r="L18" s="817">
        <v>953.2</v>
      </c>
      <c r="N18" s="640">
        <f>HY!S279</f>
        <v>458.1</v>
      </c>
      <c r="O18" s="640">
        <f>HY!T279</f>
        <v>457.79999999999995</v>
      </c>
      <c r="P18" s="640">
        <f>HY!U279</f>
        <v>477.4</v>
      </c>
      <c r="Q18" s="640">
        <f>HY!V279</f>
        <v>475.80000000000007</v>
      </c>
      <c r="R18" s="640">
        <f>HY!W279</f>
        <v>516.26154872699999</v>
      </c>
      <c r="S18" s="640">
        <f>HY!X279</f>
        <v>485.29188627075007</v>
      </c>
      <c r="T18" s="640">
        <f>HY!Y279</f>
        <v>518.0608491328951</v>
      </c>
      <c r="U18" s="640">
        <f>HY!Z279</f>
        <v>490.60294889948</v>
      </c>
      <c r="W18" s="640">
        <f>FY!D18</f>
        <v>775</v>
      </c>
      <c r="X18" s="640">
        <f>FY!E18</f>
        <v>758.2</v>
      </c>
      <c r="Y18" s="640">
        <f>FY!F18</f>
        <v>915.9</v>
      </c>
      <c r="Z18" s="640">
        <f>FY!G18</f>
        <v>953.2</v>
      </c>
      <c r="AA18" s="640">
        <f>FY!H18</f>
        <v>1001.5534349977501</v>
      </c>
      <c r="AB18" s="640">
        <f>FY!I18</f>
        <v>1008.6637980323751</v>
      </c>
      <c r="AC18" s="640">
        <f>FY!J18</f>
        <v>1017.492277824723</v>
      </c>
      <c r="AE18" s="650">
        <f t="shared" ref="AE18:AF21" si="28">R18</f>
        <v>516.26154872699999</v>
      </c>
      <c r="AF18" s="650">
        <f t="shared" ref="AF18:AF21" si="29">S18</f>
        <v>485.29188627075007</v>
      </c>
      <c r="AG18" s="650">
        <f t="shared" ref="AG18:AG21" si="30">AA18</f>
        <v>1001.5534349977501</v>
      </c>
      <c r="AH18" s="650">
        <f t="shared" ref="AH18:AH21" si="31">AB18</f>
        <v>1008.6637980323751</v>
      </c>
      <c r="AI18" s="650">
        <f t="shared" ref="AI18:AI21" si="32">AC18</f>
        <v>1017.492277824723</v>
      </c>
      <c r="AK18" s="930">
        <f>N18-D18</f>
        <v>0</v>
      </c>
      <c r="AL18" s="930">
        <f t="shared" si="7"/>
        <v>0</v>
      </c>
      <c r="AM18" s="930">
        <f t="shared" si="8"/>
        <v>0</v>
      </c>
      <c r="AN18" s="930">
        <f>Q18-G18</f>
        <v>0</v>
      </c>
      <c r="AP18" s="930">
        <f t="shared" si="9"/>
        <v>-40.100000000000023</v>
      </c>
      <c r="AQ18" s="930">
        <f t="shared" si="10"/>
        <v>0</v>
      </c>
      <c r="AR18" s="930">
        <f t="shared" si="11"/>
        <v>0</v>
      </c>
      <c r="AS18" s="930">
        <f t="shared" si="11"/>
        <v>0</v>
      </c>
      <c r="AU18" s="930">
        <f t="shared" ref="AU18:AU21" si="33">AG18-SUM(AE18:AF18)</f>
        <v>0</v>
      </c>
    </row>
    <row r="19" spans="1:47">
      <c r="A19" s="590"/>
      <c r="B19" s="607"/>
      <c r="C19" s="889" t="s">
        <v>1227</v>
      </c>
      <c r="D19" s="819">
        <v>86.3</v>
      </c>
      <c r="E19" s="819">
        <v>86.500000000000014</v>
      </c>
      <c r="F19" s="819">
        <v>90.2</v>
      </c>
      <c r="G19" s="819">
        <v>88.999999999999986</v>
      </c>
      <c r="H19" s="912"/>
      <c r="I19" s="819">
        <v>193.2</v>
      </c>
      <c r="J19" s="817">
        <v>173.5</v>
      </c>
      <c r="K19" s="817">
        <v>172.8</v>
      </c>
      <c r="L19" s="817">
        <v>179.2</v>
      </c>
      <c r="N19" s="640">
        <f>HY!S280</f>
        <v>86.3</v>
      </c>
      <c r="O19" s="640">
        <f>HY!T280</f>
        <v>86.500000000000014</v>
      </c>
      <c r="P19" s="640">
        <f>HY!U280</f>
        <v>90.2</v>
      </c>
      <c r="Q19" s="640">
        <f>HY!V280</f>
        <v>88.999999999999986</v>
      </c>
      <c r="R19" s="640">
        <f>HY!W280</f>
        <v>93.051529477196866</v>
      </c>
      <c r="S19" s="640">
        <f>HY!X280</f>
        <v>91.22499999999998</v>
      </c>
      <c r="T19" s="640">
        <f>HY!Y280</f>
        <v>95.377817714126778</v>
      </c>
      <c r="U19" s="640">
        <f>HY!Z280</f>
        <v>93.505624999999966</v>
      </c>
      <c r="W19" s="640">
        <f>FY!D19</f>
        <v>193.2</v>
      </c>
      <c r="X19" s="640">
        <f>FY!E19</f>
        <v>161.69999999999999</v>
      </c>
      <c r="Y19" s="640">
        <f>FY!F19</f>
        <v>172.8</v>
      </c>
      <c r="Z19" s="640">
        <f>FY!G19</f>
        <v>179.2</v>
      </c>
      <c r="AA19" s="640">
        <f>FY!H19</f>
        <v>184.27652947719685</v>
      </c>
      <c r="AB19" s="640">
        <f>FY!I19</f>
        <v>188.88344271412674</v>
      </c>
      <c r="AC19" s="640">
        <f>FY!J19</f>
        <v>194.54994599555056</v>
      </c>
      <c r="AE19" s="650">
        <f t="shared" si="28"/>
        <v>93.051529477196866</v>
      </c>
      <c r="AF19" s="650">
        <f t="shared" si="29"/>
        <v>91.22499999999998</v>
      </c>
      <c r="AG19" s="650">
        <f t="shared" si="30"/>
        <v>184.27652947719685</v>
      </c>
      <c r="AH19" s="650">
        <f t="shared" si="31"/>
        <v>188.88344271412674</v>
      </c>
      <c r="AI19" s="650">
        <f t="shared" si="32"/>
        <v>194.54994599555056</v>
      </c>
      <c r="AJ19" s="610"/>
      <c r="AK19" s="930">
        <f>N19-D19</f>
        <v>0</v>
      </c>
      <c r="AL19" s="930">
        <f t="shared" si="7"/>
        <v>0</v>
      </c>
      <c r="AM19" s="930">
        <f t="shared" si="8"/>
        <v>0</v>
      </c>
      <c r="AN19" s="930">
        <f>Q19-G19</f>
        <v>0</v>
      </c>
      <c r="AP19" s="930">
        <f t="shared" si="9"/>
        <v>0</v>
      </c>
      <c r="AQ19" s="930">
        <f t="shared" si="10"/>
        <v>-11.800000000000011</v>
      </c>
      <c r="AR19" s="930">
        <f t="shared" si="11"/>
        <v>0</v>
      </c>
      <c r="AS19" s="930">
        <f t="shared" si="11"/>
        <v>0</v>
      </c>
      <c r="AU19" s="930">
        <f t="shared" si="33"/>
        <v>0</v>
      </c>
    </row>
    <row r="20" spans="1:47" ht="17.25">
      <c r="A20" s="590"/>
      <c r="B20" s="607"/>
      <c r="C20" s="888" t="s">
        <v>1305</v>
      </c>
      <c r="D20" s="819">
        <v>0</v>
      </c>
      <c r="E20" s="819">
        <v>0</v>
      </c>
      <c r="F20" s="819">
        <v>0</v>
      </c>
      <c r="G20" s="819">
        <v>0</v>
      </c>
      <c r="H20" s="914"/>
      <c r="I20" s="819">
        <v>0.2</v>
      </c>
      <c r="J20" s="819">
        <v>0</v>
      </c>
      <c r="K20" s="819">
        <v>0</v>
      </c>
      <c r="L20" s="819">
        <v>0</v>
      </c>
      <c r="N20" s="640">
        <f>HY!S281</f>
        <v>0</v>
      </c>
      <c r="O20" s="640">
        <f>HY!T281</f>
        <v>0</v>
      </c>
      <c r="P20" s="640">
        <f>HY!U281</f>
        <v>0</v>
      </c>
      <c r="Q20" s="640">
        <f>HY!V281</f>
        <v>0</v>
      </c>
      <c r="R20" s="640">
        <f>HY!W281</f>
        <v>0</v>
      </c>
      <c r="S20" s="640">
        <f>HY!X281</f>
        <v>16.899999999999999</v>
      </c>
      <c r="T20" s="640">
        <f>HY!Y281</f>
        <v>35.268999999999998</v>
      </c>
      <c r="U20" s="640">
        <f>HY!Z281</f>
        <v>39.814</v>
      </c>
      <c r="W20" s="642">
        <f>FY!D20</f>
        <v>0</v>
      </c>
      <c r="X20" s="642">
        <f>FY!E20</f>
        <v>0</v>
      </c>
      <c r="Y20" s="642">
        <f>FY!F20</f>
        <v>0</v>
      </c>
      <c r="Z20" s="642">
        <f>FY!G20</f>
        <v>0</v>
      </c>
      <c r="AA20" s="642">
        <f>FY!H20</f>
        <v>16.899999999999999</v>
      </c>
      <c r="AB20" s="642">
        <f>FY!I20</f>
        <v>75.082999999999998</v>
      </c>
      <c r="AC20" s="642">
        <f>FY!J20</f>
        <v>85.125489999999999</v>
      </c>
      <c r="AE20" s="654">
        <f t="shared" si="28"/>
        <v>0</v>
      </c>
      <c r="AF20" s="654">
        <f t="shared" si="29"/>
        <v>16.899999999999999</v>
      </c>
      <c r="AG20" s="654">
        <f t="shared" si="30"/>
        <v>16.899999999999999</v>
      </c>
      <c r="AH20" s="654">
        <f t="shared" si="31"/>
        <v>75.082999999999998</v>
      </c>
      <c r="AI20" s="654">
        <f t="shared" si="32"/>
        <v>85.125489999999999</v>
      </c>
      <c r="AJ20" s="610"/>
      <c r="AK20" s="930">
        <f>N20-D20</f>
        <v>0</v>
      </c>
      <c r="AL20" s="930">
        <f t="shared" si="7"/>
        <v>0</v>
      </c>
      <c r="AM20" s="930">
        <f t="shared" si="8"/>
        <v>0</v>
      </c>
      <c r="AN20" s="930">
        <f>Q20-G20</f>
        <v>0</v>
      </c>
      <c r="AP20" s="930">
        <f t="shared" si="9"/>
        <v>-0.2</v>
      </c>
      <c r="AQ20" s="930">
        <f t="shared" si="10"/>
        <v>0</v>
      </c>
      <c r="AR20" s="930">
        <f t="shared" si="11"/>
        <v>0</v>
      </c>
      <c r="AS20" s="930">
        <f t="shared" si="11"/>
        <v>0</v>
      </c>
      <c r="AU20" s="930">
        <f t="shared" si="33"/>
        <v>0</v>
      </c>
    </row>
    <row r="21" spans="1:47">
      <c r="A21" s="608"/>
      <c r="B21" s="607"/>
      <c r="C21" s="890" t="s">
        <v>1306</v>
      </c>
      <c r="D21" s="820">
        <v>544.4</v>
      </c>
      <c r="E21" s="820">
        <v>544.30000000000007</v>
      </c>
      <c r="F21" s="820">
        <v>567.6</v>
      </c>
      <c r="G21" s="820">
        <v>564.80000000000007</v>
      </c>
      <c r="H21" s="915"/>
      <c r="I21" s="820">
        <f>SUM(I18:I20)</f>
        <v>1008.5</v>
      </c>
      <c r="J21" s="820">
        <f>SUM(J18:J20)</f>
        <v>931.7</v>
      </c>
      <c r="K21" s="820">
        <v>1088.7</v>
      </c>
      <c r="L21" s="820">
        <f>SUM(L18:L20)</f>
        <v>1132.4000000000001</v>
      </c>
      <c r="N21" s="645">
        <f>SUM(N18:N20)</f>
        <v>544.4</v>
      </c>
      <c r="O21" s="645">
        <f>SUM(O18:O20)</f>
        <v>544.29999999999995</v>
      </c>
      <c r="P21" s="645">
        <f t="shared" ref="P21:Q21" si="34">SUM(P18:P20)</f>
        <v>567.6</v>
      </c>
      <c r="Q21" s="645">
        <f t="shared" si="34"/>
        <v>564.80000000000007</v>
      </c>
      <c r="R21" s="645">
        <f t="shared" ref="R21" si="35">SUM(R18:R20)</f>
        <v>609.31307820419681</v>
      </c>
      <c r="S21" s="645">
        <f t="shared" ref="S21" si="36">SUM(S18:S20)</f>
        <v>593.41688627075007</v>
      </c>
      <c r="T21" s="645">
        <f t="shared" ref="T21" si="37">SUM(T18:T20)</f>
        <v>648.70766684702187</v>
      </c>
      <c r="U21" s="645">
        <f t="shared" ref="U21" si="38">SUM(U18:U20)</f>
        <v>623.92257389947997</v>
      </c>
      <c r="W21" s="645">
        <f t="shared" ref="W21:Y21" si="39">SUM(W18:W20)</f>
        <v>968.2</v>
      </c>
      <c r="X21" s="645">
        <f t="shared" si="39"/>
        <v>919.90000000000009</v>
      </c>
      <c r="Y21" s="645">
        <f t="shared" si="39"/>
        <v>1088.7</v>
      </c>
      <c r="Z21" s="645">
        <f>SUM(Z18:Z20)</f>
        <v>1132.4000000000001</v>
      </c>
      <c r="AA21" s="645">
        <f t="shared" ref="AA21:AC21" si="40">SUM(AA18:AA20)</f>
        <v>1202.7299644749469</v>
      </c>
      <c r="AB21" s="645">
        <f t="shared" si="40"/>
        <v>1272.6302407465018</v>
      </c>
      <c r="AC21" s="645">
        <f t="shared" si="40"/>
        <v>1297.1677138202735</v>
      </c>
      <c r="AE21" s="655">
        <f t="shared" si="28"/>
        <v>609.31307820419681</v>
      </c>
      <c r="AF21" s="655">
        <f t="shared" si="29"/>
        <v>593.41688627075007</v>
      </c>
      <c r="AG21" s="655">
        <f t="shared" si="30"/>
        <v>1202.7299644749469</v>
      </c>
      <c r="AH21" s="655">
        <f t="shared" si="31"/>
        <v>1272.6302407465018</v>
      </c>
      <c r="AI21" s="655">
        <f t="shared" si="32"/>
        <v>1297.1677138202735</v>
      </c>
      <c r="AJ21" s="608"/>
      <c r="AK21" s="930">
        <f>N21-D21</f>
        <v>0</v>
      </c>
      <c r="AL21" s="930">
        <f t="shared" si="7"/>
        <v>0</v>
      </c>
      <c r="AM21" s="930">
        <f t="shared" si="8"/>
        <v>0</v>
      </c>
      <c r="AN21" s="930">
        <f>Q21-G21</f>
        <v>0</v>
      </c>
      <c r="AP21" s="930">
        <f t="shared" si="9"/>
        <v>-40.299999999999955</v>
      </c>
      <c r="AQ21" s="930">
        <f t="shared" si="10"/>
        <v>-11.799999999999955</v>
      </c>
      <c r="AR21" s="930">
        <f t="shared" si="11"/>
        <v>0</v>
      </c>
      <c r="AS21" s="930">
        <f t="shared" si="11"/>
        <v>0</v>
      </c>
      <c r="AU21" s="930">
        <f t="shared" si="33"/>
        <v>0</v>
      </c>
    </row>
    <row r="22" spans="1:47">
      <c r="A22" s="608"/>
      <c r="B22" s="607"/>
      <c r="C22" s="888"/>
      <c r="D22" s="885"/>
      <c r="E22" s="885"/>
      <c r="F22" s="885"/>
      <c r="G22" s="885"/>
      <c r="H22" s="920"/>
      <c r="I22" s="885"/>
      <c r="J22" s="885"/>
      <c r="K22" s="885"/>
      <c r="L22" s="885"/>
      <c r="N22" s="609"/>
      <c r="O22" s="609"/>
      <c r="P22" s="609"/>
      <c r="Q22" s="609"/>
      <c r="R22" s="609"/>
      <c r="S22" s="609"/>
      <c r="T22" s="609"/>
      <c r="U22" s="609"/>
      <c r="W22" s="609"/>
      <c r="X22" s="609"/>
      <c r="Y22" s="609"/>
      <c r="Z22" s="609"/>
      <c r="AA22" s="609"/>
      <c r="AB22" s="609"/>
      <c r="AC22" s="609"/>
      <c r="AE22" s="653"/>
      <c r="AF22" s="653"/>
      <c r="AG22" s="653"/>
      <c r="AH22" s="653"/>
      <c r="AI22" s="653"/>
      <c r="AJ22" s="608"/>
      <c r="AK22" s="930"/>
      <c r="AL22" s="930"/>
      <c r="AM22" s="930"/>
      <c r="AN22" s="930"/>
      <c r="AP22" s="930"/>
      <c r="AQ22" s="930"/>
      <c r="AR22" s="930"/>
      <c r="AS22" s="930"/>
      <c r="AU22" s="930"/>
    </row>
    <row r="23" spans="1:47">
      <c r="A23" s="608"/>
      <c r="B23" s="607" t="s">
        <v>4</v>
      </c>
      <c r="C23" s="888" t="s">
        <v>1226</v>
      </c>
      <c r="D23" s="819">
        <v>301.39999999999998</v>
      </c>
      <c r="E23" s="819">
        <v>285.39999999999998</v>
      </c>
      <c r="F23" s="819">
        <v>296</v>
      </c>
      <c r="G23" s="819">
        <v>295.39999999999998</v>
      </c>
      <c r="H23" s="912"/>
      <c r="I23" s="819">
        <v>507.1</v>
      </c>
      <c r="J23" s="817">
        <v>507</v>
      </c>
      <c r="K23" s="817">
        <v>586.79999999999995</v>
      </c>
      <c r="L23" s="817">
        <v>591.4</v>
      </c>
      <c r="N23" s="640">
        <f>-HY!S285</f>
        <v>301.39999999999998</v>
      </c>
      <c r="O23" s="640">
        <f>-HY!T285</f>
        <v>285.39999999999998</v>
      </c>
      <c r="P23" s="640">
        <f>-HY!U285</f>
        <v>296</v>
      </c>
      <c r="Q23" s="640">
        <f>-HY!V285</f>
        <v>295.39999999999998</v>
      </c>
      <c r="R23" s="640">
        <f>-HY!W285</f>
        <v>306.06400000000002</v>
      </c>
      <c r="S23" s="640">
        <f>-HY!X285</f>
        <v>305.00049999999999</v>
      </c>
      <c r="T23" s="640">
        <f>-HY!Y285</f>
        <v>315.24592000000001</v>
      </c>
      <c r="U23" s="640">
        <f>-HY!Z285</f>
        <v>314.15051499999998</v>
      </c>
      <c r="W23" s="640">
        <f>-FY!D23</f>
        <v>467</v>
      </c>
      <c r="X23" s="640">
        <f>-FY!E23</f>
        <v>507</v>
      </c>
      <c r="Y23" s="640">
        <f>-FY!F23</f>
        <v>586.79999999999995</v>
      </c>
      <c r="Z23" s="640">
        <f>-FY!G23</f>
        <v>591.4</v>
      </c>
      <c r="AA23" s="640">
        <f>-FY!H23</f>
        <v>611.06449999999995</v>
      </c>
      <c r="AB23" s="640">
        <f>-FY!I23</f>
        <v>629.396435</v>
      </c>
      <c r="AC23" s="640">
        <f>-FY!J23</f>
        <v>648.27832805000003</v>
      </c>
      <c r="AE23" s="650">
        <f t="shared" ref="AE23:AF26" si="41">R23</f>
        <v>306.06400000000002</v>
      </c>
      <c r="AF23" s="650">
        <f t="shared" ref="AF23:AF26" si="42">S23</f>
        <v>305.00049999999999</v>
      </c>
      <c r="AG23" s="650">
        <f t="shared" ref="AG23:AG26" si="43">AA23</f>
        <v>611.06449999999995</v>
      </c>
      <c r="AH23" s="650">
        <f t="shared" ref="AH23:AH26" si="44">AB23</f>
        <v>629.396435</v>
      </c>
      <c r="AI23" s="650">
        <f t="shared" ref="AI23:AI26" si="45">AC23</f>
        <v>648.27832805000003</v>
      </c>
      <c r="AJ23" s="608"/>
      <c r="AK23" s="930">
        <f>N23-D23</f>
        <v>0</v>
      </c>
      <c r="AL23" s="930">
        <f t="shared" si="7"/>
        <v>0</v>
      </c>
      <c r="AM23" s="930">
        <f t="shared" si="8"/>
        <v>0</v>
      </c>
      <c r="AN23" s="930">
        <f>Q23-G23</f>
        <v>0</v>
      </c>
      <c r="AP23" s="930">
        <f t="shared" si="9"/>
        <v>-40.100000000000023</v>
      </c>
      <c r="AQ23" s="930">
        <f t="shared" si="10"/>
        <v>0</v>
      </c>
      <c r="AR23" s="930">
        <f t="shared" si="11"/>
        <v>0</v>
      </c>
      <c r="AS23" s="930">
        <f t="shared" si="11"/>
        <v>0</v>
      </c>
      <c r="AU23" s="930">
        <f t="shared" ref="AU23:AU26" si="46">AG23-SUM(AE23:AF23)</f>
        <v>0</v>
      </c>
    </row>
    <row r="24" spans="1:47">
      <c r="A24" s="590"/>
      <c r="B24" s="607"/>
      <c r="C24" s="889" t="s">
        <v>1227</v>
      </c>
      <c r="D24" s="819">
        <v>52.8</v>
      </c>
      <c r="E24" s="819">
        <v>57.600000000000009</v>
      </c>
      <c r="F24" s="819">
        <v>54.2</v>
      </c>
      <c r="G24" s="819">
        <v>55.099999999999994</v>
      </c>
      <c r="H24" s="912"/>
      <c r="I24" s="819">
        <v>110.1</v>
      </c>
      <c r="J24" s="817">
        <v>107</v>
      </c>
      <c r="K24" s="817">
        <v>110.4</v>
      </c>
      <c r="L24" s="817">
        <v>109.3</v>
      </c>
      <c r="N24" s="640">
        <f>-HY!S286</f>
        <v>52.8</v>
      </c>
      <c r="O24" s="640">
        <f>-HY!T286</f>
        <v>57.600000000000009</v>
      </c>
      <c r="P24" s="640">
        <f>-HY!U286</f>
        <v>54.2</v>
      </c>
      <c r="Q24" s="640">
        <f>-HY!V286</f>
        <v>55.099999999999994</v>
      </c>
      <c r="R24" s="640">
        <f>-HY!W286</f>
        <v>57.335424999999994</v>
      </c>
      <c r="S24" s="640">
        <f>-HY!X286</f>
        <v>56.209974999999986</v>
      </c>
      <c r="T24" s="640">
        <f>-HY!Y286</f>
        <v>58.768810624999986</v>
      </c>
      <c r="U24" s="640">
        <f>-HY!Z286</f>
        <v>57.615224374999983</v>
      </c>
      <c r="W24" s="640">
        <f>-FY!D24</f>
        <v>110.1</v>
      </c>
      <c r="X24" s="640">
        <f>-FY!E24</f>
        <v>102.7</v>
      </c>
      <c r="Y24" s="640">
        <f>-FY!F24</f>
        <v>110.4</v>
      </c>
      <c r="Z24" s="640">
        <f>-FY!G24</f>
        <v>109.3</v>
      </c>
      <c r="AA24" s="640">
        <f>-FY!H24</f>
        <v>113.54539999999997</v>
      </c>
      <c r="AB24" s="640">
        <f>-FY!I24</f>
        <v>116.38403499999997</v>
      </c>
      <c r="AC24" s="640">
        <f>-FY!J24</f>
        <v>119.87555604999997</v>
      </c>
      <c r="AE24" s="650">
        <f t="shared" si="41"/>
        <v>57.335424999999994</v>
      </c>
      <c r="AF24" s="650">
        <f t="shared" si="42"/>
        <v>56.209974999999986</v>
      </c>
      <c r="AG24" s="650">
        <f t="shared" si="43"/>
        <v>113.54539999999997</v>
      </c>
      <c r="AH24" s="650">
        <f t="shared" si="44"/>
        <v>116.38403499999997</v>
      </c>
      <c r="AI24" s="650">
        <f t="shared" si="45"/>
        <v>119.87555604999997</v>
      </c>
      <c r="AJ24" s="611"/>
      <c r="AK24" s="930">
        <f>N24-D24</f>
        <v>0</v>
      </c>
      <c r="AL24" s="930">
        <f t="shared" si="7"/>
        <v>0</v>
      </c>
      <c r="AM24" s="930">
        <f t="shared" si="8"/>
        <v>0</v>
      </c>
      <c r="AN24" s="930">
        <f>Q24-G24</f>
        <v>0</v>
      </c>
      <c r="AP24" s="930">
        <f t="shared" si="9"/>
        <v>0</v>
      </c>
      <c r="AQ24" s="930">
        <f t="shared" si="10"/>
        <v>-4.2999999999999972</v>
      </c>
      <c r="AR24" s="930">
        <f t="shared" si="11"/>
        <v>0</v>
      </c>
      <c r="AS24" s="930">
        <f t="shared" si="11"/>
        <v>0</v>
      </c>
      <c r="AU24" s="930">
        <f t="shared" si="46"/>
        <v>0</v>
      </c>
    </row>
    <row r="25" spans="1:47" ht="17.25">
      <c r="A25" s="590"/>
      <c r="B25" s="607"/>
      <c r="C25" s="888" t="s">
        <v>1305</v>
      </c>
      <c r="D25" s="819">
        <v>0</v>
      </c>
      <c r="E25" s="819">
        <v>0</v>
      </c>
      <c r="F25" s="819">
        <v>0</v>
      </c>
      <c r="G25" s="819">
        <v>0</v>
      </c>
      <c r="H25" s="914"/>
      <c r="I25" s="819">
        <v>0.3</v>
      </c>
      <c r="J25" s="819">
        <v>0</v>
      </c>
      <c r="K25" s="819">
        <v>0</v>
      </c>
      <c r="L25" s="819">
        <v>0</v>
      </c>
      <c r="N25" s="640">
        <f>-HY!S287</f>
        <v>0</v>
      </c>
      <c r="O25" s="640">
        <f>-HY!T287</f>
        <v>0</v>
      </c>
      <c r="P25" s="640">
        <f>-HY!U287</f>
        <v>0</v>
      </c>
      <c r="Q25" s="640">
        <f>-HY!V287</f>
        <v>0</v>
      </c>
      <c r="R25" s="640">
        <f>-HY!W287</f>
        <v>0</v>
      </c>
      <c r="S25" s="640">
        <f>-HY!X287</f>
        <v>11.7</v>
      </c>
      <c r="T25" s="640">
        <f>-HY!Y287</f>
        <v>22.102</v>
      </c>
      <c r="U25" s="640">
        <f>-HY!Z287</f>
        <v>19.102</v>
      </c>
      <c r="W25" s="642">
        <f>-FY!D25</f>
        <v>0</v>
      </c>
      <c r="X25" s="642">
        <f>-FY!E25</f>
        <v>0</v>
      </c>
      <c r="Y25" s="642">
        <f>-FY!F25</f>
        <v>0</v>
      </c>
      <c r="Z25" s="642">
        <f>-FY!G25</f>
        <v>0</v>
      </c>
      <c r="AA25" s="642">
        <f>-FY!H25</f>
        <v>11.7</v>
      </c>
      <c r="AB25" s="642">
        <f>-FY!I25</f>
        <v>41.204000000000001</v>
      </c>
      <c r="AC25" s="642">
        <f>-FY!J25</f>
        <v>34.650120000000001</v>
      </c>
      <c r="AE25" s="654">
        <f t="shared" si="41"/>
        <v>0</v>
      </c>
      <c r="AF25" s="654">
        <f t="shared" si="42"/>
        <v>11.7</v>
      </c>
      <c r="AG25" s="654">
        <f t="shared" si="43"/>
        <v>11.7</v>
      </c>
      <c r="AH25" s="654">
        <f t="shared" si="44"/>
        <v>41.204000000000001</v>
      </c>
      <c r="AI25" s="654">
        <f t="shared" si="45"/>
        <v>34.650120000000001</v>
      </c>
      <c r="AJ25" s="611"/>
      <c r="AK25" s="930">
        <f>N25-D25</f>
        <v>0</v>
      </c>
      <c r="AL25" s="930">
        <f t="shared" si="7"/>
        <v>0</v>
      </c>
      <c r="AM25" s="930">
        <f t="shared" si="8"/>
        <v>0</v>
      </c>
      <c r="AN25" s="930">
        <f>Q25-G25</f>
        <v>0</v>
      </c>
      <c r="AP25" s="930">
        <f t="shared" si="9"/>
        <v>-0.3</v>
      </c>
      <c r="AQ25" s="930">
        <f t="shared" si="10"/>
        <v>0</v>
      </c>
      <c r="AR25" s="930">
        <f t="shared" si="11"/>
        <v>0</v>
      </c>
      <c r="AS25" s="930">
        <f t="shared" si="11"/>
        <v>0</v>
      </c>
      <c r="AU25" s="930">
        <f t="shared" si="46"/>
        <v>0</v>
      </c>
    </row>
    <row r="26" spans="1:47">
      <c r="A26" s="590"/>
      <c r="B26" s="607"/>
      <c r="C26" s="890" t="s">
        <v>1307</v>
      </c>
      <c r="D26" s="820">
        <v>354.2</v>
      </c>
      <c r="E26" s="820">
        <v>342.99999999999994</v>
      </c>
      <c r="F26" s="820">
        <v>350.2</v>
      </c>
      <c r="G26" s="820">
        <v>350.49999999999994</v>
      </c>
      <c r="H26" s="915"/>
      <c r="I26" s="820">
        <f>SUM(I23:I25)</f>
        <v>617.5</v>
      </c>
      <c r="J26" s="820">
        <f>SUM(J23:J25)</f>
        <v>614</v>
      </c>
      <c r="K26" s="820">
        <v>697.19999999999993</v>
      </c>
      <c r="L26" s="820">
        <f>SUM(L23:L25)</f>
        <v>700.69999999999993</v>
      </c>
      <c r="N26" s="645">
        <f>SUM(N23:N25)</f>
        <v>354.2</v>
      </c>
      <c r="O26" s="645">
        <f>SUM(O23:O25)</f>
        <v>343</v>
      </c>
      <c r="P26" s="645">
        <f t="shared" ref="P26:Q26" si="47">SUM(P23:P25)</f>
        <v>350.2</v>
      </c>
      <c r="Q26" s="645">
        <f t="shared" si="47"/>
        <v>350.5</v>
      </c>
      <c r="R26" s="645">
        <f t="shared" ref="R26" si="48">SUM(R23:R25)</f>
        <v>363.39942500000001</v>
      </c>
      <c r="S26" s="645">
        <f t="shared" ref="S26" si="49">SUM(S23:S25)</f>
        <v>372.91047499999996</v>
      </c>
      <c r="T26" s="645">
        <f t="shared" ref="T26" si="50">SUM(T23:T25)</f>
        <v>396.11673062499995</v>
      </c>
      <c r="U26" s="645">
        <f t="shared" ref="U26" si="51">SUM(U23:U25)</f>
        <v>390.86773937499993</v>
      </c>
      <c r="W26" s="645">
        <f>-FY!D26</f>
        <v>577.4</v>
      </c>
      <c r="X26" s="645">
        <f>-FY!E26</f>
        <v>614</v>
      </c>
      <c r="Y26" s="645">
        <f>-FY!F26</f>
        <v>697.2</v>
      </c>
      <c r="Z26" s="645">
        <f>-FY!G26</f>
        <v>700.7</v>
      </c>
      <c r="AA26" s="645">
        <f>-FY!H26</f>
        <v>736.30989999999997</v>
      </c>
      <c r="AB26" s="645">
        <f>-FY!I26</f>
        <v>786.98446999999987</v>
      </c>
      <c r="AC26" s="645">
        <f>-FY!J26</f>
        <v>802.80400409999993</v>
      </c>
      <c r="AE26" s="655">
        <f t="shared" si="41"/>
        <v>363.39942500000001</v>
      </c>
      <c r="AF26" s="655">
        <f t="shared" si="42"/>
        <v>372.91047499999996</v>
      </c>
      <c r="AG26" s="655">
        <f t="shared" si="43"/>
        <v>736.30989999999997</v>
      </c>
      <c r="AH26" s="655">
        <f t="shared" si="44"/>
        <v>786.98446999999987</v>
      </c>
      <c r="AI26" s="655">
        <f t="shared" si="45"/>
        <v>802.80400409999993</v>
      </c>
      <c r="AJ26" s="611"/>
      <c r="AK26" s="930">
        <f>N26-D26</f>
        <v>0</v>
      </c>
      <c r="AL26" s="930">
        <f t="shared" si="7"/>
        <v>0</v>
      </c>
      <c r="AM26" s="930">
        <f t="shared" si="8"/>
        <v>0</v>
      </c>
      <c r="AN26" s="930">
        <f>Q26-G26</f>
        <v>0</v>
      </c>
      <c r="AP26" s="930">
        <f t="shared" si="9"/>
        <v>-40.100000000000023</v>
      </c>
      <c r="AQ26" s="930">
        <f t="shared" si="10"/>
        <v>0</v>
      </c>
      <c r="AR26" s="930">
        <f t="shared" si="11"/>
        <v>0</v>
      </c>
      <c r="AS26" s="930">
        <f t="shared" si="11"/>
        <v>0</v>
      </c>
      <c r="AU26" s="930">
        <f t="shared" si="46"/>
        <v>0</v>
      </c>
    </row>
    <row r="27" spans="1:47">
      <c r="A27" s="590"/>
      <c r="B27" s="607"/>
      <c r="C27" s="890"/>
      <c r="D27" s="885"/>
      <c r="E27" s="885"/>
      <c r="F27" s="885"/>
      <c r="G27" s="885"/>
      <c r="H27" s="920"/>
      <c r="I27" s="885"/>
      <c r="J27" s="885"/>
      <c r="K27" s="885"/>
      <c r="L27" s="885"/>
      <c r="N27" s="609"/>
      <c r="O27" s="609"/>
      <c r="P27" s="609"/>
      <c r="Q27" s="609"/>
      <c r="R27" s="609"/>
      <c r="S27" s="609"/>
      <c r="T27" s="609"/>
      <c r="U27" s="609"/>
      <c r="W27" s="609"/>
      <c r="X27" s="609"/>
      <c r="Y27" s="609"/>
      <c r="Z27" s="609"/>
      <c r="AA27" s="609"/>
      <c r="AB27" s="609"/>
      <c r="AC27" s="609"/>
      <c r="AE27" s="653"/>
      <c r="AF27" s="653"/>
      <c r="AG27" s="653"/>
      <c r="AH27" s="653"/>
      <c r="AI27" s="653"/>
      <c r="AJ27" s="611"/>
      <c r="AK27" s="930"/>
      <c r="AL27" s="930"/>
      <c r="AM27" s="930"/>
      <c r="AN27" s="930"/>
      <c r="AP27" s="930"/>
      <c r="AQ27" s="930"/>
      <c r="AR27" s="930"/>
      <c r="AS27" s="930"/>
      <c r="AU27" s="930"/>
    </row>
    <row r="28" spans="1:47">
      <c r="A28" s="590"/>
      <c r="B28" s="607" t="s">
        <v>1308</v>
      </c>
      <c r="C28" s="888" t="s">
        <v>1226</v>
      </c>
      <c r="D28" s="819">
        <v>156.69999999999999</v>
      </c>
      <c r="E28" s="819">
        <v>172.40000000000003</v>
      </c>
      <c r="F28" s="819">
        <v>181.4</v>
      </c>
      <c r="G28" s="819">
        <v>180.4</v>
      </c>
      <c r="H28" s="912"/>
      <c r="I28" s="819">
        <v>308</v>
      </c>
      <c r="J28" s="817">
        <v>251.2</v>
      </c>
      <c r="K28" s="817">
        <v>329.1</v>
      </c>
      <c r="L28" s="817">
        <v>361.8</v>
      </c>
      <c r="N28" s="640">
        <f>HY!S292</f>
        <v>156.69999999999999</v>
      </c>
      <c r="O28" s="640">
        <f>HY!T292</f>
        <v>172.40000000000003</v>
      </c>
      <c r="P28" s="640">
        <f>HY!U292</f>
        <v>181.4</v>
      </c>
      <c r="Q28" s="640">
        <f>HY!V292</f>
        <v>180.4</v>
      </c>
      <c r="R28" s="640">
        <f>HY!W292</f>
        <v>210.19754872699997</v>
      </c>
      <c r="S28" s="640">
        <f>HY!X292</f>
        <v>180.29138627075008</v>
      </c>
      <c r="T28" s="640">
        <f>HY!Y292</f>
        <v>202.81492913289509</v>
      </c>
      <c r="U28" s="640">
        <f>HY!Z292</f>
        <v>176.45243389948001</v>
      </c>
      <c r="W28" s="640">
        <f>FY!D30</f>
        <v>308</v>
      </c>
      <c r="X28" s="640">
        <f>FY!E30</f>
        <v>251.2</v>
      </c>
      <c r="Y28" s="640">
        <f>FY!F30</f>
        <v>329.1</v>
      </c>
      <c r="Z28" s="640">
        <f>FY!G30</f>
        <v>361.8</v>
      </c>
      <c r="AA28" s="640">
        <f>FY!H30</f>
        <v>390.48893499775005</v>
      </c>
      <c r="AB28" s="640">
        <f>FY!I30</f>
        <v>379.2673630323751</v>
      </c>
      <c r="AC28" s="640">
        <f>FY!J30</f>
        <v>369.21394977472295</v>
      </c>
      <c r="AE28" s="650">
        <f t="shared" ref="AE28:AF31" si="52">R28</f>
        <v>210.19754872699997</v>
      </c>
      <c r="AF28" s="650">
        <f t="shared" ref="AF28:AF31" si="53">S28</f>
        <v>180.29138627075008</v>
      </c>
      <c r="AG28" s="650">
        <f t="shared" ref="AG28:AG31" si="54">AA28</f>
        <v>390.48893499775005</v>
      </c>
      <c r="AH28" s="650">
        <f t="shared" ref="AH28:AH31" si="55">AB28</f>
        <v>379.2673630323751</v>
      </c>
      <c r="AI28" s="650">
        <f t="shared" ref="AI28:AI31" si="56">AC28</f>
        <v>369.21394977472295</v>
      </c>
      <c r="AJ28" s="611"/>
      <c r="AK28" s="930">
        <f>N28-D28</f>
        <v>0</v>
      </c>
      <c r="AL28" s="930">
        <f t="shared" si="7"/>
        <v>0</v>
      </c>
      <c r="AM28" s="930">
        <f t="shared" si="8"/>
        <v>0</v>
      </c>
      <c r="AN28" s="930">
        <f>Q28-G28</f>
        <v>0</v>
      </c>
      <c r="AP28" s="930">
        <f t="shared" si="9"/>
        <v>0</v>
      </c>
      <c r="AQ28" s="930">
        <f t="shared" si="10"/>
        <v>0</v>
      </c>
      <c r="AR28" s="930">
        <f t="shared" si="11"/>
        <v>0</v>
      </c>
      <c r="AS28" s="930">
        <f t="shared" si="11"/>
        <v>0</v>
      </c>
      <c r="AU28" s="930">
        <f t="shared" ref="AU28:AU31" si="57">AG28-SUM(AE28:AF28)</f>
        <v>0</v>
      </c>
    </row>
    <row r="29" spans="1:47">
      <c r="A29" s="590"/>
      <c r="B29" s="607"/>
      <c r="C29" s="889" t="s">
        <v>1227</v>
      </c>
      <c r="D29" s="819">
        <v>33.5</v>
      </c>
      <c r="E29" s="819">
        <v>28.9</v>
      </c>
      <c r="F29" s="819">
        <v>36</v>
      </c>
      <c r="G29" s="819">
        <v>33.900000000000006</v>
      </c>
      <c r="H29" s="912"/>
      <c r="I29" s="819">
        <v>83.1</v>
      </c>
      <c r="J29" s="817">
        <v>66.5</v>
      </c>
      <c r="K29" s="817">
        <v>62.4</v>
      </c>
      <c r="L29" s="817">
        <v>69.900000000000006</v>
      </c>
      <c r="N29" s="640">
        <f>HY!S293</f>
        <v>33.5</v>
      </c>
      <c r="O29" s="640">
        <f>HY!T293</f>
        <v>28.9</v>
      </c>
      <c r="P29" s="640">
        <f>HY!U293</f>
        <v>36</v>
      </c>
      <c r="Q29" s="640">
        <f>HY!V293</f>
        <v>33.900000000000006</v>
      </c>
      <c r="R29" s="640">
        <f>HY!W293</f>
        <v>35.716104477196872</v>
      </c>
      <c r="S29" s="640">
        <f>HY!X293</f>
        <v>35.015024999999994</v>
      </c>
      <c r="T29" s="640">
        <f>HY!Y293</f>
        <v>36.609007089126791</v>
      </c>
      <c r="U29" s="640">
        <f>HY!Z293</f>
        <v>35.890400624999984</v>
      </c>
      <c r="W29" s="640">
        <f>FY!D31</f>
        <v>83.1</v>
      </c>
      <c r="X29" s="640">
        <f>FY!E31</f>
        <v>59</v>
      </c>
      <c r="Y29" s="640">
        <f>FY!F31</f>
        <v>62.4</v>
      </c>
      <c r="Z29" s="640">
        <f>FY!G31</f>
        <v>69.900000000000006</v>
      </c>
      <c r="AA29" s="640">
        <f>FY!H31</f>
        <v>70.731129477196873</v>
      </c>
      <c r="AB29" s="640">
        <f>FY!I31</f>
        <v>72.499407714126775</v>
      </c>
      <c r="AC29" s="640">
        <f>FY!J31</f>
        <v>74.674389945550587</v>
      </c>
      <c r="AE29" s="650">
        <f t="shared" si="52"/>
        <v>35.716104477196872</v>
      </c>
      <c r="AF29" s="650">
        <f t="shared" si="53"/>
        <v>35.015024999999994</v>
      </c>
      <c r="AG29" s="650">
        <f t="shared" si="54"/>
        <v>70.731129477196873</v>
      </c>
      <c r="AH29" s="650">
        <f t="shared" si="55"/>
        <v>72.499407714126775</v>
      </c>
      <c r="AI29" s="650">
        <f t="shared" si="56"/>
        <v>74.674389945550587</v>
      </c>
      <c r="AJ29" s="611"/>
      <c r="AK29" s="930">
        <f>N29-D29</f>
        <v>0</v>
      </c>
      <c r="AL29" s="930">
        <f t="shared" si="7"/>
        <v>0</v>
      </c>
      <c r="AM29" s="930">
        <f t="shared" si="8"/>
        <v>0</v>
      </c>
      <c r="AN29" s="930">
        <f>Q29-G29</f>
        <v>0</v>
      </c>
      <c r="AP29" s="930">
        <f t="shared" si="9"/>
        <v>0</v>
      </c>
      <c r="AQ29" s="930">
        <f t="shared" si="10"/>
        <v>-7.5</v>
      </c>
      <c r="AR29" s="930">
        <f t="shared" si="11"/>
        <v>0</v>
      </c>
      <c r="AS29" s="930">
        <f t="shared" si="11"/>
        <v>0</v>
      </c>
      <c r="AU29" s="930">
        <f t="shared" si="57"/>
        <v>0</v>
      </c>
    </row>
    <row r="30" spans="1:47" ht="17.25">
      <c r="A30" s="590"/>
      <c r="B30" s="607"/>
      <c r="C30" s="888" t="s">
        <v>1305</v>
      </c>
      <c r="D30" s="819">
        <v>0</v>
      </c>
      <c r="E30" s="819">
        <v>0</v>
      </c>
      <c r="F30" s="819">
        <v>0</v>
      </c>
      <c r="G30" s="819">
        <v>0</v>
      </c>
      <c r="H30" s="914"/>
      <c r="I30" s="819">
        <v>-0.1</v>
      </c>
      <c r="J30" s="819">
        <v>0</v>
      </c>
      <c r="K30" s="819">
        <v>0</v>
      </c>
      <c r="L30" s="819">
        <v>0</v>
      </c>
      <c r="N30" s="640">
        <f>HY!S294</f>
        <v>0</v>
      </c>
      <c r="O30" s="640">
        <f>HY!T294</f>
        <v>0</v>
      </c>
      <c r="P30" s="640">
        <f>HY!U294</f>
        <v>0</v>
      </c>
      <c r="Q30" s="640">
        <f>HY!V294</f>
        <v>0</v>
      </c>
      <c r="R30" s="640">
        <f>HY!W294</f>
        <v>0</v>
      </c>
      <c r="S30" s="640">
        <f>HY!X294</f>
        <v>5.1999999999999993</v>
      </c>
      <c r="T30" s="640">
        <f>HY!Y294</f>
        <v>13.166999999999998</v>
      </c>
      <c r="U30" s="640">
        <f>HY!Z294</f>
        <v>20.712</v>
      </c>
      <c r="W30" s="642">
        <f>FY!D32</f>
        <v>0</v>
      </c>
      <c r="X30" s="642">
        <f>FY!E32</f>
        <v>0</v>
      </c>
      <c r="Y30" s="642">
        <f>FY!F32</f>
        <v>0</v>
      </c>
      <c r="Z30" s="642">
        <f>FY!G32</f>
        <v>0</v>
      </c>
      <c r="AA30" s="642">
        <f>FY!H32</f>
        <v>5.1999999999999993</v>
      </c>
      <c r="AB30" s="642">
        <f>FY!I32</f>
        <v>33.878999999999998</v>
      </c>
      <c r="AC30" s="642">
        <f>FY!J32</f>
        <v>50.475369999999998</v>
      </c>
      <c r="AE30" s="654">
        <f t="shared" si="52"/>
        <v>0</v>
      </c>
      <c r="AF30" s="654">
        <f t="shared" si="53"/>
        <v>5.1999999999999993</v>
      </c>
      <c r="AG30" s="654">
        <f t="shared" si="54"/>
        <v>5.1999999999999993</v>
      </c>
      <c r="AH30" s="654">
        <f t="shared" si="55"/>
        <v>33.878999999999998</v>
      </c>
      <c r="AI30" s="654">
        <f t="shared" si="56"/>
        <v>50.475369999999998</v>
      </c>
      <c r="AJ30" s="611"/>
      <c r="AK30" s="930">
        <f>N30-D30</f>
        <v>0</v>
      </c>
      <c r="AL30" s="930">
        <f t="shared" si="7"/>
        <v>0</v>
      </c>
      <c r="AM30" s="930">
        <f t="shared" si="8"/>
        <v>0</v>
      </c>
      <c r="AN30" s="930">
        <f>Q30-G30</f>
        <v>0</v>
      </c>
      <c r="AP30" s="930">
        <f t="shared" si="9"/>
        <v>0.1</v>
      </c>
      <c r="AQ30" s="930">
        <f t="shared" si="10"/>
        <v>0</v>
      </c>
      <c r="AR30" s="930">
        <f t="shared" si="11"/>
        <v>0</v>
      </c>
      <c r="AS30" s="930">
        <f t="shared" si="11"/>
        <v>0</v>
      </c>
      <c r="AU30" s="930">
        <f t="shared" si="57"/>
        <v>0</v>
      </c>
    </row>
    <row r="31" spans="1:47">
      <c r="A31" s="590"/>
      <c r="B31" s="607"/>
      <c r="C31" s="890" t="s">
        <v>1309</v>
      </c>
      <c r="D31" s="820">
        <v>190.2</v>
      </c>
      <c r="E31" s="820">
        <v>201.3</v>
      </c>
      <c r="F31" s="820">
        <v>217.4</v>
      </c>
      <c r="G31" s="820">
        <v>214.30000000000004</v>
      </c>
      <c r="H31" s="915"/>
      <c r="I31" s="820">
        <f>SUM(I28:I30)</f>
        <v>391</v>
      </c>
      <c r="J31" s="820">
        <f>SUM(J28:J30)</f>
        <v>317.7</v>
      </c>
      <c r="K31" s="820">
        <v>391.5</v>
      </c>
      <c r="L31" s="820">
        <f>SUM(L28:L30)</f>
        <v>431.70000000000005</v>
      </c>
      <c r="N31" s="645">
        <f>SUM(N28:N30)</f>
        <v>190.2</v>
      </c>
      <c r="O31" s="645">
        <f>SUM(O28:O30)</f>
        <v>201.30000000000004</v>
      </c>
      <c r="P31" s="645">
        <f t="shared" ref="P31:Q31" si="58">SUM(P28:P30)</f>
        <v>217.4</v>
      </c>
      <c r="Q31" s="645">
        <f t="shared" si="58"/>
        <v>214.3</v>
      </c>
      <c r="R31" s="645">
        <f t="shared" ref="R31" si="59">SUM(R28:R30)</f>
        <v>245.91365320419683</v>
      </c>
      <c r="S31" s="645">
        <f t="shared" ref="S31" si="60">SUM(S28:S30)</f>
        <v>220.50641127075005</v>
      </c>
      <c r="T31" s="645">
        <f t="shared" ref="T31" si="61">SUM(T28:T30)</f>
        <v>252.5909362220219</v>
      </c>
      <c r="U31" s="645">
        <f t="shared" ref="U31" si="62">SUM(U28:U30)</f>
        <v>233.05483452447999</v>
      </c>
      <c r="W31" s="645">
        <f t="shared" ref="W31:Y31" si="63">SUM(W28:W30)</f>
        <v>391.1</v>
      </c>
      <c r="X31" s="645">
        <f t="shared" si="63"/>
        <v>310.2</v>
      </c>
      <c r="Y31" s="645">
        <f t="shared" si="63"/>
        <v>391.5</v>
      </c>
      <c r="Z31" s="645">
        <f>SUM(Z28:Z30)</f>
        <v>431.70000000000005</v>
      </c>
      <c r="AA31" s="645">
        <f t="shared" ref="AA31:AC31" si="64">SUM(AA28:AA30)</f>
        <v>466.42006447494691</v>
      </c>
      <c r="AB31" s="645">
        <f t="shared" si="64"/>
        <v>485.64577074650191</v>
      </c>
      <c r="AC31" s="645">
        <f t="shared" si="64"/>
        <v>494.3637097202735</v>
      </c>
      <c r="AE31" s="655">
        <f t="shared" si="52"/>
        <v>245.91365320419683</v>
      </c>
      <c r="AF31" s="655">
        <f t="shared" si="53"/>
        <v>220.50641127075005</v>
      </c>
      <c r="AG31" s="655">
        <f t="shared" si="54"/>
        <v>466.42006447494691</v>
      </c>
      <c r="AH31" s="655">
        <f t="shared" si="55"/>
        <v>485.64577074650191</v>
      </c>
      <c r="AI31" s="655">
        <f t="shared" si="56"/>
        <v>494.3637097202735</v>
      </c>
      <c r="AJ31" s="589"/>
      <c r="AK31" s="930">
        <f>N31-D31</f>
        <v>0</v>
      </c>
      <c r="AL31" s="930">
        <f t="shared" si="7"/>
        <v>0</v>
      </c>
      <c r="AM31" s="930">
        <f t="shared" si="8"/>
        <v>0</v>
      </c>
      <c r="AN31" s="930">
        <f>Q31-G31</f>
        <v>0</v>
      </c>
      <c r="AP31" s="930">
        <f t="shared" si="9"/>
        <v>0.10000000000002274</v>
      </c>
      <c r="AQ31" s="930">
        <f t="shared" si="10"/>
        <v>-7.5</v>
      </c>
      <c r="AR31" s="930">
        <f t="shared" si="11"/>
        <v>0</v>
      </c>
      <c r="AS31" s="930">
        <f t="shared" si="11"/>
        <v>0</v>
      </c>
      <c r="AU31" s="930">
        <f t="shared" si="57"/>
        <v>0</v>
      </c>
    </row>
    <row r="32" spans="1:47">
      <c r="A32" s="590"/>
      <c r="B32" s="607"/>
      <c r="C32" s="890"/>
      <c r="D32" s="885"/>
      <c r="E32" s="885"/>
      <c r="F32" s="885"/>
      <c r="G32" s="885"/>
      <c r="H32" s="920"/>
      <c r="I32" s="885"/>
      <c r="J32" s="885"/>
      <c r="K32" s="885"/>
      <c r="L32" s="885"/>
      <c r="N32" s="609"/>
      <c r="O32" s="609"/>
      <c r="P32" s="609"/>
      <c r="Q32" s="609"/>
      <c r="R32" s="609"/>
      <c r="S32" s="609"/>
      <c r="T32" s="609"/>
      <c r="U32" s="609"/>
      <c r="W32" s="609"/>
      <c r="X32" s="609"/>
      <c r="Y32" s="609"/>
      <c r="Z32" s="609"/>
      <c r="AA32" s="609"/>
      <c r="AB32" s="609"/>
      <c r="AC32" s="609"/>
      <c r="AE32" s="653"/>
      <c r="AF32" s="653"/>
      <c r="AG32" s="653"/>
      <c r="AH32" s="653"/>
      <c r="AI32" s="653"/>
      <c r="AJ32" s="589"/>
      <c r="AK32" s="930"/>
      <c r="AL32" s="930"/>
      <c r="AM32" s="930"/>
      <c r="AN32" s="930"/>
      <c r="AP32" s="930"/>
      <c r="AQ32" s="930"/>
      <c r="AR32" s="930"/>
      <c r="AS32" s="930"/>
      <c r="AU32" s="930"/>
    </row>
    <row r="33" spans="1:47">
      <c r="A33" s="590"/>
      <c r="B33" s="607" t="s">
        <v>48</v>
      </c>
      <c r="C33" s="888" t="s">
        <v>1226</v>
      </c>
      <c r="D33" s="819">
        <v>77.3</v>
      </c>
      <c r="E33" s="819">
        <v>83.600000000000009</v>
      </c>
      <c r="F33" s="819">
        <v>86.1</v>
      </c>
      <c r="G33" s="819">
        <v>84.500000000000028</v>
      </c>
      <c r="H33" s="912"/>
      <c r="I33" s="819">
        <v>191.8</v>
      </c>
      <c r="J33" s="817">
        <v>180.9</v>
      </c>
      <c r="K33" s="817">
        <v>160.9</v>
      </c>
      <c r="L33" s="817">
        <f>L28-L38</f>
        <v>170.60000000000002</v>
      </c>
      <c r="N33" s="640"/>
      <c r="O33" s="640"/>
      <c r="P33" s="640"/>
      <c r="Q33" s="640"/>
      <c r="R33" s="640"/>
      <c r="S33" s="640"/>
      <c r="T33" s="640"/>
      <c r="U33" s="640"/>
      <c r="W33" s="640"/>
      <c r="X33" s="640"/>
      <c r="Y33" s="640"/>
      <c r="Z33" s="640"/>
      <c r="AA33" s="640"/>
      <c r="AB33" s="640"/>
      <c r="AC33" s="640"/>
      <c r="AE33" s="650"/>
      <c r="AF33" s="650"/>
      <c r="AG33" s="650"/>
      <c r="AH33" s="650"/>
      <c r="AI33" s="650"/>
      <c r="AJ33" s="611" t="s">
        <v>1338</v>
      </c>
      <c r="AK33" s="930"/>
      <c r="AL33" s="930"/>
      <c r="AM33" s="930"/>
      <c r="AN33" s="930"/>
      <c r="AP33" s="930"/>
      <c r="AQ33" s="930"/>
      <c r="AR33" s="930"/>
      <c r="AS33" s="930"/>
      <c r="AU33" s="930"/>
    </row>
    <row r="34" spans="1:47">
      <c r="A34" s="590"/>
      <c r="B34" s="607"/>
      <c r="C34" s="889" t="s">
        <v>1227</v>
      </c>
      <c r="D34" s="819">
        <v>20.2</v>
      </c>
      <c r="E34" s="819">
        <v>21.7</v>
      </c>
      <c r="F34" s="819">
        <v>21.1</v>
      </c>
      <c r="G34" s="819">
        <v>21.300000000000004</v>
      </c>
      <c r="H34" s="912"/>
      <c r="I34" s="819">
        <v>48.7</v>
      </c>
      <c r="J34" s="817">
        <v>39.4</v>
      </c>
      <c r="K34" s="817">
        <v>41.9</v>
      </c>
      <c r="L34" s="817">
        <f>L29-L39</f>
        <v>42.400000000000006</v>
      </c>
      <c r="N34" s="640"/>
      <c r="O34" s="640"/>
      <c r="P34" s="640"/>
      <c r="Q34" s="640"/>
      <c r="R34" s="640"/>
      <c r="S34" s="640"/>
      <c r="T34" s="640"/>
      <c r="U34" s="640"/>
      <c r="W34" s="640"/>
      <c r="X34" s="640"/>
      <c r="Y34" s="640"/>
      <c r="Z34" s="640"/>
      <c r="AA34" s="640"/>
      <c r="AB34" s="640"/>
      <c r="AC34" s="640"/>
      <c r="AE34" s="650"/>
      <c r="AF34" s="650"/>
      <c r="AG34" s="650"/>
      <c r="AH34" s="650"/>
      <c r="AI34" s="650"/>
      <c r="AJ34" s="611"/>
      <c r="AK34" s="930"/>
      <c r="AL34" s="930"/>
      <c r="AM34" s="930"/>
      <c r="AN34" s="930"/>
      <c r="AP34" s="930"/>
      <c r="AQ34" s="930"/>
      <c r="AR34" s="930"/>
      <c r="AS34" s="930"/>
      <c r="AU34" s="930"/>
    </row>
    <row r="35" spans="1:47" ht="17.25">
      <c r="A35" s="590"/>
      <c r="B35" s="607"/>
      <c r="C35" s="888" t="s">
        <v>1305</v>
      </c>
      <c r="D35" s="819">
        <v>0</v>
      </c>
      <c r="E35" s="819">
        <v>0</v>
      </c>
      <c r="F35" s="819">
        <v>0</v>
      </c>
      <c r="G35" s="819">
        <v>0</v>
      </c>
      <c r="H35" s="914"/>
      <c r="I35" s="819">
        <v>0</v>
      </c>
      <c r="J35" s="819">
        <v>0</v>
      </c>
      <c r="K35" s="819">
        <v>0</v>
      </c>
      <c r="L35" s="819">
        <f t="shared" ref="L35" si="65">L30-L40</f>
        <v>0</v>
      </c>
      <c r="N35" s="642"/>
      <c r="O35" s="642"/>
      <c r="P35" s="642"/>
      <c r="Q35" s="642"/>
      <c r="R35" s="642"/>
      <c r="S35" s="642"/>
      <c r="T35" s="642"/>
      <c r="U35" s="642"/>
      <c r="W35" s="642"/>
      <c r="X35" s="642"/>
      <c r="Y35" s="642"/>
      <c r="Z35" s="642"/>
      <c r="AA35" s="642"/>
      <c r="AB35" s="642"/>
      <c r="AC35" s="642"/>
      <c r="AE35" s="654"/>
      <c r="AF35" s="654"/>
      <c r="AG35" s="654"/>
      <c r="AH35" s="654"/>
      <c r="AI35" s="654"/>
      <c r="AJ35" s="589"/>
      <c r="AK35" s="930"/>
      <c r="AL35" s="930"/>
      <c r="AM35" s="930"/>
      <c r="AN35" s="930"/>
      <c r="AP35" s="930"/>
      <c r="AQ35" s="930"/>
      <c r="AR35" s="930"/>
      <c r="AS35" s="930"/>
      <c r="AU35" s="930"/>
    </row>
    <row r="36" spans="1:47">
      <c r="A36" s="589"/>
      <c r="B36" s="607"/>
      <c r="C36" s="890" t="s">
        <v>1310</v>
      </c>
      <c r="D36" s="820">
        <v>97.5</v>
      </c>
      <c r="E36" s="820">
        <v>105.30000000000001</v>
      </c>
      <c r="F36" s="820">
        <v>107.19999999999999</v>
      </c>
      <c r="G36" s="820">
        <v>105.80000000000004</v>
      </c>
      <c r="H36" s="915"/>
      <c r="I36" s="820">
        <f>SUM(I33:I35)</f>
        <v>240.5</v>
      </c>
      <c r="J36" s="820">
        <f>SUM(J33:J35)</f>
        <v>220.3</v>
      </c>
      <c r="K36" s="820">
        <v>202.8</v>
      </c>
      <c r="L36" s="820">
        <f>SUM(L33:L35)</f>
        <v>213.00000000000003</v>
      </c>
      <c r="N36" s="645">
        <f>-HY!S301</f>
        <v>97.5</v>
      </c>
      <c r="O36" s="645">
        <f>-HY!T301</f>
        <v>105.30000000000001</v>
      </c>
      <c r="P36" s="645">
        <f>-HY!U301</f>
        <v>107.2</v>
      </c>
      <c r="Q36" s="645">
        <f>-HY!V301</f>
        <v>105.8</v>
      </c>
      <c r="R36" s="645">
        <f>-HY!W301</f>
        <v>114.19999999999982</v>
      </c>
      <c r="S36" s="645">
        <f>-HY!X301</f>
        <v>114.19999999999982</v>
      </c>
      <c r="T36" s="645">
        <f>-HY!Y301</f>
        <v>111.69999999999982</v>
      </c>
      <c r="U36" s="645">
        <f>-HY!Z301</f>
        <v>111.69999999999982</v>
      </c>
      <c r="W36" s="645">
        <f>-FY!D195</f>
        <v>240.5</v>
      </c>
      <c r="X36" s="645">
        <f>-FY!E195</f>
        <v>220.3</v>
      </c>
      <c r="Y36" s="645">
        <f>-FY!F195</f>
        <v>202.8</v>
      </c>
      <c r="Z36" s="645">
        <f>-FY!G195</f>
        <v>213</v>
      </c>
      <c r="AA36" s="645">
        <f>-FY!H195</f>
        <v>228.39999999999964</v>
      </c>
      <c r="AB36" s="645">
        <f>-FY!I195</f>
        <v>223.39999999999964</v>
      </c>
      <c r="AC36" s="645">
        <f>-FY!J195</f>
        <v>225.19597381526398</v>
      </c>
      <c r="AE36" s="655">
        <f t="shared" ref="AE36" si="66">R36</f>
        <v>114.19999999999982</v>
      </c>
      <c r="AF36" s="655">
        <f t="shared" ref="AF36" si="67">S36</f>
        <v>114.19999999999982</v>
      </c>
      <c r="AG36" s="655">
        <f t="shared" ref="AG36:AI36" si="68">AA36</f>
        <v>228.39999999999964</v>
      </c>
      <c r="AH36" s="655">
        <f t="shared" si="68"/>
        <v>223.39999999999964</v>
      </c>
      <c r="AI36" s="655">
        <f t="shared" si="68"/>
        <v>225.19597381526398</v>
      </c>
      <c r="AJ36" s="589"/>
      <c r="AK36" s="930">
        <f>N36-D36</f>
        <v>0</v>
      </c>
      <c r="AL36" s="930">
        <f t="shared" si="7"/>
        <v>0</v>
      </c>
      <c r="AM36" s="930">
        <f t="shared" si="8"/>
        <v>0</v>
      </c>
      <c r="AN36" s="930">
        <f>Q36-G36</f>
        <v>0</v>
      </c>
      <c r="AP36" s="930">
        <f t="shared" si="9"/>
        <v>0</v>
      </c>
      <c r="AQ36" s="930">
        <f t="shared" si="10"/>
        <v>0</v>
      </c>
      <c r="AR36" s="930">
        <f t="shared" si="11"/>
        <v>0</v>
      </c>
      <c r="AS36" s="930">
        <f t="shared" si="11"/>
        <v>0</v>
      </c>
      <c r="AU36" s="930">
        <f>AG36-SUM(AE36:AF36)</f>
        <v>0</v>
      </c>
    </row>
    <row r="37" spans="1:47">
      <c r="A37" s="589"/>
      <c r="B37" s="607"/>
      <c r="C37" s="888"/>
      <c r="D37" s="885"/>
      <c r="E37" s="885"/>
      <c r="F37" s="885"/>
      <c r="G37" s="885"/>
      <c r="H37" s="920"/>
      <c r="I37" s="885"/>
      <c r="J37" s="885"/>
      <c r="K37" s="885"/>
      <c r="L37" s="885"/>
      <c r="N37" s="609"/>
      <c r="O37" s="609"/>
      <c r="P37" s="609"/>
      <c r="Q37" s="609"/>
      <c r="R37" s="609"/>
      <c r="S37" s="609"/>
      <c r="T37" s="609"/>
      <c r="U37" s="609"/>
      <c r="W37" s="609"/>
      <c r="X37" s="609"/>
      <c r="Y37" s="609"/>
      <c r="Z37" s="609"/>
      <c r="AA37" s="609"/>
      <c r="AB37" s="609"/>
      <c r="AC37" s="609"/>
      <c r="AE37" s="653"/>
      <c r="AF37" s="653"/>
      <c r="AG37" s="653"/>
      <c r="AH37" s="653"/>
      <c r="AI37" s="653"/>
      <c r="AJ37" s="589"/>
      <c r="AK37" s="930"/>
      <c r="AL37" s="930"/>
      <c r="AM37" s="930"/>
      <c r="AN37" s="930"/>
      <c r="AP37" s="930"/>
      <c r="AQ37" s="930"/>
      <c r="AR37" s="930"/>
      <c r="AS37" s="930"/>
      <c r="AU37" s="930"/>
    </row>
    <row r="38" spans="1:47">
      <c r="A38" s="589"/>
      <c r="B38" s="607" t="s">
        <v>1311</v>
      </c>
      <c r="C38" s="888" t="s">
        <v>1226</v>
      </c>
      <c r="D38" s="819">
        <v>79.400000000000006</v>
      </c>
      <c r="E38" s="819">
        <v>88.799999999999983</v>
      </c>
      <c r="F38" s="819">
        <v>95.3</v>
      </c>
      <c r="G38" s="819">
        <v>95.899999999999991</v>
      </c>
      <c r="H38" s="912"/>
      <c r="I38" s="819">
        <v>116.2</v>
      </c>
      <c r="J38" s="817">
        <v>70.3</v>
      </c>
      <c r="K38" s="817">
        <v>168.2</v>
      </c>
      <c r="L38" s="817">
        <v>191.2</v>
      </c>
      <c r="N38" s="640"/>
      <c r="O38" s="640"/>
      <c r="P38" s="640"/>
      <c r="Q38" s="640"/>
      <c r="R38" s="640"/>
      <c r="S38" s="640"/>
      <c r="T38" s="640"/>
      <c r="U38" s="640"/>
      <c r="W38" s="640"/>
      <c r="X38" s="640"/>
      <c r="Y38" s="640"/>
      <c r="Z38" s="640"/>
      <c r="AA38" s="640"/>
      <c r="AB38" s="640"/>
      <c r="AC38" s="640"/>
      <c r="AE38" s="650"/>
      <c r="AF38" s="650"/>
      <c r="AG38" s="650"/>
      <c r="AH38" s="650"/>
      <c r="AI38" s="650"/>
      <c r="AJ38" s="589"/>
      <c r="AK38" s="930"/>
      <c r="AL38" s="930"/>
      <c r="AM38" s="930"/>
      <c r="AN38" s="930"/>
      <c r="AP38" s="930"/>
      <c r="AQ38" s="930"/>
      <c r="AR38" s="930"/>
      <c r="AS38" s="930"/>
      <c r="AU38" s="930"/>
    </row>
    <row r="39" spans="1:47">
      <c r="A39" s="589"/>
      <c r="B39" s="607"/>
      <c r="C39" s="889" t="s">
        <v>1227</v>
      </c>
      <c r="D39" s="819">
        <v>13.3</v>
      </c>
      <c r="E39" s="819">
        <v>7.1999999999999993</v>
      </c>
      <c r="F39" s="819">
        <v>14.9</v>
      </c>
      <c r="G39" s="819">
        <v>12.6</v>
      </c>
      <c r="H39" s="912"/>
      <c r="I39" s="819">
        <v>34.4</v>
      </c>
      <c r="J39" s="817">
        <v>27.1</v>
      </c>
      <c r="K39" s="817">
        <v>20.5</v>
      </c>
      <c r="L39" s="817">
        <v>27.5</v>
      </c>
      <c r="N39" s="640"/>
      <c r="O39" s="640"/>
      <c r="P39" s="640"/>
      <c r="Q39" s="640"/>
      <c r="R39" s="640"/>
      <c r="S39" s="640"/>
      <c r="T39" s="640"/>
      <c r="U39" s="640"/>
      <c r="W39" s="640"/>
      <c r="X39" s="640"/>
      <c r="Y39" s="640"/>
      <c r="Z39" s="640"/>
      <c r="AA39" s="640"/>
      <c r="AB39" s="640"/>
      <c r="AC39" s="640"/>
      <c r="AE39" s="650"/>
      <c r="AF39" s="650"/>
      <c r="AG39" s="650"/>
      <c r="AH39" s="650"/>
      <c r="AI39" s="650"/>
      <c r="AJ39" s="589"/>
      <c r="AK39" s="930"/>
      <c r="AL39" s="930"/>
      <c r="AM39" s="930"/>
      <c r="AN39" s="930"/>
      <c r="AP39" s="930"/>
      <c r="AQ39" s="930"/>
      <c r="AR39" s="930"/>
      <c r="AS39" s="930"/>
      <c r="AU39" s="930"/>
    </row>
    <row r="40" spans="1:47" ht="17.25">
      <c r="A40" s="589"/>
      <c r="B40" s="607"/>
      <c r="C40" s="888" t="s">
        <v>1305</v>
      </c>
      <c r="D40" s="819">
        <v>0</v>
      </c>
      <c r="E40" s="819">
        <v>0</v>
      </c>
      <c r="F40" s="819">
        <v>0</v>
      </c>
      <c r="G40" s="819">
        <v>0</v>
      </c>
      <c r="H40" s="914"/>
      <c r="I40" s="819">
        <v>-0.1</v>
      </c>
      <c r="J40" s="819">
        <v>0</v>
      </c>
      <c r="K40" s="819">
        <v>0</v>
      </c>
      <c r="L40" s="819">
        <v>0</v>
      </c>
      <c r="N40" s="642"/>
      <c r="O40" s="642"/>
      <c r="P40" s="642"/>
      <c r="Q40" s="642"/>
      <c r="R40" s="642"/>
      <c r="S40" s="642"/>
      <c r="T40" s="642"/>
      <c r="U40" s="642"/>
      <c r="W40" s="642"/>
      <c r="X40" s="642"/>
      <c r="Y40" s="642"/>
      <c r="Z40" s="642"/>
      <c r="AA40" s="642"/>
      <c r="AB40" s="642"/>
      <c r="AC40" s="642"/>
      <c r="AE40" s="654"/>
      <c r="AF40" s="654"/>
      <c r="AG40" s="654"/>
      <c r="AH40" s="654"/>
      <c r="AI40" s="654"/>
      <c r="AJ40" s="589"/>
      <c r="AK40" s="930"/>
      <c r="AL40" s="930"/>
      <c r="AM40" s="930"/>
      <c r="AN40" s="930"/>
      <c r="AP40" s="930"/>
      <c r="AQ40" s="930"/>
      <c r="AR40" s="930"/>
      <c r="AS40" s="930"/>
      <c r="AU40" s="930"/>
    </row>
    <row r="41" spans="1:47">
      <c r="A41" s="589"/>
      <c r="B41" s="607"/>
      <c r="C41" s="890" t="s">
        <v>1312</v>
      </c>
      <c r="D41" s="820">
        <v>92.7</v>
      </c>
      <c r="E41" s="820">
        <v>95.999999999999986</v>
      </c>
      <c r="F41" s="820">
        <v>110.2</v>
      </c>
      <c r="G41" s="820">
        <v>108.49999999999999</v>
      </c>
      <c r="H41" s="913"/>
      <c r="I41" s="820">
        <f>SUM(I38:I40)</f>
        <v>150.5</v>
      </c>
      <c r="J41" s="818">
        <f>SUM(J38:J40)</f>
        <v>97.4</v>
      </c>
      <c r="K41" s="818">
        <v>188.7</v>
      </c>
      <c r="L41" s="818">
        <f>SUM(L38:L40)</f>
        <v>218.7</v>
      </c>
      <c r="N41" s="641">
        <f>HY!S311</f>
        <v>92.7</v>
      </c>
      <c r="O41" s="641">
        <f>HY!T311</f>
        <v>95.999999999999986</v>
      </c>
      <c r="P41" s="641">
        <f>HY!U311</f>
        <v>110.2</v>
      </c>
      <c r="Q41" s="641">
        <f>HY!V311</f>
        <v>108.49999999999999</v>
      </c>
      <c r="R41" s="641">
        <f>HY!W311</f>
        <v>131.71365320419702</v>
      </c>
      <c r="S41" s="641">
        <f>HY!X311</f>
        <v>106.30641127075023</v>
      </c>
      <c r="T41" s="641">
        <f>HY!Y311</f>
        <v>140.89093622202208</v>
      </c>
      <c r="U41" s="641">
        <f>HY!Z311</f>
        <v>121.35483452448017</v>
      </c>
      <c r="W41" s="641">
        <f>FY!D71</f>
        <v>150.5</v>
      </c>
      <c r="X41" s="641">
        <f>FY!E71</f>
        <v>97.4</v>
      </c>
      <c r="Y41" s="641">
        <f>FY!F71</f>
        <v>188.7</v>
      </c>
      <c r="Z41" s="641">
        <f>FY!G71</f>
        <v>218.7</v>
      </c>
      <c r="AA41" s="641">
        <f>FY!H71</f>
        <v>238.02006447494725</v>
      </c>
      <c r="AB41" s="641">
        <f>FY!I71</f>
        <v>262.24577074650222</v>
      </c>
      <c r="AC41" s="641">
        <f>FY!J71</f>
        <v>269.16773590500952</v>
      </c>
      <c r="AE41" s="652">
        <f t="shared" ref="AE41:AF48" si="69">R41</f>
        <v>131.71365320419702</v>
      </c>
      <c r="AF41" s="652">
        <f t="shared" ref="AF41:AF48" si="70">S41</f>
        <v>106.30641127075023</v>
      </c>
      <c r="AG41" s="652">
        <f t="shared" ref="AG41:AG48" si="71">AA41</f>
        <v>238.02006447494725</v>
      </c>
      <c r="AH41" s="652">
        <f t="shared" ref="AH41:AH48" si="72">AB41</f>
        <v>262.24577074650222</v>
      </c>
      <c r="AI41" s="652">
        <f t="shared" ref="AI41:AI48" si="73">AC41</f>
        <v>269.16773590500952</v>
      </c>
      <c r="AJ41" s="589"/>
      <c r="AK41" s="930">
        <f>N41-D41</f>
        <v>0</v>
      </c>
      <c r="AL41" s="930">
        <f t="shared" si="7"/>
        <v>0</v>
      </c>
      <c r="AM41" s="930">
        <f t="shared" si="8"/>
        <v>0</v>
      </c>
      <c r="AN41" s="930">
        <f>Q41-G41</f>
        <v>0</v>
      </c>
      <c r="AP41" s="930">
        <f t="shared" si="9"/>
        <v>0</v>
      </c>
      <c r="AQ41" s="930">
        <f t="shared" si="10"/>
        <v>0</v>
      </c>
      <c r="AR41" s="930">
        <f t="shared" si="11"/>
        <v>0</v>
      </c>
      <c r="AS41" s="930">
        <f t="shared" si="11"/>
        <v>0</v>
      </c>
      <c r="AU41" s="930">
        <f t="shared" ref="AU41:AU48" si="74">AG41-SUM(AE41:AF41)</f>
        <v>0</v>
      </c>
    </row>
    <row r="42" spans="1:47">
      <c r="A42" s="589"/>
      <c r="B42" s="612" t="s">
        <v>1313</v>
      </c>
      <c r="C42" s="613"/>
      <c r="D42" s="884">
        <v>-0.5</v>
      </c>
      <c r="E42" s="884">
        <v>4.3</v>
      </c>
      <c r="F42" s="884">
        <v>-4.5999999999999996</v>
      </c>
      <c r="G42" s="884">
        <v>1.5999999999999996</v>
      </c>
      <c r="H42" s="920"/>
      <c r="I42" s="884">
        <v>2.7</v>
      </c>
      <c r="J42" s="884">
        <v>3.2</v>
      </c>
      <c r="K42" s="884">
        <v>3.8</v>
      </c>
      <c r="L42" s="884">
        <v>-3</v>
      </c>
      <c r="N42" s="637">
        <f>HY!S315</f>
        <v>-0.5</v>
      </c>
      <c r="O42" s="637">
        <f>HY!T315</f>
        <v>4.3</v>
      </c>
      <c r="P42" s="637">
        <f>HY!U315</f>
        <v>-4.5999999999999996</v>
      </c>
      <c r="Q42" s="637">
        <f>HY!V315</f>
        <v>1.5999999999999996</v>
      </c>
      <c r="R42" s="637">
        <f>HY!W315</f>
        <v>0</v>
      </c>
      <c r="S42" s="637">
        <f>HY!X315</f>
        <v>1</v>
      </c>
      <c r="T42" s="637">
        <f>HY!Y315</f>
        <v>4</v>
      </c>
      <c r="U42" s="637">
        <f>HY!Z315</f>
        <v>8</v>
      </c>
      <c r="W42" s="637">
        <f>FY!D74</f>
        <v>-2.7</v>
      </c>
      <c r="X42" s="637">
        <f>FY!E74</f>
        <v>-3.2</v>
      </c>
      <c r="Y42" s="637">
        <f>FY!F74</f>
        <v>3.8</v>
      </c>
      <c r="Z42" s="637">
        <f>FY!G74</f>
        <v>-3</v>
      </c>
      <c r="AA42" s="637">
        <f>FY!H74</f>
        <v>1</v>
      </c>
      <c r="AB42" s="637">
        <f>FY!I74</f>
        <v>12</v>
      </c>
      <c r="AC42" s="637">
        <f>FY!J74</f>
        <v>22</v>
      </c>
      <c r="AE42" s="656">
        <f t="shared" si="69"/>
        <v>0</v>
      </c>
      <c r="AF42" s="656">
        <f t="shared" si="70"/>
        <v>1</v>
      </c>
      <c r="AG42" s="656">
        <f t="shared" si="71"/>
        <v>1</v>
      </c>
      <c r="AH42" s="656">
        <f t="shared" si="72"/>
        <v>12</v>
      </c>
      <c r="AI42" s="656">
        <f t="shared" si="73"/>
        <v>22</v>
      </c>
      <c r="AJ42" s="589"/>
      <c r="AK42" s="930">
        <f>N42-D42</f>
        <v>0</v>
      </c>
      <c r="AL42" s="930">
        <f t="shared" si="7"/>
        <v>0</v>
      </c>
      <c r="AM42" s="930">
        <f t="shared" si="8"/>
        <v>0</v>
      </c>
      <c r="AN42" s="930">
        <f>Q42-G42</f>
        <v>0</v>
      </c>
      <c r="AP42" s="930">
        <f t="shared" si="9"/>
        <v>-5.4</v>
      </c>
      <c r="AQ42" s="930">
        <f t="shared" si="10"/>
        <v>-6.4</v>
      </c>
      <c r="AR42" s="930">
        <f t="shared" si="11"/>
        <v>0</v>
      </c>
      <c r="AS42" s="930">
        <f t="shared" si="11"/>
        <v>0</v>
      </c>
      <c r="AU42" s="930">
        <f t="shared" si="74"/>
        <v>0</v>
      </c>
    </row>
    <row r="43" spans="1:47">
      <c r="A43" s="589"/>
      <c r="B43" s="612" t="s">
        <v>1314</v>
      </c>
      <c r="C43" s="613"/>
      <c r="D43" s="884">
        <v>46</v>
      </c>
      <c r="E43" s="884">
        <v>45.5</v>
      </c>
      <c r="F43" s="884">
        <v>42.9</v>
      </c>
      <c r="G43" s="884">
        <v>43.300000000000004</v>
      </c>
      <c r="H43" s="920"/>
      <c r="I43" s="884">
        <v>32.5</v>
      </c>
      <c r="J43" s="884">
        <v>42.2</v>
      </c>
      <c r="K43" s="884">
        <v>91.5</v>
      </c>
      <c r="L43" s="884">
        <v>86.2</v>
      </c>
      <c r="N43" s="637">
        <f>-HY!S318</f>
        <v>46</v>
      </c>
      <c r="O43" s="637">
        <f>-HY!T318</f>
        <v>45.5</v>
      </c>
      <c r="P43" s="637">
        <f>-HY!U318</f>
        <v>42.9</v>
      </c>
      <c r="Q43" s="637">
        <f>-HY!V318</f>
        <v>43.300000000000004</v>
      </c>
      <c r="R43" s="637">
        <f>-HY!W318</f>
        <v>42.035949589041095</v>
      </c>
      <c r="S43" s="637">
        <f>-HY!X318</f>
        <v>45.403580489122902</v>
      </c>
      <c r="T43" s="637">
        <f>-HY!Y318</f>
        <v>47.635152328990827</v>
      </c>
      <c r="U43" s="637">
        <f>-HY!Z318</f>
        <v>46.373088322748643</v>
      </c>
      <c r="W43" s="637">
        <f>-FY!D50</f>
        <v>32.5</v>
      </c>
      <c r="X43" s="637">
        <f>-FY!E50</f>
        <v>42.2</v>
      </c>
      <c r="Y43" s="637">
        <f>-FY!F50</f>
        <v>91.5</v>
      </c>
      <c r="Z43" s="637">
        <f>-FY!G50</f>
        <v>86.2</v>
      </c>
      <c r="AA43" s="637">
        <f>-FY!H50</f>
        <v>87.439530078163997</v>
      </c>
      <c r="AB43" s="637">
        <f>-FY!I50</f>
        <v>94.00824065173947</v>
      </c>
      <c r="AC43" s="637">
        <f>-FY!J50</f>
        <v>93.699704180586792</v>
      </c>
      <c r="AE43" s="656">
        <f t="shared" si="69"/>
        <v>42.035949589041095</v>
      </c>
      <c r="AF43" s="656">
        <f t="shared" si="70"/>
        <v>45.403580489122902</v>
      </c>
      <c r="AG43" s="656">
        <f t="shared" si="71"/>
        <v>87.439530078163997</v>
      </c>
      <c r="AH43" s="656">
        <f t="shared" si="72"/>
        <v>94.00824065173947</v>
      </c>
      <c r="AI43" s="656">
        <f t="shared" si="73"/>
        <v>93.699704180586792</v>
      </c>
      <c r="AJ43" s="589"/>
      <c r="AK43" s="930">
        <f>N43-D43</f>
        <v>0</v>
      </c>
      <c r="AL43" s="930">
        <f t="shared" si="7"/>
        <v>0</v>
      </c>
      <c r="AM43" s="930">
        <f t="shared" si="8"/>
        <v>0</v>
      </c>
      <c r="AN43" s="930">
        <f>Q43-G43</f>
        <v>0</v>
      </c>
      <c r="AP43" s="930">
        <f t="shared" si="9"/>
        <v>0</v>
      </c>
      <c r="AQ43" s="930">
        <f t="shared" si="10"/>
        <v>0</v>
      </c>
      <c r="AR43" s="930">
        <f t="shared" si="11"/>
        <v>0</v>
      </c>
      <c r="AS43" s="930">
        <f t="shared" si="11"/>
        <v>0</v>
      </c>
      <c r="AU43" s="930">
        <f t="shared" si="74"/>
        <v>0</v>
      </c>
    </row>
    <row r="44" spans="1:47">
      <c r="A44" s="589"/>
      <c r="B44" s="607" t="s">
        <v>1315</v>
      </c>
      <c r="C44" s="614"/>
      <c r="D44" s="820">
        <v>46.2</v>
      </c>
      <c r="E44" s="820">
        <v>54.8</v>
      </c>
      <c r="F44" s="820">
        <v>62.70000000000001</v>
      </c>
      <c r="G44" s="820">
        <v>66.799999999999983</v>
      </c>
      <c r="H44" s="915"/>
      <c r="I44" s="820">
        <f>SUM(I41-I42-I43)</f>
        <v>115.30000000000001</v>
      </c>
      <c r="J44" s="820">
        <f>J41-J42-J43</f>
        <v>52</v>
      </c>
      <c r="K44" s="820">
        <v>101</v>
      </c>
      <c r="L44" s="820">
        <f>L41+L42-L43</f>
        <v>129.5</v>
      </c>
      <c r="N44" s="645">
        <f>HY!S320</f>
        <v>46.2</v>
      </c>
      <c r="O44" s="645">
        <f>HY!T320</f>
        <v>54.799999999999983</v>
      </c>
      <c r="P44" s="645">
        <f>HY!U320</f>
        <v>62.70000000000001</v>
      </c>
      <c r="Q44" s="645">
        <f>HY!V320</f>
        <v>66.799999999999983</v>
      </c>
      <c r="R44" s="645">
        <f>HY!W320</f>
        <v>89.67770361515592</v>
      </c>
      <c r="S44" s="645">
        <f>HY!X320</f>
        <v>61.90283078162733</v>
      </c>
      <c r="T44" s="645">
        <f>HY!Y320</f>
        <v>97.25578389303125</v>
      </c>
      <c r="U44" s="645">
        <f>HY!Z320</f>
        <v>82.981746201731525</v>
      </c>
      <c r="W44" s="645">
        <f>FY!D53</f>
        <v>115.3</v>
      </c>
      <c r="X44" s="645">
        <f>FY!E53</f>
        <v>52.000000000000007</v>
      </c>
      <c r="Y44" s="645">
        <f>FY!F53</f>
        <v>100.99999999999999</v>
      </c>
      <c r="Z44" s="645">
        <f>FY!G53</f>
        <v>129.5</v>
      </c>
      <c r="AA44" s="645">
        <f>FY!H53</f>
        <v>151.58053439678326</v>
      </c>
      <c r="AB44" s="645">
        <f>FY!I53</f>
        <v>180.23753009476277</v>
      </c>
      <c r="AC44" s="645">
        <f>FY!J53</f>
        <v>197.46803172442273</v>
      </c>
      <c r="AE44" s="655">
        <f t="shared" si="69"/>
        <v>89.67770361515592</v>
      </c>
      <c r="AF44" s="655">
        <f t="shared" si="70"/>
        <v>61.90283078162733</v>
      </c>
      <c r="AG44" s="655">
        <f t="shared" si="71"/>
        <v>151.58053439678326</v>
      </c>
      <c r="AH44" s="655">
        <f t="shared" si="72"/>
        <v>180.23753009476277</v>
      </c>
      <c r="AI44" s="655">
        <f t="shared" si="73"/>
        <v>197.46803172442273</v>
      </c>
      <c r="AJ44" s="589"/>
      <c r="AK44" s="930">
        <f>N44-D44</f>
        <v>0</v>
      </c>
      <c r="AL44" s="930">
        <f t="shared" si="7"/>
        <v>0</v>
      </c>
      <c r="AM44" s="930">
        <f t="shared" si="8"/>
        <v>0</v>
      </c>
      <c r="AN44" s="930">
        <f>Q44-G44</f>
        <v>0</v>
      </c>
      <c r="AP44" s="930">
        <f t="shared" si="9"/>
        <v>0</v>
      </c>
      <c r="AQ44" s="930">
        <f t="shared" si="10"/>
        <v>0</v>
      </c>
      <c r="AR44" s="930">
        <f t="shared" si="11"/>
        <v>0</v>
      </c>
      <c r="AS44" s="930">
        <f t="shared" si="11"/>
        <v>0</v>
      </c>
      <c r="AU44" s="930">
        <f t="shared" si="74"/>
        <v>0</v>
      </c>
    </row>
    <row r="45" spans="1:47">
      <c r="A45" s="589"/>
      <c r="B45" s="612" t="s">
        <v>1316</v>
      </c>
      <c r="C45" s="613"/>
      <c r="D45" s="884">
        <v>24.1</v>
      </c>
      <c r="E45" s="884">
        <v>27.4</v>
      </c>
      <c r="F45" s="884">
        <v>27</v>
      </c>
      <c r="G45" s="884">
        <v>31.4</v>
      </c>
      <c r="H45" s="920"/>
      <c r="I45" s="884">
        <v>31</v>
      </c>
      <c r="J45" s="884">
        <v>24</v>
      </c>
      <c r="K45" s="884">
        <v>51.5</v>
      </c>
      <c r="L45" s="884">
        <v>58.4</v>
      </c>
      <c r="N45" s="637">
        <f>-HY!S322</f>
        <v>24.1</v>
      </c>
      <c r="O45" s="637">
        <f>-HY!T322</f>
        <v>27.4</v>
      </c>
      <c r="P45" s="637">
        <f>-HY!U322</f>
        <v>27</v>
      </c>
      <c r="Q45" s="637">
        <f>-HY!V322</f>
        <v>31.4</v>
      </c>
      <c r="R45" s="637">
        <f>-HY!W322</f>
        <v>35.871081446062369</v>
      </c>
      <c r="S45" s="637">
        <f>-HY!X322</f>
        <v>25.999188928283477</v>
      </c>
      <c r="T45" s="637">
        <f>-HY!Y322</f>
        <v>36.957197879351874</v>
      </c>
      <c r="U45" s="637">
        <f>-HY!Z322</f>
        <v>33.192698480692613</v>
      </c>
      <c r="W45" s="637">
        <f>-FY!D78</f>
        <v>31</v>
      </c>
      <c r="X45" s="637">
        <f>-FY!E78</f>
        <v>24</v>
      </c>
      <c r="Y45" s="637">
        <f>-FY!F78</f>
        <v>51.5</v>
      </c>
      <c r="Z45" s="637">
        <f>-FY!G78</f>
        <v>58.4</v>
      </c>
      <c r="AA45" s="637">
        <f>-FY!H78</f>
        <v>61.87027037434585</v>
      </c>
      <c r="AB45" s="637">
        <f>-FY!I78</f>
        <v>70.149896360044494</v>
      </c>
      <c r="AC45" s="637">
        <f>-FY!J78</f>
        <v>76.810402931161477</v>
      </c>
      <c r="AE45" s="656">
        <f t="shared" si="69"/>
        <v>35.871081446062369</v>
      </c>
      <c r="AF45" s="656">
        <f t="shared" si="70"/>
        <v>25.999188928283477</v>
      </c>
      <c r="AG45" s="656">
        <f t="shared" si="71"/>
        <v>61.87027037434585</v>
      </c>
      <c r="AH45" s="656">
        <f t="shared" si="72"/>
        <v>70.149896360044494</v>
      </c>
      <c r="AI45" s="656">
        <f t="shared" si="73"/>
        <v>76.810402931161477</v>
      </c>
      <c r="AJ45" s="589"/>
      <c r="AK45" s="930">
        <f>N45-D45</f>
        <v>0</v>
      </c>
      <c r="AL45" s="930">
        <f t="shared" si="7"/>
        <v>0</v>
      </c>
      <c r="AM45" s="930">
        <f t="shared" si="8"/>
        <v>0</v>
      </c>
      <c r="AN45" s="930">
        <f>Q45-G45</f>
        <v>0</v>
      </c>
      <c r="AP45" s="930">
        <f t="shared" si="9"/>
        <v>0</v>
      </c>
      <c r="AQ45" s="930">
        <f t="shared" si="10"/>
        <v>0</v>
      </c>
      <c r="AR45" s="930">
        <f t="shared" si="11"/>
        <v>0</v>
      </c>
      <c r="AS45" s="930">
        <f t="shared" si="11"/>
        <v>0</v>
      </c>
      <c r="AU45" s="930">
        <f t="shared" si="74"/>
        <v>0</v>
      </c>
    </row>
    <row r="46" spans="1:47">
      <c r="A46" s="589"/>
      <c r="B46" s="607" t="s">
        <v>1317</v>
      </c>
      <c r="C46" s="614"/>
      <c r="D46" s="820">
        <v>22.1</v>
      </c>
      <c r="E46" s="820">
        <v>27.4</v>
      </c>
      <c r="F46" s="820">
        <v>35.70000000000001</v>
      </c>
      <c r="G46" s="820">
        <v>35.399999999999984</v>
      </c>
      <c r="H46" s="915"/>
      <c r="I46" s="820">
        <f>I44-I45</f>
        <v>84.300000000000011</v>
      </c>
      <c r="J46" s="820">
        <f>J44-J45</f>
        <v>28</v>
      </c>
      <c r="K46" s="820">
        <v>49.5</v>
      </c>
      <c r="L46" s="820">
        <f>L44-L45</f>
        <v>71.099999999999994</v>
      </c>
      <c r="N46" s="645">
        <f>HY!S328</f>
        <v>22.1</v>
      </c>
      <c r="O46" s="645">
        <f>HY!T328</f>
        <v>27.4</v>
      </c>
      <c r="P46" s="645">
        <f>HY!U328</f>
        <v>35.700000000000003</v>
      </c>
      <c r="Q46" s="645">
        <f>HY!V328</f>
        <v>35.399999999999991</v>
      </c>
      <c r="R46" s="645">
        <f>HY!W328</f>
        <v>53.806622169093551</v>
      </c>
      <c r="S46" s="645">
        <f>HY!X328</f>
        <v>35.903641853343856</v>
      </c>
      <c r="T46" s="645">
        <f>HY!Y328</f>
        <v>60.298586013679376</v>
      </c>
      <c r="U46" s="645">
        <f>HY!Z328</f>
        <v>49.789047721038912</v>
      </c>
      <c r="W46" s="645">
        <f t="shared" ref="W46:Y46" si="75">W44-W45</f>
        <v>84.3</v>
      </c>
      <c r="X46" s="645">
        <f t="shared" si="75"/>
        <v>28.000000000000007</v>
      </c>
      <c r="Y46" s="645">
        <f t="shared" si="75"/>
        <v>49.499999999999986</v>
      </c>
      <c r="Z46" s="645">
        <f>Z44-Z45</f>
        <v>71.099999999999994</v>
      </c>
      <c r="AA46" s="645">
        <f t="shared" ref="AA46:AC46" si="76">AA44-AA45</f>
        <v>89.710264022437414</v>
      </c>
      <c r="AB46" s="645">
        <f t="shared" si="76"/>
        <v>110.08763373471828</v>
      </c>
      <c r="AC46" s="645">
        <f t="shared" si="76"/>
        <v>120.65762879326125</v>
      </c>
      <c r="AE46" s="655">
        <f t="shared" si="69"/>
        <v>53.806622169093551</v>
      </c>
      <c r="AF46" s="655">
        <f t="shared" si="70"/>
        <v>35.903641853343856</v>
      </c>
      <c r="AG46" s="655">
        <f t="shared" si="71"/>
        <v>89.710264022437414</v>
      </c>
      <c r="AH46" s="655">
        <f t="shared" si="72"/>
        <v>110.08763373471828</v>
      </c>
      <c r="AI46" s="655">
        <f t="shared" si="73"/>
        <v>120.65762879326125</v>
      </c>
      <c r="AJ46" s="589"/>
      <c r="AK46" s="930">
        <f>N46-D46</f>
        <v>0</v>
      </c>
      <c r="AL46" s="930">
        <f t="shared" si="7"/>
        <v>0</v>
      </c>
      <c r="AM46" s="930">
        <f t="shared" si="8"/>
        <v>0</v>
      </c>
      <c r="AN46" s="930">
        <f>Q46-G46</f>
        <v>0</v>
      </c>
      <c r="AP46" s="930">
        <f t="shared" si="9"/>
        <v>0</v>
      </c>
      <c r="AQ46" s="930">
        <f t="shared" si="10"/>
        <v>0</v>
      </c>
      <c r="AR46" s="930">
        <f t="shared" si="11"/>
        <v>0</v>
      </c>
      <c r="AS46" s="930">
        <f t="shared" si="11"/>
        <v>0</v>
      </c>
      <c r="AU46" s="930">
        <f t="shared" si="74"/>
        <v>0</v>
      </c>
    </row>
    <row r="47" spans="1:47">
      <c r="A47" s="589"/>
      <c r="B47" s="615" t="s">
        <v>1230</v>
      </c>
      <c r="C47" s="613"/>
      <c r="D47" s="884">
        <v>3.2</v>
      </c>
      <c r="E47" s="884">
        <v>-16.100000000000001</v>
      </c>
      <c r="F47" s="884">
        <v>-14</v>
      </c>
      <c r="G47" s="884">
        <v>-10.8</v>
      </c>
      <c r="H47" s="920"/>
      <c r="I47" s="884">
        <v>-17.8</v>
      </c>
      <c r="J47" s="884">
        <v>-1387.7</v>
      </c>
      <c r="K47" s="884">
        <v>-12.9</v>
      </c>
      <c r="L47" s="884">
        <v>-24.8</v>
      </c>
      <c r="N47" s="637">
        <f>HY!S609</f>
        <v>3.2</v>
      </c>
      <c r="O47" s="637">
        <f>HY!T609</f>
        <v>-16.099999999999998</v>
      </c>
      <c r="P47" s="637">
        <f>HY!U609</f>
        <v>-14</v>
      </c>
      <c r="Q47" s="637">
        <f>HY!V609</f>
        <v>-10.799999999999997</v>
      </c>
      <c r="R47" s="637">
        <f>HY!W609</f>
        <v>-14</v>
      </c>
      <c r="S47" s="637">
        <f>HY!X609</f>
        <v>-23</v>
      </c>
      <c r="T47" s="637">
        <f>HY!Y609</f>
        <v>-5</v>
      </c>
      <c r="U47" s="637">
        <f>HY!Z609</f>
        <v>0</v>
      </c>
      <c r="W47" s="637">
        <f>FY!D82</f>
        <v>-17.800000000000004</v>
      </c>
      <c r="X47" s="637">
        <f>FY!E82</f>
        <v>-1387.7</v>
      </c>
      <c r="Y47" s="637">
        <f>FY!F82</f>
        <v>-12.899999999999999</v>
      </c>
      <c r="Z47" s="637">
        <f>FY!G82</f>
        <v>-24.799999999999997</v>
      </c>
      <c r="AA47" s="637">
        <f>FY!H82</f>
        <v>-37</v>
      </c>
      <c r="AB47" s="637">
        <f>FY!I82</f>
        <v>-5</v>
      </c>
      <c r="AC47" s="637">
        <f>FY!J82</f>
        <v>0</v>
      </c>
      <c r="AE47" s="656">
        <f t="shared" si="69"/>
        <v>-14</v>
      </c>
      <c r="AF47" s="656">
        <f t="shared" si="70"/>
        <v>-23</v>
      </c>
      <c r="AG47" s="656">
        <f t="shared" si="71"/>
        <v>-37</v>
      </c>
      <c r="AH47" s="656">
        <f t="shared" si="72"/>
        <v>-5</v>
      </c>
      <c r="AI47" s="656">
        <f t="shared" si="73"/>
        <v>0</v>
      </c>
      <c r="AJ47" s="589"/>
      <c r="AK47" s="930">
        <f>N47-D47</f>
        <v>0</v>
      </c>
      <c r="AL47" s="930">
        <f t="shared" si="7"/>
        <v>0</v>
      </c>
      <c r="AM47" s="930">
        <f t="shared" si="8"/>
        <v>0</v>
      </c>
      <c r="AN47" s="930">
        <f>Q47-G47</f>
        <v>0</v>
      </c>
      <c r="AP47" s="930">
        <f t="shared" si="9"/>
        <v>0</v>
      </c>
      <c r="AQ47" s="930">
        <f t="shared" si="10"/>
        <v>0</v>
      </c>
      <c r="AR47" s="930">
        <f t="shared" si="11"/>
        <v>0</v>
      </c>
      <c r="AS47" s="930">
        <f t="shared" si="11"/>
        <v>0</v>
      </c>
      <c r="AU47" s="930">
        <f t="shared" si="74"/>
        <v>0</v>
      </c>
    </row>
    <row r="48" spans="1:47">
      <c r="A48" s="589"/>
      <c r="B48" s="616" t="s">
        <v>1318</v>
      </c>
      <c r="C48" s="617"/>
      <c r="D48" s="820">
        <v>25.3</v>
      </c>
      <c r="E48" s="820">
        <v>11.3</v>
      </c>
      <c r="F48" s="820">
        <v>21.70000000000001</v>
      </c>
      <c r="G48" s="820">
        <v>24.599999999999987</v>
      </c>
      <c r="H48" s="915"/>
      <c r="I48" s="820">
        <f>I46+I47</f>
        <v>66.500000000000014</v>
      </c>
      <c r="J48" s="820">
        <f>SUM(J46:J47)</f>
        <v>-1359.7</v>
      </c>
      <c r="K48" s="820">
        <v>36.6</v>
      </c>
      <c r="L48" s="820">
        <f>SUM(L46:L47)</f>
        <v>46.3</v>
      </c>
      <c r="N48" s="932">
        <f>HY!S611</f>
        <v>25.3</v>
      </c>
      <c r="O48" s="645">
        <f>HY!T611</f>
        <v>11.3</v>
      </c>
      <c r="P48" s="645">
        <f>HY!U611</f>
        <v>21.7</v>
      </c>
      <c r="Q48" s="645">
        <f>HY!V611</f>
        <v>24.599999999999998</v>
      </c>
      <c r="R48" s="645">
        <f>HY!W611</f>
        <v>39.806622169093551</v>
      </c>
      <c r="S48" s="645">
        <f>HY!X611</f>
        <v>12.903641853343856</v>
      </c>
      <c r="T48" s="645">
        <f>HY!Y611</f>
        <v>55.298586013679376</v>
      </c>
      <c r="U48" s="645">
        <f>HY!Z611</f>
        <v>49.789047721038912</v>
      </c>
      <c r="W48" s="645">
        <f t="shared" ref="W48:Y48" si="77">SUM(W46:W47)</f>
        <v>66.5</v>
      </c>
      <c r="X48" s="645">
        <f t="shared" si="77"/>
        <v>-1359.7</v>
      </c>
      <c r="Y48" s="645">
        <f t="shared" si="77"/>
        <v>36.599999999999987</v>
      </c>
      <c r="Z48" s="645">
        <f>SUM(Z46:Z47)</f>
        <v>46.3</v>
      </c>
      <c r="AA48" s="645">
        <f t="shared" ref="AA48:AC48" si="78">SUM(AA46:AA47)</f>
        <v>52.710264022437414</v>
      </c>
      <c r="AB48" s="645">
        <f t="shared" si="78"/>
        <v>105.08763373471828</v>
      </c>
      <c r="AC48" s="645">
        <f t="shared" si="78"/>
        <v>120.65762879326125</v>
      </c>
      <c r="AE48" s="655">
        <f t="shared" si="69"/>
        <v>39.806622169093551</v>
      </c>
      <c r="AF48" s="655">
        <f t="shared" si="70"/>
        <v>12.903641853343856</v>
      </c>
      <c r="AG48" s="655">
        <f t="shared" si="71"/>
        <v>52.710264022437414</v>
      </c>
      <c r="AH48" s="655">
        <f t="shared" si="72"/>
        <v>105.08763373471828</v>
      </c>
      <c r="AI48" s="655">
        <f t="shared" si="73"/>
        <v>120.65762879326125</v>
      </c>
      <c r="AJ48" s="589"/>
      <c r="AK48" s="930">
        <f>N48-D48</f>
        <v>0</v>
      </c>
      <c r="AL48" s="930">
        <f t="shared" si="7"/>
        <v>0</v>
      </c>
      <c r="AM48" s="930">
        <f t="shared" si="8"/>
        <v>0</v>
      </c>
      <c r="AN48" s="930">
        <f>Q48-G48</f>
        <v>0</v>
      </c>
      <c r="AP48" s="930">
        <f t="shared" si="9"/>
        <v>0</v>
      </c>
      <c r="AQ48" s="930">
        <f t="shared" si="10"/>
        <v>0</v>
      </c>
      <c r="AR48" s="930">
        <f t="shared" si="11"/>
        <v>0</v>
      </c>
      <c r="AS48" s="930">
        <f t="shared" si="11"/>
        <v>0</v>
      </c>
      <c r="AU48" s="930">
        <f t="shared" si="74"/>
        <v>0</v>
      </c>
    </row>
    <row r="49" spans="1:47">
      <c r="A49" s="589"/>
      <c r="B49" s="874" t="s">
        <v>1319</v>
      </c>
      <c r="C49" s="875"/>
      <c r="D49" s="886"/>
      <c r="E49" s="886"/>
      <c r="F49" s="886"/>
      <c r="G49" s="886"/>
      <c r="H49" s="921"/>
      <c r="I49" s="886"/>
      <c r="J49" s="886"/>
      <c r="K49" s="886"/>
      <c r="L49" s="886"/>
      <c r="N49" s="618"/>
      <c r="O49" s="618"/>
      <c r="P49" s="618"/>
      <c r="Q49" s="618"/>
      <c r="R49" s="618"/>
      <c r="S49" s="618"/>
      <c r="T49" s="618"/>
      <c r="U49" s="618"/>
      <c r="W49" s="618"/>
      <c r="X49" s="618"/>
      <c r="Y49" s="618"/>
      <c r="Z49" s="618"/>
      <c r="AA49" s="618"/>
      <c r="AB49" s="618"/>
      <c r="AC49" s="618"/>
      <c r="AE49" s="657"/>
      <c r="AF49" s="657"/>
      <c r="AG49" s="657"/>
      <c r="AH49" s="657"/>
      <c r="AI49" s="657"/>
      <c r="AJ49" s="589"/>
      <c r="AK49" s="930"/>
      <c r="AL49" s="930"/>
      <c r="AM49" s="930"/>
      <c r="AN49" s="930"/>
      <c r="AP49" s="930"/>
      <c r="AQ49" s="930"/>
      <c r="AR49" s="930"/>
      <c r="AS49" s="930"/>
      <c r="AU49" s="930"/>
    </row>
    <row r="50" spans="1:47">
      <c r="A50" s="589"/>
      <c r="B50" s="619" t="s">
        <v>1320</v>
      </c>
      <c r="C50" s="620"/>
      <c r="D50" s="904">
        <v>1013.1</v>
      </c>
      <c r="E50" s="904">
        <v>844.9</v>
      </c>
      <c r="F50" s="904">
        <v>849.4</v>
      </c>
      <c r="G50" s="904">
        <v>838.9</v>
      </c>
      <c r="H50" s="922"/>
      <c r="I50" s="904">
        <v>431.9</v>
      </c>
      <c r="J50" s="887">
        <v>1173.7</v>
      </c>
      <c r="K50" s="887">
        <v>845.9</v>
      </c>
      <c r="L50" s="887">
        <v>838.9</v>
      </c>
      <c r="N50" s="643">
        <f>HY!S565+HY!S566</f>
        <v>1057.2</v>
      </c>
      <c r="O50" s="643">
        <f>HY!T565+HY!T566</f>
        <v>862.6</v>
      </c>
      <c r="P50" s="643">
        <f>HY!U565+HY!U566</f>
        <v>853.5</v>
      </c>
      <c r="Q50" s="643">
        <f>HY!V565+HY!V566</f>
        <v>832</v>
      </c>
      <c r="R50" s="643">
        <f>HY!W565+HY!W566</f>
        <v>832</v>
      </c>
      <c r="S50" s="643">
        <f>HY!X565+HY!X566</f>
        <v>1007</v>
      </c>
      <c r="T50" s="643">
        <f>HY!Y565+HY!Y566</f>
        <v>1007</v>
      </c>
      <c r="U50" s="643">
        <f>HY!Z565+HY!Z566</f>
        <v>1007</v>
      </c>
      <c r="W50" s="643">
        <f>FY!D172</f>
        <v>572.4</v>
      </c>
      <c r="X50" s="643">
        <f>FY!E172</f>
        <v>1144.3999999999999</v>
      </c>
      <c r="Y50" s="643">
        <f>FY!F172</f>
        <v>862.6</v>
      </c>
      <c r="Z50" s="643">
        <f>FY!G172</f>
        <v>832</v>
      </c>
      <c r="AA50" s="643">
        <f>FY!H172</f>
        <v>1007</v>
      </c>
      <c r="AB50" s="643">
        <f>FY!I172</f>
        <v>1007</v>
      </c>
      <c r="AC50" s="643">
        <f>FY!J172</f>
        <v>1007</v>
      </c>
      <c r="AE50" s="658">
        <f t="shared" ref="AE50:AF52" si="79">R50</f>
        <v>832</v>
      </c>
      <c r="AF50" s="658">
        <f t="shared" ref="AF50:AF52" si="80">S50</f>
        <v>1007</v>
      </c>
      <c r="AG50" s="658">
        <f t="shared" ref="AG50:AG52" si="81">AA50</f>
        <v>1007</v>
      </c>
      <c r="AH50" s="658">
        <f t="shared" ref="AH50:AH52" si="82">AB50</f>
        <v>1007</v>
      </c>
      <c r="AI50" s="658">
        <f t="shared" ref="AI50:AI52" si="83">AC50</f>
        <v>1007</v>
      </c>
      <c r="AJ50" s="589"/>
      <c r="AK50" s="930">
        <f>N50-D50</f>
        <v>44.100000000000023</v>
      </c>
      <c r="AL50" s="930">
        <f t="shared" si="7"/>
        <v>17.700000000000045</v>
      </c>
      <c r="AM50" s="930">
        <f t="shared" si="8"/>
        <v>4.1000000000000227</v>
      </c>
      <c r="AN50" s="930">
        <f>Q50-G50</f>
        <v>-6.8999999999999773</v>
      </c>
      <c r="AP50" s="930">
        <f>W50-I50</f>
        <v>140.5</v>
      </c>
      <c r="AQ50" s="930">
        <f t="shared" si="10"/>
        <v>-29.300000000000182</v>
      </c>
      <c r="AR50" s="930">
        <f t="shared" si="11"/>
        <v>16.700000000000045</v>
      </c>
      <c r="AS50" s="930">
        <f t="shared" si="11"/>
        <v>-6.8999999999999773</v>
      </c>
      <c r="AU50" s="930"/>
    </row>
    <row r="51" spans="1:47" ht="17.25">
      <c r="A51" s="589"/>
      <c r="B51" s="612" t="s">
        <v>1321</v>
      </c>
      <c r="C51" s="613"/>
      <c r="D51" s="904">
        <v>752.8</v>
      </c>
      <c r="E51" s="904">
        <v>608.4</v>
      </c>
      <c r="F51" s="904">
        <v>631.20000000000005</v>
      </c>
      <c r="G51" s="904">
        <v>533.1</v>
      </c>
      <c r="H51" s="922"/>
      <c r="I51" s="904">
        <v>204</v>
      </c>
      <c r="J51" s="887">
        <v>860</v>
      </c>
      <c r="K51" s="887">
        <v>609.4</v>
      </c>
      <c r="L51" s="887">
        <v>533.1</v>
      </c>
      <c r="N51" s="643">
        <f>HY!S567</f>
        <v>796.90000000000009</v>
      </c>
      <c r="O51" s="643">
        <f>HY!T567</f>
        <v>626.1</v>
      </c>
      <c r="P51" s="643">
        <f>HY!U567</f>
        <v>635.20000000000005</v>
      </c>
      <c r="Q51" s="643">
        <f>HY!V567</f>
        <v>526.20000000000005</v>
      </c>
      <c r="R51" s="643">
        <f>HY!W567</f>
        <v>454.64863485366453</v>
      </c>
      <c r="S51" s="643">
        <f>HY!X567</f>
        <v>737.86056523514162</v>
      </c>
      <c r="T51" s="643">
        <f>HY!Y567</f>
        <v>664.20246984686901</v>
      </c>
      <c r="U51" s="643">
        <f>HY!Z567</f>
        <v>654.27644946084467</v>
      </c>
      <c r="W51" s="643">
        <f>FY!D174</f>
        <v>295</v>
      </c>
      <c r="X51" s="643">
        <f>FY!E174</f>
        <v>860</v>
      </c>
      <c r="Y51" s="643">
        <f>FY!F174</f>
        <v>609</v>
      </c>
      <c r="Z51" s="643">
        <f>FY!G174</f>
        <v>533</v>
      </c>
      <c r="AA51" s="643">
        <f>FY!H174</f>
        <v>744.66056523514158</v>
      </c>
      <c r="AB51" s="643">
        <f>FY!I174</f>
        <v>661.07644946084463</v>
      </c>
      <c r="AC51" s="643">
        <f>FY!J174</f>
        <v>555.22770181162764</v>
      </c>
      <c r="AE51" s="658">
        <f t="shared" si="79"/>
        <v>454.64863485366453</v>
      </c>
      <c r="AF51" s="658">
        <f t="shared" si="80"/>
        <v>737.86056523514162</v>
      </c>
      <c r="AG51" s="658">
        <f t="shared" si="81"/>
        <v>744.66056523514158</v>
      </c>
      <c r="AH51" s="658">
        <f t="shared" si="82"/>
        <v>661.07644946084463</v>
      </c>
      <c r="AI51" s="658">
        <f t="shared" si="83"/>
        <v>555.22770181162764</v>
      </c>
      <c r="AJ51" s="589"/>
      <c r="AK51" s="930">
        <f>N51-D51</f>
        <v>44.100000000000136</v>
      </c>
      <c r="AL51" s="930">
        <f t="shared" si="7"/>
        <v>17.700000000000045</v>
      </c>
      <c r="AM51" s="930">
        <f t="shared" si="8"/>
        <v>4</v>
      </c>
      <c r="AN51" s="930">
        <f>Q51-G51</f>
        <v>-6.8999999999999773</v>
      </c>
      <c r="AP51" s="930">
        <f t="shared" si="9"/>
        <v>91</v>
      </c>
      <c r="AQ51" s="930">
        <f t="shared" si="10"/>
        <v>0</v>
      </c>
      <c r="AR51" s="930">
        <f t="shared" si="11"/>
        <v>-0.39999999999997726</v>
      </c>
      <c r="AS51" s="930">
        <f t="shared" si="11"/>
        <v>-0.10000000000002274</v>
      </c>
      <c r="AU51" s="930"/>
    </row>
    <row r="52" spans="1:47">
      <c r="A52" s="589"/>
      <c r="B52" s="621" t="s">
        <v>1322</v>
      </c>
      <c r="C52" s="622"/>
      <c r="D52" s="904">
        <v>1270</v>
      </c>
      <c r="E52" s="904">
        <v>1253</v>
      </c>
      <c r="F52" s="904">
        <v>1267.3</v>
      </c>
      <c r="G52" s="904">
        <v>1261.2</v>
      </c>
      <c r="H52" s="922"/>
      <c r="I52" s="904">
        <v>2659.1</v>
      </c>
      <c r="J52" s="887">
        <v>1246.9000000000001</v>
      </c>
      <c r="K52" s="887">
        <v>1254</v>
      </c>
      <c r="L52" s="887">
        <v>1261.2</v>
      </c>
      <c r="N52" s="644">
        <f>HY!S709</f>
        <v>1270</v>
      </c>
      <c r="O52" s="644">
        <f>HY!T709</f>
        <v>1254</v>
      </c>
      <c r="P52" s="644">
        <f>HY!U709</f>
        <v>1267.3</v>
      </c>
      <c r="Q52" s="644">
        <f>HY!V709</f>
        <v>1261.2</v>
      </c>
      <c r="R52" s="644">
        <f>HY!W709</f>
        <v>1278.3250221690935</v>
      </c>
      <c r="S52" s="644">
        <f>HY!X709</f>
        <v>1277.5470640224373</v>
      </c>
      <c r="T52" s="644">
        <f>HY!Y709</f>
        <v>1301.1640500361168</v>
      </c>
      <c r="U52" s="644">
        <f>HY!Z709</f>
        <v>1314.2714977571557</v>
      </c>
      <c r="W52" s="644">
        <f>FY!D166</f>
        <v>2659.1</v>
      </c>
      <c r="X52" s="644">
        <f>FY!E166</f>
        <v>1246.9000000000001</v>
      </c>
      <c r="Y52" s="644">
        <f>FY!F166</f>
        <v>1254</v>
      </c>
      <c r="Z52" s="644">
        <f>FY!G166</f>
        <v>1261.2</v>
      </c>
      <c r="AA52" s="644">
        <f>FY!H166</f>
        <v>1277.5470640224376</v>
      </c>
      <c r="AB52" s="644">
        <f>FY!I166</f>
        <v>1314.2714977571557</v>
      </c>
      <c r="AC52" s="644">
        <f>FY!J166</f>
        <v>1349.4545492744603</v>
      </c>
      <c r="AE52" s="659">
        <f t="shared" si="79"/>
        <v>1278.3250221690935</v>
      </c>
      <c r="AF52" s="659">
        <f t="shared" si="80"/>
        <v>1277.5470640224373</v>
      </c>
      <c r="AG52" s="659">
        <f t="shared" si="81"/>
        <v>1277.5470640224376</v>
      </c>
      <c r="AH52" s="659">
        <f t="shared" si="82"/>
        <v>1314.2714977571557</v>
      </c>
      <c r="AI52" s="659">
        <f t="shared" si="83"/>
        <v>1349.4545492744603</v>
      </c>
      <c r="AJ52" s="589"/>
      <c r="AK52" s="930">
        <f>N52-D52</f>
        <v>0</v>
      </c>
      <c r="AL52" s="930">
        <f t="shared" si="7"/>
        <v>1</v>
      </c>
      <c r="AM52" s="930">
        <f t="shared" si="8"/>
        <v>0</v>
      </c>
      <c r="AN52" s="930">
        <f>Q52-G52</f>
        <v>0</v>
      </c>
      <c r="AP52" s="930">
        <f t="shared" si="9"/>
        <v>0</v>
      </c>
      <c r="AQ52" s="930">
        <f t="shared" si="10"/>
        <v>0</v>
      </c>
      <c r="AR52" s="930">
        <f t="shared" si="11"/>
        <v>0</v>
      </c>
      <c r="AS52" s="930">
        <f t="shared" si="11"/>
        <v>0</v>
      </c>
      <c r="AU52" s="930"/>
    </row>
    <row r="53" spans="1:47">
      <c r="A53" s="589"/>
      <c r="B53" s="623" t="s">
        <v>1323</v>
      </c>
      <c r="C53" s="613"/>
      <c r="D53" s="905"/>
      <c r="E53" s="905"/>
      <c r="F53" s="905"/>
      <c r="G53" s="905"/>
      <c r="H53" s="923"/>
      <c r="I53" s="905"/>
      <c r="J53" s="905"/>
      <c r="K53" s="905"/>
      <c r="L53" s="905"/>
      <c r="N53" s="624"/>
      <c r="O53" s="624"/>
      <c r="P53" s="624"/>
      <c r="Q53" s="624"/>
      <c r="R53" s="624"/>
      <c r="S53" s="624"/>
      <c r="T53" s="624"/>
      <c r="U53" s="624"/>
      <c r="W53" s="624"/>
      <c r="X53" s="624"/>
      <c r="Y53" s="624"/>
      <c r="Z53" s="624"/>
      <c r="AA53" s="624"/>
      <c r="AB53" s="624"/>
      <c r="AC53" s="624"/>
      <c r="AE53" s="624"/>
      <c r="AF53" s="624"/>
      <c r="AG53" s="624"/>
      <c r="AH53" s="624"/>
      <c r="AI53" s="624"/>
      <c r="AJ53" s="589"/>
    </row>
    <row r="54" spans="1:47">
      <c r="A54" s="589"/>
      <c r="B54" s="623" t="s">
        <v>1528</v>
      </c>
      <c r="C54" s="613"/>
      <c r="D54" s="905"/>
      <c r="E54" s="905"/>
      <c r="F54" s="905"/>
      <c r="G54" s="905"/>
      <c r="H54" s="923"/>
      <c r="I54" s="905"/>
      <c r="J54" s="905"/>
      <c r="K54" s="905"/>
      <c r="L54" s="905"/>
      <c r="N54" s="624"/>
      <c r="O54" s="624"/>
      <c r="P54" s="624"/>
      <c r="Q54" s="624"/>
      <c r="R54" s="624"/>
      <c r="S54" s="624"/>
      <c r="T54" s="624"/>
      <c r="U54" s="624"/>
      <c r="W54" s="624"/>
      <c r="X54" s="624"/>
      <c r="Y54" s="624"/>
      <c r="Z54" s="624"/>
      <c r="AA54" s="624"/>
      <c r="AB54" s="624"/>
      <c r="AC54" s="624"/>
      <c r="AE54" s="624"/>
      <c r="AF54" s="624"/>
      <c r="AG54" s="624"/>
      <c r="AH54" s="624"/>
      <c r="AI54" s="624"/>
      <c r="AJ54" s="589"/>
    </row>
    <row r="55" spans="1:47">
      <c r="A55" s="589"/>
      <c r="B55" s="623" t="s">
        <v>1529</v>
      </c>
      <c r="C55" s="613"/>
      <c r="D55" s="905"/>
      <c r="E55" s="905"/>
      <c r="F55" s="905"/>
      <c r="G55" s="905"/>
      <c r="H55" s="923"/>
      <c r="I55" s="905"/>
      <c r="J55" s="905"/>
      <c r="K55" s="905"/>
      <c r="L55" s="905"/>
      <c r="M55" s="18"/>
      <c r="N55" s="624"/>
      <c r="O55" s="624"/>
      <c r="P55" s="624"/>
      <c r="Q55" s="624"/>
      <c r="R55" s="624"/>
      <c r="S55" s="624"/>
      <c r="T55" s="624"/>
      <c r="U55" s="624"/>
      <c r="V55" s="18"/>
      <c r="W55" s="624"/>
      <c r="X55" s="624"/>
      <c r="Y55" s="624"/>
      <c r="Z55" s="624"/>
      <c r="AA55" s="624"/>
      <c r="AB55" s="624"/>
      <c r="AC55" s="624"/>
      <c r="AE55" s="624"/>
      <c r="AF55" s="624"/>
      <c r="AG55" s="624"/>
      <c r="AH55" s="624"/>
      <c r="AI55" s="624"/>
      <c r="AJ55" s="589"/>
    </row>
    <row r="56" spans="1:47">
      <c r="A56" s="589"/>
      <c r="B56" s="623"/>
      <c r="C56" s="613"/>
      <c r="D56" s="905"/>
      <c r="E56" s="905"/>
      <c r="F56" s="905"/>
      <c r="G56" s="905"/>
      <c r="H56" s="923"/>
      <c r="I56" s="905"/>
      <c r="J56" s="905"/>
      <c r="K56" s="905"/>
      <c r="L56" s="905"/>
      <c r="M56" s="18"/>
      <c r="N56" s="624"/>
      <c r="O56" s="624"/>
      <c r="P56" s="624"/>
      <c r="Q56" s="624"/>
      <c r="R56" s="624"/>
      <c r="S56" s="624"/>
      <c r="T56" s="624"/>
      <c r="U56" s="624"/>
      <c r="V56" s="18"/>
      <c r="W56" s="624"/>
      <c r="X56" s="624"/>
      <c r="Y56" s="624"/>
      <c r="Z56" s="624"/>
      <c r="AA56" s="624"/>
      <c r="AB56" s="624"/>
      <c r="AC56" s="624"/>
      <c r="AE56" s="624"/>
      <c r="AF56" s="624"/>
      <c r="AG56" s="624"/>
      <c r="AH56" s="624"/>
      <c r="AI56" s="624"/>
      <c r="AJ56" s="589"/>
    </row>
    <row r="57" spans="1:47">
      <c r="A57" s="589"/>
      <c r="B57" s="869" t="s">
        <v>1592</v>
      </c>
      <c r="C57" s="878"/>
      <c r="D57" s="905"/>
      <c r="E57" s="905"/>
      <c r="F57" s="905"/>
      <c r="G57" s="905"/>
      <c r="H57" s="923"/>
      <c r="I57" s="905"/>
      <c r="J57" s="905"/>
      <c r="K57" s="905"/>
      <c r="L57" s="905"/>
      <c r="M57" s="18"/>
      <c r="N57" s="624"/>
      <c r="O57" s="624"/>
      <c r="P57" s="624"/>
      <c r="Q57" s="624"/>
      <c r="R57" s="624"/>
      <c r="S57" s="624"/>
      <c r="T57" s="624"/>
      <c r="U57" s="624"/>
      <c r="V57" s="18"/>
      <c r="W57" s="624"/>
      <c r="X57" s="624"/>
      <c r="Y57" s="624"/>
      <c r="Z57" s="624"/>
      <c r="AA57" s="624"/>
      <c r="AB57" s="624"/>
      <c r="AC57" s="624"/>
      <c r="AE57" s="624"/>
      <c r="AF57" s="624"/>
      <c r="AG57" s="624"/>
      <c r="AH57" s="624"/>
      <c r="AI57" s="624"/>
      <c r="AJ57" s="589"/>
    </row>
    <row r="58" spans="1:47">
      <c r="A58" s="589"/>
      <c r="B58" s="879"/>
      <c r="C58" s="880"/>
      <c r="D58" s="905"/>
      <c r="E58" s="905"/>
      <c r="F58" s="905"/>
      <c r="G58" s="905"/>
      <c r="H58" s="923"/>
      <c r="I58" s="905"/>
      <c r="J58" s="905"/>
      <c r="K58" s="905"/>
      <c r="L58" s="905"/>
      <c r="M58" s="18"/>
      <c r="N58" s="624"/>
      <c r="O58" s="624"/>
      <c r="P58" s="624"/>
      <c r="Q58" s="624"/>
      <c r="R58" s="624"/>
      <c r="S58" s="624"/>
      <c r="T58" s="624"/>
      <c r="U58" s="624"/>
      <c r="V58" s="18"/>
      <c r="W58" s="624"/>
      <c r="X58" s="624"/>
      <c r="Y58" s="624"/>
      <c r="Z58" s="624"/>
      <c r="AA58" s="624"/>
      <c r="AB58" s="624"/>
      <c r="AC58" s="624"/>
      <c r="AE58" s="624"/>
      <c r="AF58" s="624"/>
      <c r="AG58" s="624"/>
      <c r="AH58" s="624"/>
      <c r="AI58" s="624"/>
      <c r="AJ58" s="589"/>
    </row>
    <row r="59" spans="1:47">
      <c r="A59" s="589"/>
      <c r="B59" s="821" t="s">
        <v>1593</v>
      </c>
      <c r="C59" s="891" t="s">
        <v>61</v>
      </c>
      <c r="D59" s="905"/>
      <c r="E59" s="905"/>
      <c r="F59" s="905"/>
      <c r="G59" s="905"/>
      <c r="H59" s="923"/>
      <c r="I59" s="905"/>
      <c r="J59" s="905"/>
      <c r="K59" s="905"/>
      <c r="L59" s="905"/>
      <c r="M59" s="18"/>
      <c r="N59" s="624"/>
      <c r="O59" s="624"/>
      <c r="P59" s="624"/>
      <c r="Q59" s="624"/>
      <c r="R59" s="624"/>
      <c r="S59" s="624"/>
      <c r="T59" s="624"/>
      <c r="U59" s="624"/>
      <c r="V59" s="18"/>
      <c r="W59" s="624"/>
      <c r="X59" s="624"/>
      <c r="Y59" s="624"/>
      <c r="Z59" s="624"/>
      <c r="AA59" s="624"/>
      <c r="AB59" s="624"/>
      <c r="AC59" s="624"/>
      <c r="AE59" s="624"/>
      <c r="AF59" s="624"/>
      <c r="AG59" s="624"/>
      <c r="AH59" s="624"/>
      <c r="AI59" s="624"/>
      <c r="AJ59" s="589"/>
    </row>
    <row r="60" spans="1:47">
      <c r="A60" s="589"/>
      <c r="B60" s="623" t="s">
        <v>1594</v>
      </c>
      <c r="C60" s="613"/>
      <c r="D60" s="905"/>
      <c r="E60" s="905"/>
      <c r="F60" s="905"/>
      <c r="G60" s="905"/>
      <c r="H60" s="923"/>
      <c r="I60" s="905"/>
      <c r="J60" s="905"/>
      <c r="K60" s="905"/>
      <c r="L60" s="905"/>
      <c r="M60" s="18"/>
      <c r="N60" s="624"/>
      <c r="O60" s="624"/>
      <c r="P60" s="624"/>
      <c r="Q60" s="624"/>
      <c r="R60" s="624"/>
      <c r="S60" s="624"/>
      <c r="T60" s="624"/>
      <c r="U60" s="624"/>
      <c r="V60" s="18"/>
      <c r="W60" s="624"/>
      <c r="X60" s="624"/>
      <c r="Y60" s="624"/>
      <c r="Z60" s="624"/>
      <c r="AA60" s="624"/>
      <c r="AB60" s="624"/>
      <c r="AC60" s="624"/>
      <c r="AE60" s="624"/>
      <c r="AF60" s="624"/>
      <c r="AG60" s="624"/>
      <c r="AH60" s="624"/>
      <c r="AI60" s="624"/>
      <c r="AJ60" s="589"/>
    </row>
    <row r="61" spans="1:47">
      <c r="A61" s="589"/>
      <c r="B61" s="623"/>
      <c r="C61" s="613"/>
      <c r="D61" s="905"/>
      <c r="E61" s="905"/>
      <c r="F61" s="905"/>
      <c r="G61" s="905"/>
      <c r="H61" s="923"/>
      <c r="I61" s="905"/>
      <c r="J61" s="905"/>
      <c r="K61" s="905"/>
      <c r="L61" s="905"/>
      <c r="M61" s="18"/>
      <c r="N61" s="624"/>
      <c r="O61" s="624"/>
      <c r="P61" s="624"/>
      <c r="Q61" s="624"/>
      <c r="R61" s="624"/>
      <c r="S61" s="624"/>
      <c r="T61" s="624"/>
      <c r="U61" s="624"/>
      <c r="V61" s="18"/>
      <c r="W61" s="624"/>
      <c r="X61" s="624"/>
      <c r="Y61" s="624"/>
      <c r="Z61" s="624"/>
      <c r="AA61" s="624"/>
      <c r="AB61" s="624"/>
      <c r="AC61" s="624"/>
      <c r="AE61" s="624"/>
      <c r="AF61" s="624"/>
      <c r="AG61" s="624"/>
      <c r="AH61" s="624"/>
      <c r="AI61" s="624"/>
      <c r="AJ61" s="589"/>
    </row>
    <row r="62" spans="1:47">
      <c r="A62" s="589"/>
      <c r="B62" s="876" t="s">
        <v>1324</v>
      </c>
      <c r="C62" s="877"/>
      <c r="D62" s="906"/>
      <c r="E62" s="906"/>
      <c r="F62" s="906"/>
      <c r="G62" s="906"/>
      <c r="H62" s="924"/>
      <c r="I62" s="906"/>
      <c r="J62" s="906"/>
      <c r="K62" s="906"/>
      <c r="L62" s="906"/>
      <c r="M62" s="18"/>
      <c r="N62" s="625"/>
      <c r="O62" s="625"/>
      <c r="P62" s="625"/>
      <c r="Q62" s="625"/>
      <c r="R62" s="625"/>
      <c r="S62" s="625"/>
      <c r="T62" s="625"/>
      <c r="U62" s="625"/>
      <c r="V62" s="18"/>
      <c r="W62" s="625"/>
      <c r="X62" s="625"/>
      <c r="Y62" s="625"/>
      <c r="Z62" s="625"/>
      <c r="AA62" s="625"/>
      <c r="AB62" s="625"/>
      <c r="AC62" s="625"/>
      <c r="AE62" s="625"/>
      <c r="AF62" s="625"/>
      <c r="AG62" s="625"/>
      <c r="AH62" s="625"/>
      <c r="AI62" s="625"/>
      <c r="AJ62" s="589"/>
    </row>
    <row r="63" spans="1:47">
      <c r="A63" s="589"/>
      <c r="B63" s="626" t="s">
        <v>1325</v>
      </c>
      <c r="C63" s="892"/>
      <c r="D63" s="906"/>
      <c r="E63" s="906"/>
      <c r="F63" s="906"/>
      <c r="G63" s="906"/>
      <c r="H63" s="924"/>
      <c r="I63" s="906"/>
      <c r="J63" s="906"/>
      <c r="K63" s="906"/>
      <c r="L63" s="906"/>
      <c r="M63" s="18"/>
      <c r="N63" s="625"/>
      <c r="O63" s="625"/>
      <c r="P63" s="625"/>
      <c r="Q63" s="625"/>
      <c r="R63" s="625"/>
      <c r="S63" s="625"/>
      <c r="T63" s="625"/>
      <c r="U63" s="625"/>
      <c r="V63" s="18"/>
      <c r="W63" s="625"/>
      <c r="X63" s="625"/>
      <c r="Y63" s="625"/>
      <c r="Z63" s="625"/>
      <c r="AA63" s="625"/>
      <c r="AB63" s="625"/>
      <c r="AC63" s="625"/>
      <c r="AE63" s="625"/>
      <c r="AF63" s="625"/>
      <c r="AG63" s="625"/>
      <c r="AH63" s="625"/>
      <c r="AI63" s="625"/>
      <c r="AJ63" s="589"/>
    </row>
    <row r="64" spans="1:47">
      <c r="A64" s="589"/>
      <c r="B64" s="627" t="s">
        <v>1326</v>
      </c>
      <c r="C64" s="892"/>
      <c r="D64" s="907"/>
      <c r="E64" s="907"/>
      <c r="F64" s="907"/>
      <c r="G64" s="907"/>
      <c r="H64" s="925"/>
      <c r="I64" s="907"/>
      <c r="J64" s="907"/>
      <c r="K64" s="907"/>
      <c r="L64" s="907"/>
      <c r="M64" s="18"/>
      <c r="N64" s="624"/>
      <c r="O64" s="624"/>
      <c r="P64" s="624"/>
      <c r="Q64" s="624"/>
      <c r="R64" s="624"/>
      <c r="S64" s="624"/>
      <c r="T64" s="624"/>
      <c r="U64" s="624"/>
      <c r="V64" s="18"/>
      <c r="W64" s="624"/>
      <c r="X64" s="624"/>
      <c r="Y64" s="624"/>
      <c r="Z64" s="624"/>
      <c r="AA64" s="624"/>
      <c r="AB64" s="624"/>
      <c r="AC64" s="624"/>
      <c r="AE64" s="624"/>
      <c r="AF64" s="624"/>
      <c r="AG64" s="624"/>
      <c r="AH64" s="624"/>
      <c r="AI64" s="624"/>
      <c r="AJ64" s="589"/>
    </row>
    <row r="65" spans="1:36">
      <c r="A65" s="589"/>
      <c r="B65" s="627" t="s">
        <v>1327</v>
      </c>
      <c r="C65" s="892"/>
      <c r="D65" s="905"/>
      <c r="E65" s="905"/>
      <c r="F65" s="905"/>
      <c r="G65" s="905"/>
      <c r="H65" s="923"/>
      <c r="I65" s="905"/>
      <c r="J65" s="905"/>
      <c r="K65" s="905"/>
      <c r="L65" s="905"/>
      <c r="M65" s="18"/>
      <c r="N65" s="624"/>
      <c r="O65" s="624"/>
      <c r="P65" s="624"/>
      <c r="Q65" s="624"/>
      <c r="R65" s="624"/>
      <c r="S65" s="624"/>
      <c r="T65" s="624"/>
      <c r="U65" s="624"/>
      <c r="V65" s="18"/>
      <c r="W65" s="624"/>
      <c r="X65" s="624"/>
      <c r="Y65" s="624"/>
      <c r="Z65" s="624"/>
      <c r="AA65" s="624"/>
      <c r="AB65" s="624"/>
      <c r="AC65" s="624"/>
      <c r="AE65" s="624"/>
      <c r="AF65" s="624"/>
      <c r="AG65" s="624"/>
      <c r="AH65" s="624"/>
      <c r="AI65" s="624"/>
      <c r="AJ65" s="589"/>
    </row>
    <row r="66" spans="1:36">
      <c r="A66" s="589"/>
      <c r="B66" s="626" t="s">
        <v>840</v>
      </c>
      <c r="C66" s="892">
        <f>HY!D727</f>
        <v>0.152</v>
      </c>
      <c r="D66" s="905"/>
      <c r="E66" s="905"/>
      <c r="F66" s="905"/>
      <c r="G66" s="905"/>
      <c r="H66" s="923"/>
      <c r="I66" s="905"/>
      <c r="J66" s="905"/>
      <c r="K66" s="905"/>
      <c r="L66" s="905"/>
      <c r="M66" s="18"/>
      <c r="N66" s="624"/>
      <c r="O66" s="624"/>
      <c r="P66" s="624"/>
      <c r="Q66" s="624"/>
      <c r="R66" s="624"/>
      <c r="S66" s="624"/>
      <c r="T66" s="624"/>
      <c r="U66" s="624"/>
      <c r="V66" s="18"/>
      <c r="W66" s="624"/>
      <c r="X66" s="624"/>
      <c r="Y66" s="624"/>
      <c r="Z66" s="624"/>
      <c r="AA66" s="624"/>
      <c r="AB66" s="624"/>
      <c r="AC66" s="624"/>
      <c r="AE66" s="624"/>
      <c r="AF66" s="624"/>
      <c r="AG66" s="624"/>
      <c r="AH66" s="624"/>
      <c r="AI66" s="624"/>
      <c r="AJ66" s="589"/>
    </row>
    <row r="67" spans="1:36">
      <c r="A67" s="589"/>
      <c r="B67" s="627" t="s">
        <v>1328</v>
      </c>
      <c r="C67" s="892">
        <f>HY!D724</f>
        <v>0.05</v>
      </c>
      <c r="D67" s="905"/>
      <c r="E67" s="905"/>
      <c r="F67" s="905"/>
      <c r="G67" s="905"/>
      <c r="H67" s="923"/>
      <c r="I67" s="905"/>
      <c r="J67" s="905"/>
      <c r="K67" s="905"/>
      <c r="L67" s="905"/>
      <c r="M67" s="18"/>
      <c r="N67" s="624"/>
      <c r="O67" s="624"/>
      <c r="P67" s="624"/>
      <c r="Q67" s="624"/>
      <c r="R67" s="624"/>
      <c r="S67" s="624"/>
      <c r="T67" s="624"/>
      <c r="U67" s="624"/>
      <c r="V67" s="18"/>
      <c r="W67" s="624"/>
      <c r="X67" s="624"/>
      <c r="Y67" s="624"/>
      <c r="Z67" s="624"/>
      <c r="AA67" s="624"/>
      <c r="AB67" s="624"/>
      <c r="AC67" s="624"/>
      <c r="AE67" s="624"/>
      <c r="AF67" s="624"/>
      <c r="AG67" s="624"/>
      <c r="AH67" s="624"/>
      <c r="AI67" s="624"/>
      <c r="AJ67" s="589"/>
    </row>
    <row r="68" spans="1:36" outlineLevel="1">
      <c r="A68" s="589"/>
      <c r="B68" s="627" t="s">
        <v>999</v>
      </c>
      <c r="C68" s="893">
        <f>HY!D725</f>
        <v>1.7</v>
      </c>
      <c r="D68" s="905"/>
      <c r="E68" s="905"/>
      <c r="F68" s="905"/>
      <c r="G68" s="905"/>
      <c r="H68" s="923"/>
      <c r="I68" s="905"/>
      <c r="J68" s="905"/>
      <c r="K68" s="905"/>
      <c r="L68" s="905"/>
      <c r="M68" s="18"/>
      <c r="N68" s="624"/>
      <c r="O68" s="624"/>
      <c r="P68" s="624"/>
      <c r="Q68" s="624"/>
      <c r="R68" s="624"/>
      <c r="S68" s="624"/>
      <c r="T68" s="624"/>
      <c r="U68" s="624"/>
      <c r="V68" s="18"/>
      <c r="W68" s="624"/>
      <c r="X68" s="624"/>
      <c r="Y68" s="624"/>
      <c r="Z68" s="624"/>
      <c r="AA68" s="624"/>
      <c r="AB68" s="624"/>
      <c r="AC68" s="624"/>
      <c r="AE68" s="624"/>
      <c r="AF68" s="624"/>
      <c r="AG68" s="624"/>
      <c r="AH68" s="624"/>
      <c r="AI68" s="624"/>
      <c r="AJ68" s="589"/>
    </row>
    <row r="69" spans="1:36" outlineLevel="1">
      <c r="A69" s="589"/>
      <c r="B69" s="627" t="s">
        <v>1329</v>
      </c>
      <c r="C69" s="892">
        <f>HY!D726</f>
        <v>0.06</v>
      </c>
      <c r="D69" s="905"/>
      <c r="E69" s="905"/>
      <c r="F69" s="905"/>
      <c r="G69" s="905"/>
      <c r="H69" s="923"/>
      <c r="I69" s="905"/>
      <c r="J69" s="905"/>
      <c r="K69" s="905"/>
      <c r="L69" s="905"/>
      <c r="M69" s="18"/>
      <c r="N69" s="624"/>
      <c r="O69" s="624"/>
      <c r="P69" s="624"/>
      <c r="Q69" s="624"/>
      <c r="R69" s="624"/>
      <c r="S69" s="624"/>
      <c r="T69" s="624"/>
      <c r="U69" s="624"/>
      <c r="V69" s="18"/>
      <c r="W69" s="624"/>
      <c r="X69" s="624"/>
      <c r="Y69" s="624"/>
      <c r="Z69" s="624"/>
      <c r="AA69" s="624"/>
      <c r="AB69" s="624"/>
      <c r="AC69" s="624"/>
      <c r="AE69" s="624"/>
      <c r="AF69" s="624"/>
      <c r="AG69" s="624"/>
      <c r="AH69" s="624"/>
      <c r="AI69" s="624"/>
      <c r="AJ69" s="589"/>
    </row>
    <row r="70" spans="1:36" outlineLevel="1">
      <c r="A70" s="589"/>
      <c r="B70" s="627" t="s">
        <v>1330</v>
      </c>
      <c r="C70" s="892">
        <f>C66</f>
        <v>0.152</v>
      </c>
      <c r="D70" s="905"/>
      <c r="E70" s="905"/>
      <c r="F70" s="905"/>
      <c r="G70" s="905"/>
      <c r="H70" s="923"/>
      <c r="I70" s="905"/>
      <c r="J70" s="905"/>
      <c r="K70" s="905"/>
      <c r="L70" s="905"/>
      <c r="M70" s="18"/>
      <c r="N70" s="624"/>
      <c r="O70" s="624"/>
      <c r="P70" s="624"/>
      <c r="Q70" s="624"/>
      <c r="R70" s="624"/>
      <c r="S70" s="624"/>
      <c r="T70" s="624"/>
      <c r="U70" s="624"/>
      <c r="V70" s="18"/>
      <c r="W70" s="624"/>
      <c r="X70" s="624"/>
      <c r="Y70" s="624"/>
      <c r="Z70" s="624"/>
      <c r="AA70" s="624"/>
      <c r="AB70" s="624"/>
      <c r="AC70" s="624"/>
      <c r="AE70" s="624"/>
      <c r="AF70" s="624"/>
      <c r="AG70" s="624"/>
      <c r="AH70" s="624"/>
      <c r="AI70" s="624"/>
      <c r="AJ70" s="589"/>
    </row>
    <row r="71" spans="1:36" outlineLevel="1">
      <c r="A71" s="589"/>
      <c r="B71" s="626" t="s">
        <v>1331</v>
      </c>
      <c r="C71" s="892"/>
      <c r="D71" s="905"/>
      <c r="E71" s="905"/>
      <c r="F71" s="905"/>
      <c r="G71" s="905"/>
      <c r="H71" s="923"/>
      <c r="I71" s="905"/>
      <c r="J71" s="905"/>
      <c r="K71" s="905"/>
      <c r="L71" s="905"/>
      <c r="M71" s="18"/>
      <c r="N71" s="624"/>
      <c r="O71" s="624"/>
      <c r="P71" s="624"/>
      <c r="Q71" s="624"/>
      <c r="R71" s="624"/>
      <c r="S71" s="624"/>
      <c r="T71" s="624"/>
      <c r="U71" s="624"/>
      <c r="V71" s="18"/>
      <c r="W71" s="624"/>
      <c r="X71" s="624"/>
      <c r="Y71" s="624"/>
      <c r="Z71" s="624"/>
      <c r="AA71" s="624"/>
      <c r="AB71" s="624"/>
      <c r="AC71" s="624"/>
      <c r="AE71" s="624"/>
      <c r="AF71" s="624"/>
      <c r="AG71" s="624"/>
      <c r="AH71" s="624"/>
      <c r="AI71" s="624"/>
      <c r="AJ71" s="589"/>
    </row>
    <row r="72" spans="1:36" outlineLevel="1">
      <c r="A72" s="589"/>
      <c r="B72" s="621" t="s">
        <v>1032</v>
      </c>
      <c r="C72" s="892"/>
      <c r="D72" s="905"/>
      <c r="E72" s="905"/>
      <c r="F72" s="905"/>
      <c r="G72" s="905"/>
      <c r="H72" s="923"/>
      <c r="I72" s="905"/>
      <c r="J72" s="905"/>
      <c r="K72" s="905"/>
      <c r="L72" s="905"/>
      <c r="M72" s="18"/>
      <c r="N72" s="624"/>
      <c r="O72" s="624"/>
      <c r="P72" s="624"/>
      <c r="Q72" s="624"/>
      <c r="R72" s="624"/>
      <c r="S72" s="624"/>
      <c r="T72" s="624"/>
      <c r="U72" s="624"/>
      <c r="V72" s="18"/>
      <c r="W72" s="624"/>
      <c r="X72" s="624"/>
      <c r="Y72" s="624"/>
      <c r="Z72" s="624"/>
      <c r="AA72" s="624"/>
      <c r="AB72" s="624"/>
      <c r="AC72" s="624"/>
      <c r="AE72" s="624"/>
      <c r="AF72" s="624"/>
      <c r="AG72" s="624"/>
      <c r="AH72" s="624"/>
      <c r="AI72" s="624"/>
      <c r="AJ72" s="589"/>
    </row>
    <row r="73" spans="1:36">
      <c r="A73" s="589"/>
      <c r="B73" s="621" t="s">
        <v>1332</v>
      </c>
      <c r="C73" s="894"/>
      <c r="D73" s="908"/>
      <c r="E73" s="908"/>
      <c r="F73" s="908"/>
      <c r="G73" s="908"/>
      <c r="H73" s="926"/>
      <c r="I73" s="908"/>
      <c r="J73" s="908"/>
      <c r="K73" s="908"/>
      <c r="L73" s="908"/>
      <c r="M73" s="18"/>
      <c r="N73" s="628"/>
      <c r="O73" s="628"/>
      <c r="P73" s="628"/>
      <c r="Q73" s="628"/>
      <c r="R73" s="628"/>
      <c r="S73" s="628"/>
      <c r="T73" s="628"/>
      <c r="U73" s="628"/>
      <c r="V73" s="18"/>
      <c r="W73" s="628"/>
      <c r="X73" s="628"/>
      <c r="Y73" s="628"/>
      <c r="Z73" s="628"/>
      <c r="AA73" s="628"/>
      <c r="AB73" s="628"/>
      <c r="AC73" s="628"/>
      <c r="AE73" s="628"/>
      <c r="AF73" s="628"/>
      <c r="AG73" s="628"/>
      <c r="AH73" s="628"/>
      <c r="AI73" s="628"/>
      <c r="AJ73" s="589"/>
    </row>
    <row r="74" spans="1:36">
      <c r="B74" s="590"/>
      <c r="C74" s="590"/>
      <c r="M74" s="18"/>
      <c r="V74" s="18"/>
    </row>
    <row r="75" spans="1:36">
      <c r="B75" s="869" t="s">
        <v>1595</v>
      </c>
      <c r="C75" s="878"/>
      <c r="M75" s="18"/>
      <c r="V75" s="18"/>
    </row>
    <row r="76" spans="1:36">
      <c r="B76" s="879"/>
      <c r="C76" s="880"/>
      <c r="M76" s="18"/>
      <c r="V76" s="18"/>
    </row>
    <row r="77" spans="1:36">
      <c r="B77" s="629" t="s">
        <v>1226</v>
      </c>
      <c r="C77" s="895"/>
      <c r="M77" s="18"/>
      <c r="V77" s="18"/>
    </row>
    <row r="78" spans="1:36">
      <c r="B78" s="630" t="s">
        <v>1227</v>
      </c>
      <c r="C78" s="895"/>
      <c r="M78" s="18"/>
      <c r="V78" s="18"/>
    </row>
    <row r="79" spans="1:36">
      <c r="B79" s="630" t="s">
        <v>1596</v>
      </c>
      <c r="C79" s="895"/>
      <c r="M79" s="18"/>
      <c r="V79" s="18"/>
    </row>
    <row r="80" spans="1:36">
      <c r="B80" s="630" t="s">
        <v>1597</v>
      </c>
      <c r="C80" s="896"/>
      <c r="M80" s="18"/>
      <c r="V80" s="18"/>
    </row>
    <row r="81" spans="2:22">
      <c r="B81" s="822" t="s">
        <v>1598</v>
      </c>
      <c r="M81" s="18"/>
      <c r="V81" s="18"/>
    </row>
    <row r="82" spans="2:22">
      <c r="B82" s="590"/>
      <c r="C82" s="590"/>
      <c r="M82" s="18"/>
      <c r="V82" s="18"/>
    </row>
    <row r="83" spans="2:22">
      <c r="B83" s="869" t="s">
        <v>1333</v>
      </c>
      <c r="C83" s="878"/>
      <c r="M83" s="18"/>
      <c r="V83" s="18"/>
    </row>
    <row r="84" spans="2:22">
      <c r="B84" s="879"/>
      <c r="C84" s="880"/>
      <c r="M84" s="18"/>
      <c r="V84" s="18"/>
    </row>
    <row r="85" spans="2:22">
      <c r="B85" s="629" t="s">
        <v>1226</v>
      </c>
      <c r="C85" s="895"/>
      <c r="H85" s="928"/>
      <c r="J85" s="929"/>
      <c r="K85" s="929"/>
      <c r="L85" s="929"/>
      <c r="M85" s="18"/>
      <c r="V85" s="18"/>
    </row>
    <row r="86" spans="2:22">
      <c r="B86" s="630" t="s">
        <v>1227</v>
      </c>
      <c r="C86" s="895"/>
      <c r="M86" s="18"/>
      <c r="V86" s="18"/>
    </row>
    <row r="87" spans="2:22">
      <c r="B87" s="630" t="s">
        <v>1599</v>
      </c>
      <c r="C87" s="897"/>
      <c r="M87" s="18"/>
      <c r="V87" s="18"/>
    </row>
    <row r="88" spans="2:22">
      <c r="B88" s="631" t="s">
        <v>1334</v>
      </c>
      <c r="C88" s="898">
        <f>HY!D747</f>
        <v>2583.905692719773</v>
      </c>
      <c r="M88" s="18"/>
      <c r="V88" s="18"/>
    </row>
    <row r="89" spans="2:22">
      <c r="B89" s="630" t="s">
        <v>522</v>
      </c>
      <c r="C89" s="899">
        <f>HY!D746</f>
        <v>533</v>
      </c>
      <c r="M89" s="18"/>
      <c r="V89" s="18"/>
    </row>
    <row r="90" spans="2:22">
      <c r="B90" s="630" t="s">
        <v>1600</v>
      </c>
      <c r="C90" s="897"/>
      <c r="M90" s="18"/>
      <c r="V90" s="18"/>
    </row>
    <row r="91" spans="2:22">
      <c r="B91" s="632" t="s">
        <v>1335</v>
      </c>
      <c r="C91" s="898">
        <f>HY!D745</f>
        <v>2050.905692719773</v>
      </c>
      <c r="M91" s="18"/>
      <c r="V91" s="18"/>
    </row>
    <row r="92" spans="2:22">
      <c r="B92" s="630" t="s">
        <v>1336</v>
      </c>
      <c r="C92" s="899">
        <f>HY!D744</f>
        <v>2292.6</v>
      </c>
      <c r="M92" s="18"/>
      <c r="V92" s="18"/>
    </row>
    <row r="93" spans="2:22">
      <c r="B93" s="633" t="s">
        <v>1337</v>
      </c>
      <c r="C93" s="900">
        <f>HY!D740</f>
        <v>0.89457632937266562</v>
      </c>
      <c r="M93" s="18"/>
      <c r="V93" s="18"/>
    </row>
  </sheetData>
  <mergeCells count="7">
    <mergeCell ref="B3:C4"/>
    <mergeCell ref="B12:C12"/>
    <mergeCell ref="B49:C49"/>
    <mergeCell ref="B62:C62"/>
    <mergeCell ref="B83:C84"/>
    <mergeCell ref="B57:C58"/>
    <mergeCell ref="B75:C76"/>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200C1-1121-48ED-BE75-5135669224F1}">
  <sheetPr>
    <tabColor theme="6" tint="0.79998168889431442"/>
  </sheetPr>
  <dimension ref="B2:U63"/>
  <sheetViews>
    <sheetView workbookViewId="0">
      <selection activeCell="X28" sqref="X28"/>
    </sheetView>
  </sheetViews>
  <sheetFormatPr defaultRowHeight="15" outlineLevelCol="1"/>
  <cols>
    <col min="2" max="2" width="39.140625" bestFit="1" customWidth="1"/>
    <col min="4" max="5" width="0" style="759" hidden="1" customWidth="1" outlineLevel="1"/>
    <col min="6" max="6" width="0" style="759" hidden="1" customWidth="1" outlineLevel="1" collapsed="1"/>
    <col min="7" max="7" width="0" style="759" hidden="1" customWidth="1" outlineLevel="1"/>
    <col min="8" max="8" width="9.140625" style="759" collapsed="1"/>
    <col min="9" max="9" width="9.140625" style="759"/>
    <col min="10" max="10" width="2.140625" style="759" customWidth="1"/>
    <col min="11" max="12" width="0" style="759" hidden="1" customWidth="1" outlineLevel="1"/>
    <col min="13" max="13" width="9.140625" collapsed="1"/>
  </cols>
  <sheetData>
    <row r="2" spans="2:20">
      <c r="B2" s="666" t="s">
        <v>1508</v>
      </c>
      <c r="E2" s="760"/>
      <c r="F2" s="760"/>
      <c r="G2" s="760"/>
      <c r="H2" s="760"/>
      <c r="I2" s="760"/>
      <c r="J2" s="760"/>
    </row>
    <row r="3" spans="2:20">
      <c r="B3" s="666"/>
      <c r="D3" s="760" t="s">
        <v>963</v>
      </c>
      <c r="E3" s="760" t="s">
        <v>964</v>
      </c>
      <c r="F3" s="760" t="s">
        <v>965</v>
      </c>
      <c r="G3" s="760" t="s">
        <v>966</v>
      </c>
      <c r="H3" s="760" t="s">
        <v>1065</v>
      </c>
      <c r="I3" s="760" t="s">
        <v>1066</v>
      </c>
      <c r="J3" s="760"/>
      <c r="K3" s="760" t="s">
        <v>844</v>
      </c>
      <c r="L3" s="760" t="s">
        <v>1379</v>
      </c>
      <c r="M3" s="760" t="s">
        <v>1380</v>
      </c>
      <c r="N3" s="760" t="s">
        <v>1381</v>
      </c>
      <c r="O3" s="760" t="s">
        <v>1382</v>
      </c>
      <c r="P3" s="760" t="s">
        <v>1480</v>
      </c>
    </row>
    <row r="4" spans="2:20">
      <c r="B4" s="666"/>
      <c r="D4" s="760"/>
      <c r="E4" s="760"/>
      <c r="F4" s="760"/>
      <c r="G4" s="760"/>
      <c r="H4" s="760"/>
      <c r="I4" s="760"/>
      <c r="J4" s="760"/>
      <c r="K4" s="760"/>
      <c r="L4" s="760"/>
      <c r="M4" s="760"/>
      <c r="N4" s="760"/>
      <c r="O4" s="760"/>
      <c r="P4" s="760"/>
    </row>
    <row r="5" spans="2:20">
      <c r="B5" s="768" t="s">
        <v>1533</v>
      </c>
      <c r="C5" t="s">
        <v>1509</v>
      </c>
      <c r="D5" s="761">
        <f>HY!Q178</f>
        <v>1003.3</v>
      </c>
      <c r="E5" s="761">
        <f>HY!R178</f>
        <v>952.8</v>
      </c>
      <c r="F5" s="761">
        <f>HY!S178</f>
        <v>1144.7</v>
      </c>
      <c r="G5" s="761">
        <f>HY!T178</f>
        <v>1122.9000000000001</v>
      </c>
      <c r="H5" s="761">
        <f>HY!U178</f>
        <v>1163.0999999999999</v>
      </c>
      <c r="I5" s="761">
        <f>HY!V178</f>
        <v>1114.5999999999999</v>
      </c>
      <c r="K5" s="761" t="e">
        <f>FY!#REF!</f>
        <v>#REF!</v>
      </c>
      <c r="L5" s="761" t="e">
        <f>FY!#REF!</f>
        <v>#REF!</v>
      </c>
      <c r="M5" s="761" t="e">
        <f>FY!#REF!</f>
        <v>#REF!</v>
      </c>
      <c r="N5" s="761" t="e">
        <f>FY!#REF!</f>
        <v>#REF!</v>
      </c>
      <c r="O5" s="761" t="e">
        <f>FY!#REF!</f>
        <v>#REF!</v>
      </c>
      <c r="P5" s="761" t="e">
        <f>FY!#REF!</f>
        <v>#REF!</v>
      </c>
    </row>
    <row r="6" spans="2:20">
      <c r="B6" s="768" t="s">
        <v>1534</v>
      </c>
      <c r="C6" t="s">
        <v>1509</v>
      </c>
      <c r="D6" s="761">
        <f>HY!Q181</f>
        <v>113.39999999999999</v>
      </c>
      <c r="E6" s="761">
        <f>HY!R181</f>
        <v>93.3</v>
      </c>
      <c r="F6" s="761">
        <f>HY!S181</f>
        <v>98.5</v>
      </c>
      <c r="G6" s="761">
        <f>HY!T181</f>
        <v>72.700000000000017</v>
      </c>
      <c r="H6" s="761">
        <f>HY!U181</f>
        <v>90.100000000000009</v>
      </c>
      <c r="I6" s="761">
        <f>HY!V181</f>
        <v>86.899999999999991</v>
      </c>
      <c r="K6" s="761" t="e">
        <f>FY!#REF!</f>
        <v>#REF!</v>
      </c>
      <c r="L6" s="761" t="e">
        <f>FY!#REF!</f>
        <v>#REF!</v>
      </c>
      <c r="M6" s="761" t="e">
        <f>FY!#REF!</f>
        <v>#REF!</v>
      </c>
      <c r="N6" s="761" t="e">
        <f>FY!#REF!</f>
        <v>#REF!</v>
      </c>
      <c r="O6" s="761" t="e">
        <f>FY!#REF!</f>
        <v>#REF!</v>
      </c>
      <c r="P6" s="761" t="e">
        <f>FY!#REF!</f>
        <v>#REF!</v>
      </c>
      <c r="R6" t="s">
        <v>1601</v>
      </c>
    </row>
    <row r="7" spans="2:20">
      <c r="B7" t="s">
        <v>1226</v>
      </c>
      <c r="C7" t="s">
        <v>1509</v>
      </c>
      <c r="D7" s="761">
        <f>HY!Q268</f>
        <v>1116.5999999999999</v>
      </c>
      <c r="E7" s="761">
        <f>HY!R268</f>
        <v>1046.2000000000003</v>
      </c>
      <c r="F7" s="761">
        <f>HY!S268</f>
        <v>1243.2</v>
      </c>
      <c r="G7" s="761">
        <f>HY!T268</f>
        <v>1195.6000000000001</v>
      </c>
      <c r="H7" s="761">
        <f>HY!U268</f>
        <v>1253.2</v>
      </c>
      <c r="I7" s="761">
        <f>HY!V268</f>
        <v>1201.4999999999998</v>
      </c>
      <c r="J7" s="761"/>
      <c r="K7" s="761">
        <f>FY!D8</f>
        <v>2230.8000000000002</v>
      </c>
      <c r="L7" s="761">
        <f>FY!E8</f>
        <v>2162.8000000000002</v>
      </c>
      <c r="M7" s="761">
        <f>FY!F8</f>
        <v>2438.8000000000002</v>
      </c>
      <c r="N7" s="761">
        <f>FY!G8</f>
        <v>2454.6999999999998</v>
      </c>
      <c r="O7" s="761">
        <f>FY!H8</f>
        <v>2535.5783164499999</v>
      </c>
      <c r="P7" s="761">
        <f>FY!I8</f>
        <v>2553.5792355250001</v>
      </c>
      <c r="T7" s="761">
        <f>L7-SUM(D7:E7)</f>
        <v>0</v>
      </c>
    </row>
    <row r="8" spans="2:20">
      <c r="B8" t="s">
        <v>1227</v>
      </c>
      <c r="C8" t="s">
        <v>1509</v>
      </c>
      <c r="D8" s="761">
        <f>HY!Q269</f>
        <v>80.3</v>
      </c>
      <c r="E8" s="761">
        <f>HY!R269</f>
        <v>83.100000000000009</v>
      </c>
      <c r="F8" s="761">
        <f>HY!S269</f>
        <v>88.1</v>
      </c>
      <c r="G8" s="761">
        <f>HY!T269</f>
        <v>87.700000000000017</v>
      </c>
      <c r="H8" s="761">
        <f>HY!U269</f>
        <v>91.7</v>
      </c>
      <c r="I8" s="761">
        <f>HY!V269</f>
        <v>89.899999999999991</v>
      </c>
      <c r="J8" s="761"/>
      <c r="K8" s="761">
        <f>FY!D9</f>
        <v>203.6</v>
      </c>
      <c r="L8" s="761">
        <f>FY!E9</f>
        <v>163.4</v>
      </c>
      <c r="M8" s="761">
        <f>FY!F9</f>
        <v>175.8</v>
      </c>
      <c r="N8" s="761">
        <f>FY!G9</f>
        <v>181.6</v>
      </c>
      <c r="O8" s="761">
        <f>FY!H9</f>
        <v>186.14</v>
      </c>
      <c r="P8" s="761">
        <f>FY!I9</f>
        <v>190.79349999999994</v>
      </c>
      <c r="T8" s="761">
        <f>L8-SUM(D8:E8)</f>
        <v>0</v>
      </c>
    </row>
    <row r="9" spans="2:20">
      <c r="B9" s="762" t="s">
        <v>1510</v>
      </c>
      <c r="C9" s="762" t="s">
        <v>1509</v>
      </c>
      <c r="D9" s="763">
        <f>HY!Q271</f>
        <v>1209.5999999999999</v>
      </c>
      <c r="E9" s="763">
        <f>HY!R271</f>
        <v>1129.3000000000002</v>
      </c>
      <c r="F9" s="763">
        <f>HY!S271</f>
        <v>1331.3</v>
      </c>
      <c r="G9" s="763">
        <f>HY!T271</f>
        <v>1283.3</v>
      </c>
      <c r="H9" s="763">
        <f>HY!U271</f>
        <v>1344.9</v>
      </c>
      <c r="I9" s="763">
        <f>HY!V271</f>
        <v>1291.4000000000001</v>
      </c>
      <c r="J9" s="763"/>
      <c r="K9" s="763">
        <f>FY!D11</f>
        <v>2434.4</v>
      </c>
      <c r="L9" s="763">
        <f>FY!E11</f>
        <v>2338.9</v>
      </c>
      <c r="M9" s="763">
        <f>FY!F11</f>
        <v>2614.6</v>
      </c>
      <c r="N9" s="763">
        <f>FY!G11</f>
        <v>2636.3</v>
      </c>
      <c r="O9" s="763">
        <f>FY!H11</f>
        <v>2746.9683164500002</v>
      </c>
      <c r="P9" s="763">
        <f>FY!I11</f>
        <v>2846.857735525</v>
      </c>
      <c r="T9" s="761">
        <f>L9-SUM(D9:E9)</f>
        <v>0</v>
      </c>
    </row>
    <row r="10" spans="2:20">
      <c r="D10" s="761"/>
      <c r="E10" s="761"/>
      <c r="F10" s="761"/>
      <c r="G10" s="761"/>
      <c r="H10" s="761"/>
      <c r="I10" s="761"/>
      <c r="J10" s="761"/>
      <c r="K10" s="761"/>
      <c r="L10" s="761"/>
      <c r="M10" s="761"/>
      <c r="N10" s="761"/>
      <c r="O10" s="761"/>
      <c r="P10" s="761"/>
      <c r="T10" s="761"/>
    </row>
    <row r="11" spans="2:20">
      <c r="B11" s="666" t="s">
        <v>1218</v>
      </c>
      <c r="D11" s="761"/>
      <c r="E11" s="761"/>
      <c r="F11" s="761"/>
      <c r="G11" s="761"/>
      <c r="H11" s="761"/>
      <c r="I11" s="761"/>
      <c r="J11" s="761"/>
      <c r="K11" s="761"/>
      <c r="L11" s="761"/>
      <c r="M11" s="761"/>
      <c r="N11" s="761"/>
      <c r="O11" s="761"/>
      <c r="P11" s="761"/>
      <c r="T11" s="761"/>
    </row>
    <row r="12" spans="2:20">
      <c r="B12" t="s">
        <v>1226</v>
      </c>
      <c r="C12" t="s">
        <v>1509</v>
      </c>
      <c r="D12" s="761">
        <f>HY!Q279</f>
        <v>393.9</v>
      </c>
      <c r="E12" s="761">
        <f>HY!R279</f>
        <v>364.30000000000007</v>
      </c>
      <c r="F12" s="761">
        <f>HY!S279</f>
        <v>458.1</v>
      </c>
      <c r="G12" s="761">
        <f>HY!T279</f>
        <v>457.79999999999995</v>
      </c>
      <c r="H12" s="761">
        <f>HY!U279</f>
        <v>477.4</v>
      </c>
      <c r="I12" s="761">
        <f>HY!V279</f>
        <v>475.80000000000007</v>
      </c>
      <c r="J12" s="761"/>
      <c r="K12" s="761">
        <f>FY!D18</f>
        <v>775</v>
      </c>
      <c r="L12" s="761">
        <f>FY!E18</f>
        <v>758.2</v>
      </c>
      <c r="M12" s="761">
        <f>FY!F18</f>
        <v>915.9</v>
      </c>
      <c r="N12" s="761">
        <f>FY!G18</f>
        <v>953.2</v>
      </c>
      <c r="O12" s="761">
        <f>FY!H18</f>
        <v>1001.5534349977501</v>
      </c>
      <c r="P12" s="761">
        <f>FY!I18</f>
        <v>1008.6637980323751</v>
      </c>
      <c r="T12" s="761">
        <f>L12-SUM(D12:E12)</f>
        <v>0</v>
      </c>
    </row>
    <row r="13" spans="2:20">
      <c r="B13" t="s">
        <v>1227</v>
      </c>
      <c r="C13" t="s">
        <v>1509</v>
      </c>
      <c r="D13" s="761">
        <f>HY!Q280</f>
        <v>79.900000000000006</v>
      </c>
      <c r="E13" s="761">
        <f>HY!R280</f>
        <v>81.799999999999983</v>
      </c>
      <c r="F13" s="761">
        <f>HY!S280</f>
        <v>86.3</v>
      </c>
      <c r="G13" s="761">
        <f>HY!T280</f>
        <v>86.500000000000014</v>
      </c>
      <c r="H13" s="761">
        <f>HY!U280</f>
        <v>90.2</v>
      </c>
      <c r="I13" s="761">
        <f>HY!V280</f>
        <v>88.999999999999986</v>
      </c>
      <c r="J13" s="761"/>
      <c r="K13" s="761">
        <f>FY!D19</f>
        <v>193.2</v>
      </c>
      <c r="L13" s="761">
        <f>FY!E19</f>
        <v>161.69999999999999</v>
      </c>
      <c r="M13" s="761">
        <f>FY!F19</f>
        <v>172.8</v>
      </c>
      <c r="N13" s="761">
        <f>FY!G19</f>
        <v>179.2</v>
      </c>
      <c r="O13" s="761">
        <f>FY!H19</f>
        <v>184.27652947719685</v>
      </c>
      <c r="P13" s="761">
        <f>FY!I19</f>
        <v>188.88344271412674</v>
      </c>
      <c r="T13" s="761">
        <f>L13-SUM(D13:E13)</f>
        <v>0</v>
      </c>
    </row>
    <row r="14" spans="2:20">
      <c r="B14" s="762" t="s">
        <v>1511</v>
      </c>
      <c r="C14" s="762" t="s">
        <v>1509</v>
      </c>
      <c r="D14" s="763">
        <f>HY!Q282</f>
        <v>485.6</v>
      </c>
      <c r="E14" s="763">
        <f>HY!R282</f>
        <v>446.1</v>
      </c>
      <c r="F14" s="763">
        <f>HY!S282</f>
        <v>544.4</v>
      </c>
      <c r="G14" s="763">
        <f>HY!T282</f>
        <v>544.30000000000007</v>
      </c>
      <c r="H14" s="763">
        <f>HY!U282</f>
        <v>567.6</v>
      </c>
      <c r="I14" s="763">
        <f>HY!V282</f>
        <v>564.80000000000007</v>
      </c>
      <c r="J14" s="763"/>
      <c r="K14" s="763">
        <f>FY!D21</f>
        <v>968.4</v>
      </c>
      <c r="L14" s="763">
        <f>FY!E21</f>
        <v>931.7</v>
      </c>
      <c r="M14" s="763">
        <f>FY!F21</f>
        <v>1088.7</v>
      </c>
      <c r="N14" s="763">
        <f>FY!G21</f>
        <v>1132.4000000000001</v>
      </c>
      <c r="O14" s="763">
        <f>FY!H21</f>
        <v>1202.7299644749469</v>
      </c>
      <c r="P14" s="763">
        <f>FY!I21</f>
        <v>1272.6302407465018</v>
      </c>
      <c r="T14" s="761">
        <f>L14-SUM(D14:E14)</f>
        <v>0</v>
      </c>
    </row>
    <row r="15" spans="2:20">
      <c r="D15" s="761"/>
      <c r="E15" s="761"/>
      <c r="F15" s="761"/>
      <c r="G15" s="761"/>
      <c r="H15" s="761"/>
      <c r="I15" s="761"/>
      <c r="J15" s="761"/>
      <c r="K15" s="761"/>
      <c r="L15" s="761"/>
      <c r="M15" s="761"/>
      <c r="N15" s="761"/>
      <c r="O15" s="761"/>
      <c r="P15" s="761"/>
      <c r="T15" s="761"/>
    </row>
    <row r="16" spans="2:20">
      <c r="B16" s="666" t="s">
        <v>4</v>
      </c>
      <c r="D16" s="761"/>
      <c r="E16" s="761"/>
      <c r="F16" s="761"/>
      <c r="G16" s="761"/>
      <c r="H16" s="761"/>
      <c r="I16" s="761"/>
      <c r="J16" s="761"/>
      <c r="K16" s="761"/>
      <c r="L16" s="761"/>
      <c r="M16" s="761"/>
      <c r="N16" s="761"/>
      <c r="O16" s="761"/>
      <c r="P16" s="761"/>
      <c r="T16" s="761"/>
    </row>
    <row r="17" spans="2:21">
      <c r="B17" t="s">
        <v>1226</v>
      </c>
      <c r="C17" t="s">
        <v>1509</v>
      </c>
      <c r="D17" s="761">
        <f>HY!Q285</f>
        <v>-259.89999999999998</v>
      </c>
      <c r="E17" s="761">
        <f>HY!R285</f>
        <v>-247.10000000000002</v>
      </c>
      <c r="F17" s="761">
        <f>HY!S285</f>
        <v>-301.39999999999998</v>
      </c>
      <c r="G17" s="761">
        <f>HY!T285</f>
        <v>-285.39999999999998</v>
      </c>
      <c r="H17" s="761">
        <f>HY!U285</f>
        <v>-296</v>
      </c>
      <c r="I17" s="761">
        <f>HY!V285</f>
        <v>-295.39999999999998</v>
      </c>
      <c r="J17" s="761"/>
      <c r="K17" s="761">
        <f>FY!D23</f>
        <v>-467</v>
      </c>
      <c r="L17" s="761">
        <f>FY!E23</f>
        <v>-507</v>
      </c>
      <c r="M17" s="761">
        <f>FY!F23</f>
        <v>-586.79999999999995</v>
      </c>
      <c r="N17" s="761">
        <f>FY!G23</f>
        <v>-591.4</v>
      </c>
      <c r="O17" s="761">
        <f>FY!H23</f>
        <v>-611.06449999999995</v>
      </c>
      <c r="P17" s="761">
        <f>FY!I23</f>
        <v>-629.396435</v>
      </c>
      <c r="T17" s="761">
        <f>L17-SUM(D17:E17)</f>
        <v>0</v>
      </c>
    </row>
    <row r="18" spans="2:21">
      <c r="B18" t="s">
        <v>1227</v>
      </c>
      <c r="C18" t="s">
        <v>1509</v>
      </c>
      <c r="D18" s="761">
        <f>HY!Q286</f>
        <v>-51.6</v>
      </c>
      <c r="E18" s="761">
        <f>HY!R286</f>
        <v>-51.1</v>
      </c>
      <c r="F18" s="761">
        <f>HY!S286</f>
        <v>-52.8</v>
      </c>
      <c r="G18" s="761">
        <f>HY!T286</f>
        <v>-57.600000000000009</v>
      </c>
      <c r="H18" s="761">
        <f>HY!U286</f>
        <v>-54.2</v>
      </c>
      <c r="I18" s="761">
        <f>HY!V286</f>
        <v>-55.099999999999994</v>
      </c>
      <c r="J18" s="761"/>
      <c r="K18" s="761">
        <f>FY!D24</f>
        <v>-110.1</v>
      </c>
      <c r="L18" s="761">
        <f>FY!E24</f>
        <v>-102.7</v>
      </c>
      <c r="M18" s="761">
        <f>FY!F24</f>
        <v>-110.4</v>
      </c>
      <c r="N18" s="761">
        <f>FY!G24</f>
        <v>-109.3</v>
      </c>
      <c r="O18" s="761">
        <f>FY!H24</f>
        <v>-113.54539999999997</v>
      </c>
      <c r="P18" s="761">
        <f>FY!I24</f>
        <v>-116.38403499999997</v>
      </c>
      <c r="T18" s="761">
        <f>L18-SUM(D18:E18)</f>
        <v>0</v>
      </c>
    </row>
    <row r="19" spans="2:21">
      <c r="B19" s="762" t="s">
        <v>1511</v>
      </c>
      <c r="C19" s="762" t="s">
        <v>1509</v>
      </c>
      <c r="D19" s="763">
        <f>HY!Q288</f>
        <v>-315.8</v>
      </c>
      <c r="E19" s="763">
        <f>HY!R288</f>
        <v>-298.2</v>
      </c>
      <c r="F19" s="763">
        <f>HY!S288</f>
        <v>-354.2</v>
      </c>
      <c r="G19" s="763">
        <f>HY!T288</f>
        <v>-343.00000000000006</v>
      </c>
      <c r="H19" s="763">
        <f>HY!U288</f>
        <v>-350.2</v>
      </c>
      <c r="I19" s="763">
        <f>HY!V288</f>
        <v>-350.50000000000006</v>
      </c>
      <c r="J19" s="763"/>
      <c r="K19" s="763">
        <f>FY!D26</f>
        <v>-577.4</v>
      </c>
      <c r="L19" s="763">
        <f>FY!E26</f>
        <v>-614</v>
      </c>
      <c r="M19" s="763">
        <f>FY!F26</f>
        <v>-697.2</v>
      </c>
      <c r="N19" s="763">
        <f>FY!G26</f>
        <v>-700.7</v>
      </c>
      <c r="O19" s="763">
        <f>FY!H26</f>
        <v>-736.30989999999997</v>
      </c>
      <c r="P19" s="763">
        <f>FY!I26</f>
        <v>-786.98446999999987</v>
      </c>
      <c r="T19" s="761">
        <f>L19-SUM(D19:E19)</f>
        <v>0</v>
      </c>
    </row>
    <row r="20" spans="2:21">
      <c r="D20" s="761"/>
      <c r="E20" s="761"/>
      <c r="F20" s="761"/>
      <c r="G20" s="761"/>
      <c r="H20" s="761"/>
      <c r="I20" s="761"/>
      <c r="J20" s="761"/>
      <c r="K20" s="761"/>
      <c r="L20" s="761"/>
      <c r="M20" s="761"/>
      <c r="N20" s="761"/>
      <c r="O20" s="761"/>
      <c r="P20" s="761"/>
      <c r="T20" s="761"/>
    </row>
    <row r="21" spans="2:21">
      <c r="B21" s="666" t="s">
        <v>2</v>
      </c>
      <c r="D21" s="761"/>
      <c r="E21" s="761"/>
      <c r="F21" s="761"/>
      <c r="G21" s="761"/>
      <c r="H21" s="761"/>
      <c r="I21" s="761"/>
      <c r="J21" s="761"/>
      <c r="K21" s="761"/>
      <c r="L21" s="761"/>
      <c r="M21" s="761"/>
      <c r="N21" s="761"/>
      <c r="O21" s="761"/>
      <c r="P21" s="761"/>
      <c r="T21" s="761"/>
    </row>
    <row r="22" spans="2:21">
      <c r="B22" t="s">
        <v>1226</v>
      </c>
      <c r="C22" t="s">
        <v>1509</v>
      </c>
      <c r="D22" s="761">
        <f>HY!Q292</f>
        <v>134</v>
      </c>
      <c r="E22" s="761">
        <f>HY!R292</f>
        <v>117.19999999999999</v>
      </c>
      <c r="F22" s="761">
        <f>HY!S292</f>
        <v>156.69999999999999</v>
      </c>
      <c r="G22" s="761">
        <f>HY!T292</f>
        <v>172.40000000000003</v>
      </c>
      <c r="H22" s="761">
        <f>HY!U292</f>
        <v>181.4</v>
      </c>
      <c r="I22" s="761">
        <f>HY!V292</f>
        <v>180.4</v>
      </c>
      <c r="J22" s="761"/>
      <c r="K22" s="761">
        <f>FY!D30</f>
        <v>308</v>
      </c>
      <c r="L22" s="761">
        <f>FY!E30</f>
        <v>251.2</v>
      </c>
      <c r="M22" s="761">
        <f>FY!F30</f>
        <v>329.1</v>
      </c>
      <c r="N22" s="761">
        <f>FY!G30</f>
        <v>361.8</v>
      </c>
      <c r="O22" s="761">
        <f>FY!H30</f>
        <v>390.48893499775005</v>
      </c>
      <c r="P22" s="761">
        <f>FY!I30</f>
        <v>379.2673630323751</v>
      </c>
      <c r="T22" s="761">
        <f>L22-SUM(D22:E22)</f>
        <v>0</v>
      </c>
    </row>
    <row r="23" spans="2:21">
      <c r="B23" t="s">
        <v>1227</v>
      </c>
      <c r="C23" t="s">
        <v>1509</v>
      </c>
      <c r="D23" s="761">
        <f>HY!Q293</f>
        <v>28.3</v>
      </c>
      <c r="E23" s="761">
        <f>HY!R293</f>
        <v>30.7</v>
      </c>
      <c r="F23" s="761">
        <f>HY!S293</f>
        <v>33.5</v>
      </c>
      <c r="G23" s="761">
        <f>HY!T293</f>
        <v>28.9</v>
      </c>
      <c r="H23" s="761">
        <f>HY!U293</f>
        <v>36</v>
      </c>
      <c r="I23" s="761">
        <f>HY!V293</f>
        <v>33.900000000000006</v>
      </c>
      <c r="J23" s="761"/>
      <c r="K23" s="761">
        <f>FY!D31</f>
        <v>83.1</v>
      </c>
      <c r="L23" s="761">
        <f>FY!E31</f>
        <v>59</v>
      </c>
      <c r="M23" s="761">
        <f>FY!F31</f>
        <v>62.4</v>
      </c>
      <c r="N23" s="761">
        <f>FY!G31</f>
        <v>69.900000000000006</v>
      </c>
      <c r="O23" s="761">
        <f>FY!H31</f>
        <v>70.731129477196873</v>
      </c>
      <c r="P23" s="761">
        <f>FY!I31</f>
        <v>72.499407714126775</v>
      </c>
      <c r="T23" s="761">
        <f>L23-SUM(D23:E23)</f>
        <v>0</v>
      </c>
    </row>
    <row r="24" spans="2:21">
      <c r="B24" s="762" t="s">
        <v>1511</v>
      </c>
      <c r="C24" s="762" t="s">
        <v>1509</v>
      </c>
      <c r="D24" s="763">
        <f>HY!Q295</f>
        <v>169.8</v>
      </c>
      <c r="E24" s="763">
        <f>HY!R295</f>
        <v>147.89999999999998</v>
      </c>
      <c r="F24" s="763">
        <f>HY!S295</f>
        <v>190.2</v>
      </c>
      <c r="G24" s="763">
        <f>HY!T295</f>
        <v>201.3</v>
      </c>
      <c r="H24" s="763">
        <f>HY!U295</f>
        <v>217.4</v>
      </c>
      <c r="I24" s="763">
        <f>HY!V295</f>
        <v>214.29999999999998</v>
      </c>
      <c r="J24" s="763"/>
      <c r="K24" s="763">
        <f>FY!D33</f>
        <v>391</v>
      </c>
      <c r="L24" s="763">
        <f>FY!E33</f>
        <v>317.7</v>
      </c>
      <c r="M24" s="763">
        <f>FY!F33</f>
        <v>391.5</v>
      </c>
      <c r="N24" s="763">
        <f>FY!G33</f>
        <v>431.7</v>
      </c>
      <c r="O24" s="763">
        <f>FY!H33</f>
        <v>466.42006447494691</v>
      </c>
      <c r="P24" s="763">
        <f>FY!I33</f>
        <v>485.64577074650185</v>
      </c>
      <c r="T24" s="761">
        <f>L24-SUM(D24:E24)</f>
        <v>0</v>
      </c>
    </row>
    <row r="25" spans="2:21">
      <c r="D25" s="761"/>
      <c r="E25" s="761"/>
      <c r="F25" s="761"/>
      <c r="G25" s="761"/>
      <c r="H25" s="761"/>
      <c r="I25" s="761"/>
      <c r="J25" s="761"/>
      <c r="K25" s="761"/>
      <c r="L25" s="761"/>
      <c r="M25" s="761"/>
      <c r="N25" s="761"/>
      <c r="O25" s="761"/>
      <c r="P25" s="761"/>
      <c r="T25" s="761"/>
    </row>
    <row r="26" spans="2:21">
      <c r="B26" s="666" t="s">
        <v>48</v>
      </c>
      <c r="D26" s="761"/>
      <c r="E26" s="761"/>
      <c r="F26" s="761"/>
      <c r="G26" s="761"/>
      <c r="H26" s="761"/>
      <c r="I26" s="761"/>
      <c r="J26" s="761"/>
      <c r="K26" s="761"/>
      <c r="L26" s="761"/>
      <c r="M26" s="761"/>
      <c r="N26" s="761"/>
      <c r="O26" s="761"/>
      <c r="P26" s="761"/>
      <c r="T26" s="761"/>
    </row>
    <row r="27" spans="2:21">
      <c r="B27" t="s">
        <v>1226</v>
      </c>
      <c r="C27" t="s">
        <v>1509</v>
      </c>
      <c r="D27" s="761"/>
      <c r="E27" s="761"/>
      <c r="F27" s="761"/>
      <c r="G27" s="761"/>
      <c r="H27" s="761"/>
      <c r="I27" s="761"/>
      <c r="J27" s="761"/>
      <c r="K27" s="761"/>
      <c r="L27" s="761"/>
      <c r="M27" s="761"/>
      <c r="N27" s="761"/>
      <c r="O27" s="761"/>
      <c r="P27" s="761"/>
      <c r="T27" s="761">
        <f>L27-SUM(D27:E27)</f>
        <v>0</v>
      </c>
    </row>
    <row r="28" spans="2:21">
      <c r="B28" t="s">
        <v>1227</v>
      </c>
      <c r="C28" t="s">
        <v>1509</v>
      </c>
      <c r="D28" s="761"/>
      <c r="E28" s="761"/>
      <c r="F28" s="761"/>
      <c r="G28" s="761"/>
      <c r="H28" s="761"/>
      <c r="I28" s="761"/>
      <c r="J28" s="761"/>
      <c r="K28" s="761"/>
      <c r="L28" s="761"/>
      <c r="M28" s="761"/>
      <c r="N28" s="761"/>
      <c r="O28" s="761"/>
      <c r="P28" s="761"/>
      <c r="T28" s="761">
        <f>L28-SUM(D28:E28)</f>
        <v>0</v>
      </c>
    </row>
    <row r="29" spans="2:21">
      <c r="B29" s="762" t="s">
        <v>48</v>
      </c>
      <c r="C29" s="762" t="s">
        <v>1509</v>
      </c>
      <c r="D29" s="763"/>
      <c r="E29" s="763"/>
      <c r="F29" s="763"/>
      <c r="G29" s="763"/>
      <c r="H29" s="763"/>
      <c r="I29" s="763"/>
      <c r="J29" s="763"/>
      <c r="K29" s="763"/>
      <c r="L29" s="763"/>
      <c r="M29" s="763"/>
      <c r="N29" s="763"/>
      <c r="O29" s="763"/>
      <c r="P29" s="763"/>
      <c r="T29" s="761">
        <f>L29-SUM(D29:E29)</f>
        <v>0</v>
      </c>
    </row>
    <row r="30" spans="2:21">
      <c r="D30" s="761"/>
      <c r="E30" s="761"/>
      <c r="F30" s="761"/>
      <c r="G30" s="761"/>
      <c r="H30" s="761"/>
      <c r="I30" s="761"/>
      <c r="J30" s="761"/>
      <c r="K30" s="761"/>
      <c r="L30" s="761"/>
      <c r="M30" s="761"/>
      <c r="N30" s="761"/>
      <c r="O30" s="761"/>
      <c r="P30" s="761"/>
      <c r="T30" s="761"/>
    </row>
    <row r="31" spans="2:21">
      <c r="B31" s="666" t="s">
        <v>10</v>
      </c>
      <c r="D31" s="761"/>
      <c r="E31" s="761"/>
      <c r="F31" s="761"/>
      <c r="G31" s="761"/>
      <c r="H31" s="761"/>
      <c r="I31" s="761"/>
      <c r="J31" s="761"/>
      <c r="K31" s="761"/>
      <c r="L31" s="761"/>
      <c r="M31" s="761"/>
      <c r="N31" s="761"/>
      <c r="O31" s="761"/>
      <c r="P31" s="761"/>
      <c r="T31" s="761"/>
    </row>
    <row r="32" spans="2:21">
      <c r="B32" t="s">
        <v>1226</v>
      </c>
      <c r="C32" t="s">
        <v>1509</v>
      </c>
      <c r="D32" s="761"/>
      <c r="E32" s="761"/>
      <c r="F32" s="761"/>
      <c r="G32" s="761"/>
      <c r="H32" s="761"/>
      <c r="I32" s="761"/>
      <c r="J32" s="761"/>
      <c r="K32" s="761"/>
      <c r="L32" s="761"/>
      <c r="M32" s="761"/>
      <c r="N32" s="761"/>
      <c r="O32" s="761"/>
      <c r="P32" s="761"/>
      <c r="T32" s="761"/>
      <c r="U32" t="s">
        <v>1516</v>
      </c>
    </row>
    <row r="33" spans="2:20">
      <c r="B33" t="s">
        <v>1227</v>
      </c>
      <c r="C33" t="s">
        <v>1509</v>
      </c>
      <c r="D33" s="761"/>
      <c r="E33" s="761"/>
      <c r="F33" s="761"/>
      <c r="G33" s="761"/>
      <c r="H33" s="761"/>
      <c r="I33" s="761"/>
      <c r="J33" s="761"/>
      <c r="K33" s="761"/>
      <c r="L33" s="761"/>
      <c r="M33" s="761"/>
      <c r="N33" s="761"/>
      <c r="O33" s="761"/>
      <c r="P33" s="761"/>
      <c r="T33" s="761"/>
    </row>
    <row r="34" spans="2:20">
      <c r="B34" s="762" t="s">
        <v>1512</v>
      </c>
      <c r="C34" s="762" t="s">
        <v>1509</v>
      </c>
      <c r="D34" s="763">
        <f>HY!Q311</f>
        <v>50</v>
      </c>
      <c r="E34" s="763">
        <f>HY!R311</f>
        <v>47.400000000000006</v>
      </c>
      <c r="F34" s="763">
        <f>HY!S311</f>
        <v>92.7</v>
      </c>
      <c r="G34" s="763">
        <f>HY!T311</f>
        <v>95.999999999999986</v>
      </c>
      <c r="H34" s="763">
        <f>HY!U311</f>
        <v>110.2</v>
      </c>
      <c r="I34" s="763">
        <f>HY!V311</f>
        <v>108.49999999999999</v>
      </c>
      <c r="J34" s="763"/>
      <c r="K34" s="763">
        <f>FY!D49</f>
        <v>150.5</v>
      </c>
      <c r="L34" s="763">
        <f>FY!E49</f>
        <v>97.4</v>
      </c>
      <c r="M34" s="763">
        <f>FY!F49</f>
        <v>188.7</v>
      </c>
      <c r="N34" s="763">
        <f>FY!G49</f>
        <v>218.7</v>
      </c>
      <c r="O34" s="763">
        <f>FY!H49</f>
        <v>238.02006447494725</v>
      </c>
      <c r="P34" s="763">
        <f>FY!I49</f>
        <v>262.24577074650222</v>
      </c>
      <c r="T34" s="761">
        <f>L34-SUM(D34:E34)</f>
        <v>0</v>
      </c>
    </row>
    <row r="35" spans="2:20">
      <c r="B35" t="s">
        <v>1602</v>
      </c>
      <c r="C35" t="s">
        <v>1509</v>
      </c>
      <c r="D35" s="761">
        <f>HY!Q315</f>
        <v>-2.8</v>
      </c>
      <c r="E35" s="761">
        <f>HY!R315</f>
        <v>-0.40000000000000036</v>
      </c>
      <c r="F35" s="761">
        <f>HY!S315</f>
        <v>-0.5</v>
      </c>
      <c r="G35" s="761">
        <f>HY!T315</f>
        <v>4.3</v>
      </c>
      <c r="H35" s="761">
        <f>HY!U315</f>
        <v>-4.5999999999999996</v>
      </c>
      <c r="I35" s="761">
        <f>HY!V315</f>
        <v>1.5999999999999996</v>
      </c>
      <c r="J35" s="761"/>
      <c r="K35" s="761">
        <f>FY!D51</f>
        <v>-2.7</v>
      </c>
      <c r="L35" s="761">
        <f>FY!E51</f>
        <v>-3.2</v>
      </c>
      <c r="M35" s="761">
        <f>FY!F51</f>
        <v>3.8</v>
      </c>
      <c r="N35" s="761">
        <f>FY!G51</f>
        <v>-3</v>
      </c>
      <c r="O35" s="761">
        <f>FY!H51</f>
        <v>1</v>
      </c>
      <c r="P35" s="761">
        <f>FY!I51</f>
        <v>12</v>
      </c>
      <c r="T35" s="761">
        <f>L35-SUM(D35:E35)</f>
        <v>0</v>
      </c>
    </row>
    <row r="36" spans="2:20">
      <c r="B36" t="s">
        <v>1513</v>
      </c>
      <c r="C36" t="s">
        <v>1509</v>
      </c>
      <c r="D36" s="761">
        <f>HY!Q318</f>
        <v>-20.9</v>
      </c>
      <c r="E36" s="761">
        <f>HY!R318</f>
        <v>-21.300000000000004</v>
      </c>
      <c r="F36" s="761">
        <f>HY!S318</f>
        <v>-46</v>
      </c>
      <c r="G36" s="761">
        <f>HY!T318</f>
        <v>-45.5</v>
      </c>
      <c r="H36" s="761">
        <f>HY!U318</f>
        <v>-42.9</v>
      </c>
      <c r="I36" s="761">
        <f>HY!V318</f>
        <v>-43.300000000000004</v>
      </c>
      <c r="J36" s="761"/>
      <c r="K36" s="761">
        <f>FY!D50</f>
        <v>-32.5</v>
      </c>
      <c r="L36" s="761">
        <f>FY!E50</f>
        <v>-42.2</v>
      </c>
      <c r="M36" s="761">
        <f>FY!F50</f>
        <v>-91.5</v>
      </c>
      <c r="N36" s="761">
        <f>FY!G50</f>
        <v>-86.2</v>
      </c>
      <c r="O36" s="761">
        <f>FY!H50</f>
        <v>-87.439530078163997</v>
      </c>
      <c r="P36" s="761">
        <f>FY!I50</f>
        <v>-94.00824065173947</v>
      </c>
      <c r="T36" s="761">
        <f>L36-SUM(D36:E36)</f>
        <v>0</v>
      </c>
    </row>
    <row r="37" spans="2:20">
      <c r="B37" t="s">
        <v>14</v>
      </c>
      <c r="C37" t="s">
        <v>1509</v>
      </c>
      <c r="D37" s="761">
        <f>HY!Q322</f>
        <v>-8.6999999999999993</v>
      </c>
      <c r="E37" s="761">
        <f>HY!R322</f>
        <v>-15.3</v>
      </c>
      <c r="F37" s="761">
        <f>HY!S322</f>
        <v>-24.1</v>
      </c>
      <c r="G37" s="761">
        <f>HY!T322</f>
        <v>-27.4</v>
      </c>
      <c r="H37" s="761">
        <f>HY!U322</f>
        <v>-27</v>
      </c>
      <c r="I37" s="761">
        <f>HY!V322</f>
        <v>-31.4</v>
      </c>
      <c r="J37" s="761"/>
      <c r="K37" s="761">
        <f>FY!D54</f>
        <v>-31</v>
      </c>
      <c r="L37" s="761">
        <f>FY!E54</f>
        <v>-24</v>
      </c>
      <c r="M37" s="761">
        <f>FY!F54</f>
        <v>-51.5</v>
      </c>
      <c r="N37" s="761">
        <f>FY!G54</f>
        <v>-58.4</v>
      </c>
      <c r="O37" s="761">
        <f>FY!H54</f>
        <v>-61.87027037434585</v>
      </c>
      <c r="P37" s="761">
        <f>FY!I54</f>
        <v>-70.149896360044494</v>
      </c>
      <c r="T37" s="761">
        <f>L37-SUM(D37:E37)</f>
        <v>0</v>
      </c>
    </row>
    <row r="38" spans="2:20">
      <c r="B38" s="762" t="s">
        <v>15</v>
      </c>
      <c r="C38" s="762" t="s">
        <v>1509</v>
      </c>
      <c r="D38" s="763">
        <f>HY!Q328</f>
        <v>17.600000000000001</v>
      </c>
      <c r="E38" s="763">
        <f>HY!R328</f>
        <v>10.399999999999999</v>
      </c>
      <c r="F38" s="763">
        <f>HY!S328</f>
        <v>22.1</v>
      </c>
      <c r="G38" s="763">
        <f>HY!T328</f>
        <v>27.4</v>
      </c>
      <c r="H38" s="763">
        <f>HY!U328</f>
        <v>35.700000000000003</v>
      </c>
      <c r="I38" s="763">
        <f>HY!V328</f>
        <v>35.399999999999991</v>
      </c>
      <c r="J38" s="763"/>
      <c r="K38" s="763">
        <f>FY!D55</f>
        <v>84.3</v>
      </c>
      <c r="L38" s="763">
        <f>FY!E55</f>
        <v>28</v>
      </c>
      <c r="M38" s="763">
        <f>FY!F55</f>
        <v>49.5</v>
      </c>
      <c r="N38" s="763">
        <f>FY!G55</f>
        <v>71.099999999999994</v>
      </c>
      <c r="O38" s="763">
        <f>FY!H55</f>
        <v>89.7102640224374</v>
      </c>
      <c r="P38" s="763">
        <f>FY!I55</f>
        <v>110.08763373471828</v>
      </c>
      <c r="T38" s="761">
        <f>L38-SUM(D38:E38)</f>
        <v>0</v>
      </c>
    </row>
    <row r="39" spans="2:20">
      <c r="D39" s="761"/>
      <c r="E39" s="761"/>
      <c r="F39" s="761"/>
      <c r="G39" s="761"/>
      <c r="H39" s="761"/>
      <c r="I39" s="761"/>
      <c r="J39" s="761"/>
      <c r="K39" s="761"/>
      <c r="L39" s="761"/>
      <c r="M39" s="676"/>
      <c r="N39" s="676"/>
      <c r="O39" s="676"/>
      <c r="P39" s="676"/>
      <c r="T39" s="676"/>
    </row>
    <row r="40" spans="2:20">
      <c r="B40" t="s">
        <v>1514</v>
      </c>
      <c r="C40" t="s">
        <v>1509</v>
      </c>
      <c r="D40" s="761">
        <f>HY!Q633</f>
        <v>121.3</v>
      </c>
      <c r="E40" s="761">
        <f>HY!R633</f>
        <v>123.89999999999999</v>
      </c>
      <c r="F40" s="761">
        <f>HY!S633</f>
        <v>172</v>
      </c>
      <c r="G40" s="761">
        <f>HY!T633</f>
        <v>234.5</v>
      </c>
      <c r="H40" s="761">
        <f>HY!U633</f>
        <v>95.3</v>
      </c>
      <c r="I40" s="761">
        <f>HY!V633</f>
        <v>214</v>
      </c>
      <c r="J40" s="761"/>
      <c r="K40" s="761">
        <f>FY!D96</f>
        <v>119.30000000000001</v>
      </c>
      <c r="L40" s="761">
        <f>FY!E96</f>
        <v>245.2</v>
      </c>
      <c r="M40" s="761">
        <f>FY!F96</f>
        <v>406.5</v>
      </c>
      <c r="N40" s="761">
        <f>FY!G96</f>
        <v>309.3</v>
      </c>
      <c r="O40" s="761">
        <f>FY!H96</f>
        <v>333.70263476485837</v>
      </c>
      <c r="P40" s="761">
        <f>FY!I96</f>
        <v>324.94731577429695</v>
      </c>
      <c r="T40" s="761">
        <f>L40-SUM(D40:E40)</f>
        <v>0</v>
      </c>
    </row>
    <row r="41" spans="2:20">
      <c r="B41" t="s">
        <v>1515</v>
      </c>
      <c r="C41" t="s">
        <v>1509</v>
      </c>
      <c r="D41" s="761">
        <f>HY!Q642</f>
        <v>-53.2</v>
      </c>
      <c r="E41" s="761">
        <f>HY!R642</f>
        <v>-686.5</v>
      </c>
      <c r="F41" s="761">
        <f>HY!S642</f>
        <v>-66.3</v>
      </c>
      <c r="G41" s="761">
        <f>HY!T642</f>
        <v>-50.7</v>
      </c>
      <c r="H41" s="761">
        <f>HY!U642</f>
        <v>-71</v>
      </c>
      <c r="I41" s="761">
        <f>HY!V642</f>
        <v>-79.699999999999989</v>
      </c>
      <c r="J41" s="761"/>
      <c r="K41" s="761">
        <f>FY!D104</f>
        <v>-130</v>
      </c>
      <c r="L41" s="761">
        <f>FY!E104</f>
        <v>-739.7</v>
      </c>
      <c r="M41" s="761">
        <f>FY!F104</f>
        <v>-117</v>
      </c>
      <c r="N41" s="761">
        <f>FY!G104</f>
        <v>-150.69999999999999</v>
      </c>
      <c r="O41" s="761">
        <f>FY!H104</f>
        <v>-472</v>
      </c>
      <c r="P41" s="761">
        <f>FY!I104</f>
        <v>-168</v>
      </c>
      <c r="T41" s="761">
        <f>L41-SUM(D41:E41)</f>
        <v>0</v>
      </c>
    </row>
    <row r="42" spans="2:20">
      <c r="B42" t="s">
        <v>522</v>
      </c>
      <c r="C42" t="s">
        <v>1509</v>
      </c>
      <c r="D42" s="761"/>
      <c r="E42" s="761">
        <f>HY!R577</f>
        <v>860</v>
      </c>
      <c r="F42" s="761">
        <f>HY!S577</f>
        <v>753</v>
      </c>
      <c r="G42" s="761">
        <f>HY!T577</f>
        <v>609</v>
      </c>
      <c r="H42" s="761">
        <f>HY!U577</f>
        <v>631</v>
      </c>
      <c r="I42" s="761">
        <f>HY!V577</f>
        <v>533</v>
      </c>
      <c r="J42" s="761"/>
      <c r="K42" s="761">
        <f>FY!D174</f>
        <v>295</v>
      </c>
      <c r="L42" s="761">
        <f>FY!E174</f>
        <v>860</v>
      </c>
      <c r="M42" s="761">
        <f>FY!F174</f>
        <v>609</v>
      </c>
      <c r="N42" s="761">
        <f>FY!G174</f>
        <v>533</v>
      </c>
      <c r="O42" s="761">
        <f>FY!H174</f>
        <v>744.66056523514158</v>
      </c>
      <c r="P42" s="761">
        <f>FY!I174</f>
        <v>661.07644946084463</v>
      </c>
      <c r="T42" s="761">
        <f>L42-SUM(D42:E42)</f>
        <v>0</v>
      </c>
    </row>
    <row r="46" spans="2:20" s="666" customFormat="1">
      <c r="B46"/>
      <c r="C46"/>
      <c r="D46" s="759"/>
      <c r="E46" s="759"/>
      <c r="F46" s="759"/>
      <c r="G46" s="759"/>
      <c r="H46" s="759"/>
      <c r="I46" s="759"/>
      <c r="J46" s="759"/>
      <c r="K46" s="759"/>
      <c r="L46" s="760"/>
    </row>
    <row r="49" spans="2:12" s="666" customFormat="1">
      <c r="B49"/>
      <c r="C49"/>
      <c r="D49" s="759"/>
      <c r="E49" s="759"/>
      <c r="F49" s="759"/>
      <c r="G49" s="759"/>
      <c r="H49" s="759"/>
      <c r="I49" s="759"/>
      <c r="J49" s="759"/>
      <c r="K49" s="759"/>
      <c r="L49" s="760"/>
    </row>
    <row r="50" spans="2:12" s="666" customFormat="1">
      <c r="B50"/>
      <c r="C50"/>
      <c r="D50" s="759"/>
      <c r="E50" s="759"/>
      <c r="F50" s="759"/>
      <c r="G50" s="759"/>
      <c r="H50" s="759"/>
      <c r="I50" s="759"/>
      <c r="J50" s="759"/>
      <c r="K50" s="759"/>
      <c r="L50" s="760"/>
    </row>
    <row r="53" spans="2:12">
      <c r="B53" s="666"/>
      <c r="C53" s="666"/>
      <c r="D53" s="760"/>
      <c r="E53" s="760"/>
      <c r="F53" s="760"/>
      <c r="G53" s="760"/>
      <c r="H53" s="760"/>
      <c r="I53" s="760"/>
      <c r="J53" s="760"/>
      <c r="K53" s="760"/>
    </row>
    <row r="56" spans="2:12">
      <c r="B56" s="666"/>
      <c r="C56" s="666"/>
      <c r="D56" s="760"/>
      <c r="E56" s="760"/>
      <c r="F56" s="760"/>
      <c r="G56" s="760"/>
      <c r="H56" s="760"/>
      <c r="I56" s="760"/>
      <c r="J56" s="760"/>
      <c r="K56" s="760"/>
    </row>
    <row r="57" spans="2:12">
      <c r="B57" s="666"/>
      <c r="C57" s="666"/>
      <c r="D57" s="760"/>
      <c r="E57" s="760"/>
      <c r="F57" s="760"/>
      <c r="G57" s="760"/>
      <c r="H57" s="760"/>
      <c r="I57" s="760"/>
      <c r="J57" s="760"/>
      <c r="K57" s="760"/>
    </row>
    <row r="58" spans="2:12">
      <c r="B58" s="666"/>
      <c r="C58" s="666"/>
      <c r="D58" s="760"/>
    </row>
    <row r="59" spans="2:12">
      <c r="B59" s="666"/>
      <c r="C59" s="666"/>
      <c r="D59" s="760"/>
    </row>
    <row r="62" spans="2:12">
      <c r="B62" s="666"/>
    </row>
    <row r="63" spans="2:12">
      <c r="B63" s="666"/>
    </row>
  </sheetData>
  <phoneticPr fontId="42"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FAC39-E2B0-4F36-8C9E-F90D7A804A8A}">
  <sheetPr codeName="Sheet13">
    <tabColor theme="1"/>
  </sheetPr>
  <dimension ref="A1"/>
  <sheetViews>
    <sheetView workbookViewId="0">
      <selection activeCell="C43" sqref="C43"/>
    </sheetView>
  </sheetViews>
  <sheetFormatPr defaultRowHeight="1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8A420-9502-4A32-92B6-7D7323B05D7E}">
  <sheetPr codeName="Sheet14">
    <tabColor theme="7" tint="0.59999389629810485"/>
  </sheetPr>
  <dimension ref="B3:C84"/>
  <sheetViews>
    <sheetView workbookViewId="0">
      <selection activeCell="S48" sqref="S48"/>
    </sheetView>
  </sheetViews>
  <sheetFormatPr defaultRowHeight="15"/>
  <sheetData>
    <row r="3" spans="2:2">
      <c r="B3" t="s">
        <v>1181</v>
      </c>
    </row>
    <row r="31" spans="3:3">
      <c r="C31" t="s">
        <v>843</v>
      </c>
    </row>
    <row r="49" spans="3:3">
      <c r="C49" t="s">
        <v>845</v>
      </c>
    </row>
    <row r="84" spans="3:3">
      <c r="C84" t="s">
        <v>1064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NAV</vt:lpstr>
      <vt:lpstr>NAV 2</vt:lpstr>
      <vt:lpstr>BM</vt:lpstr>
      <vt:lpstr>I</vt:lpstr>
      <vt:lpstr>HY</vt:lpstr>
      <vt:lpstr>FY</vt:lpstr>
      <vt:lpstr>II</vt:lpstr>
      <vt:lpstr>FT Tables</vt:lpstr>
      <vt:lpstr>Rev Tables</vt:lpstr>
      <vt:lpstr>Revisions</vt:lpstr>
      <vt:lpstr>Vs Cons</vt:lpstr>
      <vt:lpstr>III</vt:lpstr>
      <vt:lpstr>IR</vt:lpstr>
      <vt:lpstr>Pen</vt:lpstr>
      <vt:lpstr>IV</vt:lpstr>
      <vt:lpstr>Snips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Masson</dc:creator>
  <cp:lastModifiedBy>Sam Bradshaw</cp:lastModifiedBy>
  <cp:lastPrinted>2026-09-01T11:50:25Z</cp:lastPrinted>
  <dcterms:created xsi:type="dcterms:W3CDTF">2019-01-29T00:42:43Z</dcterms:created>
  <dcterms:modified xsi:type="dcterms:W3CDTF">2026-09-01T12:07:57Z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d">
    <vt:lpwstr>f5a4f676-b677-4184-b159-c58a0f7c5478</vt:lpwstr>
  </property>
  <property fmtid="{D5CDD505-2E9C-101B-9397-08002B2CF9AE}" pid="3" name="MSIP_Label_8e62aa29-677a-4cd5-98db-9c70c8e77e69_Enabled">
    <vt:lpwstr>true</vt:lpwstr>
  </property>
  <property fmtid="{D5CDD505-2E9C-101B-9397-08002B2CF9AE}" pid="4" name="MSIP_Label_8e62aa29-677a-4cd5-98db-9c70c8e77e69_SetDate">
    <vt:lpwstr>2026-07-28T22:52:55Z</vt:lpwstr>
  </property>
  <property fmtid="{D5CDD505-2E9C-101B-9397-08002B2CF9AE}" pid="5" name="MSIP_Label_8e62aa29-677a-4cd5-98db-9c70c8e77e69_Method">
    <vt:lpwstr>Privileged</vt:lpwstr>
  </property>
  <property fmtid="{D5CDD505-2E9C-101B-9397-08002B2CF9AE}" pid="6" name="MSIP_Label_8e62aa29-677a-4cd5-98db-9c70c8e77e69_Name">
    <vt:lpwstr>Restricted - PII</vt:lpwstr>
  </property>
  <property fmtid="{D5CDD505-2E9C-101B-9397-08002B2CF9AE}" pid="7" name="MSIP_Label_8e62aa29-677a-4cd5-98db-9c70c8e77e69_SiteId">
    <vt:lpwstr>6d13d3d5-8b13-4ab4-a345-350f909f5f65</vt:lpwstr>
  </property>
  <property fmtid="{D5CDD505-2E9C-101B-9397-08002B2CF9AE}" pid="8" name="MSIP_Label_8e62aa29-677a-4cd5-98db-9c70c8e77e69_ActionId">
    <vt:lpwstr>d91176ae-ca40-4029-89fa-ad2758b2a9bc</vt:lpwstr>
  </property>
  <property fmtid="{D5CDD505-2E9C-101B-9397-08002B2CF9AE}" pid="9" name="MSIP_Label_8e62aa29-677a-4cd5-98db-9c70c8e77e69_ContentBits">
    <vt:lpwstr>0</vt:lpwstr>
  </property>
</Properties>
</file>